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ml.chartsha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hanif\Downloads\Data Analyst\Project\Excel_project\Coffee_Sales_Analysis\"/>
    </mc:Choice>
  </mc:AlternateContent>
  <xr:revisionPtr revIDLastSave="0" documentId="13_ncr:1_{86822922-A62B-4C64-B911-43A1226BB11F}" xr6:coauthVersionLast="47" xr6:coauthVersionMax="47" xr10:uidLastSave="{00000000-0000-0000-0000-000000000000}"/>
  <bookViews>
    <workbookView xWindow="-110" yWindow="-110" windowWidth="19420" windowHeight="10300" xr2:uid="{00000000-000D-0000-FFFF-FFFF00000000}"/>
  </bookViews>
  <sheets>
    <sheet name="Dashboard" sheetId="19" r:id="rId1"/>
    <sheet name="PivotTable" sheetId="18" state="hidden" r:id="rId2"/>
    <sheet name="orders" sheetId="17" state="hidden" r:id="rId3"/>
    <sheet name="customers" sheetId="13" state="hidden" r:id="rId4"/>
    <sheet name="products" sheetId="2" state="hidden" r:id="rId5"/>
  </sheets>
  <definedNames>
    <definedName name="_xlnm._FilterDatabase" localSheetId="3" hidden="1">customers!$A$1:$I$1</definedName>
    <definedName name="_xlnm._FilterDatabase" localSheetId="2" hidden="1">orders!$A$1:$O$1001</definedName>
    <definedName name="_xlnm._FilterDatabase" localSheetId="4" hidden="1">products!$A$1:$G$49</definedName>
    <definedName name="Slicer_Coffee_Type_Name">#N/A</definedName>
    <definedName name="Slicer_Country">#N/A</definedName>
    <definedName name="Slicer_Years__Order_Date">#N/A</definedName>
  </definedNames>
  <calcPr calcId="191028"/>
  <pivotCaches>
    <pivotCache cacheId="15"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17" l="1"/>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N2" i="17"/>
  <c r="R2" i="17"/>
  <c r="R3" i="17"/>
  <c r="R4" i="17"/>
  <c r="R5" i="17"/>
  <c r="R6" i="17"/>
  <c r="R7" i="17"/>
  <c r="R8" i="17"/>
  <c r="R9" i="17"/>
  <c r="R10" i="17"/>
  <c r="R11" i="17"/>
  <c r="R12" i="17"/>
  <c r="R13" i="17"/>
  <c r="R14" i="17"/>
  <c r="R15" i="17"/>
  <c r="R16" i="17"/>
  <c r="R17" i="17"/>
  <c r="R18" i="17"/>
  <c r="R19" i="17"/>
  <c r="R20" i="17"/>
  <c r="R21" i="17"/>
  <c r="R22" i="17"/>
  <c r="R23" i="17"/>
  <c r="R24" i="17"/>
  <c r="R25" i="17"/>
  <c r="R26" i="17"/>
  <c r="R27" i="17"/>
  <c r="R28" i="17"/>
  <c r="R29" i="17"/>
  <c r="R30" i="17"/>
  <c r="R31" i="17"/>
  <c r="R32" i="17"/>
  <c r="R33" i="17"/>
  <c r="R34" i="17"/>
  <c r="R35" i="17"/>
  <c r="R36" i="17"/>
  <c r="R37" i="17"/>
  <c r="R38" i="17"/>
  <c r="R39" i="17"/>
  <c r="R40" i="17"/>
  <c r="R41" i="17"/>
  <c r="R42" i="17"/>
  <c r="R43" i="17"/>
  <c r="R44" i="17"/>
  <c r="R45" i="17"/>
  <c r="R46" i="17"/>
  <c r="R47" i="17"/>
  <c r="R48" i="17"/>
  <c r="R49" i="17"/>
  <c r="R50" i="17"/>
  <c r="R51" i="17"/>
  <c r="R52" i="17"/>
  <c r="R53" i="17"/>
  <c r="R54" i="17"/>
  <c r="R55" i="17"/>
  <c r="R56" i="17"/>
  <c r="R57" i="17"/>
  <c r="R58" i="17"/>
  <c r="R59" i="17"/>
  <c r="R60" i="17"/>
  <c r="R61" i="17"/>
  <c r="R62" i="17"/>
  <c r="R63" i="17"/>
  <c r="R64" i="17"/>
  <c r="R65" i="17"/>
  <c r="R66" i="17"/>
  <c r="R67" i="17"/>
  <c r="R68" i="17"/>
  <c r="R69" i="17"/>
  <c r="R70" i="17"/>
  <c r="R71" i="17"/>
  <c r="R72" i="17"/>
  <c r="R73" i="17"/>
  <c r="R74" i="17"/>
  <c r="R75" i="17"/>
  <c r="R76" i="17"/>
  <c r="R77" i="17"/>
  <c r="R78" i="17"/>
  <c r="R79" i="17"/>
  <c r="R80" i="17"/>
  <c r="R81" i="17"/>
  <c r="R82" i="17"/>
  <c r="R83" i="17"/>
  <c r="R84" i="17"/>
  <c r="R85" i="17"/>
  <c r="R86" i="17"/>
  <c r="R87" i="17"/>
  <c r="R88" i="17"/>
  <c r="R89" i="17"/>
  <c r="R90" i="17"/>
  <c r="R91" i="17"/>
  <c r="R92" i="17"/>
  <c r="R93" i="17"/>
  <c r="R94" i="17"/>
  <c r="R95" i="17"/>
  <c r="R96" i="17"/>
  <c r="R97" i="17"/>
  <c r="R98" i="17"/>
  <c r="R99" i="17"/>
  <c r="R100" i="17"/>
  <c r="R101" i="17"/>
  <c r="R102" i="17"/>
  <c r="R103" i="17"/>
  <c r="R104" i="17"/>
  <c r="R105" i="17"/>
  <c r="R106" i="17"/>
  <c r="R107" i="17"/>
  <c r="R108" i="17"/>
  <c r="R109" i="17"/>
  <c r="R110" i="17"/>
  <c r="R111" i="17"/>
  <c r="R112" i="17"/>
  <c r="R113" i="17"/>
  <c r="R114" i="17"/>
  <c r="R115" i="17"/>
  <c r="R116" i="17"/>
  <c r="R117" i="17"/>
  <c r="R118" i="17"/>
  <c r="R119" i="17"/>
  <c r="R120" i="17"/>
  <c r="R121" i="17"/>
  <c r="R122" i="17"/>
  <c r="R123" i="17"/>
  <c r="R124" i="17"/>
  <c r="R125" i="17"/>
  <c r="R126" i="17"/>
  <c r="R127" i="17"/>
  <c r="R128" i="17"/>
  <c r="R129" i="17"/>
  <c r="R130" i="17"/>
  <c r="R131" i="17"/>
  <c r="R132" i="17"/>
  <c r="R133" i="17"/>
  <c r="R134" i="17"/>
  <c r="R135" i="17"/>
  <c r="R136" i="17"/>
  <c r="R137" i="17"/>
  <c r="R138" i="17"/>
  <c r="R139" i="17"/>
  <c r="R140" i="17"/>
  <c r="R141" i="17"/>
  <c r="R142" i="17"/>
  <c r="R143" i="17"/>
  <c r="R144" i="17"/>
  <c r="R145" i="17"/>
  <c r="R146" i="17"/>
  <c r="R147" i="17"/>
  <c r="R148" i="17"/>
  <c r="R149" i="17"/>
  <c r="R150" i="17"/>
  <c r="R151" i="17"/>
  <c r="R152" i="17"/>
  <c r="R153" i="17"/>
  <c r="R154" i="17"/>
  <c r="R155" i="17"/>
  <c r="R156" i="17"/>
  <c r="R157" i="17"/>
  <c r="R158" i="17"/>
  <c r="R159" i="17"/>
  <c r="R160" i="17"/>
  <c r="R161" i="17"/>
  <c r="R162" i="17"/>
  <c r="R163" i="17"/>
  <c r="R164" i="17"/>
  <c r="R165" i="17"/>
  <c r="R166" i="17"/>
  <c r="R167" i="17"/>
  <c r="R168" i="17"/>
  <c r="R169" i="17"/>
  <c r="R170" i="17"/>
  <c r="R171" i="17"/>
  <c r="R172" i="17"/>
  <c r="R173" i="17"/>
  <c r="R174" i="17"/>
  <c r="R175" i="17"/>
  <c r="R176" i="17"/>
  <c r="R177" i="17"/>
  <c r="R178" i="17"/>
  <c r="R179" i="17"/>
  <c r="R180" i="17"/>
  <c r="R181" i="17"/>
  <c r="R182" i="17"/>
  <c r="R183" i="17"/>
  <c r="R184" i="17"/>
  <c r="R185" i="17"/>
  <c r="R186" i="17"/>
  <c r="R187" i="17"/>
  <c r="R188" i="17"/>
  <c r="R189" i="17"/>
  <c r="R190" i="17"/>
  <c r="R191" i="17"/>
  <c r="R192" i="17"/>
  <c r="R193" i="17"/>
  <c r="R194" i="17"/>
  <c r="R195" i="17"/>
  <c r="R196" i="17"/>
  <c r="R197" i="17"/>
  <c r="R198" i="17"/>
  <c r="R199" i="17"/>
  <c r="R200" i="17"/>
  <c r="R201" i="17"/>
  <c r="R202" i="17"/>
  <c r="R203" i="17"/>
  <c r="R204" i="17"/>
  <c r="R205" i="17"/>
  <c r="R206" i="17"/>
  <c r="R207" i="17"/>
  <c r="R208" i="17"/>
  <c r="R209" i="17"/>
  <c r="R210" i="17"/>
  <c r="R211" i="17"/>
  <c r="R212" i="17"/>
  <c r="R213" i="17"/>
  <c r="R214" i="17"/>
  <c r="R215" i="17"/>
  <c r="R216" i="17"/>
  <c r="R217" i="17"/>
  <c r="R218" i="17"/>
  <c r="R219" i="17"/>
  <c r="R220" i="17"/>
  <c r="R221" i="17"/>
  <c r="R222" i="17"/>
  <c r="R223" i="17"/>
  <c r="R224" i="17"/>
  <c r="R225" i="17"/>
  <c r="R226" i="17"/>
  <c r="R227" i="17"/>
  <c r="R228" i="17"/>
  <c r="R229" i="17"/>
  <c r="R230" i="17"/>
  <c r="R231" i="17"/>
  <c r="R232" i="17"/>
  <c r="R233" i="17"/>
  <c r="R234" i="17"/>
  <c r="R235" i="17"/>
  <c r="R236" i="17"/>
  <c r="R237" i="17"/>
  <c r="R238" i="17"/>
  <c r="R239" i="17"/>
  <c r="R240" i="17"/>
  <c r="R241" i="17"/>
  <c r="R242" i="17"/>
  <c r="R243" i="17"/>
  <c r="R244" i="17"/>
  <c r="R245" i="17"/>
  <c r="R246" i="17"/>
  <c r="R247" i="17"/>
  <c r="R248" i="17"/>
  <c r="R249" i="17"/>
  <c r="R250" i="17"/>
  <c r="R251" i="17"/>
  <c r="R252" i="17"/>
  <c r="R253" i="17"/>
  <c r="R254" i="17"/>
  <c r="R255" i="17"/>
  <c r="R256" i="17"/>
  <c r="R257" i="17"/>
  <c r="R258" i="17"/>
  <c r="R259" i="17"/>
  <c r="R260" i="17"/>
  <c r="R261" i="17"/>
  <c r="R262" i="17"/>
  <c r="R263" i="17"/>
  <c r="R264" i="17"/>
  <c r="R265" i="17"/>
  <c r="R266" i="17"/>
  <c r="R267" i="17"/>
  <c r="R268" i="17"/>
  <c r="R269" i="17"/>
  <c r="R270" i="17"/>
  <c r="R271" i="17"/>
  <c r="R272" i="17"/>
  <c r="R273" i="17"/>
  <c r="R274" i="17"/>
  <c r="R275" i="17"/>
  <c r="R276" i="17"/>
  <c r="R277" i="17"/>
  <c r="R278" i="17"/>
  <c r="R279" i="17"/>
  <c r="R280" i="17"/>
  <c r="R281" i="17"/>
  <c r="R282" i="17"/>
  <c r="R283" i="17"/>
  <c r="R284" i="17"/>
  <c r="R285" i="17"/>
  <c r="R286" i="17"/>
  <c r="R287" i="17"/>
  <c r="R288" i="17"/>
  <c r="R289" i="17"/>
  <c r="R290" i="17"/>
  <c r="R291" i="17"/>
  <c r="R292" i="17"/>
  <c r="R293" i="17"/>
  <c r="R294" i="17"/>
  <c r="R295" i="17"/>
  <c r="R296" i="17"/>
  <c r="R297" i="17"/>
  <c r="R298" i="17"/>
  <c r="R299" i="17"/>
  <c r="R300" i="17"/>
  <c r="R301" i="17"/>
  <c r="R302" i="17"/>
  <c r="R303" i="17"/>
  <c r="R304" i="17"/>
  <c r="R305" i="17"/>
  <c r="R306" i="17"/>
  <c r="R307" i="17"/>
  <c r="R308" i="17"/>
  <c r="R309" i="17"/>
  <c r="R310" i="17"/>
  <c r="R311" i="17"/>
  <c r="R312" i="17"/>
  <c r="R313" i="17"/>
  <c r="R314" i="17"/>
  <c r="R315" i="17"/>
  <c r="R316" i="17"/>
  <c r="R317" i="17"/>
  <c r="R318" i="17"/>
  <c r="R319" i="17"/>
  <c r="R320" i="17"/>
  <c r="R321" i="17"/>
  <c r="R322" i="17"/>
  <c r="R323" i="17"/>
  <c r="R324" i="17"/>
  <c r="R325" i="17"/>
  <c r="R326" i="17"/>
  <c r="R327" i="17"/>
  <c r="R328" i="17"/>
  <c r="R329" i="17"/>
  <c r="R330" i="17"/>
  <c r="R331" i="17"/>
  <c r="R332" i="17"/>
  <c r="R333" i="17"/>
  <c r="R334" i="17"/>
  <c r="R335" i="17"/>
  <c r="R336" i="17"/>
  <c r="R337" i="17"/>
  <c r="R338" i="17"/>
  <c r="R339" i="17"/>
  <c r="R340" i="17"/>
  <c r="R341" i="17"/>
  <c r="R342" i="17"/>
  <c r="R343" i="17"/>
  <c r="R344" i="17"/>
  <c r="R345" i="17"/>
  <c r="R346" i="17"/>
  <c r="R347" i="17"/>
  <c r="R348" i="17"/>
  <c r="R349" i="17"/>
  <c r="R350" i="17"/>
  <c r="R351" i="17"/>
  <c r="R352" i="17"/>
  <c r="R353" i="17"/>
  <c r="R354" i="17"/>
  <c r="R355" i="17"/>
  <c r="R356" i="17"/>
  <c r="R357" i="17"/>
  <c r="R358" i="17"/>
  <c r="R359" i="17"/>
  <c r="R360" i="17"/>
  <c r="R361" i="17"/>
  <c r="R362" i="17"/>
  <c r="R363" i="17"/>
  <c r="R364" i="17"/>
  <c r="R365" i="17"/>
  <c r="R366" i="17"/>
  <c r="R367" i="17"/>
  <c r="R368" i="17"/>
  <c r="R369" i="17"/>
  <c r="R370" i="17"/>
  <c r="R371" i="17"/>
  <c r="R372" i="17"/>
  <c r="R373" i="17"/>
  <c r="R374" i="17"/>
  <c r="R375" i="17"/>
  <c r="R376" i="17"/>
  <c r="R377" i="17"/>
  <c r="R378" i="17"/>
  <c r="R379" i="17"/>
  <c r="R380" i="17"/>
  <c r="R381" i="17"/>
  <c r="R382" i="17"/>
  <c r="R383" i="17"/>
  <c r="R384" i="17"/>
  <c r="R385" i="17"/>
  <c r="R386" i="17"/>
  <c r="R387" i="17"/>
  <c r="R388" i="17"/>
  <c r="R389" i="17"/>
  <c r="R390" i="17"/>
  <c r="R391" i="17"/>
  <c r="R392" i="17"/>
  <c r="R393" i="17"/>
  <c r="R394" i="17"/>
  <c r="R395" i="17"/>
  <c r="R396" i="17"/>
  <c r="R397" i="17"/>
  <c r="R398" i="17"/>
  <c r="R399" i="17"/>
  <c r="R400" i="17"/>
  <c r="R401" i="17"/>
  <c r="R402" i="17"/>
  <c r="R403" i="17"/>
  <c r="R404" i="17"/>
  <c r="R405" i="17"/>
  <c r="R406" i="17"/>
  <c r="R407" i="17"/>
  <c r="R408" i="17"/>
  <c r="R409" i="17"/>
  <c r="R410" i="17"/>
  <c r="R411" i="17"/>
  <c r="R412" i="17"/>
  <c r="R413" i="17"/>
  <c r="R414" i="17"/>
  <c r="R415" i="17"/>
  <c r="R416" i="17"/>
  <c r="R417" i="17"/>
  <c r="R418" i="17"/>
  <c r="R419" i="17"/>
  <c r="R420" i="17"/>
  <c r="R421" i="17"/>
  <c r="R422" i="17"/>
  <c r="R423" i="17"/>
  <c r="R424" i="17"/>
  <c r="R425" i="17"/>
  <c r="R426" i="17"/>
  <c r="R427" i="17"/>
  <c r="R428" i="17"/>
  <c r="R429" i="17"/>
  <c r="R430" i="17"/>
  <c r="R431" i="17"/>
  <c r="R432" i="17"/>
  <c r="R433" i="17"/>
  <c r="R434" i="17"/>
  <c r="R435" i="17"/>
  <c r="R436" i="17"/>
  <c r="R437" i="17"/>
  <c r="R438" i="17"/>
  <c r="R439" i="17"/>
  <c r="R440" i="17"/>
  <c r="R441" i="17"/>
  <c r="R442" i="17"/>
  <c r="R443" i="17"/>
  <c r="R444" i="17"/>
  <c r="R445" i="17"/>
  <c r="R446" i="17"/>
  <c r="R447" i="17"/>
  <c r="R448" i="17"/>
  <c r="R449" i="17"/>
  <c r="R450" i="17"/>
  <c r="R451" i="17"/>
  <c r="R452" i="17"/>
  <c r="R453" i="17"/>
  <c r="R454" i="17"/>
  <c r="R455" i="17"/>
  <c r="R456" i="17"/>
  <c r="R457" i="17"/>
  <c r="R458" i="17"/>
  <c r="R459" i="17"/>
  <c r="R460" i="17"/>
  <c r="R461" i="17"/>
  <c r="R462" i="17"/>
  <c r="R463" i="17"/>
  <c r="R464" i="17"/>
  <c r="R465" i="17"/>
  <c r="R466" i="17"/>
  <c r="R467" i="17"/>
  <c r="R468" i="17"/>
  <c r="R469" i="17"/>
  <c r="R470" i="17"/>
  <c r="R471" i="17"/>
  <c r="R472" i="17"/>
  <c r="R473" i="17"/>
  <c r="R474" i="17"/>
  <c r="R475" i="17"/>
  <c r="R476" i="17"/>
  <c r="R477" i="17"/>
  <c r="R478" i="17"/>
  <c r="R479" i="17"/>
  <c r="R480" i="17"/>
  <c r="R481" i="17"/>
  <c r="R482" i="17"/>
  <c r="R483" i="17"/>
  <c r="R484" i="17"/>
  <c r="R485" i="17"/>
  <c r="R486" i="17"/>
  <c r="R487" i="17"/>
  <c r="R488" i="17"/>
  <c r="R489" i="17"/>
  <c r="R490" i="17"/>
  <c r="R491" i="17"/>
  <c r="R492" i="17"/>
  <c r="R493" i="17"/>
  <c r="R494" i="17"/>
  <c r="R495" i="17"/>
  <c r="R496" i="17"/>
  <c r="R497" i="17"/>
  <c r="R498" i="17"/>
  <c r="R499" i="17"/>
  <c r="R500" i="17"/>
  <c r="R501" i="17"/>
  <c r="R502" i="17"/>
  <c r="R503" i="17"/>
  <c r="R504" i="17"/>
  <c r="R505" i="17"/>
  <c r="R506" i="17"/>
  <c r="R507" i="17"/>
  <c r="R508" i="17"/>
  <c r="R509" i="17"/>
  <c r="R510" i="17"/>
  <c r="R511" i="17"/>
  <c r="R512" i="17"/>
  <c r="R513" i="17"/>
  <c r="R514" i="17"/>
  <c r="R515" i="17"/>
  <c r="R516" i="17"/>
  <c r="R517" i="17"/>
  <c r="R518" i="17"/>
  <c r="R519" i="17"/>
  <c r="R520" i="17"/>
  <c r="R521" i="17"/>
  <c r="R522" i="17"/>
  <c r="R523" i="17"/>
  <c r="R524" i="17"/>
  <c r="R525" i="17"/>
  <c r="R526" i="17"/>
  <c r="R527" i="17"/>
  <c r="R528" i="17"/>
  <c r="R529" i="17"/>
  <c r="R530" i="17"/>
  <c r="R531" i="17"/>
  <c r="R532" i="17"/>
  <c r="R533" i="17"/>
  <c r="R534" i="17"/>
  <c r="R535" i="17"/>
  <c r="R536" i="17"/>
  <c r="R537" i="17"/>
  <c r="R538" i="17"/>
  <c r="R539" i="17"/>
  <c r="R540" i="17"/>
  <c r="R541" i="17"/>
  <c r="R542" i="17"/>
  <c r="R543" i="17"/>
  <c r="R544" i="17"/>
  <c r="R545" i="17"/>
  <c r="R546" i="17"/>
  <c r="R547" i="17"/>
  <c r="R548" i="17"/>
  <c r="R549" i="17"/>
  <c r="R550" i="17"/>
  <c r="R551" i="17"/>
  <c r="R552" i="17"/>
  <c r="R553" i="17"/>
  <c r="R554" i="17"/>
  <c r="R555" i="17"/>
  <c r="R556" i="17"/>
  <c r="R557" i="17"/>
  <c r="R558" i="17"/>
  <c r="R559" i="17"/>
  <c r="R560" i="17"/>
  <c r="R561" i="17"/>
  <c r="R562" i="17"/>
  <c r="R563" i="17"/>
  <c r="R564" i="17"/>
  <c r="R565" i="17"/>
  <c r="R566" i="17"/>
  <c r="R567" i="17"/>
  <c r="R568" i="17"/>
  <c r="R569" i="17"/>
  <c r="R570" i="17"/>
  <c r="R571" i="17"/>
  <c r="R572" i="17"/>
  <c r="R573" i="17"/>
  <c r="R574" i="17"/>
  <c r="R575" i="17"/>
  <c r="R576" i="17"/>
  <c r="R577" i="17"/>
  <c r="R578" i="17"/>
  <c r="R579" i="17"/>
  <c r="R580" i="17"/>
  <c r="R581" i="17"/>
  <c r="R582" i="17"/>
  <c r="R583" i="17"/>
  <c r="R584" i="17"/>
  <c r="R585" i="17"/>
  <c r="R586" i="17"/>
  <c r="R587" i="17"/>
  <c r="R588" i="17"/>
  <c r="R589" i="17"/>
  <c r="R590" i="17"/>
  <c r="R591" i="17"/>
  <c r="R592" i="17"/>
  <c r="R593" i="17"/>
  <c r="R594" i="17"/>
  <c r="R595" i="17"/>
  <c r="R596" i="17"/>
  <c r="R597" i="17"/>
  <c r="R598" i="17"/>
  <c r="R599" i="17"/>
  <c r="R600" i="17"/>
  <c r="R601" i="17"/>
  <c r="R602" i="17"/>
  <c r="R603" i="17"/>
  <c r="R604" i="17"/>
  <c r="R605" i="17"/>
  <c r="R606" i="17"/>
  <c r="R607" i="17"/>
  <c r="R608" i="17"/>
  <c r="R609" i="17"/>
  <c r="R610" i="17"/>
  <c r="R611" i="17"/>
  <c r="R612" i="17"/>
  <c r="R613" i="17"/>
  <c r="R614" i="17"/>
  <c r="R615" i="17"/>
  <c r="R616" i="17"/>
  <c r="R617" i="17"/>
  <c r="R618" i="17"/>
  <c r="R619" i="17"/>
  <c r="R620" i="17"/>
  <c r="R621" i="17"/>
  <c r="R622" i="17"/>
  <c r="R623" i="17"/>
  <c r="R624" i="17"/>
  <c r="R625" i="17"/>
  <c r="R626" i="17"/>
  <c r="R627" i="17"/>
  <c r="R628" i="17"/>
  <c r="R629" i="17"/>
  <c r="R630" i="17"/>
  <c r="R631" i="17"/>
  <c r="R632" i="17"/>
  <c r="R633" i="17"/>
  <c r="R634" i="17"/>
  <c r="R635" i="17"/>
  <c r="R636" i="17"/>
  <c r="R637" i="17"/>
  <c r="R638" i="17"/>
  <c r="R639" i="17"/>
  <c r="R640" i="17"/>
  <c r="R641" i="17"/>
  <c r="R642" i="17"/>
  <c r="R643" i="17"/>
  <c r="R644" i="17"/>
  <c r="R645" i="17"/>
  <c r="R646" i="17"/>
  <c r="R647" i="17"/>
  <c r="R648" i="17"/>
  <c r="R649" i="17"/>
  <c r="R650" i="17"/>
  <c r="R651" i="17"/>
  <c r="R652" i="17"/>
  <c r="R653" i="17"/>
  <c r="R654" i="17"/>
  <c r="R655" i="17"/>
  <c r="R656" i="17"/>
  <c r="R657" i="17"/>
  <c r="R658" i="17"/>
  <c r="R659" i="17"/>
  <c r="R660" i="17"/>
  <c r="R661" i="17"/>
  <c r="R662" i="17"/>
  <c r="R663" i="17"/>
  <c r="R664" i="17"/>
  <c r="R665" i="17"/>
  <c r="R666" i="17"/>
  <c r="R667" i="17"/>
  <c r="R668" i="17"/>
  <c r="R669" i="17"/>
  <c r="R670" i="17"/>
  <c r="R671" i="17"/>
  <c r="R672" i="17"/>
  <c r="R673" i="17"/>
  <c r="R674" i="17"/>
  <c r="R675" i="17"/>
  <c r="R676" i="17"/>
  <c r="R677" i="17"/>
  <c r="R678" i="17"/>
  <c r="R679" i="17"/>
  <c r="R680" i="17"/>
  <c r="R681" i="17"/>
  <c r="R682" i="17"/>
  <c r="R683" i="17"/>
  <c r="R684" i="17"/>
  <c r="R685" i="17"/>
  <c r="R686" i="17"/>
  <c r="R687" i="17"/>
  <c r="R688" i="17"/>
  <c r="R689" i="17"/>
  <c r="R690" i="17"/>
  <c r="R691" i="17"/>
  <c r="R692" i="17"/>
  <c r="R693" i="17"/>
  <c r="R694" i="17"/>
  <c r="R695" i="17"/>
  <c r="R696" i="17"/>
  <c r="R697" i="17"/>
  <c r="R698" i="17"/>
  <c r="R699" i="17"/>
  <c r="R700" i="17"/>
  <c r="R701" i="17"/>
  <c r="R702" i="17"/>
  <c r="R703" i="17"/>
  <c r="R704" i="17"/>
  <c r="R705" i="17"/>
  <c r="R706" i="17"/>
  <c r="R707" i="17"/>
  <c r="R708" i="17"/>
  <c r="R709" i="17"/>
  <c r="R710" i="17"/>
  <c r="R711" i="17"/>
  <c r="R712" i="17"/>
  <c r="R713" i="17"/>
  <c r="R714" i="17"/>
  <c r="R715" i="17"/>
  <c r="R716" i="17"/>
  <c r="R717" i="17"/>
  <c r="R718" i="17"/>
  <c r="R719" i="17"/>
  <c r="R720" i="17"/>
  <c r="R721" i="17"/>
  <c r="R722" i="17"/>
  <c r="R723" i="17"/>
  <c r="R724" i="17"/>
  <c r="R725" i="17"/>
  <c r="R726" i="17"/>
  <c r="R727" i="17"/>
  <c r="R728" i="17"/>
  <c r="R729" i="17"/>
  <c r="R730" i="17"/>
  <c r="R731" i="17"/>
  <c r="R732" i="17"/>
  <c r="R733" i="17"/>
  <c r="R734" i="17"/>
  <c r="R735" i="17"/>
  <c r="R736" i="17"/>
  <c r="R737" i="17"/>
  <c r="R738" i="17"/>
  <c r="R739" i="17"/>
  <c r="R740" i="17"/>
  <c r="R741" i="17"/>
  <c r="R742" i="17"/>
  <c r="R743" i="17"/>
  <c r="R744" i="17"/>
  <c r="R745" i="17"/>
  <c r="R746" i="17"/>
  <c r="R747" i="17"/>
  <c r="R748" i="17"/>
  <c r="R749" i="17"/>
  <c r="R750" i="17"/>
  <c r="R751" i="17"/>
  <c r="R752" i="17"/>
  <c r="R753" i="17"/>
  <c r="R754" i="17"/>
  <c r="R755" i="17"/>
  <c r="R756" i="17"/>
  <c r="R757" i="17"/>
  <c r="R758" i="17"/>
  <c r="R759" i="17"/>
  <c r="R760" i="17"/>
  <c r="R761" i="17"/>
  <c r="R762" i="17"/>
  <c r="R763" i="17"/>
  <c r="R764" i="17"/>
  <c r="R765" i="17"/>
  <c r="R766" i="17"/>
  <c r="R767" i="17"/>
  <c r="R768" i="17"/>
  <c r="R769" i="17"/>
  <c r="R770" i="17"/>
  <c r="R771" i="17"/>
  <c r="R772" i="17"/>
  <c r="R773" i="17"/>
  <c r="R774" i="17"/>
  <c r="R775" i="17"/>
  <c r="R776" i="17"/>
  <c r="R777" i="17"/>
  <c r="R778" i="17"/>
  <c r="R779" i="17"/>
  <c r="R780" i="17"/>
  <c r="R781" i="17"/>
  <c r="R782" i="17"/>
  <c r="R783" i="17"/>
  <c r="R784" i="17"/>
  <c r="R785" i="17"/>
  <c r="R786" i="17"/>
  <c r="R787" i="17"/>
  <c r="R788" i="17"/>
  <c r="R789" i="17"/>
  <c r="R790" i="17"/>
  <c r="R791" i="17"/>
  <c r="R792" i="17"/>
  <c r="R793" i="17"/>
  <c r="R794" i="17"/>
  <c r="R795" i="17"/>
  <c r="R796" i="17"/>
  <c r="R797" i="17"/>
  <c r="R798" i="17"/>
  <c r="R799" i="17"/>
  <c r="R800" i="17"/>
  <c r="R801" i="17"/>
  <c r="R802" i="17"/>
  <c r="R803" i="17"/>
  <c r="R804" i="17"/>
  <c r="R805" i="17"/>
  <c r="R806" i="17"/>
  <c r="R807" i="17"/>
  <c r="R808" i="17"/>
  <c r="R809" i="17"/>
  <c r="R810" i="17"/>
  <c r="R811" i="17"/>
  <c r="R812" i="17"/>
  <c r="R813" i="17"/>
  <c r="R814" i="17"/>
  <c r="R815" i="17"/>
  <c r="R816" i="17"/>
  <c r="R817" i="17"/>
  <c r="R818" i="17"/>
  <c r="R819" i="17"/>
  <c r="R820" i="17"/>
  <c r="R821" i="17"/>
  <c r="R822" i="17"/>
  <c r="R823" i="17"/>
  <c r="R824" i="17"/>
  <c r="R825" i="17"/>
  <c r="R826" i="17"/>
  <c r="R827" i="17"/>
  <c r="R828" i="17"/>
  <c r="R829" i="17"/>
  <c r="R830" i="17"/>
  <c r="R831" i="17"/>
  <c r="R832" i="17"/>
  <c r="R833" i="17"/>
  <c r="R834" i="17"/>
  <c r="R835" i="17"/>
  <c r="R836" i="17"/>
  <c r="R837" i="17"/>
  <c r="R838" i="17"/>
  <c r="R839" i="17"/>
  <c r="R840" i="17"/>
  <c r="R841" i="17"/>
  <c r="R842" i="17"/>
  <c r="R843" i="17"/>
  <c r="R844" i="17"/>
  <c r="R845" i="17"/>
  <c r="R846" i="17"/>
  <c r="R847" i="17"/>
  <c r="R848" i="17"/>
  <c r="R849" i="17"/>
  <c r="R850" i="17"/>
  <c r="R851" i="17"/>
  <c r="R852" i="17"/>
  <c r="R853" i="17"/>
  <c r="R854" i="17"/>
  <c r="R855" i="17"/>
  <c r="R856" i="17"/>
  <c r="R857" i="17"/>
  <c r="R858" i="17"/>
  <c r="R859" i="17"/>
  <c r="R860" i="17"/>
  <c r="R861" i="17"/>
  <c r="R862" i="17"/>
  <c r="R863" i="17"/>
  <c r="R864" i="17"/>
  <c r="R865" i="17"/>
  <c r="R866" i="17"/>
  <c r="R867" i="17"/>
  <c r="R868" i="17"/>
  <c r="R869" i="17"/>
  <c r="R870" i="17"/>
  <c r="R871" i="17"/>
  <c r="R872" i="17"/>
  <c r="R873" i="17"/>
  <c r="R874" i="17"/>
  <c r="R875" i="17"/>
  <c r="R876" i="17"/>
  <c r="R877" i="17"/>
  <c r="R878" i="17"/>
  <c r="R879" i="17"/>
  <c r="R880" i="17"/>
  <c r="R881" i="17"/>
  <c r="R882" i="17"/>
  <c r="R883" i="17"/>
  <c r="R884" i="17"/>
  <c r="R885" i="17"/>
  <c r="R886" i="17"/>
  <c r="R887" i="17"/>
  <c r="R888" i="17"/>
  <c r="R889" i="17"/>
  <c r="R890" i="17"/>
  <c r="R891" i="17"/>
  <c r="R892" i="17"/>
  <c r="R893" i="17"/>
  <c r="R894" i="17"/>
  <c r="R895" i="17"/>
  <c r="R896" i="17"/>
  <c r="R897" i="17"/>
  <c r="R898" i="17"/>
  <c r="R899" i="17"/>
  <c r="R900" i="17"/>
  <c r="R901" i="17"/>
  <c r="R902" i="17"/>
  <c r="R903" i="17"/>
  <c r="R904" i="17"/>
  <c r="R905" i="17"/>
  <c r="R906" i="17"/>
  <c r="R907" i="17"/>
  <c r="R908" i="17"/>
  <c r="R909" i="17"/>
  <c r="R910" i="17"/>
  <c r="R911" i="17"/>
  <c r="R912" i="17"/>
  <c r="R913" i="17"/>
  <c r="R914" i="17"/>
  <c r="R915" i="17"/>
  <c r="R916" i="17"/>
  <c r="R917" i="17"/>
  <c r="R918" i="17"/>
  <c r="R919" i="17"/>
  <c r="R920" i="17"/>
  <c r="R921" i="17"/>
  <c r="R922" i="17"/>
  <c r="R923" i="17"/>
  <c r="R924" i="17"/>
  <c r="R925" i="17"/>
  <c r="R926" i="17"/>
  <c r="R927" i="17"/>
  <c r="R928" i="17"/>
  <c r="R929" i="17"/>
  <c r="R930" i="17"/>
  <c r="R931" i="17"/>
  <c r="R932" i="17"/>
  <c r="R933" i="17"/>
  <c r="R934" i="17"/>
  <c r="R935" i="17"/>
  <c r="R936" i="17"/>
  <c r="R937" i="17"/>
  <c r="R938" i="17"/>
  <c r="R939" i="17"/>
  <c r="R940" i="17"/>
  <c r="R941" i="17"/>
  <c r="R942" i="17"/>
  <c r="R943" i="17"/>
  <c r="R944" i="17"/>
  <c r="R945" i="17"/>
  <c r="R946" i="17"/>
  <c r="R947" i="17"/>
  <c r="R948" i="17"/>
  <c r="R949" i="17"/>
  <c r="R950" i="17"/>
  <c r="R951" i="17"/>
  <c r="R952" i="17"/>
  <c r="R953" i="17"/>
  <c r="R954" i="17"/>
  <c r="R955" i="17"/>
  <c r="R956" i="17"/>
  <c r="R957" i="17"/>
  <c r="R958" i="17"/>
  <c r="R959" i="17"/>
  <c r="R960" i="17"/>
  <c r="R961" i="17"/>
  <c r="R962" i="17"/>
  <c r="R963" i="17"/>
  <c r="R964" i="17"/>
  <c r="R965" i="17"/>
  <c r="R966" i="17"/>
  <c r="R967" i="17"/>
  <c r="R968" i="17"/>
  <c r="R969" i="17"/>
  <c r="R970" i="17"/>
  <c r="R971" i="17"/>
  <c r="R972" i="17"/>
  <c r="R973" i="17"/>
  <c r="R974" i="17"/>
  <c r="R975" i="17"/>
  <c r="R976" i="17"/>
  <c r="R977" i="17"/>
  <c r="R978" i="17"/>
  <c r="R979" i="17"/>
  <c r="R980" i="17"/>
  <c r="R981" i="17"/>
  <c r="R982" i="17"/>
  <c r="R983" i="17"/>
  <c r="R984" i="17"/>
  <c r="R985" i="17"/>
  <c r="R986" i="17"/>
  <c r="R987" i="17"/>
  <c r="R988" i="17"/>
  <c r="R989" i="17"/>
  <c r="R990" i="17"/>
  <c r="R991" i="17"/>
  <c r="R992" i="17"/>
  <c r="R993" i="17"/>
  <c r="R994" i="17"/>
  <c r="R995" i="17"/>
  <c r="R996" i="17"/>
  <c r="R997" i="17"/>
  <c r="R998" i="17"/>
  <c r="R999" i="17"/>
  <c r="R1000" i="17"/>
  <c r="R1001"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6" i="17"/>
  <c r="J3" i="17"/>
  <c r="P3" i="17" s="1"/>
  <c r="K3" i="17"/>
  <c r="Q3" i="17" s="1"/>
  <c r="L3" i="17"/>
  <c r="M3" i="17"/>
  <c r="O3" i="17" s="1"/>
  <c r="J4" i="17"/>
  <c r="P4" i="17" s="1"/>
  <c r="K4" i="17"/>
  <c r="Q4" i="17" s="1"/>
  <c r="L4" i="17"/>
  <c r="M4" i="17"/>
  <c r="O4" i="17" s="1"/>
  <c r="J5" i="17"/>
  <c r="P5" i="17" s="1"/>
  <c r="K5" i="17"/>
  <c r="Q5" i="17" s="1"/>
  <c r="L5" i="17"/>
  <c r="M5" i="17"/>
  <c r="O5" i="17" s="1"/>
  <c r="J6" i="17"/>
  <c r="P6" i="17" s="1"/>
  <c r="K6" i="17"/>
  <c r="Q6" i="17" s="1"/>
  <c r="L6" i="17"/>
  <c r="M6" i="17"/>
  <c r="O6" i="17" s="1"/>
  <c r="J7" i="17"/>
  <c r="P7" i="17" s="1"/>
  <c r="K7" i="17"/>
  <c r="Q7" i="17" s="1"/>
  <c r="L7" i="17"/>
  <c r="M7" i="17"/>
  <c r="O7" i="17" s="1"/>
  <c r="J8" i="17"/>
  <c r="P8" i="17" s="1"/>
  <c r="K8" i="17"/>
  <c r="Q8" i="17" s="1"/>
  <c r="L8" i="17"/>
  <c r="M8" i="17"/>
  <c r="O8" i="17" s="1"/>
  <c r="J9" i="17"/>
  <c r="P9" i="17" s="1"/>
  <c r="K9" i="17"/>
  <c r="Q9" i="17" s="1"/>
  <c r="L9" i="17"/>
  <c r="M9" i="17"/>
  <c r="O9" i="17" s="1"/>
  <c r="J10" i="17"/>
  <c r="P10" i="17" s="1"/>
  <c r="K10" i="17"/>
  <c r="Q10" i="17" s="1"/>
  <c r="L10" i="17"/>
  <c r="M10" i="17"/>
  <c r="O10" i="17" s="1"/>
  <c r="J11" i="17"/>
  <c r="P11" i="17" s="1"/>
  <c r="K11" i="17"/>
  <c r="Q11" i="17" s="1"/>
  <c r="L11" i="17"/>
  <c r="M11" i="17"/>
  <c r="O11" i="17" s="1"/>
  <c r="J12" i="17"/>
  <c r="P12" i="17" s="1"/>
  <c r="K12" i="17"/>
  <c r="Q12" i="17" s="1"/>
  <c r="L12" i="17"/>
  <c r="M12" i="17"/>
  <c r="O12" i="17" s="1"/>
  <c r="J13" i="17"/>
  <c r="P13" i="17" s="1"/>
  <c r="K13" i="17"/>
  <c r="Q13" i="17" s="1"/>
  <c r="L13" i="17"/>
  <c r="M13" i="17"/>
  <c r="O13" i="17" s="1"/>
  <c r="J14" i="17"/>
  <c r="P14" i="17" s="1"/>
  <c r="K14" i="17"/>
  <c r="Q14" i="17" s="1"/>
  <c r="L14" i="17"/>
  <c r="M14" i="17"/>
  <c r="O14" i="17" s="1"/>
  <c r="J15" i="17"/>
  <c r="P15" i="17" s="1"/>
  <c r="K15" i="17"/>
  <c r="Q15" i="17" s="1"/>
  <c r="L15" i="17"/>
  <c r="M15" i="17"/>
  <c r="O15" i="17" s="1"/>
  <c r="J16" i="17"/>
  <c r="P16" i="17" s="1"/>
  <c r="K16" i="17"/>
  <c r="Q16" i="17" s="1"/>
  <c r="L16" i="17"/>
  <c r="M16" i="17"/>
  <c r="O16" i="17" s="1"/>
  <c r="J17" i="17"/>
  <c r="P17" i="17" s="1"/>
  <c r="K17" i="17"/>
  <c r="Q17" i="17" s="1"/>
  <c r="L17" i="17"/>
  <c r="M17" i="17"/>
  <c r="O17" i="17" s="1"/>
  <c r="J18" i="17"/>
  <c r="P18" i="17" s="1"/>
  <c r="K18" i="17"/>
  <c r="Q18" i="17" s="1"/>
  <c r="L18" i="17"/>
  <c r="M18" i="17"/>
  <c r="O18" i="17" s="1"/>
  <c r="J19" i="17"/>
  <c r="P19" i="17" s="1"/>
  <c r="K19" i="17"/>
  <c r="Q19" i="17" s="1"/>
  <c r="L19" i="17"/>
  <c r="M19" i="17"/>
  <c r="O19" i="17" s="1"/>
  <c r="J20" i="17"/>
  <c r="P20" i="17" s="1"/>
  <c r="K20" i="17"/>
  <c r="Q20" i="17" s="1"/>
  <c r="L20" i="17"/>
  <c r="M20" i="17"/>
  <c r="O20" i="17" s="1"/>
  <c r="J21" i="17"/>
  <c r="P21" i="17" s="1"/>
  <c r="K21" i="17"/>
  <c r="Q21" i="17" s="1"/>
  <c r="L21" i="17"/>
  <c r="M21" i="17"/>
  <c r="O21" i="17" s="1"/>
  <c r="J22" i="17"/>
  <c r="P22" i="17" s="1"/>
  <c r="K22" i="17"/>
  <c r="Q22" i="17" s="1"/>
  <c r="L22" i="17"/>
  <c r="M22" i="17"/>
  <c r="O22" i="17" s="1"/>
  <c r="J23" i="17"/>
  <c r="P23" i="17" s="1"/>
  <c r="K23" i="17"/>
  <c r="Q23" i="17" s="1"/>
  <c r="L23" i="17"/>
  <c r="M23" i="17"/>
  <c r="O23" i="17" s="1"/>
  <c r="J24" i="17"/>
  <c r="P24" i="17" s="1"/>
  <c r="K24" i="17"/>
  <c r="Q24" i="17" s="1"/>
  <c r="L24" i="17"/>
  <c r="M24" i="17"/>
  <c r="O24" i="17" s="1"/>
  <c r="J25" i="17"/>
  <c r="P25" i="17" s="1"/>
  <c r="K25" i="17"/>
  <c r="Q25" i="17" s="1"/>
  <c r="L25" i="17"/>
  <c r="M25" i="17"/>
  <c r="O25" i="17" s="1"/>
  <c r="J26" i="17"/>
  <c r="P26" i="17" s="1"/>
  <c r="K26" i="17"/>
  <c r="Q26" i="17" s="1"/>
  <c r="L26" i="17"/>
  <c r="M26" i="17"/>
  <c r="O26" i="17" s="1"/>
  <c r="J27" i="17"/>
  <c r="P27" i="17" s="1"/>
  <c r="K27" i="17"/>
  <c r="Q27" i="17" s="1"/>
  <c r="L27" i="17"/>
  <c r="M27" i="17"/>
  <c r="O27" i="17" s="1"/>
  <c r="J28" i="17"/>
  <c r="P28" i="17" s="1"/>
  <c r="K28" i="17"/>
  <c r="Q28" i="17" s="1"/>
  <c r="L28" i="17"/>
  <c r="M28" i="17"/>
  <c r="O28" i="17" s="1"/>
  <c r="J29" i="17"/>
  <c r="P29" i="17" s="1"/>
  <c r="K29" i="17"/>
  <c r="Q29" i="17" s="1"/>
  <c r="L29" i="17"/>
  <c r="M29" i="17"/>
  <c r="O29" i="17" s="1"/>
  <c r="J30" i="17"/>
  <c r="P30" i="17" s="1"/>
  <c r="K30" i="17"/>
  <c r="Q30" i="17" s="1"/>
  <c r="L30" i="17"/>
  <c r="M30" i="17"/>
  <c r="O30" i="17" s="1"/>
  <c r="J31" i="17"/>
  <c r="P31" i="17" s="1"/>
  <c r="K31" i="17"/>
  <c r="Q31" i="17" s="1"/>
  <c r="L31" i="17"/>
  <c r="M31" i="17"/>
  <c r="O31" i="17" s="1"/>
  <c r="J32" i="17"/>
  <c r="P32" i="17" s="1"/>
  <c r="K32" i="17"/>
  <c r="Q32" i="17" s="1"/>
  <c r="L32" i="17"/>
  <c r="M32" i="17"/>
  <c r="O32" i="17" s="1"/>
  <c r="J33" i="17"/>
  <c r="P33" i="17" s="1"/>
  <c r="K33" i="17"/>
  <c r="Q33" i="17" s="1"/>
  <c r="L33" i="17"/>
  <c r="M33" i="17"/>
  <c r="O33" i="17" s="1"/>
  <c r="J34" i="17"/>
  <c r="P34" i="17" s="1"/>
  <c r="K34" i="17"/>
  <c r="Q34" i="17" s="1"/>
  <c r="L34" i="17"/>
  <c r="M34" i="17"/>
  <c r="O34" i="17" s="1"/>
  <c r="J35" i="17"/>
  <c r="P35" i="17" s="1"/>
  <c r="K35" i="17"/>
  <c r="Q35" i="17" s="1"/>
  <c r="L35" i="17"/>
  <c r="M35" i="17"/>
  <c r="O35" i="17" s="1"/>
  <c r="J36" i="17"/>
  <c r="P36" i="17" s="1"/>
  <c r="K36" i="17"/>
  <c r="Q36" i="17" s="1"/>
  <c r="L36" i="17"/>
  <c r="M36" i="17"/>
  <c r="O36" i="17" s="1"/>
  <c r="J37" i="17"/>
  <c r="P37" i="17" s="1"/>
  <c r="K37" i="17"/>
  <c r="Q37" i="17" s="1"/>
  <c r="L37" i="17"/>
  <c r="M37" i="17"/>
  <c r="O37" i="17" s="1"/>
  <c r="J38" i="17"/>
  <c r="P38" i="17" s="1"/>
  <c r="K38" i="17"/>
  <c r="Q38" i="17" s="1"/>
  <c r="L38" i="17"/>
  <c r="M38" i="17"/>
  <c r="O38" i="17" s="1"/>
  <c r="J39" i="17"/>
  <c r="P39" i="17" s="1"/>
  <c r="K39" i="17"/>
  <c r="Q39" i="17" s="1"/>
  <c r="L39" i="17"/>
  <c r="M39" i="17"/>
  <c r="O39" i="17" s="1"/>
  <c r="J40" i="17"/>
  <c r="P40" i="17" s="1"/>
  <c r="K40" i="17"/>
  <c r="Q40" i="17" s="1"/>
  <c r="L40" i="17"/>
  <c r="M40" i="17"/>
  <c r="O40" i="17" s="1"/>
  <c r="J41" i="17"/>
  <c r="P41" i="17" s="1"/>
  <c r="K41" i="17"/>
  <c r="Q41" i="17" s="1"/>
  <c r="L41" i="17"/>
  <c r="M41" i="17"/>
  <c r="O41" i="17" s="1"/>
  <c r="J42" i="17"/>
  <c r="P42" i="17" s="1"/>
  <c r="K42" i="17"/>
  <c r="Q42" i="17" s="1"/>
  <c r="L42" i="17"/>
  <c r="M42" i="17"/>
  <c r="O42" i="17" s="1"/>
  <c r="J43" i="17"/>
  <c r="P43" i="17" s="1"/>
  <c r="K43" i="17"/>
  <c r="Q43" i="17" s="1"/>
  <c r="L43" i="17"/>
  <c r="M43" i="17"/>
  <c r="O43" i="17" s="1"/>
  <c r="J44" i="17"/>
  <c r="P44" i="17" s="1"/>
  <c r="K44" i="17"/>
  <c r="Q44" i="17" s="1"/>
  <c r="L44" i="17"/>
  <c r="M44" i="17"/>
  <c r="O44" i="17" s="1"/>
  <c r="J45" i="17"/>
  <c r="P45" i="17" s="1"/>
  <c r="K45" i="17"/>
  <c r="Q45" i="17" s="1"/>
  <c r="L45" i="17"/>
  <c r="M45" i="17"/>
  <c r="O45" i="17" s="1"/>
  <c r="J46" i="17"/>
  <c r="P46" i="17" s="1"/>
  <c r="K46" i="17"/>
  <c r="Q46" i="17" s="1"/>
  <c r="L46" i="17"/>
  <c r="M46" i="17"/>
  <c r="O46" i="17" s="1"/>
  <c r="J47" i="17"/>
  <c r="P47" i="17" s="1"/>
  <c r="K47" i="17"/>
  <c r="Q47" i="17" s="1"/>
  <c r="L47" i="17"/>
  <c r="M47" i="17"/>
  <c r="O47" i="17" s="1"/>
  <c r="J48" i="17"/>
  <c r="P48" i="17" s="1"/>
  <c r="K48" i="17"/>
  <c r="Q48" i="17" s="1"/>
  <c r="L48" i="17"/>
  <c r="M48" i="17"/>
  <c r="O48" i="17" s="1"/>
  <c r="J49" i="17"/>
  <c r="P49" i="17" s="1"/>
  <c r="K49" i="17"/>
  <c r="Q49" i="17" s="1"/>
  <c r="L49" i="17"/>
  <c r="M49" i="17"/>
  <c r="O49" i="17" s="1"/>
  <c r="J50" i="17"/>
  <c r="P50" i="17" s="1"/>
  <c r="K50" i="17"/>
  <c r="Q50" i="17" s="1"/>
  <c r="L50" i="17"/>
  <c r="M50" i="17"/>
  <c r="O50" i="17" s="1"/>
  <c r="J51" i="17"/>
  <c r="P51" i="17" s="1"/>
  <c r="K51" i="17"/>
  <c r="Q51" i="17" s="1"/>
  <c r="L51" i="17"/>
  <c r="M51" i="17"/>
  <c r="O51" i="17" s="1"/>
  <c r="J52" i="17"/>
  <c r="P52" i="17" s="1"/>
  <c r="K52" i="17"/>
  <c r="Q52" i="17" s="1"/>
  <c r="L52" i="17"/>
  <c r="M52" i="17"/>
  <c r="O52" i="17" s="1"/>
  <c r="J53" i="17"/>
  <c r="P53" i="17" s="1"/>
  <c r="K53" i="17"/>
  <c r="Q53" i="17" s="1"/>
  <c r="L53" i="17"/>
  <c r="M53" i="17"/>
  <c r="O53" i="17" s="1"/>
  <c r="J54" i="17"/>
  <c r="P54" i="17" s="1"/>
  <c r="K54" i="17"/>
  <c r="Q54" i="17" s="1"/>
  <c r="L54" i="17"/>
  <c r="M54" i="17"/>
  <c r="O54" i="17" s="1"/>
  <c r="J55" i="17"/>
  <c r="P55" i="17" s="1"/>
  <c r="K55" i="17"/>
  <c r="Q55" i="17" s="1"/>
  <c r="L55" i="17"/>
  <c r="M55" i="17"/>
  <c r="O55" i="17" s="1"/>
  <c r="J56" i="17"/>
  <c r="P56" i="17" s="1"/>
  <c r="K56" i="17"/>
  <c r="Q56" i="17" s="1"/>
  <c r="L56" i="17"/>
  <c r="M56" i="17"/>
  <c r="O56" i="17" s="1"/>
  <c r="J57" i="17"/>
  <c r="P57" i="17" s="1"/>
  <c r="K57" i="17"/>
  <c r="Q57" i="17" s="1"/>
  <c r="L57" i="17"/>
  <c r="M57" i="17"/>
  <c r="O57" i="17" s="1"/>
  <c r="J58" i="17"/>
  <c r="P58" i="17" s="1"/>
  <c r="K58" i="17"/>
  <c r="Q58" i="17" s="1"/>
  <c r="L58" i="17"/>
  <c r="M58" i="17"/>
  <c r="O58" i="17" s="1"/>
  <c r="J59" i="17"/>
  <c r="P59" i="17" s="1"/>
  <c r="K59" i="17"/>
  <c r="Q59" i="17" s="1"/>
  <c r="L59" i="17"/>
  <c r="M59" i="17"/>
  <c r="O59" i="17" s="1"/>
  <c r="J60" i="17"/>
  <c r="P60" i="17" s="1"/>
  <c r="K60" i="17"/>
  <c r="Q60" i="17" s="1"/>
  <c r="L60" i="17"/>
  <c r="M60" i="17"/>
  <c r="O60" i="17" s="1"/>
  <c r="J61" i="17"/>
  <c r="P61" i="17" s="1"/>
  <c r="K61" i="17"/>
  <c r="Q61" i="17" s="1"/>
  <c r="L61" i="17"/>
  <c r="M61" i="17"/>
  <c r="O61" i="17" s="1"/>
  <c r="J62" i="17"/>
  <c r="P62" i="17" s="1"/>
  <c r="K62" i="17"/>
  <c r="Q62" i="17" s="1"/>
  <c r="L62" i="17"/>
  <c r="M62" i="17"/>
  <c r="O62" i="17" s="1"/>
  <c r="J63" i="17"/>
  <c r="P63" i="17" s="1"/>
  <c r="K63" i="17"/>
  <c r="Q63" i="17" s="1"/>
  <c r="L63" i="17"/>
  <c r="M63" i="17"/>
  <c r="O63" i="17" s="1"/>
  <c r="J64" i="17"/>
  <c r="P64" i="17" s="1"/>
  <c r="K64" i="17"/>
  <c r="Q64" i="17" s="1"/>
  <c r="L64" i="17"/>
  <c r="M64" i="17"/>
  <c r="O64" i="17" s="1"/>
  <c r="J65" i="17"/>
  <c r="P65" i="17" s="1"/>
  <c r="K65" i="17"/>
  <c r="Q65" i="17" s="1"/>
  <c r="L65" i="17"/>
  <c r="M65" i="17"/>
  <c r="O65" i="17" s="1"/>
  <c r="J66" i="17"/>
  <c r="P66" i="17" s="1"/>
  <c r="K66" i="17"/>
  <c r="Q66" i="17" s="1"/>
  <c r="L66" i="17"/>
  <c r="M66" i="17"/>
  <c r="O66" i="17" s="1"/>
  <c r="J67" i="17"/>
  <c r="P67" i="17" s="1"/>
  <c r="K67" i="17"/>
  <c r="Q67" i="17" s="1"/>
  <c r="L67" i="17"/>
  <c r="M67" i="17"/>
  <c r="O67" i="17" s="1"/>
  <c r="J68" i="17"/>
  <c r="P68" i="17" s="1"/>
  <c r="K68" i="17"/>
  <c r="Q68" i="17" s="1"/>
  <c r="L68" i="17"/>
  <c r="M68" i="17"/>
  <c r="O68" i="17" s="1"/>
  <c r="J69" i="17"/>
  <c r="P69" i="17" s="1"/>
  <c r="K69" i="17"/>
  <c r="Q69" i="17" s="1"/>
  <c r="L69" i="17"/>
  <c r="M69" i="17"/>
  <c r="O69" i="17" s="1"/>
  <c r="J70" i="17"/>
  <c r="P70" i="17" s="1"/>
  <c r="K70" i="17"/>
  <c r="Q70" i="17" s="1"/>
  <c r="L70" i="17"/>
  <c r="M70" i="17"/>
  <c r="O70" i="17" s="1"/>
  <c r="J71" i="17"/>
  <c r="P71" i="17" s="1"/>
  <c r="K71" i="17"/>
  <c r="Q71" i="17" s="1"/>
  <c r="L71" i="17"/>
  <c r="M71" i="17"/>
  <c r="O71" i="17" s="1"/>
  <c r="J72" i="17"/>
  <c r="P72" i="17" s="1"/>
  <c r="K72" i="17"/>
  <c r="Q72" i="17" s="1"/>
  <c r="L72" i="17"/>
  <c r="M72" i="17"/>
  <c r="O72" i="17" s="1"/>
  <c r="J73" i="17"/>
  <c r="P73" i="17" s="1"/>
  <c r="K73" i="17"/>
  <c r="Q73" i="17" s="1"/>
  <c r="L73" i="17"/>
  <c r="M73" i="17"/>
  <c r="O73" i="17" s="1"/>
  <c r="J74" i="17"/>
  <c r="P74" i="17" s="1"/>
  <c r="K74" i="17"/>
  <c r="Q74" i="17" s="1"/>
  <c r="L74" i="17"/>
  <c r="M74" i="17"/>
  <c r="O74" i="17" s="1"/>
  <c r="J75" i="17"/>
  <c r="P75" i="17" s="1"/>
  <c r="K75" i="17"/>
  <c r="Q75" i="17" s="1"/>
  <c r="L75" i="17"/>
  <c r="M75" i="17"/>
  <c r="O75" i="17" s="1"/>
  <c r="J76" i="17"/>
  <c r="P76" i="17" s="1"/>
  <c r="K76" i="17"/>
  <c r="Q76" i="17" s="1"/>
  <c r="L76" i="17"/>
  <c r="M76" i="17"/>
  <c r="O76" i="17" s="1"/>
  <c r="J77" i="17"/>
  <c r="P77" i="17" s="1"/>
  <c r="K77" i="17"/>
  <c r="Q77" i="17" s="1"/>
  <c r="L77" i="17"/>
  <c r="M77" i="17"/>
  <c r="O77" i="17" s="1"/>
  <c r="J78" i="17"/>
  <c r="P78" i="17" s="1"/>
  <c r="K78" i="17"/>
  <c r="Q78" i="17" s="1"/>
  <c r="L78" i="17"/>
  <c r="M78" i="17"/>
  <c r="O78" i="17" s="1"/>
  <c r="J79" i="17"/>
  <c r="P79" i="17" s="1"/>
  <c r="K79" i="17"/>
  <c r="Q79" i="17" s="1"/>
  <c r="L79" i="17"/>
  <c r="M79" i="17"/>
  <c r="O79" i="17" s="1"/>
  <c r="J80" i="17"/>
  <c r="P80" i="17" s="1"/>
  <c r="K80" i="17"/>
  <c r="Q80" i="17" s="1"/>
  <c r="L80" i="17"/>
  <c r="M80" i="17"/>
  <c r="O80" i="17" s="1"/>
  <c r="J81" i="17"/>
  <c r="P81" i="17" s="1"/>
  <c r="K81" i="17"/>
  <c r="Q81" i="17" s="1"/>
  <c r="L81" i="17"/>
  <c r="M81" i="17"/>
  <c r="O81" i="17" s="1"/>
  <c r="J82" i="17"/>
  <c r="P82" i="17" s="1"/>
  <c r="K82" i="17"/>
  <c r="Q82" i="17" s="1"/>
  <c r="L82" i="17"/>
  <c r="M82" i="17"/>
  <c r="O82" i="17" s="1"/>
  <c r="J83" i="17"/>
  <c r="P83" i="17" s="1"/>
  <c r="K83" i="17"/>
  <c r="Q83" i="17" s="1"/>
  <c r="L83" i="17"/>
  <c r="M83" i="17"/>
  <c r="O83" i="17" s="1"/>
  <c r="J84" i="17"/>
  <c r="P84" i="17" s="1"/>
  <c r="K84" i="17"/>
  <c r="Q84" i="17" s="1"/>
  <c r="L84" i="17"/>
  <c r="M84" i="17"/>
  <c r="O84" i="17" s="1"/>
  <c r="J85" i="17"/>
  <c r="P85" i="17" s="1"/>
  <c r="K85" i="17"/>
  <c r="Q85" i="17" s="1"/>
  <c r="L85" i="17"/>
  <c r="M85" i="17"/>
  <c r="O85" i="17" s="1"/>
  <c r="J86" i="17"/>
  <c r="P86" i="17" s="1"/>
  <c r="K86" i="17"/>
  <c r="Q86" i="17" s="1"/>
  <c r="L86" i="17"/>
  <c r="M86" i="17"/>
  <c r="O86" i="17" s="1"/>
  <c r="J87" i="17"/>
  <c r="P87" i="17" s="1"/>
  <c r="K87" i="17"/>
  <c r="Q87" i="17" s="1"/>
  <c r="L87" i="17"/>
  <c r="M87" i="17"/>
  <c r="O87" i="17" s="1"/>
  <c r="J88" i="17"/>
  <c r="P88" i="17" s="1"/>
  <c r="K88" i="17"/>
  <c r="Q88" i="17" s="1"/>
  <c r="L88" i="17"/>
  <c r="M88" i="17"/>
  <c r="O88" i="17" s="1"/>
  <c r="J89" i="17"/>
  <c r="P89" i="17" s="1"/>
  <c r="K89" i="17"/>
  <c r="Q89" i="17" s="1"/>
  <c r="L89" i="17"/>
  <c r="M89" i="17"/>
  <c r="O89" i="17" s="1"/>
  <c r="J90" i="17"/>
  <c r="P90" i="17" s="1"/>
  <c r="K90" i="17"/>
  <c r="Q90" i="17" s="1"/>
  <c r="L90" i="17"/>
  <c r="M90" i="17"/>
  <c r="O90" i="17" s="1"/>
  <c r="J91" i="17"/>
  <c r="P91" i="17" s="1"/>
  <c r="K91" i="17"/>
  <c r="Q91" i="17" s="1"/>
  <c r="L91" i="17"/>
  <c r="M91" i="17"/>
  <c r="O91" i="17" s="1"/>
  <c r="J92" i="17"/>
  <c r="P92" i="17" s="1"/>
  <c r="K92" i="17"/>
  <c r="Q92" i="17" s="1"/>
  <c r="L92" i="17"/>
  <c r="M92" i="17"/>
  <c r="O92" i="17" s="1"/>
  <c r="J93" i="17"/>
  <c r="P93" i="17" s="1"/>
  <c r="K93" i="17"/>
  <c r="Q93" i="17" s="1"/>
  <c r="L93" i="17"/>
  <c r="M93" i="17"/>
  <c r="O93" i="17" s="1"/>
  <c r="J94" i="17"/>
  <c r="P94" i="17" s="1"/>
  <c r="K94" i="17"/>
  <c r="Q94" i="17" s="1"/>
  <c r="L94" i="17"/>
  <c r="M94" i="17"/>
  <c r="O94" i="17" s="1"/>
  <c r="J95" i="17"/>
  <c r="P95" i="17" s="1"/>
  <c r="K95" i="17"/>
  <c r="Q95" i="17" s="1"/>
  <c r="L95" i="17"/>
  <c r="M95" i="17"/>
  <c r="O95" i="17" s="1"/>
  <c r="J96" i="17"/>
  <c r="P96" i="17" s="1"/>
  <c r="K96" i="17"/>
  <c r="Q96" i="17" s="1"/>
  <c r="L96" i="17"/>
  <c r="M96" i="17"/>
  <c r="O96" i="17" s="1"/>
  <c r="J97" i="17"/>
  <c r="P97" i="17" s="1"/>
  <c r="K97" i="17"/>
  <c r="Q97" i="17" s="1"/>
  <c r="L97" i="17"/>
  <c r="M97" i="17"/>
  <c r="O97" i="17" s="1"/>
  <c r="J98" i="17"/>
  <c r="P98" i="17" s="1"/>
  <c r="K98" i="17"/>
  <c r="Q98" i="17" s="1"/>
  <c r="L98" i="17"/>
  <c r="M98" i="17"/>
  <c r="O98" i="17" s="1"/>
  <c r="J99" i="17"/>
  <c r="P99" i="17" s="1"/>
  <c r="K99" i="17"/>
  <c r="Q99" i="17" s="1"/>
  <c r="L99" i="17"/>
  <c r="M99" i="17"/>
  <c r="O99" i="17" s="1"/>
  <c r="J100" i="17"/>
  <c r="P100" i="17" s="1"/>
  <c r="K100" i="17"/>
  <c r="Q100" i="17" s="1"/>
  <c r="L100" i="17"/>
  <c r="M100" i="17"/>
  <c r="O100" i="17" s="1"/>
  <c r="J101" i="17"/>
  <c r="P101" i="17" s="1"/>
  <c r="K101" i="17"/>
  <c r="Q101" i="17" s="1"/>
  <c r="L101" i="17"/>
  <c r="M101" i="17"/>
  <c r="O101" i="17" s="1"/>
  <c r="J102" i="17"/>
  <c r="P102" i="17" s="1"/>
  <c r="K102" i="17"/>
  <c r="Q102" i="17" s="1"/>
  <c r="L102" i="17"/>
  <c r="M102" i="17"/>
  <c r="O102" i="17" s="1"/>
  <c r="J103" i="17"/>
  <c r="P103" i="17" s="1"/>
  <c r="K103" i="17"/>
  <c r="Q103" i="17" s="1"/>
  <c r="L103" i="17"/>
  <c r="M103" i="17"/>
  <c r="O103" i="17" s="1"/>
  <c r="J104" i="17"/>
  <c r="P104" i="17" s="1"/>
  <c r="K104" i="17"/>
  <c r="Q104" i="17" s="1"/>
  <c r="L104" i="17"/>
  <c r="M104" i="17"/>
  <c r="O104" i="17" s="1"/>
  <c r="J105" i="17"/>
  <c r="P105" i="17" s="1"/>
  <c r="K105" i="17"/>
  <c r="Q105" i="17" s="1"/>
  <c r="L105" i="17"/>
  <c r="M105" i="17"/>
  <c r="O105" i="17" s="1"/>
  <c r="J106" i="17"/>
  <c r="P106" i="17" s="1"/>
  <c r="K106" i="17"/>
  <c r="Q106" i="17" s="1"/>
  <c r="L106" i="17"/>
  <c r="M106" i="17"/>
  <c r="O106" i="17" s="1"/>
  <c r="J107" i="17"/>
  <c r="P107" i="17" s="1"/>
  <c r="K107" i="17"/>
  <c r="Q107" i="17" s="1"/>
  <c r="L107" i="17"/>
  <c r="M107" i="17"/>
  <c r="O107" i="17" s="1"/>
  <c r="J108" i="17"/>
  <c r="P108" i="17" s="1"/>
  <c r="K108" i="17"/>
  <c r="Q108" i="17" s="1"/>
  <c r="L108" i="17"/>
  <c r="M108" i="17"/>
  <c r="O108" i="17" s="1"/>
  <c r="J109" i="17"/>
  <c r="P109" i="17" s="1"/>
  <c r="K109" i="17"/>
  <c r="Q109" i="17" s="1"/>
  <c r="L109" i="17"/>
  <c r="M109" i="17"/>
  <c r="O109" i="17" s="1"/>
  <c r="J110" i="17"/>
  <c r="P110" i="17" s="1"/>
  <c r="K110" i="17"/>
  <c r="Q110" i="17" s="1"/>
  <c r="L110" i="17"/>
  <c r="M110" i="17"/>
  <c r="O110" i="17" s="1"/>
  <c r="J111" i="17"/>
  <c r="P111" i="17" s="1"/>
  <c r="K111" i="17"/>
  <c r="Q111" i="17" s="1"/>
  <c r="L111" i="17"/>
  <c r="M111" i="17"/>
  <c r="O111" i="17" s="1"/>
  <c r="J112" i="17"/>
  <c r="P112" i="17" s="1"/>
  <c r="K112" i="17"/>
  <c r="Q112" i="17" s="1"/>
  <c r="L112" i="17"/>
  <c r="M112" i="17"/>
  <c r="O112" i="17" s="1"/>
  <c r="J113" i="17"/>
  <c r="P113" i="17" s="1"/>
  <c r="K113" i="17"/>
  <c r="Q113" i="17" s="1"/>
  <c r="L113" i="17"/>
  <c r="M113" i="17"/>
  <c r="O113" i="17" s="1"/>
  <c r="J114" i="17"/>
  <c r="P114" i="17" s="1"/>
  <c r="K114" i="17"/>
  <c r="Q114" i="17" s="1"/>
  <c r="L114" i="17"/>
  <c r="M114" i="17"/>
  <c r="O114" i="17" s="1"/>
  <c r="J115" i="17"/>
  <c r="P115" i="17" s="1"/>
  <c r="K115" i="17"/>
  <c r="Q115" i="17" s="1"/>
  <c r="L115" i="17"/>
  <c r="M115" i="17"/>
  <c r="O115" i="17" s="1"/>
  <c r="J116" i="17"/>
  <c r="P116" i="17" s="1"/>
  <c r="K116" i="17"/>
  <c r="Q116" i="17" s="1"/>
  <c r="L116" i="17"/>
  <c r="M116" i="17"/>
  <c r="O116" i="17" s="1"/>
  <c r="J117" i="17"/>
  <c r="P117" i="17" s="1"/>
  <c r="K117" i="17"/>
  <c r="Q117" i="17" s="1"/>
  <c r="L117" i="17"/>
  <c r="M117" i="17"/>
  <c r="O117" i="17" s="1"/>
  <c r="J118" i="17"/>
  <c r="P118" i="17" s="1"/>
  <c r="K118" i="17"/>
  <c r="Q118" i="17" s="1"/>
  <c r="L118" i="17"/>
  <c r="M118" i="17"/>
  <c r="O118" i="17" s="1"/>
  <c r="J119" i="17"/>
  <c r="P119" i="17" s="1"/>
  <c r="K119" i="17"/>
  <c r="Q119" i="17" s="1"/>
  <c r="L119" i="17"/>
  <c r="M119" i="17"/>
  <c r="O119" i="17" s="1"/>
  <c r="J120" i="17"/>
  <c r="P120" i="17" s="1"/>
  <c r="K120" i="17"/>
  <c r="Q120" i="17" s="1"/>
  <c r="L120" i="17"/>
  <c r="M120" i="17"/>
  <c r="O120" i="17" s="1"/>
  <c r="J121" i="17"/>
  <c r="P121" i="17" s="1"/>
  <c r="K121" i="17"/>
  <c r="Q121" i="17" s="1"/>
  <c r="L121" i="17"/>
  <c r="M121" i="17"/>
  <c r="O121" i="17" s="1"/>
  <c r="J122" i="17"/>
  <c r="P122" i="17" s="1"/>
  <c r="K122" i="17"/>
  <c r="Q122" i="17" s="1"/>
  <c r="L122" i="17"/>
  <c r="M122" i="17"/>
  <c r="O122" i="17" s="1"/>
  <c r="J123" i="17"/>
  <c r="P123" i="17" s="1"/>
  <c r="K123" i="17"/>
  <c r="Q123" i="17" s="1"/>
  <c r="L123" i="17"/>
  <c r="M123" i="17"/>
  <c r="O123" i="17" s="1"/>
  <c r="J124" i="17"/>
  <c r="P124" i="17" s="1"/>
  <c r="K124" i="17"/>
  <c r="Q124" i="17" s="1"/>
  <c r="L124" i="17"/>
  <c r="M124" i="17"/>
  <c r="O124" i="17" s="1"/>
  <c r="J125" i="17"/>
  <c r="P125" i="17" s="1"/>
  <c r="K125" i="17"/>
  <c r="Q125" i="17" s="1"/>
  <c r="L125" i="17"/>
  <c r="M125" i="17"/>
  <c r="O125" i="17" s="1"/>
  <c r="J126" i="17"/>
  <c r="P126" i="17" s="1"/>
  <c r="K126" i="17"/>
  <c r="Q126" i="17" s="1"/>
  <c r="L126" i="17"/>
  <c r="M126" i="17"/>
  <c r="O126" i="17" s="1"/>
  <c r="J127" i="17"/>
  <c r="P127" i="17" s="1"/>
  <c r="K127" i="17"/>
  <c r="Q127" i="17" s="1"/>
  <c r="L127" i="17"/>
  <c r="M127" i="17"/>
  <c r="O127" i="17" s="1"/>
  <c r="J128" i="17"/>
  <c r="P128" i="17" s="1"/>
  <c r="K128" i="17"/>
  <c r="Q128" i="17" s="1"/>
  <c r="L128" i="17"/>
  <c r="M128" i="17"/>
  <c r="O128" i="17" s="1"/>
  <c r="J129" i="17"/>
  <c r="P129" i="17" s="1"/>
  <c r="K129" i="17"/>
  <c r="Q129" i="17" s="1"/>
  <c r="L129" i="17"/>
  <c r="M129" i="17"/>
  <c r="O129" i="17" s="1"/>
  <c r="J130" i="17"/>
  <c r="P130" i="17" s="1"/>
  <c r="K130" i="17"/>
  <c r="Q130" i="17" s="1"/>
  <c r="L130" i="17"/>
  <c r="M130" i="17"/>
  <c r="O130" i="17" s="1"/>
  <c r="J131" i="17"/>
  <c r="P131" i="17" s="1"/>
  <c r="K131" i="17"/>
  <c r="Q131" i="17" s="1"/>
  <c r="L131" i="17"/>
  <c r="M131" i="17"/>
  <c r="O131" i="17" s="1"/>
  <c r="J132" i="17"/>
  <c r="P132" i="17" s="1"/>
  <c r="K132" i="17"/>
  <c r="Q132" i="17" s="1"/>
  <c r="L132" i="17"/>
  <c r="M132" i="17"/>
  <c r="O132" i="17" s="1"/>
  <c r="J133" i="17"/>
  <c r="P133" i="17" s="1"/>
  <c r="K133" i="17"/>
  <c r="Q133" i="17" s="1"/>
  <c r="L133" i="17"/>
  <c r="M133" i="17"/>
  <c r="O133" i="17" s="1"/>
  <c r="J134" i="17"/>
  <c r="P134" i="17" s="1"/>
  <c r="K134" i="17"/>
  <c r="Q134" i="17" s="1"/>
  <c r="L134" i="17"/>
  <c r="M134" i="17"/>
  <c r="O134" i="17" s="1"/>
  <c r="J135" i="17"/>
  <c r="P135" i="17" s="1"/>
  <c r="K135" i="17"/>
  <c r="Q135" i="17" s="1"/>
  <c r="L135" i="17"/>
  <c r="M135" i="17"/>
  <c r="O135" i="17" s="1"/>
  <c r="J136" i="17"/>
  <c r="P136" i="17" s="1"/>
  <c r="K136" i="17"/>
  <c r="Q136" i="17" s="1"/>
  <c r="L136" i="17"/>
  <c r="M136" i="17"/>
  <c r="O136" i="17" s="1"/>
  <c r="J137" i="17"/>
  <c r="P137" i="17" s="1"/>
  <c r="K137" i="17"/>
  <c r="Q137" i="17" s="1"/>
  <c r="L137" i="17"/>
  <c r="M137" i="17"/>
  <c r="O137" i="17" s="1"/>
  <c r="J138" i="17"/>
  <c r="P138" i="17" s="1"/>
  <c r="K138" i="17"/>
  <c r="Q138" i="17" s="1"/>
  <c r="L138" i="17"/>
  <c r="M138" i="17"/>
  <c r="O138" i="17" s="1"/>
  <c r="J139" i="17"/>
  <c r="P139" i="17" s="1"/>
  <c r="K139" i="17"/>
  <c r="Q139" i="17" s="1"/>
  <c r="L139" i="17"/>
  <c r="M139" i="17"/>
  <c r="O139" i="17" s="1"/>
  <c r="J140" i="17"/>
  <c r="P140" i="17" s="1"/>
  <c r="K140" i="17"/>
  <c r="Q140" i="17" s="1"/>
  <c r="L140" i="17"/>
  <c r="M140" i="17"/>
  <c r="O140" i="17" s="1"/>
  <c r="J141" i="17"/>
  <c r="P141" i="17" s="1"/>
  <c r="K141" i="17"/>
  <c r="Q141" i="17" s="1"/>
  <c r="L141" i="17"/>
  <c r="M141" i="17"/>
  <c r="O141" i="17" s="1"/>
  <c r="J142" i="17"/>
  <c r="P142" i="17" s="1"/>
  <c r="K142" i="17"/>
  <c r="Q142" i="17" s="1"/>
  <c r="L142" i="17"/>
  <c r="M142" i="17"/>
  <c r="O142" i="17" s="1"/>
  <c r="J143" i="17"/>
  <c r="P143" i="17" s="1"/>
  <c r="K143" i="17"/>
  <c r="Q143" i="17" s="1"/>
  <c r="L143" i="17"/>
  <c r="M143" i="17"/>
  <c r="O143" i="17" s="1"/>
  <c r="J144" i="17"/>
  <c r="P144" i="17" s="1"/>
  <c r="K144" i="17"/>
  <c r="Q144" i="17" s="1"/>
  <c r="L144" i="17"/>
  <c r="M144" i="17"/>
  <c r="O144" i="17" s="1"/>
  <c r="J145" i="17"/>
  <c r="P145" i="17" s="1"/>
  <c r="K145" i="17"/>
  <c r="Q145" i="17" s="1"/>
  <c r="L145" i="17"/>
  <c r="M145" i="17"/>
  <c r="O145" i="17" s="1"/>
  <c r="J146" i="17"/>
  <c r="P146" i="17" s="1"/>
  <c r="K146" i="17"/>
  <c r="Q146" i="17" s="1"/>
  <c r="L146" i="17"/>
  <c r="M146" i="17"/>
  <c r="O146" i="17" s="1"/>
  <c r="J147" i="17"/>
  <c r="P147" i="17" s="1"/>
  <c r="K147" i="17"/>
  <c r="Q147" i="17" s="1"/>
  <c r="L147" i="17"/>
  <c r="M147" i="17"/>
  <c r="O147" i="17" s="1"/>
  <c r="J148" i="17"/>
  <c r="P148" i="17" s="1"/>
  <c r="K148" i="17"/>
  <c r="Q148" i="17" s="1"/>
  <c r="L148" i="17"/>
  <c r="M148" i="17"/>
  <c r="O148" i="17" s="1"/>
  <c r="J149" i="17"/>
  <c r="P149" i="17" s="1"/>
  <c r="K149" i="17"/>
  <c r="Q149" i="17" s="1"/>
  <c r="L149" i="17"/>
  <c r="M149" i="17"/>
  <c r="O149" i="17" s="1"/>
  <c r="J150" i="17"/>
  <c r="P150" i="17" s="1"/>
  <c r="K150" i="17"/>
  <c r="Q150" i="17" s="1"/>
  <c r="L150" i="17"/>
  <c r="M150" i="17"/>
  <c r="O150" i="17" s="1"/>
  <c r="J151" i="17"/>
  <c r="P151" i="17" s="1"/>
  <c r="K151" i="17"/>
  <c r="Q151" i="17" s="1"/>
  <c r="L151" i="17"/>
  <c r="M151" i="17"/>
  <c r="O151" i="17" s="1"/>
  <c r="J152" i="17"/>
  <c r="P152" i="17" s="1"/>
  <c r="K152" i="17"/>
  <c r="Q152" i="17" s="1"/>
  <c r="L152" i="17"/>
  <c r="M152" i="17"/>
  <c r="O152" i="17" s="1"/>
  <c r="J153" i="17"/>
  <c r="P153" i="17" s="1"/>
  <c r="K153" i="17"/>
  <c r="Q153" i="17" s="1"/>
  <c r="L153" i="17"/>
  <c r="M153" i="17"/>
  <c r="O153" i="17" s="1"/>
  <c r="J154" i="17"/>
  <c r="P154" i="17" s="1"/>
  <c r="K154" i="17"/>
  <c r="Q154" i="17" s="1"/>
  <c r="L154" i="17"/>
  <c r="M154" i="17"/>
  <c r="O154" i="17" s="1"/>
  <c r="J155" i="17"/>
  <c r="P155" i="17" s="1"/>
  <c r="K155" i="17"/>
  <c r="Q155" i="17" s="1"/>
  <c r="L155" i="17"/>
  <c r="M155" i="17"/>
  <c r="O155" i="17" s="1"/>
  <c r="J156" i="17"/>
  <c r="P156" i="17" s="1"/>
  <c r="K156" i="17"/>
  <c r="Q156" i="17" s="1"/>
  <c r="L156" i="17"/>
  <c r="M156" i="17"/>
  <c r="O156" i="17" s="1"/>
  <c r="J157" i="17"/>
  <c r="P157" i="17" s="1"/>
  <c r="K157" i="17"/>
  <c r="Q157" i="17" s="1"/>
  <c r="L157" i="17"/>
  <c r="M157" i="17"/>
  <c r="O157" i="17" s="1"/>
  <c r="J158" i="17"/>
  <c r="P158" i="17" s="1"/>
  <c r="K158" i="17"/>
  <c r="Q158" i="17" s="1"/>
  <c r="L158" i="17"/>
  <c r="M158" i="17"/>
  <c r="O158" i="17" s="1"/>
  <c r="J159" i="17"/>
  <c r="P159" i="17" s="1"/>
  <c r="K159" i="17"/>
  <c r="Q159" i="17" s="1"/>
  <c r="L159" i="17"/>
  <c r="M159" i="17"/>
  <c r="O159" i="17" s="1"/>
  <c r="J160" i="17"/>
  <c r="P160" i="17" s="1"/>
  <c r="K160" i="17"/>
  <c r="Q160" i="17" s="1"/>
  <c r="L160" i="17"/>
  <c r="M160" i="17"/>
  <c r="O160" i="17" s="1"/>
  <c r="J161" i="17"/>
  <c r="P161" i="17" s="1"/>
  <c r="K161" i="17"/>
  <c r="Q161" i="17" s="1"/>
  <c r="L161" i="17"/>
  <c r="M161" i="17"/>
  <c r="O161" i="17" s="1"/>
  <c r="J162" i="17"/>
  <c r="P162" i="17" s="1"/>
  <c r="K162" i="17"/>
  <c r="Q162" i="17" s="1"/>
  <c r="L162" i="17"/>
  <c r="M162" i="17"/>
  <c r="O162" i="17" s="1"/>
  <c r="J163" i="17"/>
  <c r="P163" i="17" s="1"/>
  <c r="K163" i="17"/>
  <c r="Q163" i="17" s="1"/>
  <c r="L163" i="17"/>
  <c r="M163" i="17"/>
  <c r="O163" i="17" s="1"/>
  <c r="J164" i="17"/>
  <c r="P164" i="17" s="1"/>
  <c r="K164" i="17"/>
  <c r="Q164" i="17" s="1"/>
  <c r="L164" i="17"/>
  <c r="M164" i="17"/>
  <c r="O164" i="17" s="1"/>
  <c r="J165" i="17"/>
  <c r="P165" i="17" s="1"/>
  <c r="K165" i="17"/>
  <c r="Q165" i="17" s="1"/>
  <c r="L165" i="17"/>
  <c r="M165" i="17"/>
  <c r="O165" i="17" s="1"/>
  <c r="J166" i="17"/>
  <c r="P166" i="17" s="1"/>
  <c r="K166" i="17"/>
  <c r="Q166" i="17" s="1"/>
  <c r="L166" i="17"/>
  <c r="M166" i="17"/>
  <c r="O166" i="17" s="1"/>
  <c r="J167" i="17"/>
  <c r="P167" i="17" s="1"/>
  <c r="K167" i="17"/>
  <c r="Q167" i="17" s="1"/>
  <c r="L167" i="17"/>
  <c r="M167" i="17"/>
  <c r="O167" i="17" s="1"/>
  <c r="J168" i="17"/>
  <c r="P168" i="17" s="1"/>
  <c r="K168" i="17"/>
  <c r="Q168" i="17" s="1"/>
  <c r="L168" i="17"/>
  <c r="M168" i="17"/>
  <c r="O168" i="17" s="1"/>
  <c r="J169" i="17"/>
  <c r="P169" i="17" s="1"/>
  <c r="K169" i="17"/>
  <c r="Q169" i="17" s="1"/>
  <c r="L169" i="17"/>
  <c r="M169" i="17"/>
  <c r="O169" i="17" s="1"/>
  <c r="J170" i="17"/>
  <c r="P170" i="17" s="1"/>
  <c r="K170" i="17"/>
  <c r="Q170" i="17" s="1"/>
  <c r="L170" i="17"/>
  <c r="M170" i="17"/>
  <c r="O170" i="17" s="1"/>
  <c r="J171" i="17"/>
  <c r="P171" i="17" s="1"/>
  <c r="K171" i="17"/>
  <c r="Q171" i="17" s="1"/>
  <c r="L171" i="17"/>
  <c r="M171" i="17"/>
  <c r="O171" i="17" s="1"/>
  <c r="J172" i="17"/>
  <c r="P172" i="17" s="1"/>
  <c r="K172" i="17"/>
  <c r="Q172" i="17" s="1"/>
  <c r="L172" i="17"/>
  <c r="M172" i="17"/>
  <c r="O172" i="17" s="1"/>
  <c r="J173" i="17"/>
  <c r="P173" i="17" s="1"/>
  <c r="K173" i="17"/>
  <c r="Q173" i="17" s="1"/>
  <c r="L173" i="17"/>
  <c r="M173" i="17"/>
  <c r="O173" i="17" s="1"/>
  <c r="J174" i="17"/>
  <c r="P174" i="17" s="1"/>
  <c r="K174" i="17"/>
  <c r="Q174" i="17" s="1"/>
  <c r="L174" i="17"/>
  <c r="M174" i="17"/>
  <c r="O174" i="17" s="1"/>
  <c r="J175" i="17"/>
  <c r="P175" i="17" s="1"/>
  <c r="K175" i="17"/>
  <c r="Q175" i="17" s="1"/>
  <c r="L175" i="17"/>
  <c r="M175" i="17"/>
  <c r="O175" i="17" s="1"/>
  <c r="J176" i="17"/>
  <c r="P176" i="17" s="1"/>
  <c r="K176" i="17"/>
  <c r="Q176" i="17" s="1"/>
  <c r="L176" i="17"/>
  <c r="M176" i="17"/>
  <c r="O176" i="17" s="1"/>
  <c r="J177" i="17"/>
  <c r="P177" i="17" s="1"/>
  <c r="K177" i="17"/>
  <c r="Q177" i="17" s="1"/>
  <c r="L177" i="17"/>
  <c r="M177" i="17"/>
  <c r="O177" i="17" s="1"/>
  <c r="J178" i="17"/>
  <c r="P178" i="17" s="1"/>
  <c r="K178" i="17"/>
  <c r="Q178" i="17" s="1"/>
  <c r="L178" i="17"/>
  <c r="M178" i="17"/>
  <c r="O178" i="17" s="1"/>
  <c r="J179" i="17"/>
  <c r="P179" i="17" s="1"/>
  <c r="K179" i="17"/>
  <c r="Q179" i="17" s="1"/>
  <c r="L179" i="17"/>
  <c r="M179" i="17"/>
  <c r="O179" i="17" s="1"/>
  <c r="J180" i="17"/>
  <c r="P180" i="17" s="1"/>
  <c r="K180" i="17"/>
  <c r="Q180" i="17" s="1"/>
  <c r="L180" i="17"/>
  <c r="M180" i="17"/>
  <c r="O180" i="17" s="1"/>
  <c r="J181" i="17"/>
  <c r="P181" i="17" s="1"/>
  <c r="K181" i="17"/>
  <c r="Q181" i="17" s="1"/>
  <c r="L181" i="17"/>
  <c r="M181" i="17"/>
  <c r="O181" i="17" s="1"/>
  <c r="J182" i="17"/>
  <c r="P182" i="17" s="1"/>
  <c r="K182" i="17"/>
  <c r="Q182" i="17" s="1"/>
  <c r="L182" i="17"/>
  <c r="M182" i="17"/>
  <c r="O182" i="17" s="1"/>
  <c r="J183" i="17"/>
  <c r="P183" i="17" s="1"/>
  <c r="K183" i="17"/>
  <c r="Q183" i="17" s="1"/>
  <c r="L183" i="17"/>
  <c r="M183" i="17"/>
  <c r="O183" i="17" s="1"/>
  <c r="J184" i="17"/>
  <c r="P184" i="17" s="1"/>
  <c r="K184" i="17"/>
  <c r="Q184" i="17" s="1"/>
  <c r="L184" i="17"/>
  <c r="M184" i="17"/>
  <c r="O184" i="17" s="1"/>
  <c r="J185" i="17"/>
  <c r="P185" i="17" s="1"/>
  <c r="K185" i="17"/>
  <c r="Q185" i="17" s="1"/>
  <c r="L185" i="17"/>
  <c r="M185" i="17"/>
  <c r="O185" i="17" s="1"/>
  <c r="J186" i="17"/>
  <c r="P186" i="17" s="1"/>
  <c r="K186" i="17"/>
  <c r="Q186" i="17" s="1"/>
  <c r="L186" i="17"/>
  <c r="M186" i="17"/>
  <c r="O186" i="17" s="1"/>
  <c r="J187" i="17"/>
  <c r="P187" i="17" s="1"/>
  <c r="K187" i="17"/>
  <c r="Q187" i="17" s="1"/>
  <c r="L187" i="17"/>
  <c r="M187" i="17"/>
  <c r="O187" i="17" s="1"/>
  <c r="J188" i="17"/>
  <c r="P188" i="17" s="1"/>
  <c r="K188" i="17"/>
  <c r="Q188" i="17" s="1"/>
  <c r="L188" i="17"/>
  <c r="M188" i="17"/>
  <c r="O188" i="17" s="1"/>
  <c r="J189" i="17"/>
  <c r="P189" i="17" s="1"/>
  <c r="K189" i="17"/>
  <c r="Q189" i="17" s="1"/>
  <c r="L189" i="17"/>
  <c r="M189" i="17"/>
  <c r="O189" i="17" s="1"/>
  <c r="J190" i="17"/>
  <c r="P190" i="17" s="1"/>
  <c r="K190" i="17"/>
  <c r="Q190" i="17" s="1"/>
  <c r="L190" i="17"/>
  <c r="M190" i="17"/>
  <c r="O190" i="17" s="1"/>
  <c r="J191" i="17"/>
  <c r="P191" i="17" s="1"/>
  <c r="K191" i="17"/>
  <c r="Q191" i="17" s="1"/>
  <c r="L191" i="17"/>
  <c r="M191" i="17"/>
  <c r="O191" i="17" s="1"/>
  <c r="J192" i="17"/>
  <c r="P192" i="17" s="1"/>
  <c r="K192" i="17"/>
  <c r="Q192" i="17" s="1"/>
  <c r="L192" i="17"/>
  <c r="M192" i="17"/>
  <c r="O192" i="17" s="1"/>
  <c r="J193" i="17"/>
  <c r="P193" i="17" s="1"/>
  <c r="K193" i="17"/>
  <c r="Q193" i="17" s="1"/>
  <c r="L193" i="17"/>
  <c r="M193" i="17"/>
  <c r="O193" i="17" s="1"/>
  <c r="J194" i="17"/>
  <c r="P194" i="17" s="1"/>
  <c r="K194" i="17"/>
  <c r="Q194" i="17" s="1"/>
  <c r="L194" i="17"/>
  <c r="M194" i="17"/>
  <c r="O194" i="17" s="1"/>
  <c r="J195" i="17"/>
  <c r="P195" i="17" s="1"/>
  <c r="K195" i="17"/>
  <c r="Q195" i="17" s="1"/>
  <c r="L195" i="17"/>
  <c r="M195" i="17"/>
  <c r="O195" i="17" s="1"/>
  <c r="J196" i="17"/>
  <c r="P196" i="17" s="1"/>
  <c r="K196" i="17"/>
  <c r="Q196" i="17" s="1"/>
  <c r="L196" i="17"/>
  <c r="M196" i="17"/>
  <c r="O196" i="17" s="1"/>
  <c r="J197" i="17"/>
  <c r="P197" i="17" s="1"/>
  <c r="K197" i="17"/>
  <c r="Q197" i="17" s="1"/>
  <c r="L197" i="17"/>
  <c r="M197" i="17"/>
  <c r="O197" i="17" s="1"/>
  <c r="J198" i="17"/>
  <c r="P198" i="17" s="1"/>
  <c r="K198" i="17"/>
  <c r="Q198" i="17" s="1"/>
  <c r="L198" i="17"/>
  <c r="M198" i="17"/>
  <c r="O198" i="17" s="1"/>
  <c r="J199" i="17"/>
  <c r="P199" i="17" s="1"/>
  <c r="K199" i="17"/>
  <c r="Q199" i="17" s="1"/>
  <c r="L199" i="17"/>
  <c r="M199" i="17"/>
  <c r="O199" i="17" s="1"/>
  <c r="J200" i="17"/>
  <c r="P200" i="17" s="1"/>
  <c r="K200" i="17"/>
  <c r="Q200" i="17" s="1"/>
  <c r="L200" i="17"/>
  <c r="M200" i="17"/>
  <c r="O200" i="17" s="1"/>
  <c r="J201" i="17"/>
  <c r="P201" i="17" s="1"/>
  <c r="K201" i="17"/>
  <c r="Q201" i="17" s="1"/>
  <c r="L201" i="17"/>
  <c r="M201" i="17"/>
  <c r="O201" i="17" s="1"/>
  <c r="J202" i="17"/>
  <c r="P202" i="17" s="1"/>
  <c r="K202" i="17"/>
  <c r="Q202" i="17" s="1"/>
  <c r="L202" i="17"/>
  <c r="M202" i="17"/>
  <c r="O202" i="17" s="1"/>
  <c r="J203" i="17"/>
  <c r="P203" i="17" s="1"/>
  <c r="K203" i="17"/>
  <c r="Q203" i="17" s="1"/>
  <c r="L203" i="17"/>
  <c r="M203" i="17"/>
  <c r="O203" i="17" s="1"/>
  <c r="J204" i="17"/>
  <c r="P204" i="17" s="1"/>
  <c r="K204" i="17"/>
  <c r="Q204" i="17" s="1"/>
  <c r="L204" i="17"/>
  <c r="M204" i="17"/>
  <c r="O204" i="17" s="1"/>
  <c r="J205" i="17"/>
  <c r="P205" i="17" s="1"/>
  <c r="K205" i="17"/>
  <c r="Q205" i="17" s="1"/>
  <c r="L205" i="17"/>
  <c r="M205" i="17"/>
  <c r="O205" i="17" s="1"/>
  <c r="J206" i="17"/>
  <c r="P206" i="17" s="1"/>
  <c r="K206" i="17"/>
  <c r="Q206" i="17" s="1"/>
  <c r="L206" i="17"/>
  <c r="M206" i="17"/>
  <c r="O206" i="17" s="1"/>
  <c r="J207" i="17"/>
  <c r="P207" i="17" s="1"/>
  <c r="K207" i="17"/>
  <c r="Q207" i="17" s="1"/>
  <c r="L207" i="17"/>
  <c r="M207" i="17"/>
  <c r="O207" i="17" s="1"/>
  <c r="J208" i="17"/>
  <c r="P208" i="17" s="1"/>
  <c r="K208" i="17"/>
  <c r="Q208" i="17" s="1"/>
  <c r="L208" i="17"/>
  <c r="M208" i="17"/>
  <c r="O208" i="17" s="1"/>
  <c r="J209" i="17"/>
  <c r="P209" i="17" s="1"/>
  <c r="K209" i="17"/>
  <c r="Q209" i="17" s="1"/>
  <c r="L209" i="17"/>
  <c r="M209" i="17"/>
  <c r="O209" i="17" s="1"/>
  <c r="J210" i="17"/>
  <c r="P210" i="17" s="1"/>
  <c r="K210" i="17"/>
  <c r="Q210" i="17" s="1"/>
  <c r="L210" i="17"/>
  <c r="M210" i="17"/>
  <c r="O210" i="17" s="1"/>
  <c r="J211" i="17"/>
  <c r="P211" i="17" s="1"/>
  <c r="K211" i="17"/>
  <c r="Q211" i="17" s="1"/>
  <c r="L211" i="17"/>
  <c r="M211" i="17"/>
  <c r="O211" i="17" s="1"/>
  <c r="J212" i="17"/>
  <c r="P212" i="17" s="1"/>
  <c r="K212" i="17"/>
  <c r="Q212" i="17" s="1"/>
  <c r="L212" i="17"/>
  <c r="M212" i="17"/>
  <c r="O212" i="17" s="1"/>
  <c r="J213" i="17"/>
  <c r="P213" i="17" s="1"/>
  <c r="K213" i="17"/>
  <c r="Q213" i="17" s="1"/>
  <c r="L213" i="17"/>
  <c r="M213" i="17"/>
  <c r="O213" i="17" s="1"/>
  <c r="J214" i="17"/>
  <c r="P214" i="17" s="1"/>
  <c r="K214" i="17"/>
  <c r="Q214" i="17" s="1"/>
  <c r="L214" i="17"/>
  <c r="M214" i="17"/>
  <c r="O214" i="17" s="1"/>
  <c r="J215" i="17"/>
  <c r="P215" i="17" s="1"/>
  <c r="K215" i="17"/>
  <c r="Q215" i="17" s="1"/>
  <c r="L215" i="17"/>
  <c r="M215" i="17"/>
  <c r="O215" i="17" s="1"/>
  <c r="J216" i="17"/>
  <c r="P216" i="17" s="1"/>
  <c r="K216" i="17"/>
  <c r="Q216" i="17" s="1"/>
  <c r="L216" i="17"/>
  <c r="M216" i="17"/>
  <c r="O216" i="17" s="1"/>
  <c r="J217" i="17"/>
  <c r="P217" i="17" s="1"/>
  <c r="K217" i="17"/>
  <c r="Q217" i="17" s="1"/>
  <c r="L217" i="17"/>
  <c r="M217" i="17"/>
  <c r="O217" i="17" s="1"/>
  <c r="J218" i="17"/>
  <c r="P218" i="17" s="1"/>
  <c r="K218" i="17"/>
  <c r="Q218" i="17" s="1"/>
  <c r="L218" i="17"/>
  <c r="M218" i="17"/>
  <c r="O218" i="17" s="1"/>
  <c r="J219" i="17"/>
  <c r="P219" i="17" s="1"/>
  <c r="K219" i="17"/>
  <c r="Q219" i="17" s="1"/>
  <c r="L219" i="17"/>
  <c r="M219" i="17"/>
  <c r="O219" i="17" s="1"/>
  <c r="J220" i="17"/>
  <c r="P220" i="17" s="1"/>
  <c r="K220" i="17"/>
  <c r="Q220" i="17" s="1"/>
  <c r="L220" i="17"/>
  <c r="M220" i="17"/>
  <c r="O220" i="17" s="1"/>
  <c r="J221" i="17"/>
  <c r="P221" i="17" s="1"/>
  <c r="K221" i="17"/>
  <c r="Q221" i="17" s="1"/>
  <c r="L221" i="17"/>
  <c r="M221" i="17"/>
  <c r="O221" i="17" s="1"/>
  <c r="J222" i="17"/>
  <c r="P222" i="17" s="1"/>
  <c r="K222" i="17"/>
  <c r="Q222" i="17" s="1"/>
  <c r="L222" i="17"/>
  <c r="M222" i="17"/>
  <c r="O222" i="17" s="1"/>
  <c r="J223" i="17"/>
  <c r="P223" i="17" s="1"/>
  <c r="K223" i="17"/>
  <c r="Q223" i="17" s="1"/>
  <c r="L223" i="17"/>
  <c r="M223" i="17"/>
  <c r="O223" i="17" s="1"/>
  <c r="J224" i="17"/>
  <c r="P224" i="17" s="1"/>
  <c r="K224" i="17"/>
  <c r="Q224" i="17" s="1"/>
  <c r="L224" i="17"/>
  <c r="M224" i="17"/>
  <c r="O224" i="17" s="1"/>
  <c r="J225" i="17"/>
  <c r="P225" i="17" s="1"/>
  <c r="K225" i="17"/>
  <c r="Q225" i="17" s="1"/>
  <c r="L225" i="17"/>
  <c r="M225" i="17"/>
  <c r="O225" i="17" s="1"/>
  <c r="J226" i="17"/>
  <c r="P226" i="17" s="1"/>
  <c r="K226" i="17"/>
  <c r="Q226" i="17" s="1"/>
  <c r="L226" i="17"/>
  <c r="M226" i="17"/>
  <c r="O226" i="17" s="1"/>
  <c r="J227" i="17"/>
  <c r="P227" i="17" s="1"/>
  <c r="K227" i="17"/>
  <c r="Q227" i="17" s="1"/>
  <c r="L227" i="17"/>
  <c r="M227" i="17"/>
  <c r="O227" i="17" s="1"/>
  <c r="J228" i="17"/>
  <c r="P228" i="17" s="1"/>
  <c r="K228" i="17"/>
  <c r="Q228" i="17" s="1"/>
  <c r="L228" i="17"/>
  <c r="M228" i="17"/>
  <c r="O228" i="17" s="1"/>
  <c r="J229" i="17"/>
  <c r="P229" i="17" s="1"/>
  <c r="K229" i="17"/>
  <c r="Q229" i="17" s="1"/>
  <c r="L229" i="17"/>
  <c r="M229" i="17"/>
  <c r="O229" i="17" s="1"/>
  <c r="J230" i="17"/>
  <c r="P230" i="17" s="1"/>
  <c r="K230" i="17"/>
  <c r="Q230" i="17" s="1"/>
  <c r="L230" i="17"/>
  <c r="M230" i="17"/>
  <c r="O230" i="17" s="1"/>
  <c r="J231" i="17"/>
  <c r="P231" i="17" s="1"/>
  <c r="K231" i="17"/>
  <c r="Q231" i="17" s="1"/>
  <c r="L231" i="17"/>
  <c r="M231" i="17"/>
  <c r="O231" i="17" s="1"/>
  <c r="J232" i="17"/>
  <c r="P232" i="17" s="1"/>
  <c r="K232" i="17"/>
  <c r="Q232" i="17" s="1"/>
  <c r="L232" i="17"/>
  <c r="M232" i="17"/>
  <c r="O232" i="17" s="1"/>
  <c r="J233" i="17"/>
  <c r="P233" i="17" s="1"/>
  <c r="K233" i="17"/>
  <c r="Q233" i="17" s="1"/>
  <c r="L233" i="17"/>
  <c r="M233" i="17"/>
  <c r="O233" i="17" s="1"/>
  <c r="J234" i="17"/>
  <c r="P234" i="17" s="1"/>
  <c r="K234" i="17"/>
  <c r="Q234" i="17" s="1"/>
  <c r="L234" i="17"/>
  <c r="M234" i="17"/>
  <c r="O234" i="17" s="1"/>
  <c r="J235" i="17"/>
  <c r="P235" i="17" s="1"/>
  <c r="K235" i="17"/>
  <c r="Q235" i="17" s="1"/>
  <c r="L235" i="17"/>
  <c r="M235" i="17"/>
  <c r="O235" i="17" s="1"/>
  <c r="J236" i="17"/>
  <c r="P236" i="17" s="1"/>
  <c r="K236" i="17"/>
  <c r="Q236" i="17" s="1"/>
  <c r="L236" i="17"/>
  <c r="M236" i="17"/>
  <c r="O236" i="17" s="1"/>
  <c r="J237" i="17"/>
  <c r="P237" i="17" s="1"/>
  <c r="K237" i="17"/>
  <c r="Q237" i="17" s="1"/>
  <c r="L237" i="17"/>
  <c r="M237" i="17"/>
  <c r="O237" i="17" s="1"/>
  <c r="J238" i="17"/>
  <c r="P238" i="17" s="1"/>
  <c r="K238" i="17"/>
  <c r="Q238" i="17" s="1"/>
  <c r="L238" i="17"/>
  <c r="M238" i="17"/>
  <c r="O238" i="17" s="1"/>
  <c r="J239" i="17"/>
  <c r="P239" i="17" s="1"/>
  <c r="K239" i="17"/>
  <c r="Q239" i="17" s="1"/>
  <c r="L239" i="17"/>
  <c r="M239" i="17"/>
  <c r="O239" i="17" s="1"/>
  <c r="J240" i="17"/>
  <c r="P240" i="17" s="1"/>
  <c r="K240" i="17"/>
  <c r="Q240" i="17" s="1"/>
  <c r="L240" i="17"/>
  <c r="M240" i="17"/>
  <c r="O240" i="17" s="1"/>
  <c r="J241" i="17"/>
  <c r="P241" i="17" s="1"/>
  <c r="K241" i="17"/>
  <c r="Q241" i="17" s="1"/>
  <c r="L241" i="17"/>
  <c r="M241" i="17"/>
  <c r="O241" i="17" s="1"/>
  <c r="J242" i="17"/>
  <c r="P242" i="17" s="1"/>
  <c r="K242" i="17"/>
  <c r="Q242" i="17" s="1"/>
  <c r="L242" i="17"/>
  <c r="M242" i="17"/>
  <c r="O242" i="17" s="1"/>
  <c r="J243" i="17"/>
  <c r="P243" i="17" s="1"/>
  <c r="K243" i="17"/>
  <c r="Q243" i="17" s="1"/>
  <c r="L243" i="17"/>
  <c r="M243" i="17"/>
  <c r="O243" i="17" s="1"/>
  <c r="J244" i="17"/>
  <c r="P244" i="17" s="1"/>
  <c r="K244" i="17"/>
  <c r="Q244" i="17" s="1"/>
  <c r="L244" i="17"/>
  <c r="M244" i="17"/>
  <c r="O244" i="17" s="1"/>
  <c r="J245" i="17"/>
  <c r="P245" i="17" s="1"/>
  <c r="K245" i="17"/>
  <c r="Q245" i="17" s="1"/>
  <c r="L245" i="17"/>
  <c r="M245" i="17"/>
  <c r="O245" i="17" s="1"/>
  <c r="J246" i="17"/>
  <c r="P246" i="17" s="1"/>
  <c r="K246" i="17"/>
  <c r="Q246" i="17" s="1"/>
  <c r="L246" i="17"/>
  <c r="M246" i="17"/>
  <c r="O246" i="17" s="1"/>
  <c r="J247" i="17"/>
  <c r="P247" i="17" s="1"/>
  <c r="K247" i="17"/>
  <c r="Q247" i="17" s="1"/>
  <c r="L247" i="17"/>
  <c r="M247" i="17"/>
  <c r="O247" i="17" s="1"/>
  <c r="J248" i="17"/>
  <c r="P248" i="17" s="1"/>
  <c r="K248" i="17"/>
  <c r="Q248" i="17" s="1"/>
  <c r="L248" i="17"/>
  <c r="M248" i="17"/>
  <c r="O248" i="17" s="1"/>
  <c r="J249" i="17"/>
  <c r="P249" i="17" s="1"/>
  <c r="K249" i="17"/>
  <c r="Q249" i="17" s="1"/>
  <c r="L249" i="17"/>
  <c r="M249" i="17"/>
  <c r="O249" i="17" s="1"/>
  <c r="J250" i="17"/>
  <c r="P250" i="17" s="1"/>
  <c r="K250" i="17"/>
  <c r="Q250" i="17" s="1"/>
  <c r="L250" i="17"/>
  <c r="M250" i="17"/>
  <c r="O250" i="17" s="1"/>
  <c r="J251" i="17"/>
  <c r="P251" i="17" s="1"/>
  <c r="K251" i="17"/>
  <c r="Q251" i="17" s="1"/>
  <c r="L251" i="17"/>
  <c r="M251" i="17"/>
  <c r="O251" i="17" s="1"/>
  <c r="J252" i="17"/>
  <c r="P252" i="17" s="1"/>
  <c r="K252" i="17"/>
  <c r="Q252" i="17" s="1"/>
  <c r="L252" i="17"/>
  <c r="M252" i="17"/>
  <c r="O252" i="17" s="1"/>
  <c r="J253" i="17"/>
  <c r="P253" i="17" s="1"/>
  <c r="K253" i="17"/>
  <c r="Q253" i="17" s="1"/>
  <c r="L253" i="17"/>
  <c r="M253" i="17"/>
  <c r="O253" i="17" s="1"/>
  <c r="J254" i="17"/>
  <c r="P254" i="17" s="1"/>
  <c r="K254" i="17"/>
  <c r="Q254" i="17" s="1"/>
  <c r="L254" i="17"/>
  <c r="M254" i="17"/>
  <c r="O254" i="17" s="1"/>
  <c r="J255" i="17"/>
  <c r="P255" i="17" s="1"/>
  <c r="K255" i="17"/>
  <c r="Q255" i="17" s="1"/>
  <c r="L255" i="17"/>
  <c r="M255" i="17"/>
  <c r="O255" i="17" s="1"/>
  <c r="J256" i="17"/>
  <c r="P256" i="17" s="1"/>
  <c r="K256" i="17"/>
  <c r="Q256" i="17" s="1"/>
  <c r="L256" i="17"/>
  <c r="M256" i="17"/>
  <c r="O256" i="17" s="1"/>
  <c r="J257" i="17"/>
  <c r="P257" i="17" s="1"/>
  <c r="K257" i="17"/>
  <c r="Q257" i="17" s="1"/>
  <c r="L257" i="17"/>
  <c r="M257" i="17"/>
  <c r="O257" i="17" s="1"/>
  <c r="J258" i="17"/>
  <c r="P258" i="17" s="1"/>
  <c r="K258" i="17"/>
  <c r="Q258" i="17" s="1"/>
  <c r="L258" i="17"/>
  <c r="M258" i="17"/>
  <c r="O258" i="17" s="1"/>
  <c r="J259" i="17"/>
  <c r="P259" i="17" s="1"/>
  <c r="K259" i="17"/>
  <c r="Q259" i="17" s="1"/>
  <c r="L259" i="17"/>
  <c r="M259" i="17"/>
  <c r="O259" i="17" s="1"/>
  <c r="J260" i="17"/>
  <c r="P260" i="17" s="1"/>
  <c r="K260" i="17"/>
  <c r="Q260" i="17" s="1"/>
  <c r="L260" i="17"/>
  <c r="M260" i="17"/>
  <c r="O260" i="17" s="1"/>
  <c r="J261" i="17"/>
  <c r="P261" i="17" s="1"/>
  <c r="K261" i="17"/>
  <c r="Q261" i="17" s="1"/>
  <c r="L261" i="17"/>
  <c r="M261" i="17"/>
  <c r="O261" i="17" s="1"/>
  <c r="J262" i="17"/>
  <c r="P262" i="17" s="1"/>
  <c r="K262" i="17"/>
  <c r="Q262" i="17" s="1"/>
  <c r="L262" i="17"/>
  <c r="M262" i="17"/>
  <c r="O262" i="17" s="1"/>
  <c r="J263" i="17"/>
  <c r="P263" i="17" s="1"/>
  <c r="K263" i="17"/>
  <c r="Q263" i="17" s="1"/>
  <c r="L263" i="17"/>
  <c r="M263" i="17"/>
  <c r="O263" i="17" s="1"/>
  <c r="J264" i="17"/>
  <c r="P264" i="17" s="1"/>
  <c r="K264" i="17"/>
  <c r="Q264" i="17" s="1"/>
  <c r="L264" i="17"/>
  <c r="M264" i="17"/>
  <c r="O264" i="17" s="1"/>
  <c r="J265" i="17"/>
  <c r="P265" i="17" s="1"/>
  <c r="K265" i="17"/>
  <c r="Q265" i="17" s="1"/>
  <c r="L265" i="17"/>
  <c r="M265" i="17"/>
  <c r="O265" i="17" s="1"/>
  <c r="J266" i="17"/>
  <c r="P266" i="17" s="1"/>
  <c r="K266" i="17"/>
  <c r="Q266" i="17" s="1"/>
  <c r="L266" i="17"/>
  <c r="M266" i="17"/>
  <c r="O266" i="17" s="1"/>
  <c r="J267" i="17"/>
  <c r="P267" i="17" s="1"/>
  <c r="K267" i="17"/>
  <c r="Q267" i="17" s="1"/>
  <c r="L267" i="17"/>
  <c r="M267" i="17"/>
  <c r="O267" i="17" s="1"/>
  <c r="J268" i="17"/>
  <c r="P268" i="17" s="1"/>
  <c r="K268" i="17"/>
  <c r="Q268" i="17" s="1"/>
  <c r="L268" i="17"/>
  <c r="M268" i="17"/>
  <c r="O268" i="17" s="1"/>
  <c r="J269" i="17"/>
  <c r="P269" i="17" s="1"/>
  <c r="K269" i="17"/>
  <c r="Q269" i="17" s="1"/>
  <c r="L269" i="17"/>
  <c r="M269" i="17"/>
  <c r="O269" i="17" s="1"/>
  <c r="J270" i="17"/>
  <c r="P270" i="17" s="1"/>
  <c r="K270" i="17"/>
  <c r="Q270" i="17" s="1"/>
  <c r="L270" i="17"/>
  <c r="M270" i="17"/>
  <c r="O270" i="17" s="1"/>
  <c r="J271" i="17"/>
  <c r="P271" i="17" s="1"/>
  <c r="K271" i="17"/>
  <c r="Q271" i="17" s="1"/>
  <c r="L271" i="17"/>
  <c r="M271" i="17"/>
  <c r="O271" i="17" s="1"/>
  <c r="J272" i="17"/>
  <c r="P272" i="17" s="1"/>
  <c r="K272" i="17"/>
  <c r="Q272" i="17" s="1"/>
  <c r="L272" i="17"/>
  <c r="M272" i="17"/>
  <c r="O272" i="17" s="1"/>
  <c r="J273" i="17"/>
  <c r="P273" i="17" s="1"/>
  <c r="K273" i="17"/>
  <c r="Q273" i="17" s="1"/>
  <c r="L273" i="17"/>
  <c r="M273" i="17"/>
  <c r="O273" i="17" s="1"/>
  <c r="J274" i="17"/>
  <c r="P274" i="17" s="1"/>
  <c r="K274" i="17"/>
  <c r="Q274" i="17" s="1"/>
  <c r="L274" i="17"/>
  <c r="M274" i="17"/>
  <c r="O274" i="17" s="1"/>
  <c r="J275" i="17"/>
  <c r="P275" i="17" s="1"/>
  <c r="K275" i="17"/>
  <c r="Q275" i="17" s="1"/>
  <c r="L275" i="17"/>
  <c r="M275" i="17"/>
  <c r="O275" i="17" s="1"/>
  <c r="J276" i="17"/>
  <c r="P276" i="17" s="1"/>
  <c r="K276" i="17"/>
  <c r="Q276" i="17" s="1"/>
  <c r="L276" i="17"/>
  <c r="M276" i="17"/>
  <c r="O276" i="17" s="1"/>
  <c r="J277" i="17"/>
  <c r="P277" i="17" s="1"/>
  <c r="K277" i="17"/>
  <c r="Q277" i="17" s="1"/>
  <c r="L277" i="17"/>
  <c r="M277" i="17"/>
  <c r="O277" i="17" s="1"/>
  <c r="J278" i="17"/>
  <c r="P278" i="17" s="1"/>
  <c r="K278" i="17"/>
  <c r="Q278" i="17" s="1"/>
  <c r="L278" i="17"/>
  <c r="M278" i="17"/>
  <c r="O278" i="17" s="1"/>
  <c r="J279" i="17"/>
  <c r="P279" i="17" s="1"/>
  <c r="K279" i="17"/>
  <c r="Q279" i="17" s="1"/>
  <c r="L279" i="17"/>
  <c r="M279" i="17"/>
  <c r="O279" i="17" s="1"/>
  <c r="J280" i="17"/>
  <c r="P280" i="17" s="1"/>
  <c r="K280" i="17"/>
  <c r="Q280" i="17" s="1"/>
  <c r="L280" i="17"/>
  <c r="M280" i="17"/>
  <c r="O280" i="17" s="1"/>
  <c r="J281" i="17"/>
  <c r="P281" i="17" s="1"/>
  <c r="K281" i="17"/>
  <c r="Q281" i="17" s="1"/>
  <c r="L281" i="17"/>
  <c r="M281" i="17"/>
  <c r="O281" i="17" s="1"/>
  <c r="J282" i="17"/>
  <c r="P282" i="17" s="1"/>
  <c r="K282" i="17"/>
  <c r="Q282" i="17" s="1"/>
  <c r="L282" i="17"/>
  <c r="M282" i="17"/>
  <c r="O282" i="17" s="1"/>
  <c r="J283" i="17"/>
  <c r="P283" i="17" s="1"/>
  <c r="K283" i="17"/>
  <c r="Q283" i="17" s="1"/>
  <c r="L283" i="17"/>
  <c r="M283" i="17"/>
  <c r="O283" i="17" s="1"/>
  <c r="J284" i="17"/>
  <c r="P284" i="17" s="1"/>
  <c r="K284" i="17"/>
  <c r="Q284" i="17" s="1"/>
  <c r="L284" i="17"/>
  <c r="M284" i="17"/>
  <c r="O284" i="17" s="1"/>
  <c r="J285" i="17"/>
  <c r="P285" i="17" s="1"/>
  <c r="K285" i="17"/>
  <c r="Q285" i="17" s="1"/>
  <c r="L285" i="17"/>
  <c r="M285" i="17"/>
  <c r="O285" i="17" s="1"/>
  <c r="J286" i="17"/>
  <c r="P286" i="17" s="1"/>
  <c r="K286" i="17"/>
  <c r="Q286" i="17" s="1"/>
  <c r="L286" i="17"/>
  <c r="M286" i="17"/>
  <c r="O286" i="17" s="1"/>
  <c r="J287" i="17"/>
  <c r="P287" i="17" s="1"/>
  <c r="K287" i="17"/>
  <c r="Q287" i="17" s="1"/>
  <c r="L287" i="17"/>
  <c r="M287" i="17"/>
  <c r="O287" i="17" s="1"/>
  <c r="J288" i="17"/>
  <c r="P288" i="17" s="1"/>
  <c r="K288" i="17"/>
  <c r="Q288" i="17" s="1"/>
  <c r="L288" i="17"/>
  <c r="M288" i="17"/>
  <c r="O288" i="17" s="1"/>
  <c r="J289" i="17"/>
  <c r="P289" i="17" s="1"/>
  <c r="K289" i="17"/>
  <c r="Q289" i="17" s="1"/>
  <c r="L289" i="17"/>
  <c r="M289" i="17"/>
  <c r="O289" i="17" s="1"/>
  <c r="J290" i="17"/>
  <c r="P290" i="17" s="1"/>
  <c r="K290" i="17"/>
  <c r="Q290" i="17" s="1"/>
  <c r="L290" i="17"/>
  <c r="M290" i="17"/>
  <c r="O290" i="17" s="1"/>
  <c r="J291" i="17"/>
  <c r="P291" i="17" s="1"/>
  <c r="K291" i="17"/>
  <c r="Q291" i="17" s="1"/>
  <c r="L291" i="17"/>
  <c r="M291" i="17"/>
  <c r="O291" i="17" s="1"/>
  <c r="J292" i="17"/>
  <c r="P292" i="17" s="1"/>
  <c r="K292" i="17"/>
  <c r="Q292" i="17" s="1"/>
  <c r="L292" i="17"/>
  <c r="M292" i="17"/>
  <c r="O292" i="17" s="1"/>
  <c r="J293" i="17"/>
  <c r="P293" i="17" s="1"/>
  <c r="K293" i="17"/>
  <c r="Q293" i="17" s="1"/>
  <c r="L293" i="17"/>
  <c r="M293" i="17"/>
  <c r="O293" i="17" s="1"/>
  <c r="J294" i="17"/>
  <c r="P294" i="17" s="1"/>
  <c r="K294" i="17"/>
  <c r="Q294" i="17" s="1"/>
  <c r="L294" i="17"/>
  <c r="M294" i="17"/>
  <c r="O294" i="17" s="1"/>
  <c r="J295" i="17"/>
  <c r="P295" i="17" s="1"/>
  <c r="K295" i="17"/>
  <c r="Q295" i="17" s="1"/>
  <c r="L295" i="17"/>
  <c r="M295" i="17"/>
  <c r="O295" i="17" s="1"/>
  <c r="J296" i="17"/>
  <c r="P296" i="17" s="1"/>
  <c r="K296" i="17"/>
  <c r="Q296" i="17" s="1"/>
  <c r="L296" i="17"/>
  <c r="M296" i="17"/>
  <c r="O296" i="17" s="1"/>
  <c r="J297" i="17"/>
  <c r="P297" i="17" s="1"/>
  <c r="K297" i="17"/>
  <c r="Q297" i="17" s="1"/>
  <c r="L297" i="17"/>
  <c r="M297" i="17"/>
  <c r="O297" i="17" s="1"/>
  <c r="J298" i="17"/>
  <c r="P298" i="17" s="1"/>
  <c r="K298" i="17"/>
  <c r="Q298" i="17" s="1"/>
  <c r="L298" i="17"/>
  <c r="M298" i="17"/>
  <c r="O298" i="17" s="1"/>
  <c r="J299" i="17"/>
  <c r="P299" i="17" s="1"/>
  <c r="K299" i="17"/>
  <c r="Q299" i="17" s="1"/>
  <c r="L299" i="17"/>
  <c r="M299" i="17"/>
  <c r="O299" i="17" s="1"/>
  <c r="J300" i="17"/>
  <c r="P300" i="17" s="1"/>
  <c r="K300" i="17"/>
  <c r="Q300" i="17" s="1"/>
  <c r="L300" i="17"/>
  <c r="M300" i="17"/>
  <c r="O300" i="17" s="1"/>
  <c r="J301" i="17"/>
  <c r="P301" i="17" s="1"/>
  <c r="K301" i="17"/>
  <c r="Q301" i="17" s="1"/>
  <c r="L301" i="17"/>
  <c r="M301" i="17"/>
  <c r="O301" i="17" s="1"/>
  <c r="J302" i="17"/>
  <c r="P302" i="17" s="1"/>
  <c r="K302" i="17"/>
  <c r="Q302" i="17" s="1"/>
  <c r="L302" i="17"/>
  <c r="M302" i="17"/>
  <c r="O302" i="17" s="1"/>
  <c r="J303" i="17"/>
  <c r="P303" i="17" s="1"/>
  <c r="K303" i="17"/>
  <c r="Q303" i="17" s="1"/>
  <c r="L303" i="17"/>
  <c r="M303" i="17"/>
  <c r="O303" i="17" s="1"/>
  <c r="J304" i="17"/>
  <c r="P304" i="17" s="1"/>
  <c r="K304" i="17"/>
  <c r="Q304" i="17" s="1"/>
  <c r="L304" i="17"/>
  <c r="M304" i="17"/>
  <c r="O304" i="17" s="1"/>
  <c r="J305" i="17"/>
  <c r="P305" i="17" s="1"/>
  <c r="K305" i="17"/>
  <c r="Q305" i="17" s="1"/>
  <c r="L305" i="17"/>
  <c r="M305" i="17"/>
  <c r="O305" i="17" s="1"/>
  <c r="J306" i="17"/>
  <c r="P306" i="17" s="1"/>
  <c r="K306" i="17"/>
  <c r="Q306" i="17" s="1"/>
  <c r="L306" i="17"/>
  <c r="M306" i="17"/>
  <c r="O306" i="17" s="1"/>
  <c r="J307" i="17"/>
  <c r="P307" i="17" s="1"/>
  <c r="K307" i="17"/>
  <c r="Q307" i="17" s="1"/>
  <c r="L307" i="17"/>
  <c r="M307" i="17"/>
  <c r="O307" i="17" s="1"/>
  <c r="J308" i="17"/>
  <c r="P308" i="17" s="1"/>
  <c r="K308" i="17"/>
  <c r="Q308" i="17" s="1"/>
  <c r="L308" i="17"/>
  <c r="M308" i="17"/>
  <c r="O308" i="17" s="1"/>
  <c r="J309" i="17"/>
  <c r="P309" i="17" s="1"/>
  <c r="K309" i="17"/>
  <c r="Q309" i="17" s="1"/>
  <c r="L309" i="17"/>
  <c r="M309" i="17"/>
  <c r="O309" i="17" s="1"/>
  <c r="J310" i="17"/>
  <c r="P310" i="17" s="1"/>
  <c r="K310" i="17"/>
  <c r="Q310" i="17" s="1"/>
  <c r="L310" i="17"/>
  <c r="M310" i="17"/>
  <c r="O310" i="17" s="1"/>
  <c r="J311" i="17"/>
  <c r="P311" i="17" s="1"/>
  <c r="K311" i="17"/>
  <c r="Q311" i="17" s="1"/>
  <c r="L311" i="17"/>
  <c r="M311" i="17"/>
  <c r="O311" i="17" s="1"/>
  <c r="J312" i="17"/>
  <c r="P312" i="17" s="1"/>
  <c r="K312" i="17"/>
  <c r="Q312" i="17" s="1"/>
  <c r="L312" i="17"/>
  <c r="M312" i="17"/>
  <c r="O312" i="17" s="1"/>
  <c r="J313" i="17"/>
  <c r="P313" i="17" s="1"/>
  <c r="K313" i="17"/>
  <c r="Q313" i="17" s="1"/>
  <c r="L313" i="17"/>
  <c r="M313" i="17"/>
  <c r="O313" i="17" s="1"/>
  <c r="J314" i="17"/>
  <c r="P314" i="17" s="1"/>
  <c r="K314" i="17"/>
  <c r="Q314" i="17" s="1"/>
  <c r="L314" i="17"/>
  <c r="M314" i="17"/>
  <c r="O314" i="17" s="1"/>
  <c r="J315" i="17"/>
  <c r="P315" i="17" s="1"/>
  <c r="K315" i="17"/>
  <c r="Q315" i="17" s="1"/>
  <c r="L315" i="17"/>
  <c r="M315" i="17"/>
  <c r="O315" i="17" s="1"/>
  <c r="J316" i="17"/>
  <c r="P316" i="17" s="1"/>
  <c r="K316" i="17"/>
  <c r="Q316" i="17" s="1"/>
  <c r="L316" i="17"/>
  <c r="M316" i="17"/>
  <c r="O316" i="17" s="1"/>
  <c r="J317" i="17"/>
  <c r="P317" i="17" s="1"/>
  <c r="K317" i="17"/>
  <c r="Q317" i="17" s="1"/>
  <c r="L317" i="17"/>
  <c r="M317" i="17"/>
  <c r="O317" i="17" s="1"/>
  <c r="J318" i="17"/>
  <c r="P318" i="17" s="1"/>
  <c r="K318" i="17"/>
  <c r="Q318" i="17" s="1"/>
  <c r="L318" i="17"/>
  <c r="M318" i="17"/>
  <c r="O318" i="17" s="1"/>
  <c r="J319" i="17"/>
  <c r="P319" i="17" s="1"/>
  <c r="K319" i="17"/>
  <c r="Q319" i="17" s="1"/>
  <c r="L319" i="17"/>
  <c r="M319" i="17"/>
  <c r="O319" i="17" s="1"/>
  <c r="J320" i="17"/>
  <c r="P320" i="17" s="1"/>
  <c r="K320" i="17"/>
  <c r="Q320" i="17" s="1"/>
  <c r="L320" i="17"/>
  <c r="M320" i="17"/>
  <c r="O320" i="17" s="1"/>
  <c r="J321" i="17"/>
  <c r="P321" i="17" s="1"/>
  <c r="K321" i="17"/>
  <c r="Q321" i="17" s="1"/>
  <c r="L321" i="17"/>
  <c r="M321" i="17"/>
  <c r="O321" i="17" s="1"/>
  <c r="J322" i="17"/>
  <c r="P322" i="17" s="1"/>
  <c r="K322" i="17"/>
  <c r="Q322" i="17" s="1"/>
  <c r="L322" i="17"/>
  <c r="M322" i="17"/>
  <c r="O322" i="17" s="1"/>
  <c r="J323" i="17"/>
  <c r="P323" i="17" s="1"/>
  <c r="K323" i="17"/>
  <c r="Q323" i="17" s="1"/>
  <c r="L323" i="17"/>
  <c r="M323" i="17"/>
  <c r="O323" i="17" s="1"/>
  <c r="J324" i="17"/>
  <c r="P324" i="17" s="1"/>
  <c r="K324" i="17"/>
  <c r="Q324" i="17" s="1"/>
  <c r="L324" i="17"/>
  <c r="M324" i="17"/>
  <c r="O324" i="17" s="1"/>
  <c r="J325" i="17"/>
  <c r="P325" i="17" s="1"/>
  <c r="K325" i="17"/>
  <c r="Q325" i="17" s="1"/>
  <c r="L325" i="17"/>
  <c r="M325" i="17"/>
  <c r="O325" i="17" s="1"/>
  <c r="J326" i="17"/>
  <c r="P326" i="17" s="1"/>
  <c r="K326" i="17"/>
  <c r="Q326" i="17" s="1"/>
  <c r="L326" i="17"/>
  <c r="M326" i="17"/>
  <c r="O326" i="17" s="1"/>
  <c r="J327" i="17"/>
  <c r="P327" i="17" s="1"/>
  <c r="K327" i="17"/>
  <c r="Q327" i="17" s="1"/>
  <c r="L327" i="17"/>
  <c r="M327" i="17"/>
  <c r="O327" i="17" s="1"/>
  <c r="J328" i="17"/>
  <c r="P328" i="17" s="1"/>
  <c r="K328" i="17"/>
  <c r="Q328" i="17" s="1"/>
  <c r="L328" i="17"/>
  <c r="M328" i="17"/>
  <c r="O328" i="17" s="1"/>
  <c r="J329" i="17"/>
  <c r="P329" i="17" s="1"/>
  <c r="K329" i="17"/>
  <c r="Q329" i="17" s="1"/>
  <c r="L329" i="17"/>
  <c r="M329" i="17"/>
  <c r="O329" i="17" s="1"/>
  <c r="J330" i="17"/>
  <c r="P330" i="17" s="1"/>
  <c r="K330" i="17"/>
  <c r="Q330" i="17" s="1"/>
  <c r="L330" i="17"/>
  <c r="M330" i="17"/>
  <c r="O330" i="17" s="1"/>
  <c r="J331" i="17"/>
  <c r="P331" i="17" s="1"/>
  <c r="K331" i="17"/>
  <c r="Q331" i="17" s="1"/>
  <c r="L331" i="17"/>
  <c r="M331" i="17"/>
  <c r="O331" i="17" s="1"/>
  <c r="J332" i="17"/>
  <c r="P332" i="17" s="1"/>
  <c r="K332" i="17"/>
  <c r="Q332" i="17" s="1"/>
  <c r="L332" i="17"/>
  <c r="M332" i="17"/>
  <c r="O332" i="17" s="1"/>
  <c r="J333" i="17"/>
  <c r="P333" i="17" s="1"/>
  <c r="K333" i="17"/>
  <c r="Q333" i="17" s="1"/>
  <c r="L333" i="17"/>
  <c r="M333" i="17"/>
  <c r="O333" i="17" s="1"/>
  <c r="J334" i="17"/>
  <c r="P334" i="17" s="1"/>
  <c r="K334" i="17"/>
  <c r="Q334" i="17" s="1"/>
  <c r="L334" i="17"/>
  <c r="M334" i="17"/>
  <c r="O334" i="17" s="1"/>
  <c r="J335" i="17"/>
  <c r="P335" i="17" s="1"/>
  <c r="K335" i="17"/>
  <c r="Q335" i="17" s="1"/>
  <c r="L335" i="17"/>
  <c r="M335" i="17"/>
  <c r="O335" i="17" s="1"/>
  <c r="J336" i="17"/>
  <c r="P336" i="17" s="1"/>
  <c r="K336" i="17"/>
  <c r="Q336" i="17" s="1"/>
  <c r="L336" i="17"/>
  <c r="M336" i="17"/>
  <c r="O336" i="17" s="1"/>
  <c r="J337" i="17"/>
  <c r="P337" i="17" s="1"/>
  <c r="K337" i="17"/>
  <c r="Q337" i="17" s="1"/>
  <c r="L337" i="17"/>
  <c r="M337" i="17"/>
  <c r="O337" i="17" s="1"/>
  <c r="J338" i="17"/>
  <c r="P338" i="17" s="1"/>
  <c r="K338" i="17"/>
  <c r="Q338" i="17" s="1"/>
  <c r="L338" i="17"/>
  <c r="M338" i="17"/>
  <c r="O338" i="17" s="1"/>
  <c r="J339" i="17"/>
  <c r="P339" i="17" s="1"/>
  <c r="K339" i="17"/>
  <c r="Q339" i="17" s="1"/>
  <c r="L339" i="17"/>
  <c r="M339" i="17"/>
  <c r="O339" i="17" s="1"/>
  <c r="J340" i="17"/>
  <c r="P340" i="17" s="1"/>
  <c r="K340" i="17"/>
  <c r="Q340" i="17" s="1"/>
  <c r="L340" i="17"/>
  <c r="M340" i="17"/>
  <c r="O340" i="17" s="1"/>
  <c r="J341" i="17"/>
  <c r="P341" i="17" s="1"/>
  <c r="K341" i="17"/>
  <c r="Q341" i="17" s="1"/>
  <c r="L341" i="17"/>
  <c r="M341" i="17"/>
  <c r="O341" i="17" s="1"/>
  <c r="J342" i="17"/>
  <c r="P342" i="17" s="1"/>
  <c r="K342" i="17"/>
  <c r="Q342" i="17" s="1"/>
  <c r="L342" i="17"/>
  <c r="M342" i="17"/>
  <c r="O342" i="17" s="1"/>
  <c r="J343" i="17"/>
  <c r="P343" i="17" s="1"/>
  <c r="K343" i="17"/>
  <c r="Q343" i="17" s="1"/>
  <c r="L343" i="17"/>
  <c r="M343" i="17"/>
  <c r="O343" i="17" s="1"/>
  <c r="J344" i="17"/>
  <c r="P344" i="17" s="1"/>
  <c r="K344" i="17"/>
  <c r="Q344" i="17" s="1"/>
  <c r="L344" i="17"/>
  <c r="M344" i="17"/>
  <c r="O344" i="17" s="1"/>
  <c r="J345" i="17"/>
  <c r="P345" i="17" s="1"/>
  <c r="K345" i="17"/>
  <c r="Q345" i="17" s="1"/>
  <c r="L345" i="17"/>
  <c r="M345" i="17"/>
  <c r="O345" i="17" s="1"/>
  <c r="J346" i="17"/>
  <c r="P346" i="17" s="1"/>
  <c r="K346" i="17"/>
  <c r="Q346" i="17" s="1"/>
  <c r="L346" i="17"/>
  <c r="M346" i="17"/>
  <c r="O346" i="17" s="1"/>
  <c r="J347" i="17"/>
  <c r="P347" i="17" s="1"/>
  <c r="K347" i="17"/>
  <c r="Q347" i="17" s="1"/>
  <c r="L347" i="17"/>
  <c r="M347" i="17"/>
  <c r="O347" i="17" s="1"/>
  <c r="J348" i="17"/>
  <c r="P348" i="17" s="1"/>
  <c r="K348" i="17"/>
  <c r="Q348" i="17" s="1"/>
  <c r="L348" i="17"/>
  <c r="M348" i="17"/>
  <c r="O348" i="17" s="1"/>
  <c r="J349" i="17"/>
  <c r="P349" i="17" s="1"/>
  <c r="K349" i="17"/>
  <c r="Q349" i="17" s="1"/>
  <c r="L349" i="17"/>
  <c r="M349" i="17"/>
  <c r="O349" i="17" s="1"/>
  <c r="J350" i="17"/>
  <c r="P350" i="17" s="1"/>
  <c r="K350" i="17"/>
  <c r="Q350" i="17" s="1"/>
  <c r="L350" i="17"/>
  <c r="M350" i="17"/>
  <c r="O350" i="17" s="1"/>
  <c r="J351" i="17"/>
  <c r="P351" i="17" s="1"/>
  <c r="K351" i="17"/>
  <c r="Q351" i="17" s="1"/>
  <c r="L351" i="17"/>
  <c r="M351" i="17"/>
  <c r="O351" i="17" s="1"/>
  <c r="J352" i="17"/>
  <c r="P352" i="17" s="1"/>
  <c r="K352" i="17"/>
  <c r="Q352" i="17" s="1"/>
  <c r="L352" i="17"/>
  <c r="M352" i="17"/>
  <c r="O352" i="17" s="1"/>
  <c r="J353" i="17"/>
  <c r="P353" i="17" s="1"/>
  <c r="K353" i="17"/>
  <c r="Q353" i="17" s="1"/>
  <c r="L353" i="17"/>
  <c r="M353" i="17"/>
  <c r="O353" i="17" s="1"/>
  <c r="J354" i="17"/>
  <c r="P354" i="17" s="1"/>
  <c r="K354" i="17"/>
  <c r="Q354" i="17" s="1"/>
  <c r="L354" i="17"/>
  <c r="M354" i="17"/>
  <c r="O354" i="17" s="1"/>
  <c r="J355" i="17"/>
  <c r="P355" i="17" s="1"/>
  <c r="K355" i="17"/>
  <c r="Q355" i="17" s="1"/>
  <c r="L355" i="17"/>
  <c r="M355" i="17"/>
  <c r="O355" i="17" s="1"/>
  <c r="J356" i="17"/>
  <c r="P356" i="17" s="1"/>
  <c r="K356" i="17"/>
  <c r="Q356" i="17" s="1"/>
  <c r="L356" i="17"/>
  <c r="M356" i="17"/>
  <c r="O356" i="17" s="1"/>
  <c r="J357" i="17"/>
  <c r="P357" i="17" s="1"/>
  <c r="K357" i="17"/>
  <c r="Q357" i="17" s="1"/>
  <c r="L357" i="17"/>
  <c r="M357" i="17"/>
  <c r="O357" i="17" s="1"/>
  <c r="J358" i="17"/>
  <c r="P358" i="17" s="1"/>
  <c r="K358" i="17"/>
  <c r="Q358" i="17" s="1"/>
  <c r="L358" i="17"/>
  <c r="M358" i="17"/>
  <c r="O358" i="17" s="1"/>
  <c r="J359" i="17"/>
  <c r="P359" i="17" s="1"/>
  <c r="K359" i="17"/>
  <c r="Q359" i="17" s="1"/>
  <c r="L359" i="17"/>
  <c r="M359" i="17"/>
  <c r="O359" i="17" s="1"/>
  <c r="J360" i="17"/>
  <c r="P360" i="17" s="1"/>
  <c r="K360" i="17"/>
  <c r="Q360" i="17" s="1"/>
  <c r="L360" i="17"/>
  <c r="M360" i="17"/>
  <c r="O360" i="17" s="1"/>
  <c r="J361" i="17"/>
  <c r="P361" i="17" s="1"/>
  <c r="K361" i="17"/>
  <c r="Q361" i="17" s="1"/>
  <c r="L361" i="17"/>
  <c r="M361" i="17"/>
  <c r="O361" i="17" s="1"/>
  <c r="J362" i="17"/>
  <c r="P362" i="17" s="1"/>
  <c r="K362" i="17"/>
  <c r="Q362" i="17" s="1"/>
  <c r="L362" i="17"/>
  <c r="M362" i="17"/>
  <c r="O362" i="17" s="1"/>
  <c r="J363" i="17"/>
  <c r="P363" i="17" s="1"/>
  <c r="K363" i="17"/>
  <c r="Q363" i="17" s="1"/>
  <c r="L363" i="17"/>
  <c r="M363" i="17"/>
  <c r="O363" i="17" s="1"/>
  <c r="J364" i="17"/>
  <c r="P364" i="17" s="1"/>
  <c r="K364" i="17"/>
  <c r="Q364" i="17" s="1"/>
  <c r="L364" i="17"/>
  <c r="M364" i="17"/>
  <c r="O364" i="17" s="1"/>
  <c r="J365" i="17"/>
  <c r="P365" i="17" s="1"/>
  <c r="K365" i="17"/>
  <c r="Q365" i="17" s="1"/>
  <c r="L365" i="17"/>
  <c r="M365" i="17"/>
  <c r="O365" i="17" s="1"/>
  <c r="J366" i="17"/>
  <c r="P366" i="17" s="1"/>
  <c r="K366" i="17"/>
  <c r="Q366" i="17" s="1"/>
  <c r="L366" i="17"/>
  <c r="M366" i="17"/>
  <c r="O366" i="17" s="1"/>
  <c r="J367" i="17"/>
  <c r="P367" i="17" s="1"/>
  <c r="K367" i="17"/>
  <c r="Q367" i="17" s="1"/>
  <c r="L367" i="17"/>
  <c r="M367" i="17"/>
  <c r="O367" i="17" s="1"/>
  <c r="J368" i="17"/>
  <c r="P368" i="17" s="1"/>
  <c r="K368" i="17"/>
  <c r="Q368" i="17" s="1"/>
  <c r="L368" i="17"/>
  <c r="M368" i="17"/>
  <c r="O368" i="17" s="1"/>
  <c r="J369" i="17"/>
  <c r="P369" i="17" s="1"/>
  <c r="K369" i="17"/>
  <c r="Q369" i="17" s="1"/>
  <c r="L369" i="17"/>
  <c r="M369" i="17"/>
  <c r="O369" i="17" s="1"/>
  <c r="J370" i="17"/>
  <c r="P370" i="17" s="1"/>
  <c r="K370" i="17"/>
  <c r="Q370" i="17" s="1"/>
  <c r="L370" i="17"/>
  <c r="M370" i="17"/>
  <c r="O370" i="17" s="1"/>
  <c r="J371" i="17"/>
  <c r="P371" i="17" s="1"/>
  <c r="K371" i="17"/>
  <c r="Q371" i="17" s="1"/>
  <c r="L371" i="17"/>
  <c r="M371" i="17"/>
  <c r="O371" i="17" s="1"/>
  <c r="J372" i="17"/>
  <c r="P372" i="17" s="1"/>
  <c r="K372" i="17"/>
  <c r="Q372" i="17" s="1"/>
  <c r="L372" i="17"/>
  <c r="M372" i="17"/>
  <c r="O372" i="17" s="1"/>
  <c r="J373" i="17"/>
  <c r="P373" i="17" s="1"/>
  <c r="K373" i="17"/>
  <c r="Q373" i="17" s="1"/>
  <c r="L373" i="17"/>
  <c r="M373" i="17"/>
  <c r="O373" i="17" s="1"/>
  <c r="J374" i="17"/>
  <c r="P374" i="17" s="1"/>
  <c r="K374" i="17"/>
  <c r="Q374" i="17" s="1"/>
  <c r="L374" i="17"/>
  <c r="M374" i="17"/>
  <c r="O374" i="17" s="1"/>
  <c r="J375" i="17"/>
  <c r="P375" i="17" s="1"/>
  <c r="K375" i="17"/>
  <c r="Q375" i="17" s="1"/>
  <c r="L375" i="17"/>
  <c r="M375" i="17"/>
  <c r="O375" i="17" s="1"/>
  <c r="J376" i="17"/>
  <c r="P376" i="17" s="1"/>
  <c r="K376" i="17"/>
  <c r="Q376" i="17" s="1"/>
  <c r="L376" i="17"/>
  <c r="M376" i="17"/>
  <c r="O376" i="17" s="1"/>
  <c r="J377" i="17"/>
  <c r="P377" i="17" s="1"/>
  <c r="K377" i="17"/>
  <c r="Q377" i="17" s="1"/>
  <c r="L377" i="17"/>
  <c r="M377" i="17"/>
  <c r="O377" i="17" s="1"/>
  <c r="J378" i="17"/>
  <c r="P378" i="17" s="1"/>
  <c r="K378" i="17"/>
  <c r="Q378" i="17" s="1"/>
  <c r="L378" i="17"/>
  <c r="M378" i="17"/>
  <c r="O378" i="17" s="1"/>
  <c r="J379" i="17"/>
  <c r="P379" i="17" s="1"/>
  <c r="K379" i="17"/>
  <c r="Q379" i="17" s="1"/>
  <c r="L379" i="17"/>
  <c r="M379" i="17"/>
  <c r="O379" i="17" s="1"/>
  <c r="J380" i="17"/>
  <c r="P380" i="17" s="1"/>
  <c r="K380" i="17"/>
  <c r="Q380" i="17" s="1"/>
  <c r="L380" i="17"/>
  <c r="M380" i="17"/>
  <c r="O380" i="17" s="1"/>
  <c r="J381" i="17"/>
  <c r="P381" i="17" s="1"/>
  <c r="K381" i="17"/>
  <c r="Q381" i="17" s="1"/>
  <c r="L381" i="17"/>
  <c r="M381" i="17"/>
  <c r="O381" i="17" s="1"/>
  <c r="J382" i="17"/>
  <c r="P382" i="17" s="1"/>
  <c r="K382" i="17"/>
  <c r="Q382" i="17" s="1"/>
  <c r="L382" i="17"/>
  <c r="M382" i="17"/>
  <c r="O382" i="17" s="1"/>
  <c r="J383" i="17"/>
  <c r="P383" i="17" s="1"/>
  <c r="K383" i="17"/>
  <c r="Q383" i="17" s="1"/>
  <c r="L383" i="17"/>
  <c r="M383" i="17"/>
  <c r="O383" i="17" s="1"/>
  <c r="J384" i="17"/>
  <c r="P384" i="17" s="1"/>
  <c r="K384" i="17"/>
  <c r="Q384" i="17" s="1"/>
  <c r="L384" i="17"/>
  <c r="M384" i="17"/>
  <c r="O384" i="17" s="1"/>
  <c r="J385" i="17"/>
  <c r="P385" i="17" s="1"/>
  <c r="K385" i="17"/>
  <c r="Q385" i="17" s="1"/>
  <c r="L385" i="17"/>
  <c r="M385" i="17"/>
  <c r="O385" i="17" s="1"/>
  <c r="J386" i="17"/>
  <c r="P386" i="17" s="1"/>
  <c r="K386" i="17"/>
  <c r="Q386" i="17" s="1"/>
  <c r="L386" i="17"/>
  <c r="M386" i="17"/>
  <c r="O386" i="17" s="1"/>
  <c r="J387" i="17"/>
  <c r="P387" i="17" s="1"/>
  <c r="K387" i="17"/>
  <c r="Q387" i="17" s="1"/>
  <c r="L387" i="17"/>
  <c r="M387" i="17"/>
  <c r="O387" i="17" s="1"/>
  <c r="J388" i="17"/>
  <c r="P388" i="17" s="1"/>
  <c r="K388" i="17"/>
  <c r="Q388" i="17" s="1"/>
  <c r="L388" i="17"/>
  <c r="M388" i="17"/>
  <c r="O388" i="17" s="1"/>
  <c r="J389" i="17"/>
  <c r="P389" i="17" s="1"/>
  <c r="K389" i="17"/>
  <c r="Q389" i="17" s="1"/>
  <c r="L389" i="17"/>
  <c r="M389" i="17"/>
  <c r="O389" i="17" s="1"/>
  <c r="J390" i="17"/>
  <c r="P390" i="17" s="1"/>
  <c r="K390" i="17"/>
  <c r="Q390" i="17" s="1"/>
  <c r="L390" i="17"/>
  <c r="M390" i="17"/>
  <c r="O390" i="17" s="1"/>
  <c r="J391" i="17"/>
  <c r="P391" i="17" s="1"/>
  <c r="K391" i="17"/>
  <c r="Q391" i="17" s="1"/>
  <c r="L391" i="17"/>
  <c r="M391" i="17"/>
  <c r="O391" i="17" s="1"/>
  <c r="J392" i="17"/>
  <c r="P392" i="17" s="1"/>
  <c r="K392" i="17"/>
  <c r="Q392" i="17" s="1"/>
  <c r="L392" i="17"/>
  <c r="M392" i="17"/>
  <c r="O392" i="17" s="1"/>
  <c r="J393" i="17"/>
  <c r="P393" i="17" s="1"/>
  <c r="K393" i="17"/>
  <c r="Q393" i="17" s="1"/>
  <c r="L393" i="17"/>
  <c r="M393" i="17"/>
  <c r="O393" i="17" s="1"/>
  <c r="J394" i="17"/>
  <c r="P394" i="17" s="1"/>
  <c r="K394" i="17"/>
  <c r="Q394" i="17" s="1"/>
  <c r="L394" i="17"/>
  <c r="M394" i="17"/>
  <c r="O394" i="17" s="1"/>
  <c r="J395" i="17"/>
  <c r="P395" i="17" s="1"/>
  <c r="K395" i="17"/>
  <c r="Q395" i="17" s="1"/>
  <c r="L395" i="17"/>
  <c r="M395" i="17"/>
  <c r="O395" i="17" s="1"/>
  <c r="J396" i="17"/>
  <c r="P396" i="17" s="1"/>
  <c r="K396" i="17"/>
  <c r="Q396" i="17" s="1"/>
  <c r="L396" i="17"/>
  <c r="M396" i="17"/>
  <c r="O396" i="17" s="1"/>
  <c r="J397" i="17"/>
  <c r="P397" i="17" s="1"/>
  <c r="K397" i="17"/>
  <c r="Q397" i="17" s="1"/>
  <c r="L397" i="17"/>
  <c r="M397" i="17"/>
  <c r="O397" i="17" s="1"/>
  <c r="J398" i="17"/>
  <c r="P398" i="17" s="1"/>
  <c r="K398" i="17"/>
  <c r="Q398" i="17" s="1"/>
  <c r="L398" i="17"/>
  <c r="M398" i="17"/>
  <c r="O398" i="17" s="1"/>
  <c r="J399" i="17"/>
  <c r="P399" i="17" s="1"/>
  <c r="K399" i="17"/>
  <c r="Q399" i="17" s="1"/>
  <c r="L399" i="17"/>
  <c r="M399" i="17"/>
  <c r="O399" i="17" s="1"/>
  <c r="J400" i="17"/>
  <c r="P400" i="17" s="1"/>
  <c r="K400" i="17"/>
  <c r="Q400" i="17" s="1"/>
  <c r="L400" i="17"/>
  <c r="M400" i="17"/>
  <c r="O400" i="17" s="1"/>
  <c r="J401" i="17"/>
  <c r="P401" i="17" s="1"/>
  <c r="K401" i="17"/>
  <c r="Q401" i="17" s="1"/>
  <c r="L401" i="17"/>
  <c r="M401" i="17"/>
  <c r="O401" i="17" s="1"/>
  <c r="J402" i="17"/>
  <c r="P402" i="17" s="1"/>
  <c r="K402" i="17"/>
  <c r="Q402" i="17" s="1"/>
  <c r="L402" i="17"/>
  <c r="M402" i="17"/>
  <c r="O402" i="17" s="1"/>
  <c r="J403" i="17"/>
  <c r="P403" i="17" s="1"/>
  <c r="K403" i="17"/>
  <c r="Q403" i="17" s="1"/>
  <c r="L403" i="17"/>
  <c r="M403" i="17"/>
  <c r="O403" i="17" s="1"/>
  <c r="J404" i="17"/>
  <c r="P404" i="17" s="1"/>
  <c r="K404" i="17"/>
  <c r="Q404" i="17" s="1"/>
  <c r="L404" i="17"/>
  <c r="M404" i="17"/>
  <c r="O404" i="17" s="1"/>
  <c r="J405" i="17"/>
  <c r="P405" i="17" s="1"/>
  <c r="K405" i="17"/>
  <c r="Q405" i="17" s="1"/>
  <c r="L405" i="17"/>
  <c r="M405" i="17"/>
  <c r="O405" i="17" s="1"/>
  <c r="J406" i="17"/>
  <c r="P406" i="17" s="1"/>
  <c r="K406" i="17"/>
  <c r="Q406" i="17" s="1"/>
  <c r="L406" i="17"/>
  <c r="M406" i="17"/>
  <c r="O406" i="17" s="1"/>
  <c r="J407" i="17"/>
  <c r="P407" i="17" s="1"/>
  <c r="K407" i="17"/>
  <c r="Q407" i="17" s="1"/>
  <c r="L407" i="17"/>
  <c r="M407" i="17"/>
  <c r="O407" i="17" s="1"/>
  <c r="J408" i="17"/>
  <c r="P408" i="17" s="1"/>
  <c r="K408" i="17"/>
  <c r="Q408" i="17" s="1"/>
  <c r="L408" i="17"/>
  <c r="M408" i="17"/>
  <c r="O408" i="17" s="1"/>
  <c r="J409" i="17"/>
  <c r="P409" i="17" s="1"/>
  <c r="K409" i="17"/>
  <c r="Q409" i="17" s="1"/>
  <c r="L409" i="17"/>
  <c r="M409" i="17"/>
  <c r="O409" i="17" s="1"/>
  <c r="J410" i="17"/>
  <c r="P410" i="17" s="1"/>
  <c r="K410" i="17"/>
  <c r="Q410" i="17" s="1"/>
  <c r="L410" i="17"/>
  <c r="M410" i="17"/>
  <c r="O410" i="17" s="1"/>
  <c r="J411" i="17"/>
  <c r="P411" i="17" s="1"/>
  <c r="K411" i="17"/>
  <c r="Q411" i="17" s="1"/>
  <c r="L411" i="17"/>
  <c r="M411" i="17"/>
  <c r="O411" i="17" s="1"/>
  <c r="J412" i="17"/>
  <c r="P412" i="17" s="1"/>
  <c r="K412" i="17"/>
  <c r="Q412" i="17" s="1"/>
  <c r="L412" i="17"/>
  <c r="M412" i="17"/>
  <c r="O412" i="17" s="1"/>
  <c r="J413" i="17"/>
  <c r="P413" i="17" s="1"/>
  <c r="K413" i="17"/>
  <c r="Q413" i="17" s="1"/>
  <c r="L413" i="17"/>
  <c r="M413" i="17"/>
  <c r="O413" i="17" s="1"/>
  <c r="J414" i="17"/>
  <c r="P414" i="17" s="1"/>
  <c r="K414" i="17"/>
  <c r="Q414" i="17" s="1"/>
  <c r="L414" i="17"/>
  <c r="M414" i="17"/>
  <c r="O414" i="17" s="1"/>
  <c r="J415" i="17"/>
  <c r="P415" i="17" s="1"/>
  <c r="K415" i="17"/>
  <c r="Q415" i="17" s="1"/>
  <c r="L415" i="17"/>
  <c r="M415" i="17"/>
  <c r="O415" i="17" s="1"/>
  <c r="J416" i="17"/>
  <c r="P416" i="17" s="1"/>
  <c r="K416" i="17"/>
  <c r="Q416" i="17" s="1"/>
  <c r="L416" i="17"/>
  <c r="M416" i="17"/>
  <c r="O416" i="17" s="1"/>
  <c r="J417" i="17"/>
  <c r="P417" i="17" s="1"/>
  <c r="K417" i="17"/>
  <c r="Q417" i="17" s="1"/>
  <c r="L417" i="17"/>
  <c r="M417" i="17"/>
  <c r="O417" i="17" s="1"/>
  <c r="J418" i="17"/>
  <c r="P418" i="17" s="1"/>
  <c r="K418" i="17"/>
  <c r="Q418" i="17" s="1"/>
  <c r="L418" i="17"/>
  <c r="M418" i="17"/>
  <c r="O418" i="17" s="1"/>
  <c r="J419" i="17"/>
  <c r="P419" i="17" s="1"/>
  <c r="K419" i="17"/>
  <c r="Q419" i="17" s="1"/>
  <c r="L419" i="17"/>
  <c r="M419" i="17"/>
  <c r="O419" i="17" s="1"/>
  <c r="J420" i="17"/>
  <c r="P420" i="17" s="1"/>
  <c r="K420" i="17"/>
  <c r="Q420" i="17" s="1"/>
  <c r="L420" i="17"/>
  <c r="M420" i="17"/>
  <c r="O420" i="17" s="1"/>
  <c r="J421" i="17"/>
  <c r="P421" i="17" s="1"/>
  <c r="K421" i="17"/>
  <c r="Q421" i="17" s="1"/>
  <c r="L421" i="17"/>
  <c r="M421" i="17"/>
  <c r="O421" i="17" s="1"/>
  <c r="J422" i="17"/>
  <c r="P422" i="17" s="1"/>
  <c r="K422" i="17"/>
  <c r="Q422" i="17" s="1"/>
  <c r="L422" i="17"/>
  <c r="M422" i="17"/>
  <c r="O422" i="17" s="1"/>
  <c r="J423" i="17"/>
  <c r="P423" i="17" s="1"/>
  <c r="K423" i="17"/>
  <c r="Q423" i="17" s="1"/>
  <c r="L423" i="17"/>
  <c r="M423" i="17"/>
  <c r="O423" i="17" s="1"/>
  <c r="J424" i="17"/>
  <c r="P424" i="17" s="1"/>
  <c r="K424" i="17"/>
  <c r="Q424" i="17" s="1"/>
  <c r="L424" i="17"/>
  <c r="M424" i="17"/>
  <c r="O424" i="17" s="1"/>
  <c r="J425" i="17"/>
  <c r="P425" i="17" s="1"/>
  <c r="K425" i="17"/>
  <c r="Q425" i="17" s="1"/>
  <c r="L425" i="17"/>
  <c r="M425" i="17"/>
  <c r="O425" i="17" s="1"/>
  <c r="J426" i="17"/>
  <c r="P426" i="17" s="1"/>
  <c r="K426" i="17"/>
  <c r="Q426" i="17" s="1"/>
  <c r="L426" i="17"/>
  <c r="M426" i="17"/>
  <c r="O426" i="17" s="1"/>
  <c r="J427" i="17"/>
  <c r="P427" i="17" s="1"/>
  <c r="K427" i="17"/>
  <c r="Q427" i="17" s="1"/>
  <c r="L427" i="17"/>
  <c r="M427" i="17"/>
  <c r="O427" i="17" s="1"/>
  <c r="J428" i="17"/>
  <c r="P428" i="17" s="1"/>
  <c r="K428" i="17"/>
  <c r="Q428" i="17" s="1"/>
  <c r="L428" i="17"/>
  <c r="M428" i="17"/>
  <c r="O428" i="17" s="1"/>
  <c r="J429" i="17"/>
  <c r="P429" i="17" s="1"/>
  <c r="K429" i="17"/>
  <c r="Q429" i="17" s="1"/>
  <c r="L429" i="17"/>
  <c r="M429" i="17"/>
  <c r="O429" i="17" s="1"/>
  <c r="J430" i="17"/>
  <c r="P430" i="17" s="1"/>
  <c r="K430" i="17"/>
  <c r="Q430" i="17" s="1"/>
  <c r="L430" i="17"/>
  <c r="M430" i="17"/>
  <c r="O430" i="17" s="1"/>
  <c r="J431" i="17"/>
  <c r="P431" i="17" s="1"/>
  <c r="K431" i="17"/>
  <c r="Q431" i="17" s="1"/>
  <c r="L431" i="17"/>
  <c r="M431" i="17"/>
  <c r="O431" i="17" s="1"/>
  <c r="J432" i="17"/>
  <c r="P432" i="17" s="1"/>
  <c r="K432" i="17"/>
  <c r="Q432" i="17" s="1"/>
  <c r="L432" i="17"/>
  <c r="M432" i="17"/>
  <c r="O432" i="17" s="1"/>
  <c r="J433" i="17"/>
  <c r="P433" i="17" s="1"/>
  <c r="K433" i="17"/>
  <c r="Q433" i="17" s="1"/>
  <c r="L433" i="17"/>
  <c r="M433" i="17"/>
  <c r="O433" i="17" s="1"/>
  <c r="J434" i="17"/>
  <c r="P434" i="17" s="1"/>
  <c r="K434" i="17"/>
  <c r="Q434" i="17" s="1"/>
  <c r="L434" i="17"/>
  <c r="M434" i="17"/>
  <c r="O434" i="17" s="1"/>
  <c r="J435" i="17"/>
  <c r="P435" i="17" s="1"/>
  <c r="K435" i="17"/>
  <c r="Q435" i="17" s="1"/>
  <c r="L435" i="17"/>
  <c r="M435" i="17"/>
  <c r="O435" i="17" s="1"/>
  <c r="J436" i="17"/>
  <c r="P436" i="17" s="1"/>
  <c r="K436" i="17"/>
  <c r="Q436" i="17" s="1"/>
  <c r="L436" i="17"/>
  <c r="M436" i="17"/>
  <c r="O436" i="17" s="1"/>
  <c r="J437" i="17"/>
  <c r="P437" i="17" s="1"/>
  <c r="K437" i="17"/>
  <c r="Q437" i="17" s="1"/>
  <c r="L437" i="17"/>
  <c r="M437" i="17"/>
  <c r="O437" i="17" s="1"/>
  <c r="J438" i="17"/>
  <c r="P438" i="17" s="1"/>
  <c r="K438" i="17"/>
  <c r="Q438" i="17" s="1"/>
  <c r="L438" i="17"/>
  <c r="M438" i="17"/>
  <c r="O438" i="17" s="1"/>
  <c r="J439" i="17"/>
  <c r="P439" i="17" s="1"/>
  <c r="K439" i="17"/>
  <c r="Q439" i="17" s="1"/>
  <c r="L439" i="17"/>
  <c r="M439" i="17"/>
  <c r="O439" i="17" s="1"/>
  <c r="J440" i="17"/>
  <c r="P440" i="17" s="1"/>
  <c r="K440" i="17"/>
  <c r="Q440" i="17" s="1"/>
  <c r="L440" i="17"/>
  <c r="M440" i="17"/>
  <c r="O440" i="17" s="1"/>
  <c r="J441" i="17"/>
  <c r="P441" i="17" s="1"/>
  <c r="K441" i="17"/>
  <c r="Q441" i="17" s="1"/>
  <c r="L441" i="17"/>
  <c r="M441" i="17"/>
  <c r="O441" i="17" s="1"/>
  <c r="J442" i="17"/>
  <c r="P442" i="17" s="1"/>
  <c r="K442" i="17"/>
  <c r="Q442" i="17" s="1"/>
  <c r="L442" i="17"/>
  <c r="M442" i="17"/>
  <c r="O442" i="17" s="1"/>
  <c r="J443" i="17"/>
  <c r="P443" i="17" s="1"/>
  <c r="K443" i="17"/>
  <c r="Q443" i="17" s="1"/>
  <c r="L443" i="17"/>
  <c r="M443" i="17"/>
  <c r="O443" i="17" s="1"/>
  <c r="J444" i="17"/>
  <c r="P444" i="17" s="1"/>
  <c r="K444" i="17"/>
  <c r="Q444" i="17" s="1"/>
  <c r="L444" i="17"/>
  <c r="M444" i="17"/>
  <c r="O444" i="17" s="1"/>
  <c r="J445" i="17"/>
  <c r="P445" i="17" s="1"/>
  <c r="K445" i="17"/>
  <c r="Q445" i="17" s="1"/>
  <c r="L445" i="17"/>
  <c r="M445" i="17"/>
  <c r="O445" i="17" s="1"/>
  <c r="J446" i="17"/>
  <c r="P446" i="17" s="1"/>
  <c r="K446" i="17"/>
  <c r="Q446" i="17" s="1"/>
  <c r="L446" i="17"/>
  <c r="M446" i="17"/>
  <c r="O446" i="17" s="1"/>
  <c r="J447" i="17"/>
  <c r="P447" i="17" s="1"/>
  <c r="K447" i="17"/>
  <c r="Q447" i="17" s="1"/>
  <c r="L447" i="17"/>
  <c r="M447" i="17"/>
  <c r="O447" i="17" s="1"/>
  <c r="J448" i="17"/>
  <c r="P448" i="17" s="1"/>
  <c r="K448" i="17"/>
  <c r="Q448" i="17" s="1"/>
  <c r="L448" i="17"/>
  <c r="M448" i="17"/>
  <c r="O448" i="17" s="1"/>
  <c r="J449" i="17"/>
  <c r="P449" i="17" s="1"/>
  <c r="K449" i="17"/>
  <c r="Q449" i="17" s="1"/>
  <c r="L449" i="17"/>
  <c r="M449" i="17"/>
  <c r="O449" i="17" s="1"/>
  <c r="J450" i="17"/>
  <c r="P450" i="17" s="1"/>
  <c r="K450" i="17"/>
  <c r="Q450" i="17" s="1"/>
  <c r="L450" i="17"/>
  <c r="M450" i="17"/>
  <c r="O450" i="17" s="1"/>
  <c r="J451" i="17"/>
  <c r="P451" i="17" s="1"/>
  <c r="K451" i="17"/>
  <c r="Q451" i="17" s="1"/>
  <c r="L451" i="17"/>
  <c r="M451" i="17"/>
  <c r="O451" i="17" s="1"/>
  <c r="J452" i="17"/>
  <c r="P452" i="17" s="1"/>
  <c r="K452" i="17"/>
  <c r="Q452" i="17" s="1"/>
  <c r="L452" i="17"/>
  <c r="M452" i="17"/>
  <c r="O452" i="17" s="1"/>
  <c r="J453" i="17"/>
  <c r="P453" i="17" s="1"/>
  <c r="K453" i="17"/>
  <c r="Q453" i="17" s="1"/>
  <c r="L453" i="17"/>
  <c r="M453" i="17"/>
  <c r="O453" i="17" s="1"/>
  <c r="J454" i="17"/>
  <c r="P454" i="17" s="1"/>
  <c r="K454" i="17"/>
  <c r="Q454" i="17" s="1"/>
  <c r="L454" i="17"/>
  <c r="M454" i="17"/>
  <c r="O454" i="17" s="1"/>
  <c r="J455" i="17"/>
  <c r="P455" i="17" s="1"/>
  <c r="K455" i="17"/>
  <c r="Q455" i="17" s="1"/>
  <c r="L455" i="17"/>
  <c r="M455" i="17"/>
  <c r="O455" i="17" s="1"/>
  <c r="J456" i="17"/>
  <c r="P456" i="17" s="1"/>
  <c r="K456" i="17"/>
  <c r="Q456" i="17" s="1"/>
  <c r="L456" i="17"/>
  <c r="M456" i="17"/>
  <c r="O456" i="17" s="1"/>
  <c r="J457" i="17"/>
  <c r="P457" i="17" s="1"/>
  <c r="K457" i="17"/>
  <c r="Q457" i="17" s="1"/>
  <c r="L457" i="17"/>
  <c r="M457" i="17"/>
  <c r="O457" i="17" s="1"/>
  <c r="J458" i="17"/>
  <c r="P458" i="17" s="1"/>
  <c r="K458" i="17"/>
  <c r="Q458" i="17" s="1"/>
  <c r="L458" i="17"/>
  <c r="M458" i="17"/>
  <c r="O458" i="17" s="1"/>
  <c r="J459" i="17"/>
  <c r="P459" i="17" s="1"/>
  <c r="K459" i="17"/>
  <c r="Q459" i="17" s="1"/>
  <c r="L459" i="17"/>
  <c r="M459" i="17"/>
  <c r="O459" i="17" s="1"/>
  <c r="J460" i="17"/>
  <c r="P460" i="17" s="1"/>
  <c r="K460" i="17"/>
  <c r="Q460" i="17" s="1"/>
  <c r="L460" i="17"/>
  <c r="M460" i="17"/>
  <c r="O460" i="17" s="1"/>
  <c r="J461" i="17"/>
  <c r="P461" i="17" s="1"/>
  <c r="K461" i="17"/>
  <c r="Q461" i="17" s="1"/>
  <c r="L461" i="17"/>
  <c r="M461" i="17"/>
  <c r="O461" i="17" s="1"/>
  <c r="J462" i="17"/>
  <c r="P462" i="17" s="1"/>
  <c r="K462" i="17"/>
  <c r="Q462" i="17" s="1"/>
  <c r="L462" i="17"/>
  <c r="M462" i="17"/>
  <c r="O462" i="17" s="1"/>
  <c r="J463" i="17"/>
  <c r="P463" i="17" s="1"/>
  <c r="K463" i="17"/>
  <c r="Q463" i="17" s="1"/>
  <c r="L463" i="17"/>
  <c r="M463" i="17"/>
  <c r="O463" i="17" s="1"/>
  <c r="J464" i="17"/>
  <c r="P464" i="17" s="1"/>
  <c r="K464" i="17"/>
  <c r="Q464" i="17" s="1"/>
  <c r="L464" i="17"/>
  <c r="M464" i="17"/>
  <c r="O464" i="17" s="1"/>
  <c r="J465" i="17"/>
  <c r="P465" i="17" s="1"/>
  <c r="K465" i="17"/>
  <c r="Q465" i="17" s="1"/>
  <c r="L465" i="17"/>
  <c r="M465" i="17"/>
  <c r="O465" i="17" s="1"/>
  <c r="J466" i="17"/>
  <c r="P466" i="17" s="1"/>
  <c r="K466" i="17"/>
  <c r="Q466" i="17" s="1"/>
  <c r="L466" i="17"/>
  <c r="M466" i="17"/>
  <c r="O466" i="17" s="1"/>
  <c r="J467" i="17"/>
  <c r="P467" i="17" s="1"/>
  <c r="K467" i="17"/>
  <c r="Q467" i="17" s="1"/>
  <c r="L467" i="17"/>
  <c r="M467" i="17"/>
  <c r="O467" i="17" s="1"/>
  <c r="J468" i="17"/>
  <c r="P468" i="17" s="1"/>
  <c r="K468" i="17"/>
  <c r="Q468" i="17" s="1"/>
  <c r="L468" i="17"/>
  <c r="M468" i="17"/>
  <c r="O468" i="17" s="1"/>
  <c r="J469" i="17"/>
  <c r="P469" i="17" s="1"/>
  <c r="K469" i="17"/>
  <c r="Q469" i="17" s="1"/>
  <c r="L469" i="17"/>
  <c r="M469" i="17"/>
  <c r="O469" i="17" s="1"/>
  <c r="J470" i="17"/>
  <c r="P470" i="17" s="1"/>
  <c r="K470" i="17"/>
  <c r="Q470" i="17" s="1"/>
  <c r="L470" i="17"/>
  <c r="M470" i="17"/>
  <c r="O470" i="17" s="1"/>
  <c r="J471" i="17"/>
  <c r="P471" i="17" s="1"/>
  <c r="K471" i="17"/>
  <c r="Q471" i="17" s="1"/>
  <c r="L471" i="17"/>
  <c r="M471" i="17"/>
  <c r="O471" i="17" s="1"/>
  <c r="J472" i="17"/>
  <c r="P472" i="17" s="1"/>
  <c r="K472" i="17"/>
  <c r="Q472" i="17" s="1"/>
  <c r="L472" i="17"/>
  <c r="M472" i="17"/>
  <c r="O472" i="17" s="1"/>
  <c r="J473" i="17"/>
  <c r="P473" i="17" s="1"/>
  <c r="K473" i="17"/>
  <c r="Q473" i="17" s="1"/>
  <c r="L473" i="17"/>
  <c r="M473" i="17"/>
  <c r="O473" i="17" s="1"/>
  <c r="J474" i="17"/>
  <c r="P474" i="17" s="1"/>
  <c r="K474" i="17"/>
  <c r="Q474" i="17" s="1"/>
  <c r="L474" i="17"/>
  <c r="M474" i="17"/>
  <c r="O474" i="17" s="1"/>
  <c r="J475" i="17"/>
  <c r="P475" i="17" s="1"/>
  <c r="K475" i="17"/>
  <c r="Q475" i="17" s="1"/>
  <c r="L475" i="17"/>
  <c r="M475" i="17"/>
  <c r="O475" i="17" s="1"/>
  <c r="J476" i="17"/>
  <c r="P476" i="17" s="1"/>
  <c r="K476" i="17"/>
  <c r="Q476" i="17" s="1"/>
  <c r="L476" i="17"/>
  <c r="M476" i="17"/>
  <c r="O476" i="17" s="1"/>
  <c r="J477" i="17"/>
  <c r="P477" i="17" s="1"/>
  <c r="K477" i="17"/>
  <c r="Q477" i="17" s="1"/>
  <c r="L477" i="17"/>
  <c r="M477" i="17"/>
  <c r="O477" i="17" s="1"/>
  <c r="J478" i="17"/>
  <c r="P478" i="17" s="1"/>
  <c r="K478" i="17"/>
  <c r="Q478" i="17" s="1"/>
  <c r="L478" i="17"/>
  <c r="M478" i="17"/>
  <c r="O478" i="17" s="1"/>
  <c r="J479" i="17"/>
  <c r="P479" i="17" s="1"/>
  <c r="K479" i="17"/>
  <c r="Q479" i="17" s="1"/>
  <c r="L479" i="17"/>
  <c r="M479" i="17"/>
  <c r="O479" i="17" s="1"/>
  <c r="J480" i="17"/>
  <c r="P480" i="17" s="1"/>
  <c r="K480" i="17"/>
  <c r="Q480" i="17" s="1"/>
  <c r="L480" i="17"/>
  <c r="M480" i="17"/>
  <c r="O480" i="17" s="1"/>
  <c r="J481" i="17"/>
  <c r="P481" i="17" s="1"/>
  <c r="K481" i="17"/>
  <c r="Q481" i="17" s="1"/>
  <c r="L481" i="17"/>
  <c r="M481" i="17"/>
  <c r="O481" i="17" s="1"/>
  <c r="J482" i="17"/>
  <c r="P482" i="17" s="1"/>
  <c r="K482" i="17"/>
  <c r="Q482" i="17" s="1"/>
  <c r="L482" i="17"/>
  <c r="M482" i="17"/>
  <c r="O482" i="17" s="1"/>
  <c r="J483" i="17"/>
  <c r="P483" i="17" s="1"/>
  <c r="K483" i="17"/>
  <c r="Q483" i="17" s="1"/>
  <c r="L483" i="17"/>
  <c r="M483" i="17"/>
  <c r="O483" i="17" s="1"/>
  <c r="J484" i="17"/>
  <c r="P484" i="17" s="1"/>
  <c r="K484" i="17"/>
  <c r="Q484" i="17" s="1"/>
  <c r="L484" i="17"/>
  <c r="M484" i="17"/>
  <c r="O484" i="17" s="1"/>
  <c r="J485" i="17"/>
  <c r="P485" i="17" s="1"/>
  <c r="K485" i="17"/>
  <c r="Q485" i="17" s="1"/>
  <c r="L485" i="17"/>
  <c r="M485" i="17"/>
  <c r="O485" i="17" s="1"/>
  <c r="J486" i="17"/>
  <c r="P486" i="17" s="1"/>
  <c r="K486" i="17"/>
  <c r="Q486" i="17" s="1"/>
  <c r="L486" i="17"/>
  <c r="M486" i="17"/>
  <c r="O486" i="17" s="1"/>
  <c r="J487" i="17"/>
  <c r="P487" i="17" s="1"/>
  <c r="K487" i="17"/>
  <c r="Q487" i="17" s="1"/>
  <c r="L487" i="17"/>
  <c r="M487" i="17"/>
  <c r="O487" i="17" s="1"/>
  <c r="J488" i="17"/>
  <c r="P488" i="17" s="1"/>
  <c r="K488" i="17"/>
  <c r="Q488" i="17" s="1"/>
  <c r="L488" i="17"/>
  <c r="M488" i="17"/>
  <c r="O488" i="17" s="1"/>
  <c r="J489" i="17"/>
  <c r="P489" i="17" s="1"/>
  <c r="K489" i="17"/>
  <c r="Q489" i="17" s="1"/>
  <c r="L489" i="17"/>
  <c r="M489" i="17"/>
  <c r="O489" i="17" s="1"/>
  <c r="J490" i="17"/>
  <c r="P490" i="17" s="1"/>
  <c r="K490" i="17"/>
  <c r="Q490" i="17" s="1"/>
  <c r="L490" i="17"/>
  <c r="M490" i="17"/>
  <c r="O490" i="17" s="1"/>
  <c r="J491" i="17"/>
  <c r="P491" i="17" s="1"/>
  <c r="K491" i="17"/>
  <c r="Q491" i="17" s="1"/>
  <c r="L491" i="17"/>
  <c r="M491" i="17"/>
  <c r="O491" i="17" s="1"/>
  <c r="J492" i="17"/>
  <c r="P492" i="17" s="1"/>
  <c r="K492" i="17"/>
  <c r="Q492" i="17" s="1"/>
  <c r="L492" i="17"/>
  <c r="M492" i="17"/>
  <c r="O492" i="17" s="1"/>
  <c r="J493" i="17"/>
  <c r="P493" i="17" s="1"/>
  <c r="K493" i="17"/>
  <c r="Q493" i="17" s="1"/>
  <c r="L493" i="17"/>
  <c r="M493" i="17"/>
  <c r="O493" i="17" s="1"/>
  <c r="J494" i="17"/>
  <c r="P494" i="17" s="1"/>
  <c r="K494" i="17"/>
  <c r="Q494" i="17" s="1"/>
  <c r="L494" i="17"/>
  <c r="M494" i="17"/>
  <c r="O494" i="17" s="1"/>
  <c r="J495" i="17"/>
  <c r="P495" i="17" s="1"/>
  <c r="K495" i="17"/>
  <c r="Q495" i="17" s="1"/>
  <c r="L495" i="17"/>
  <c r="M495" i="17"/>
  <c r="O495" i="17" s="1"/>
  <c r="J496" i="17"/>
  <c r="P496" i="17" s="1"/>
  <c r="K496" i="17"/>
  <c r="Q496" i="17" s="1"/>
  <c r="L496" i="17"/>
  <c r="M496" i="17"/>
  <c r="O496" i="17" s="1"/>
  <c r="J497" i="17"/>
  <c r="P497" i="17" s="1"/>
  <c r="K497" i="17"/>
  <c r="Q497" i="17" s="1"/>
  <c r="L497" i="17"/>
  <c r="M497" i="17"/>
  <c r="O497" i="17" s="1"/>
  <c r="J498" i="17"/>
  <c r="P498" i="17" s="1"/>
  <c r="K498" i="17"/>
  <c r="Q498" i="17" s="1"/>
  <c r="L498" i="17"/>
  <c r="M498" i="17"/>
  <c r="O498" i="17" s="1"/>
  <c r="J499" i="17"/>
  <c r="P499" i="17" s="1"/>
  <c r="K499" i="17"/>
  <c r="Q499" i="17" s="1"/>
  <c r="L499" i="17"/>
  <c r="M499" i="17"/>
  <c r="O499" i="17" s="1"/>
  <c r="J500" i="17"/>
  <c r="P500" i="17" s="1"/>
  <c r="K500" i="17"/>
  <c r="Q500" i="17" s="1"/>
  <c r="L500" i="17"/>
  <c r="M500" i="17"/>
  <c r="O500" i="17" s="1"/>
  <c r="J501" i="17"/>
  <c r="P501" i="17" s="1"/>
  <c r="K501" i="17"/>
  <c r="Q501" i="17" s="1"/>
  <c r="L501" i="17"/>
  <c r="M501" i="17"/>
  <c r="O501" i="17" s="1"/>
  <c r="J502" i="17"/>
  <c r="P502" i="17" s="1"/>
  <c r="K502" i="17"/>
  <c r="Q502" i="17" s="1"/>
  <c r="L502" i="17"/>
  <c r="M502" i="17"/>
  <c r="O502" i="17" s="1"/>
  <c r="J503" i="17"/>
  <c r="P503" i="17" s="1"/>
  <c r="K503" i="17"/>
  <c r="Q503" i="17" s="1"/>
  <c r="L503" i="17"/>
  <c r="M503" i="17"/>
  <c r="O503" i="17" s="1"/>
  <c r="J504" i="17"/>
  <c r="P504" i="17" s="1"/>
  <c r="K504" i="17"/>
  <c r="Q504" i="17" s="1"/>
  <c r="L504" i="17"/>
  <c r="M504" i="17"/>
  <c r="O504" i="17" s="1"/>
  <c r="J505" i="17"/>
  <c r="P505" i="17" s="1"/>
  <c r="K505" i="17"/>
  <c r="Q505" i="17" s="1"/>
  <c r="L505" i="17"/>
  <c r="M505" i="17"/>
  <c r="O505" i="17" s="1"/>
  <c r="J506" i="17"/>
  <c r="P506" i="17" s="1"/>
  <c r="K506" i="17"/>
  <c r="Q506" i="17" s="1"/>
  <c r="L506" i="17"/>
  <c r="M506" i="17"/>
  <c r="O506" i="17" s="1"/>
  <c r="J507" i="17"/>
  <c r="P507" i="17" s="1"/>
  <c r="K507" i="17"/>
  <c r="Q507" i="17" s="1"/>
  <c r="L507" i="17"/>
  <c r="M507" i="17"/>
  <c r="O507" i="17" s="1"/>
  <c r="J508" i="17"/>
  <c r="P508" i="17" s="1"/>
  <c r="K508" i="17"/>
  <c r="Q508" i="17" s="1"/>
  <c r="L508" i="17"/>
  <c r="M508" i="17"/>
  <c r="O508" i="17" s="1"/>
  <c r="J509" i="17"/>
  <c r="P509" i="17" s="1"/>
  <c r="K509" i="17"/>
  <c r="Q509" i="17" s="1"/>
  <c r="L509" i="17"/>
  <c r="M509" i="17"/>
  <c r="O509" i="17" s="1"/>
  <c r="J510" i="17"/>
  <c r="P510" i="17" s="1"/>
  <c r="K510" i="17"/>
  <c r="Q510" i="17" s="1"/>
  <c r="L510" i="17"/>
  <c r="M510" i="17"/>
  <c r="O510" i="17" s="1"/>
  <c r="J511" i="17"/>
  <c r="P511" i="17" s="1"/>
  <c r="K511" i="17"/>
  <c r="Q511" i="17" s="1"/>
  <c r="L511" i="17"/>
  <c r="M511" i="17"/>
  <c r="O511" i="17" s="1"/>
  <c r="J512" i="17"/>
  <c r="P512" i="17" s="1"/>
  <c r="K512" i="17"/>
  <c r="Q512" i="17" s="1"/>
  <c r="L512" i="17"/>
  <c r="M512" i="17"/>
  <c r="O512" i="17" s="1"/>
  <c r="J513" i="17"/>
  <c r="P513" i="17" s="1"/>
  <c r="K513" i="17"/>
  <c r="Q513" i="17" s="1"/>
  <c r="L513" i="17"/>
  <c r="M513" i="17"/>
  <c r="O513" i="17" s="1"/>
  <c r="J514" i="17"/>
  <c r="P514" i="17" s="1"/>
  <c r="K514" i="17"/>
  <c r="Q514" i="17" s="1"/>
  <c r="L514" i="17"/>
  <c r="M514" i="17"/>
  <c r="O514" i="17" s="1"/>
  <c r="J515" i="17"/>
  <c r="P515" i="17" s="1"/>
  <c r="K515" i="17"/>
  <c r="Q515" i="17" s="1"/>
  <c r="L515" i="17"/>
  <c r="M515" i="17"/>
  <c r="O515" i="17" s="1"/>
  <c r="J516" i="17"/>
  <c r="P516" i="17" s="1"/>
  <c r="K516" i="17"/>
  <c r="Q516" i="17" s="1"/>
  <c r="L516" i="17"/>
  <c r="M516" i="17"/>
  <c r="O516" i="17" s="1"/>
  <c r="J517" i="17"/>
  <c r="P517" i="17" s="1"/>
  <c r="K517" i="17"/>
  <c r="Q517" i="17" s="1"/>
  <c r="L517" i="17"/>
  <c r="M517" i="17"/>
  <c r="O517" i="17" s="1"/>
  <c r="J518" i="17"/>
  <c r="P518" i="17" s="1"/>
  <c r="K518" i="17"/>
  <c r="Q518" i="17" s="1"/>
  <c r="L518" i="17"/>
  <c r="M518" i="17"/>
  <c r="O518" i="17" s="1"/>
  <c r="J519" i="17"/>
  <c r="P519" i="17" s="1"/>
  <c r="K519" i="17"/>
  <c r="Q519" i="17" s="1"/>
  <c r="L519" i="17"/>
  <c r="M519" i="17"/>
  <c r="O519" i="17" s="1"/>
  <c r="J520" i="17"/>
  <c r="P520" i="17" s="1"/>
  <c r="K520" i="17"/>
  <c r="Q520" i="17" s="1"/>
  <c r="L520" i="17"/>
  <c r="M520" i="17"/>
  <c r="O520" i="17" s="1"/>
  <c r="J521" i="17"/>
  <c r="P521" i="17" s="1"/>
  <c r="K521" i="17"/>
  <c r="Q521" i="17" s="1"/>
  <c r="L521" i="17"/>
  <c r="M521" i="17"/>
  <c r="O521" i="17" s="1"/>
  <c r="J522" i="17"/>
  <c r="P522" i="17" s="1"/>
  <c r="K522" i="17"/>
  <c r="Q522" i="17" s="1"/>
  <c r="L522" i="17"/>
  <c r="M522" i="17"/>
  <c r="O522" i="17" s="1"/>
  <c r="J523" i="17"/>
  <c r="P523" i="17" s="1"/>
  <c r="K523" i="17"/>
  <c r="Q523" i="17" s="1"/>
  <c r="L523" i="17"/>
  <c r="M523" i="17"/>
  <c r="O523" i="17" s="1"/>
  <c r="J524" i="17"/>
  <c r="P524" i="17" s="1"/>
  <c r="K524" i="17"/>
  <c r="Q524" i="17" s="1"/>
  <c r="L524" i="17"/>
  <c r="M524" i="17"/>
  <c r="O524" i="17" s="1"/>
  <c r="J525" i="17"/>
  <c r="P525" i="17" s="1"/>
  <c r="K525" i="17"/>
  <c r="Q525" i="17" s="1"/>
  <c r="L525" i="17"/>
  <c r="M525" i="17"/>
  <c r="O525" i="17" s="1"/>
  <c r="J526" i="17"/>
  <c r="P526" i="17" s="1"/>
  <c r="K526" i="17"/>
  <c r="Q526" i="17" s="1"/>
  <c r="L526" i="17"/>
  <c r="M526" i="17"/>
  <c r="O526" i="17" s="1"/>
  <c r="J527" i="17"/>
  <c r="P527" i="17" s="1"/>
  <c r="K527" i="17"/>
  <c r="Q527" i="17" s="1"/>
  <c r="L527" i="17"/>
  <c r="M527" i="17"/>
  <c r="O527" i="17" s="1"/>
  <c r="J528" i="17"/>
  <c r="P528" i="17" s="1"/>
  <c r="K528" i="17"/>
  <c r="Q528" i="17" s="1"/>
  <c r="L528" i="17"/>
  <c r="M528" i="17"/>
  <c r="O528" i="17" s="1"/>
  <c r="J529" i="17"/>
  <c r="P529" i="17" s="1"/>
  <c r="K529" i="17"/>
  <c r="Q529" i="17" s="1"/>
  <c r="L529" i="17"/>
  <c r="M529" i="17"/>
  <c r="O529" i="17" s="1"/>
  <c r="J530" i="17"/>
  <c r="P530" i="17" s="1"/>
  <c r="K530" i="17"/>
  <c r="Q530" i="17" s="1"/>
  <c r="L530" i="17"/>
  <c r="M530" i="17"/>
  <c r="O530" i="17" s="1"/>
  <c r="J531" i="17"/>
  <c r="P531" i="17" s="1"/>
  <c r="K531" i="17"/>
  <c r="Q531" i="17" s="1"/>
  <c r="L531" i="17"/>
  <c r="M531" i="17"/>
  <c r="O531" i="17" s="1"/>
  <c r="J532" i="17"/>
  <c r="P532" i="17" s="1"/>
  <c r="K532" i="17"/>
  <c r="Q532" i="17" s="1"/>
  <c r="L532" i="17"/>
  <c r="M532" i="17"/>
  <c r="O532" i="17" s="1"/>
  <c r="J533" i="17"/>
  <c r="P533" i="17" s="1"/>
  <c r="K533" i="17"/>
  <c r="Q533" i="17" s="1"/>
  <c r="L533" i="17"/>
  <c r="M533" i="17"/>
  <c r="O533" i="17" s="1"/>
  <c r="J534" i="17"/>
  <c r="P534" i="17" s="1"/>
  <c r="K534" i="17"/>
  <c r="Q534" i="17" s="1"/>
  <c r="L534" i="17"/>
  <c r="M534" i="17"/>
  <c r="O534" i="17" s="1"/>
  <c r="J535" i="17"/>
  <c r="P535" i="17" s="1"/>
  <c r="K535" i="17"/>
  <c r="Q535" i="17" s="1"/>
  <c r="L535" i="17"/>
  <c r="M535" i="17"/>
  <c r="O535" i="17" s="1"/>
  <c r="J536" i="17"/>
  <c r="P536" i="17" s="1"/>
  <c r="K536" i="17"/>
  <c r="Q536" i="17" s="1"/>
  <c r="L536" i="17"/>
  <c r="M536" i="17"/>
  <c r="O536" i="17" s="1"/>
  <c r="J537" i="17"/>
  <c r="P537" i="17" s="1"/>
  <c r="K537" i="17"/>
  <c r="Q537" i="17" s="1"/>
  <c r="L537" i="17"/>
  <c r="M537" i="17"/>
  <c r="O537" i="17" s="1"/>
  <c r="J538" i="17"/>
  <c r="P538" i="17" s="1"/>
  <c r="K538" i="17"/>
  <c r="Q538" i="17" s="1"/>
  <c r="L538" i="17"/>
  <c r="M538" i="17"/>
  <c r="O538" i="17" s="1"/>
  <c r="J539" i="17"/>
  <c r="P539" i="17" s="1"/>
  <c r="K539" i="17"/>
  <c r="Q539" i="17" s="1"/>
  <c r="L539" i="17"/>
  <c r="M539" i="17"/>
  <c r="O539" i="17" s="1"/>
  <c r="J540" i="17"/>
  <c r="P540" i="17" s="1"/>
  <c r="K540" i="17"/>
  <c r="Q540" i="17" s="1"/>
  <c r="L540" i="17"/>
  <c r="M540" i="17"/>
  <c r="O540" i="17" s="1"/>
  <c r="J541" i="17"/>
  <c r="P541" i="17" s="1"/>
  <c r="K541" i="17"/>
  <c r="Q541" i="17" s="1"/>
  <c r="L541" i="17"/>
  <c r="M541" i="17"/>
  <c r="O541" i="17" s="1"/>
  <c r="J542" i="17"/>
  <c r="P542" i="17" s="1"/>
  <c r="K542" i="17"/>
  <c r="Q542" i="17" s="1"/>
  <c r="L542" i="17"/>
  <c r="M542" i="17"/>
  <c r="O542" i="17" s="1"/>
  <c r="J543" i="17"/>
  <c r="P543" i="17" s="1"/>
  <c r="K543" i="17"/>
  <c r="Q543" i="17" s="1"/>
  <c r="L543" i="17"/>
  <c r="M543" i="17"/>
  <c r="O543" i="17" s="1"/>
  <c r="J544" i="17"/>
  <c r="P544" i="17" s="1"/>
  <c r="K544" i="17"/>
  <c r="Q544" i="17" s="1"/>
  <c r="L544" i="17"/>
  <c r="M544" i="17"/>
  <c r="O544" i="17" s="1"/>
  <c r="J545" i="17"/>
  <c r="P545" i="17" s="1"/>
  <c r="K545" i="17"/>
  <c r="Q545" i="17" s="1"/>
  <c r="L545" i="17"/>
  <c r="M545" i="17"/>
  <c r="O545" i="17" s="1"/>
  <c r="J546" i="17"/>
  <c r="P546" i="17" s="1"/>
  <c r="K546" i="17"/>
  <c r="Q546" i="17" s="1"/>
  <c r="L546" i="17"/>
  <c r="M546" i="17"/>
  <c r="O546" i="17" s="1"/>
  <c r="J547" i="17"/>
  <c r="P547" i="17" s="1"/>
  <c r="K547" i="17"/>
  <c r="Q547" i="17" s="1"/>
  <c r="L547" i="17"/>
  <c r="M547" i="17"/>
  <c r="O547" i="17" s="1"/>
  <c r="J548" i="17"/>
  <c r="P548" i="17" s="1"/>
  <c r="K548" i="17"/>
  <c r="Q548" i="17" s="1"/>
  <c r="L548" i="17"/>
  <c r="M548" i="17"/>
  <c r="O548" i="17" s="1"/>
  <c r="J549" i="17"/>
  <c r="P549" i="17" s="1"/>
  <c r="K549" i="17"/>
  <c r="Q549" i="17" s="1"/>
  <c r="L549" i="17"/>
  <c r="M549" i="17"/>
  <c r="O549" i="17" s="1"/>
  <c r="J550" i="17"/>
  <c r="P550" i="17" s="1"/>
  <c r="K550" i="17"/>
  <c r="Q550" i="17" s="1"/>
  <c r="L550" i="17"/>
  <c r="M550" i="17"/>
  <c r="O550" i="17" s="1"/>
  <c r="J551" i="17"/>
  <c r="P551" i="17" s="1"/>
  <c r="K551" i="17"/>
  <c r="Q551" i="17" s="1"/>
  <c r="L551" i="17"/>
  <c r="M551" i="17"/>
  <c r="O551" i="17" s="1"/>
  <c r="J552" i="17"/>
  <c r="P552" i="17" s="1"/>
  <c r="K552" i="17"/>
  <c r="Q552" i="17" s="1"/>
  <c r="L552" i="17"/>
  <c r="M552" i="17"/>
  <c r="O552" i="17" s="1"/>
  <c r="J553" i="17"/>
  <c r="P553" i="17" s="1"/>
  <c r="K553" i="17"/>
  <c r="Q553" i="17" s="1"/>
  <c r="L553" i="17"/>
  <c r="M553" i="17"/>
  <c r="O553" i="17" s="1"/>
  <c r="J554" i="17"/>
  <c r="P554" i="17" s="1"/>
  <c r="K554" i="17"/>
  <c r="Q554" i="17" s="1"/>
  <c r="L554" i="17"/>
  <c r="M554" i="17"/>
  <c r="O554" i="17" s="1"/>
  <c r="J555" i="17"/>
  <c r="P555" i="17" s="1"/>
  <c r="K555" i="17"/>
  <c r="Q555" i="17" s="1"/>
  <c r="L555" i="17"/>
  <c r="M555" i="17"/>
  <c r="O555" i="17" s="1"/>
  <c r="J556" i="17"/>
  <c r="P556" i="17" s="1"/>
  <c r="K556" i="17"/>
  <c r="Q556" i="17" s="1"/>
  <c r="L556" i="17"/>
  <c r="M556" i="17"/>
  <c r="O556" i="17" s="1"/>
  <c r="J557" i="17"/>
  <c r="P557" i="17" s="1"/>
  <c r="K557" i="17"/>
  <c r="Q557" i="17" s="1"/>
  <c r="L557" i="17"/>
  <c r="M557" i="17"/>
  <c r="O557" i="17" s="1"/>
  <c r="J558" i="17"/>
  <c r="P558" i="17" s="1"/>
  <c r="K558" i="17"/>
  <c r="Q558" i="17" s="1"/>
  <c r="L558" i="17"/>
  <c r="M558" i="17"/>
  <c r="O558" i="17" s="1"/>
  <c r="J559" i="17"/>
  <c r="P559" i="17" s="1"/>
  <c r="K559" i="17"/>
  <c r="Q559" i="17" s="1"/>
  <c r="L559" i="17"/>
  <c r="M559" i="17"/>
  <c r="O559" i="17" s="1"/>
  <c r="J560" i="17"/>
  <c r="P560" i="17" s="1"/>
  <c r="K560" i="17"/>
  <c r="Q560" i="17" s="1"/>
  <c r="L560" i="17"/>
  <c r="M560" i="17"/>
  <c r="O560" i="17" s="1"/>
  <c r="J561" i="17"/>
  <c r="P561" i="17" s="1"/>
  <c r="K561" i="17"/>
  <c r="Q561" i="17" s="1"/>
  <c r="L561" i="17"/>
  <c r="M561" i="17"/>
  <c r="O561" i="17" s="1"/>
  <c r="J562" i="17"/>
  <c r="P562" i="17" s="1"/>
  <c r="K562" i="17"/>
  <c r="Q562" i="17" s="1"/>
  <c r="L562" i="17"/>
  <c r="M562" i="17"/>
  <c r="O562" i="17" s="1"/>
  <c r="J563" i="17"/>
  <c r="P563" i="17" s="1"/>
  <c r="K563" i="17"/>
  <c r="Q563" i="17" s="1"/>
  <c r="L563" i="17"/>
  <c r="M563" i="17"/>
  <c r="O563" i="17" s="1"/>
  <c r="J564" i="17"/>
  <c r="P564" i="17" s="1"/>
  <c r="K564" i="17"/>
  <c r="Q564" i="17" s="1"/>
  <c r="L564" i="17"/>
  <c r="M564" i="17"/>
  <c r="O564" i="17" s="1"/>
  <c r="J565" i="17"/>
  <c r="P565" i="17" s="1"/>
  <c r="K565" i="17"/>
  <c r="Q565" i="17" s="1"/>
  <c r="L565" i="17"/>
  <c r="M565" i="17"/>
  <c r="O565" i="17" s="1"/>
  <c r="J566" i="17"/>
  <c r="P566" i="17" s="1"/>
  <c r="K566" i="17"/>
  <c r="Q566" i="17" s="1"/>
  <c r="L566" i="17"/>
  <c r="M566" i="17"/>
  <c r="O566" i="17" s="1"/>
  <c r="J567" i="17"/>
  <c r="P567" i="17" s="1"/>
  <c r="K567" i="17"/>
  <c r="Q567" i="17" s="1"/>
  <c r="L567" i="17"/>
  <c r="M567" i="17"/>
  <c r="O567" i="17" s="1"/>
  <c r="J568" i="17"/>
  <c r="P568" i="17" s="1"/>
  <c r="K568" i="17"/>
  <c r="Q568" i="17" s="1"/>
  <c r="L568" i="17"/>
  <c r="M568" i="17"/>
  <c r="O568" i="17" s="1"/>
  <c r="J569" i="17"/>
  <c r="P569" i="17" s="1"/>
  <c r="K569" i="17"/>
  <c r="Q569" i="17" s="1"/>
  <c r="L569" i="17"/>
  <c r="M569" i="17"/>
  <c r="O569" i="17" s="1"/>
  <c r="J570" i="17"/>
  <c r="P570" i="17" s="1"/>
  <c r="K570" i="17"/>
  <c r="Q570" i="17" s="1"/>
  <c r="L570" i="17"/>
  <c r="M570" i="17"/>
  <c r="O570" i="17" s="1"/>
  <c r="J571" i="17"/>
  <c r="P571" i="17" s="1"/>
  <c r="K571" i="17"/>
  <c r="Q571" i="17" s="1"/>
  <c r="L571" i="17"/>
  <c r="M571" i="17"/>
  <c r="O571" i="17" s="1"/>
  <c r="J572" i="17"/>
  <c r="P572" i="17" s="1"/>
  <c r="K572" i="17"/>
  <c r="Q572" i="17" s="1"/>
  <c r="L572" i="17"/>
  <c r="M572" i="17"/>
  <c r="O572" i="17" s="1"/>
  <c r="J573" i="17"/>
  <c r="P573" i="17" s="1"/>
  <c r="K573" i="17"/>
  <c r="Q573" i="17" s="1"/>
  <c r="L573" i="17"/>
  <c r="M573" i="17"/>
  <c r="O573" i="17" s="1"/>
  <c r="J574" i="17"/>
  <c r="P574" i="17" s="1"/>
  <c r="K574" i="17"/>
  <c r="Q574" i="17" s="1"/>
  <c r="L574" i="17"/>
  <c r="M574" i="17"/>
  <c r="O574" i="17" s="1"/>
  <c r="J575" i="17"/>
  <c r="P575" i="17" s="1"/>
  <c r="K575" i="17"/>
  <c r="Q575" i="17" s="1"/>
  <c r="L575" i="17"/>
  <c r="M575" i="17"/>
  <c r="O575" i="17" s="1"/>
  <c r="J576" i="17"/>
  <c r="P576" i="17" s="1"/>
  <c r="K576" i="17"/>
  <c r="Q576" i="17" s="1"/>
  <c r="L576" i="17"/>
  <c r="M576" i="17"/>
  <c r="O576" i="17" s="1"/>
  <c r="J577" i="17"/>
  <c r="P577" i="17" s="1"/>
  <c r="K577" i="17"/>
  <c r="Q577" i="17" s="1"/>
  <c r="L577" i="17"/>
  <c r="M577" i="17"/>
  <c r="O577" i="17" s="1"/>
  <c r="J578" i="17"/>
  <c r="P578" i="17" s="1"/>
  <c r="K578" i="17"/>
  <c r="Q578" i="17" s="1"/>
  <c r="L578" i="17"/>
  <c r="M578" i="17"/>
  <c r="O578" i="17" s="1"/>
  <c r="J579" i="17"/>
  <c r="P579" i="17" s="1"/>
  <c r="K579" i="17"/>
  <c r="Q579" i="17" s="1"/>
  <c r="L579" i="17"/>
  <c r="M579" i="17"/>
  <c r="O579" i="17" s="1"/>
  <c r="J580" i="17"/>
  <c r="P580" i="17" s="1"/>
  <c r="K580" i="17"/>
  <c r="Q580" i="17" s="1"/>
  <c r="L580" i="17"/>
  <c r="M580" i="17"/>
  <c r="O580" i="17" s="1"/>
  <c r="J581" i="17"/>
  <c r="P581" i="17" s="1"/>
  <c r="K581" i="17"/>
  <c r="Q581" i="17" s="1"/>
  <c r="L581" i="17"/>
  <c r="M581" i="17"/>
  <c r="O581" i="17" s="1"/>
  <c r="J582" i="17"/>
  <c r="P582" i="17" s="1"/>
  <c r="K582" i="17"/>
  <c r="Q582" i="17" s="1"/>
  <c r="L582" i="17"/>
  <c r="M582" i="17"/>
  <c r="O582" i="17" s="1"/>
  <c r="J583" i="17"/>
  <c r="P583" i="17" s="1"/>
  <c r="K583" i="17"/>
  <c r="Q583" i="17" s="1"/>
  <c r="L583" i="17"/>
  <c r="M583" i="17"/>
  <c r="O583" i="17" s="1"/>
  <c r="J584" i="17"/>
  <c r="P584" i="17" s="1"/>
  <c r="K584" i="17"/>
  <c r="Q584" i="17" s="1"/>
  <c r="L584" i="17"/>
  <c r="M584" i="17"/>
  <c r="O584" i="17" s="1"/>
  <c r="J585" i="17"/>
  <c r="P585" i="17" s="1"/>
  <c r="K585" i="17"/>
  <c r="Q585" i="17" s="1"/>
  <c r="L585" i="17"/>
  <c r="M585" i="17"/>
  <c r="O585" i="17" s="1"/>
  <c r="J586" i="17"/>
  <c r="P586" i="17" s="1"/>
  <c r="K586" i="17"/>
  <c r="Q586" i="17" s="1"/>
  <c r="L586" i="17"/>
  <c r="M586" i="17"/>
  <c r="O586" i="17" s="1"/>
  <c r="J587" i="17"/>
  <c r="P587" i="17" s="1"/>
  <c r="K587" i="17"/>
  <c r="Q587" i="17" s="1"/>
  <c r="L587" i="17"/>
  <c r="M587" i="17"/>
  <c r="O587" i="17" s="1"/>
  <c r="J588" i="17"/>
  <c r="P588" i="17" s="1"/>
  <c r="K588" i="17"/>
  <c r="Q588" i="17" s="1"/>
  <c r="L588" i="17"/>
  <c r="M588" i="17"/>
  <c r="O588" i="17" s="1"/>
  <c r="J589" i="17"/>
  <c r="P589" i="17" s="1"/>
  <c r="K589" i="17"/>
  <c r="Q589" i="17" s="1"/>
  <c r="L589" i="17"/>
  <c r="M589" i="17"/>
  <c r="O589" i="17" s="1"/>
  <c r="J590" i="17"/>
  <c r="P590" i="17" s="1"/>
  <c r="K590" i="17"/>
  <c r="Q590" i="17" s="1"/>
  <c r="L590" i="17"/>
  <c r="M590" i="17"/>
  <c r="O590" i="17" s="1"/>
  <c r="J591" i="17"/>
  <c r="P591" i="17" s="1"/>
  <c r="K591" i="17"/>
  <c r="Q591" i="17" s="1"/>
  <c r="L591" i="17"/>
  <c r="M591" i="17"/>
  <c r="O591" i="17" s="1"/>
  <c r="J592" i="17"/>
  <c r="P592" i="17" s="1"/>
  <c r="K592" i="17"/>
  <c r="Q592" i="17" s="1"/>
  <c r="L592" i="17"/>
  <c r="M592" i="17"/>
  <c r="O592" i="17" s="1"/>
  <c r="J593" i="17"/>
  <c r="P593" i="17" s="1"/>
  <c r="K593" i="17"/>
  <c r="Q593" i="17" s="1"/>
  <c r="L593" i="17"/>
  <c r="M593" i="17"/>
  <c r="O593" i="17" s="1"/>
  <c r="J594" i="17"/>
  <c r="P594" i="17" s="1"/>
  <c r="K594" i="17"/>
  <c r="Q594" i="17" s="1"/>
  <c r="L594" i="17"/>
  <c r="M594" i="17"/>
  <c r="O594" i="17" s="1"/>
  <c r="J595" i="17"/>
  <c r="P595" i="17" s="1"/>
  <c r="K595" i="17"/>
  <c r="Q595" i="17" s="1"/>
  <c r="L595" i="17"/>
  <c r="M595" i="17"/>
  <c r="O595" i="17" s="1"/>
  <c r="J596" i="17"/>
  <c r="P596" i="17" s="1"/>
  <c r="K596" i="17"/>
  <c r="Q596" i="17" s="1"/>
  <c r="L596" i="17"/>
  <c r="M596" i="17"/>
  <c r="O596" i="17" s="1"/>
  <c r="J597" i="17"/>
  <c r="P597" i="17" s="1"/>
  <c r="K597" i="17"/>
  <c r="Q597" i="17" s="1"/>
  <c r="L597" i="17"/>
  <c r="M597" i="17"/>
  <c r="O597" i="17" s="1"/>
  <c r="J598" i="17"/>
  <c r="P598" i="17" s="1"/>
  <c r="K598" i="17"/>
  <c r="Q598" i="17" s="1"/>
  <c r="L598" i="17"/>
  <c r="M598" i="17"/>
  <c r="O598" i="17" s="1"/>
  <c r="J599" i="17"/>
  <c r="P599" i="17" s="1"/>
  <c r="K599" i="17"/>
  <c r="Q599" i="17" s="1"/>
  <c r="L599" i="17"/>
  <c r="M599" i="17"/>
  <c r="O599" i="17" s="1"/>
  <c r="J600" i="17"/>
  <c r="P600" i="17" s="1"/>
  <c r="K600" i="17"/>
  <c r="Q600" i="17" s="1"/>
  <c r="L600" i="17"/>
  <c r="M600" i="17"/>
  <c r="O600" i="17" s="1"/>
  <c r="J601" i="17"/>
  <c r="P601" i="17" s="1"/>
  <c r="K601" i="17"/>
  <c r="Q601" i="17" s="1"/>
  <c r="L601" i="17"/>
  <c r="M601" i="17"/>
  <c r="O601" i="17" s="1"/>
  <c r="J602" i="17"/>
  <c r="P602" i="17" s="1"/>
  <c r="K602" i="17"/>
  <c r="Q602" i="17" s="1"/>
  <c r="L602" i="17"/>
  <c r="M602" i="17"/>
  <c r="O602" i="17" s="1"/>
  <c r="J603" i="17"/>
  <c r="P603" i="17" s="1"/>
  <c r="K603" i="17"/>
  <c r="Q603" i="17" s="1"/>
  <c r="L603" i="17"/>
  <c r="M603" i="17"/>
  <c r="O603" i="17" s="1"/>
  <c r="J604" i="17"/>
  <c r="P604" i="17" s="1"/>
  <c r="K604" i="17"/>
  <c r="Q604" i="17" s="1"/>
  <c r="L604" i="17"/>
  <c r="M604" i="17"/>
  <c r="O604" i="17" s="1"/>
  <c r="J605" i="17"/>
  <c r="P605" i="17" s="1"/>
  <c r="K605" i="17"/>
  <c r="Q605" i="17" s="1"/>
  <c r="L605" i="17"/>
  <c r="M605" i="17"/>
  <c r="O605" i="17" s="1"/>
  <c r="J606" i="17"/>
  <c r="P606" i="17" s="1"/>
  <c r="K606" i="17"/>
  <c r="Q606" i="17" s="1"/>
  <c r="L606" i="17"/>
  <c r="M606" i="17"/>
  <c r="O606" i="17" s="1"/>
  <c r="J607" i="17"/>
  <c r="P607" i="17" s="1"/>
  <c r="K607" i="17"/>
  <c r="Q607" i="17" s="1"/>
  <c r="L607" i="17"/>
  <c r="M607" i="17"/>
  <c r="O607" i="17" s="1"/>
  <c r="J608" i="17"/>
  <c r="P608" i="17" s="1"/>
  <c r="K608" i="17"/>
  <c r="Q608" i="17" s="1"/>
  <c r="L608" i="17"/>
  <c r="M608" i="17"/>
  <c r="O608" i="17" s="1"/>
  <c r="J609" i="17"/>
  <c r="P609" i="17" s="1"/>
  <c r="K609" i="17"/>
  <c r="Q609" i="17" s="1"/>
  <c r="L609" i="17"/>
  <c r="M609" i="17"/>
  <c r="O609" i="17" s="1"/>
  <c r="J610" i="17"/>
  <c r="P610" i="17" s="1"/>
  <c r="K610" i="17"/>
  <c r="Q610" i="17" s="1"/>
  <c r="L610" i="17"/>
  <c r="M610" i="17"/>
  <c r="O610" i="17" s="1"/>
  <c r="J611" i="17"/>
  <c r="P611" i="17" s="1"/>
  <c r="K611" i="17"/>
  <c r="Q611" i="17" s="1"/>
  <c r="L611" i="17"/>
  <c r="M611" i="17"/>
  <c r="O611" i="17" s="1"/>
  <c r="J612" i="17"/>
  <c r="P612" i="17" s="1"/>
  <c r="K612" i="17"/>
  <c r="Q612" i="17" s="1"/>
  <c r="L612" i="17"/>
  <c r="M612" i="17"/>
  <c r="O612" i="17" s="1"/>
  <c r="J613" i="17"/>
  <c r="P613" i="17" s="1"/>
  <c r="K613" i="17"/>
  <c r="Q613" i="17" s="1"/>
  <c r="L613" i="17"/>
  <c r="M613" i="17"/>
  <c r="O613" i="17" s="1"/>
  <c r="J614" i="17"/>
  <c r="P614" i="17" s="1"/>
  <c r="K614" i="17"/>
  <c r="Q614" i="17" s="1"/>
  <c r="L614" i="17"/>
  <c r="M614" i="17"/>
  <c r="O614" i="17" s="1"/>
  <c r="J615" i="17"/>
  <c r="P615" i="17" s="1"/>
  <c r="K615" i="17"/>
  <c r="Q615" i="17" s="1"/>
  <c r="L615" i="17"/>
  <c r="M615" i="17"/>
  <c r="O615" i="17" s="1"/>
  <c r="J616" i="17"/>
  <c r="P616" i="17" s="1"/>
  <c r="K616" i="17"/>
  <c r="Q616" i="17" s="1"/>
  <c r="L616" i="17"/>
  <c r="M616" i="17"/>
  <c r="O616" i="17" s="1"/>
  <c r="J617" i="17"/>
  <c r="P617" i="17" s="1"/>
  <c r="K617" i="17"/>
  <c r="Q617" i="17" s="1"/>
  <c r="L617" i="17"/>
  <c r="M617" i="17"/>
  <c r="O617" i="17" s="1"/>
  <c r="J618" i="17"/>
  <c r="P618" i="17" s="1"/>
  <c r="K618" i="17"/>
  <c r="Q618" i="17" s="1"/>
  <c r="L618" i="17"/>
  <c r="M618" i="17"/>
  <c r="O618" i="17" s="1"/>
  <c r="J619" i="17"/>
  <c r="P619" i="17" s="1"/>
  <c r="K619" i="17"/>
  <c r="Q619" i="17" s="1"/>
  <c r="L619" i="17"/>
  <c r="M619" i="17"/>
  <c r="O619" i="17" s="1"/>
  <c r="J620" i="17"/>
  <c r="P620" i="17" s="1"/>
  <c r="K620" i="17"/>
  <c r="Q620" i="17" s="1"/>
  <c r="L620" i="17"/>
  <c r="M620" i="17"/>
  <c r="O620" i="17" s="1"/>
  <c r="J621" i="17"/>
  <c r="P621" i="17" s="1"/>
  <c r="K621" i="17"/>
  <c r="Q621" i="17" s="1"/>
  <c r="L621" i="17"/>
  <c r="M621" i="17"/>
  <c r="O621" i="17" s="1"/>
  <c r="J622" i="17"/>
  <c r="P622" i="17" s="1"/>
  <c r="K622" i="17"/>
  <c r="Q622" i="17" s="1"/>
  <c r="L622" i="17"/>
  <c r="M622" i="17"/>
  <c r="O622" i="17" s="1"/>
  <c r="J623" i="17"/>
  <c r="P623" i="17" s="1"/>
  <c r="K623" i="17"/>
  <c r="Q623" i="17" s="1"/>
  <c r="L623" i="17"/>
  <c r="M623" i="17"/>
  <c r="O623" i="17" s="1"/>
  <c r="J624" i="17"/>
  <c r="P624" i="17" s="1"/>
  <c r="K624" i="17"/>
  <c r="Q624" i="17" s="1"/>
  <c r="L624" i="17"/>
  <c r="M624" i="17"/>
  <c r="O624" i="17" s="1"/>
  <c r="J625" i="17"/>
  <c r="P625" i="17" s="1"/>
  <c r="K625" i="17"/>
  <c r="Q625" i="17" s="1"/>
  <c r="L625" i="17"/>
  <c r="M625" i="17"/>
  <c r="O625" i="17" s="1"/>
  <c r="J626" i="17"/>
  <c r="P626" i="17" s="1"/>
  <c r="K626" i="17"/>
  <c r="Q626" i="17" s="1"/>
  <c r="L626" i="17"/>
  <c r="M626" i="17"/>
  <c r="O626" i="17" s="1"/>
  <c r="J627" i="17"/>
  <c r="P627" i="17" s="1"/>
  <c r="K627" i="17"/>
  <c r="Q627" i="17" s="1"/>
  <c r="L627" i="17"/>
  <c r="M627" i="17"/>
  <c r="O627" i="17" s="1"/>
  <c r="J628" i="17"/>
  <c r="P628" i="17" s="1"/>
  <c r="K628" i="17"/>
  <c r="Q628" i="17" s="1"/>
  <c r="L628" i="17"/>
  <c r="M628" i="17"/>
  <c r="O628" i="17" s="1"/>
  <c r="J629" i="17"/>
  <c r="P629" i="17" s="1"/>
  <c r="K629" i="17"/>
  <c r="Q629" i="17" s="1"/>
  <c r="L629" i="17"/>
  <c r="M629" i="17"/>
  <c r="O629" i="17" s="1"/>
  <c r="J630" i="17"/>
  <c r="P630" i="17" s="1"/>
  <c r="K630" i="17"/>
  <c r="Q630" i="17" s="1"/>
  <c r="L630" i="17"/>
  <c r="M630" i="17"/>
  <c r="O630" i="17" s="1"/>
  <c r="J631" i="17"/>
  <c r="P631" i="17" s="1"/>
  <c r="K631" i="17"/>
  <c r="Q631" i="17" s="1"/>
  <c r="L631" i="17"/>
  <c r="M631" i="17"/>
  <c r="O631" i="17" s="1"/>
  <c r="J632" i="17"/>
  <c r="P632" i="17" s="1"/>
  <c r="K632" i="17"/>
  <c r="Q632" i="17" s="1"/>
  <c r="L632" i="17"/>
  <c r="M632" i="17"/>
  <c r="O632" i="17" s="1"/>
  <c r="J633" i="17"/>
  <c r="P633" i="17" s="1"/>
  <c r="K633" i="17"/>
  <c r="Q633" i="17" s="1"/>
  <c r="L633" i="17"/>
  <c r="M633" i="17"/>
  <c r="O633" i="17" s="1"/>
  <c r="J634" i="17"/>
  <c r="P634" i="17" s="1"/>
  <c r="K634" i="17"/>
  <c r="Q634" i="17" s="1"/>
  <c r="L634" i="17"/>
  <c r="M634" i="17"/>
  <c r="O634" i="17" s="1"/>
  <c r="J635" i="17"/>
  <c r="P635" i="17" s="1"/>
  <c r="K635" i="17"/>
  <c r="Q635" i="17" s="1"/>
  <c r="L635" i="17"/>
  <c r="M635" i="17"/>
  <c r="O635" i="17" s="1"/>
  <c r="J636" i="17"/>
  <c r="P636" i="17" s="1"/>
  <c r="K636" i="17"/>
  <c r="Q636" i="17" s="1"/>
  <c r="L636" i="17"/>
  <c r="M636" i="17"/>
  <c r="O636" i="17" s="1"/>
  <c r="J637" i="17"/>
  <c r="P637" i="17" s="1"/>
  <c r="K637" i="17"/>
  <c r="Q637" i="17" s="1"/>
  <c r="L637" i="17"/>
  <c r="M637" i="17"/>
  <c r="O637" i="17" s="1"/>
  <c r="J638" i="17"/>
  <c r="P638" i="17" s="1"/>
  <c r="K638" i="17"/>
  <c r="Q638" i="17" s="1"/>
  <c r="L638" i="17"/>
  <c r="M638" i="17"/>
  <c r="O638" i="17" s="1"/>
  <c r="J639" i="17"/>
  <c r="P639" i="17" s="1"/>
  <c r="K639" i="17"/>
  <c r="Q639" i="17" s="1"/>
  <c r="L639" i="17"/>
  <c r="M639" i="17"/>
  <c r="O639" i="17" s="1"/>
  <c r="J640" i="17"/>
  <c r="P640" i="17" s="1"/>
  <c r="K640" i="17"/>
  <c r="Q640" i="17" s="1"/>
  <c r="L640" i="17"/>
  <c r="M640" i="17"/>
  <c r="O640" i="17" s="1"/>
  <c r="J641" i="17"/>
  <c r="P641" i="17" s="1"/>
  <c r="K641" i="17"/>
  <c r="Q641" i="17" s="1"/>
  <c r="L641" i="17"/>
  <c r="M641" i="17"/>
  <c r="O641" i="17" s="1"/>
  <c r="J642" i="17"/>
  <c r="P642" i="17" s="1"/>
  <c r="K642" i="17"/>
  <c r="Q642" i="17" s="1"/>
  <c r="L642" i="17"/>
  <c r="M642" i="17"/>
  <c r="O642" i="17" s="1"/>
  <c r="J643" i="17"/>
  <c r="P643" i="17" s="1"/>
  <c r="K643" i="17"/>
  <c r="Q643" i="17" s="1"/>
  <c r="L643" i="17"/>
  <c r="M643" i="17"/>
  <c r="O643" i="17" s="1"/>
  <c r="J644" i="17"/>
  <c r="P644" i="17" s="1"/>
  <c r="K644" i="17"/>
  <c r="Q644" i="17" s="1"/>
  <c r="L644" i="17"/>
  <c r="M644" i="17"/>
  <c r="O644" i="17" s="1"/>
  <c r="J645" i="17"/>
  <c r="P645" i="17" s="1"/>
  <c r="K645" i="17"/>
  <c r="Q645" i="17" s="1"/>
  <c r="L645" i="17"/>
  <c r="M645" i="17"/>
  <c r="O645" i="17" s="1"/>
  <c r="J646" i="17"/>
  <c r="P646" i="17" s="1"/>
  <c r="K646" i="17"/>
  <c r="Q646" i="17" s="1"/>
  <c r="L646" i="17"/>
  <c r="M646" i="17"/>
  <c r="O646" i="17" s="1"/>
  <c r="J647" i="17"/>
  <c r="P647" i="17" s="1"/>
  <c r="K647" i="17"/>
  <c r="Q647" i="17" s="1"/>
  <c r="L647" i="17"/>
  <c r="M647" i="17"/>
  <c r="O647" i="17" s="1"/>
  <c r="J648" i="17"/>
  <c r="P648" i="17" s="1"/>
  <c r="K648" i="17"/>
  <c r="Q648" i="17" s="1"/>
  <c r="L648" i="17"/>
  <c r="M648" i="17"/>
  <c r="O648" i="17" s="1"/>
  <c r="J649" i="17"/>
  <c r="P649" i="17" s="1"/>
  <c r="K649" i="17"/>
  <c r="Q649" i="17" s="1"/>
  <c r="L649" i="17"/>
  <c r="M649" i="17"/>
  <c r="O649" i="17" s="1"/>
  <c r="J650" i="17"/>
  <c r="P650" i="17" s="1"/>
  <c r="K650" i="17"/>
  <c r="Q650" i="17" s="1"/>
  <c r="L650" i="17"/>
  <c r="M650" i="17"/>
  <c r="O650" i="17" s="1"/>
  <c r="J651" i="17"/>
  <c r="P651" i="17" s="1"/>
  <c r="K651" i="17"/>
  <c r="Q651" i="17" s="1"/>
  <c r="L651" i="17"/>
  <c r="M651" i="17"/>
  <c r="O651" i="17" s="1"/>
  <c r="J652" i="17"/>
  <c r="P652" i="17" s="1"/>
  <c r="K652" i="17"/>
  <c r="Q652" i="17" s="1"/>
  <c r="L652" i="17"/>
  <c r="M652" i="17"/>
  <c r="O652" i="17" s="1"/>
  <c r="J653" i="17"/>
  <c r="P653" i="17" s="1"/>
  <c r="K653" i="17"/>
  <c r="Q653" i="17" s="1"/>
  <c r="L653" i="17"/>
  <c r="M653" i="17"/>
  <c r="O653" i="17" s="1"/>
  <c r="J654" i="17"/>
  <c r="P654" i="17" s="1"/>
  <c r="K654" i="17"/>
  <c r="Q654" i="17" s="1"/>
  <c r="L654" i="17"/>
  <c r="M654" i="17"/>
  <c r="O654" i="17" s="1"/>
  <c r="J655" i="17"/>
  <c r="P655" i="17" s="1"/>
  <c r="K655" i="17"/>
  <c r="Q655" i="17" s="1"/>
  <c r="L655" i="17"/>
  <c r="M655" i="17"/>
  <c r="O655" i="17" s="1"/>
  <c r="J656" i="17"/>
  <c r="P656" i="17" s="1"/>
  <c r="K656" i="17"/>
  <c r="Q656" i="17" s="1"/>
  <c r="L656" i="17"/>
  <c r="M656" i="17"/>
  <c r="O656" i="17" s="1"/>
  <c r="J657" i="17"/>
  <c r="P657" i="17" s="1"/>
  <c r="K657" i="17"/>
  <c r="Q657" i="17" s="1"/>
  <c r="L657" i="17"/>
  <c r="M657" i="17"/>
  <c r="O657" i="17" s="1"/>
  <c r="J658" i="17"/>
  <c r="P658" i="17" s="1"/>
  <c r="K658" i="17"/>
  <c r="Q658" i="17" s="1"/>
  <c r="L658" i="17"/>
  <c r="M658" i="17"/>
  <c r="O658" i="17" s="1"/>
  <c r="J659" i="17"/>
  <c r="P659" i="17" s="1"/>
  <c r="K659" i="17"/>
  <c r="Q659" i="17" s="1"/>
  <c r="L659" i="17"/>
  <c r="M659" i="17"/>
  <c r="O659" i="17" s="1"/>
  <c r="J660" i="17"/>
  <c r="P660" i="17" s="1"/>
  <c r="K660" i="17"/>
  <c r="Q660" i="17" s="1"/>
  <c r="L660" i="17"/>
  <c r="M660" i="17"/>
  <c r="O660" i="17" s="1"/>
  <c r="J661" i="17"/>
  <c r="P661" i="17" s="1"/>
  <c r="K661" i="17"/>
  <c r="Q661" i="17" s="1"/>
  <c r="L661" i="17"/>
  <c r="M661" i="17"/>
  <c r="O661" i="17" s="1"/>
  <c r="J662" i="17"/>
  <c r="P662" i="17" s="1"/>
  <c r="K662" i="17"/>
  <c r="Q662" i="17" s="1"/>
  <c r="L662" i="17"/>
  <c r="M662" i="17"/>
  <c r="O662" i="17" s="1"/>
  <c r="J663" i="17"/>
  <c r="P663" i="17" s="1"/>
  <c r="K663" i="17"/>
  <c r="Q663" i="17" s="1"/>
  <c r="L663" i="17"/>
  <c r="M663" i="17"/>
  <c r="O663" i="17" s="1"/>
  <c r="J664" i="17"/>
  <c r="P664" i="17" s="1"/>
  <c r="K664" i="17"/>
  <c r="Q664" i="17" s="1"/>
  <c r="L664" i="17"/>
  <c r="M664" i="17"/>
  <c r="O664" i="17" s="1"/>
  <c r="J665" i="17"/>
  <c r="P665" i="17" s="1"/>
  <c r="K665" i="17"/>
  <c r="Q665" i="17" s="1"/>
  <c r="L665" i="17"/>
  <c r="M665" i="17"/>
  <c r="O665" i="17" s="1"/>
  <c r="J666" i="17"/>
  <c r="P666" i="17" s="1"/>
  <c r="K666" i="17"/>
  <c r="Q666" i="17" s="1"/>
  <c r="L666" i="17"/>
  <c r="M666" i="17"/>
  <c r="O666" i="17" s="1"/>
  <c r="J667" i="17"/>
  <c r="P667" i="17" s="1"/>
  <c r="K667" i="17"/>
  <c r="Q667" i="17" s="1"/>
  <c r="L667" i="17"/>
  <c r="M667" i="17"/>
  <c r="O667" i="17" s="1"/>
  <c r="J668" i="17"/>
  <c r="P668" i="17" s="1"/>
  <c r="K668" i="17"/>
  <c r="Q668" i="17" s="1"/>
  <c r="L668" i="17"/>
  <c r="M668" i="17"/>
  <c r="O668" i="17" s="1"/>
  <c r="J669" i="17"/>
  <c r="P669" i="17" s="1"/>
  <c r="K669" i="17"/>
  <c r="Q669" i="17" s="1"/>
  <c r="L669" i="17"/>
  <c r="M669" i="17"/>
  <c r="O669" i="17" s="1"/>
  <c r="J670" i="17"/>
  <c r="P670" i="17" s="1"/>
  <c r="K670" i="17"/>
  <c r="Q670" i="17" s="1"/>
  <c r="L670" i="17"/>
  <c r="M670" i="17"/>
  <c r="O670" i="17" s="1"/>
  <c r="J671" i="17"/>
  <c r="P671" i="17" s="1"/>
  <c r="K671" i="17"/>
  <c r="Q671" i="17" s="1"/>
  <c r="L671" i="17"/>
  <c r="M671" i="17"/>
  <c r="O671" i="17" s="1"/>
  <c r="J672" i="17"/>
  <c r="P672" i="17" s="1"/>
  <c r="K672" i="17"/>
  <c r="Q672" i="17" s="1"/>
  <c r="L672" i="17"/>
  <c r="M672" i="17"/>
  <c r="O672" i="17" s="1"/>
  <c r="J673" i="17"/>
  <c r="P673" i="17" s="1"/>
  <c r="K673" i="17"/>
  <c r="Q673" i="17" s="1"/>
  <c r="L673" i="17"/>
  <c r="M673" i="17"/>
  <c r="O673" i="17" s="1"/>
  <c r="J674" i="17"/>
  <c r="P674" i="17" s="1"/>
  <c r="K674" i="17"/>
  <c r="Q674" i="17" s="1"/>
  <c r="L674" i="17"/>
  <c r="M674" i="17"/>
  <c r="O674" i="17" s="1"/>
  <c r="J675" i="17"/>
  <c r="P675" i="17" s="1"/>
  <c r="K675" i="17"/>
  <c r="Q675" i="17" s="1"/>
  <c r="L675" i="17"/>
  <c r="M675" i="17"/>
  <c r="O675" i="17" s="1"/>
  <c r="J676" i="17"/>
  <c r="P676" i="17" s="1"/>
  <c r="K676" i="17"/>
  <c r="Q676" i="17" s="1"/>
  <c r="L676" i="17"/>
  <c r="M676" i="17"/>
  <c r="O676" i="17" s="1"/>
  <c r="J677" i="17"/>
  <c r="P677" i="17" s="1"/>
  <c r="K677" i="17"/>
  <c r="Q677" i="17" s="1"/>
  <c r="L677" i="17"/>
  <c r="M677" i="17"/>
  <c r="O677" i="17" s="1"/>
  <c r="J678" i="17"/>
  <c r="P678" i="17" s="1"/>
  <c r="K678" i="17"/>
  <c r="Q678" i="17" s="1"/>
  <c r="L678" i="17"/>
  <c r="M678" i="17"/>
  <c r="O678" i="17" s="1"/>
  <c r="J679" i="17"/>
  <c r="P679" i="17" s="1"/>
  <c r="K679" i="17"/>
  <c r="Q679" i="17" s="1"/>
  <c r="L679" i="17"/>
  <c r="M679" i="17"/>
  <c r="O679" i="17" s="1"/>
  <c r="J680" i="17"/>
  <c r="P680" i="17" s="1"/>
  <c r="K680" i="17"/>
  <c r="Q680" i="17" s="1"/>
  <c r="L680" i="17"/>
  <c r="M680" i="17"/>
  <c r="O680" i="17" s="1"/>
  <c r="J681" i="17"/>
  <c r="P681" i="17" s="1"/>
  <c r="K681" i="17"/>
  <c r="Q681" i="17" s="1"/>
  <c r="L681" i="17"/>
  <c r="M681" i="17"/>
  <c r="O681" i="17" s="1"/>
  <c r="J682" i="17"/>
  <c r="P682" i="17" s="1"/>
  <c r="K682" i="17"/>
  <c r="Q682" i="17" s="1"/>
  <c r="L682" i="17"/>
  <c r="M682" i="17"/>
  <c r="O682" i="17" s="1"/>
  <c r="J683" i="17"/>
  <c r="P683" i="17" s="1"/>
  <c r="K683" i="17"/>
  <c r="Q683" i="17" s="1"/>
  <c r="L683" i="17"/>
  <c r="M683" i="17"/>
  <c r="O683" i="17" s="1"/>
  <c r="J684" i="17"/>
  <c r="P684" i="17" s="1"/>
  <c r="K684" i="17"/>
  <c r="Q684" i="17" s="1"/>
  <c r="L684" i="17"/>
  <c r="M684" i="17"/>
  <c r="O684" i="17" s="1"/>
  <c r="J685" i="17"/>
  <c r="P685" i="17" s="1"/>
  <c r="K685" i="17"/>
  <c r="Q685" i="17" s="1"/>
  <c r="L685" i="17"/>
  <c r="M685" i="17"/>
  <c r="O685" i="17" s="1"/>
  <c r="J686" i="17"/>
  <c r="P686" i="17" s="1"/>
  <c r="K686" i="17"/>
  <c r="Q686" i="17" s="1"/>
  <c r="L686" i="17"/>
  <c r="M686" i="17"/>
  <c r="O686" i="17" s="1"/>
  <c r="J687" i="17"/>
  <c r="P687" i="17" s="1"/>
  <c r="K687" i="17"/>
  <c r="Q687" i="17" s="1"/>
  <c r="L687" i="17"/>
  <c r="M687" i="17"/>
  <c r="O687" i="17" s="1"/>
  <c r="J688" i="17"/>
  <c r="P688" i="17" s="1"/>
  <c r="K688" i="17"/>
  <c r="Q688" i="17" s="1"/>
  <c r="L688" i="17"/>
  <c r="M688" i="17"/>
  <c r="O688" i="17" s="1"/>
  <c r="J689" i="17"/>
  <c r="P689" i="17" s="1"/>
  <c r="K689" i="17"/>
  <c r="Q689" i="17" s="1"/>
  <c r="L689" i="17"/>
  <c r="M689" i="17"/>
  <c r="O689" i="17" s="1"/>
  <c r="J690" i="17"/>
  <c r="P690" i="17" s="1"/>
  <c r="K690" i="17"/>
  <c r="Q690" i="17" s="1"/>
  <c r="L690" i="17"/>
  <c r="M690" i="17"/>
  <c r="O690" i="17" s="1"/>
  <c r="J691" i="17"/>
  <c r="P691" i="17" s="1"/>
  <c r="K691" i="17"/>
  <c r="Q691" i="17" s="1"/>
  <c r="L691" i="17"/>
  <c r="M691" i="17"/>
  <c r="O691" i="17" s="1"/>
  <c r="J692" i="17"/>
  <c r="P692" i="17" s="1"/>
  <c r="K692" i="17"/>
  <c r="Q692" i="17" s="1"/>
  <c r="L692" i="17"/>
  <c r="M692" i="17"/>
  <c r="O692" i="17" s="1"/>
  <c r="J693" i="17"/>
  <c r="P693" i="17" s="1"/>
  <c r="K693" i="17"/>
  <c r="Q693" i="17" s="1"/>
  <c r="L693" i="17"/>
  <c r="M693" i="17"/>
  <c r="O693" i="17" s="1"/>
  <c r="J694" i="17"/>
  <c r="P694" i="17" s="1"/>
  <c r="K694" i="17"/>
  <c r="Q694" i="17" s="1"/>
  <c r="L694" i="17"/>
  <c r="M694" i="17"/>
  <c r="O694" i="17" s="1"/>
  <c r="J695" i="17"/>
  <c r="P695" i="17" s="1"/>
  <c r="K695" i="17"/>
  <c r="Q695" i="17" s="1"/>
  <c r="L695" i="17"/>
  <c r="M695" i="17"/>
  <c r="O695" i="17" s="1"/>
  <c r="J696" i="17"/>
  <c r="P696" i="17" s="1"/>
  <c r="K696" i="17"/>
  <c r="Q696" i="17" s="1"/>
  <c r="L696" i="17"/>
  <c r="M696" i="17"/>
  <c r="O696" i="17" s="1"/>
  <c r="J697" i="17"/>
  <c r="P697" i="17" s="1"/>
  <c r="K697" i="17"/>
  <c r="Q697" i="17" s="1"/>
  <c r="L697" i="17"/>
  <c r="M697" i="17"/>
  <c r="O697" i="17" s="1"/>
  <c r="J698" i="17"/>
  <c r="P698" i="17" s="1"/>
  <c r="K698" i="17"/>
  <c r="Q698" i="17" s="1"/>
  <c r="L698" i="17"/>
  <c r="M698" i="17"/>
  <c r="O698" i="17" s="1"/>
  <c r="J699" i="17"/>
  <c r="P699" i="17" s="1"/>
  <c r="K699" i="17"/>
  <c r="Q699" i="17" s="1"/>
  <c r="L699" i="17"/>
  <c r="M699" i="17"/>
  <c r="O699" i="17" s="1"/>
  <c r="J700" i="17"/>
  <c r="P700" i="17" s="1"/>
  <c r="K700" i="17"/>
  <c r="Q700" i="17" s="1"/>
  <c r="L700" i="17"/>
  <c r="M700" i="17"/>
  <c r="O700" i="17" s="1"/>
  <c r="J701" i="17"/>
  <c r="P701" i="17" s="1"/>
  <c r="K701" i="17"/>
  <c r="Q701" i="17" s="1"/>
  <c r="L701" i="17"/>
  <c r="M701" i="17"/>
  <c r="O701" i="17" s="1"/>
  <c r="J702" i="17"/>
  <c r="P702" i="17" s="1"/>
  <c r="K702" i="17"/>
  <c r="Q702" i="17" s="1"/>
  <c r="L702" i="17"/>
  <c r="M702" i="17"/>
  <c r="O702" i="17" s="1"/>
  <c r="J703" i="17"/>
  <c r="P703" i="17" s="1"/>
  <c r="K703" i="17"/>
  <c r="Q703" i="17" s="1"/>
  <c r="L703" i="17"/>
  <c r="M703" i="17"/>
  <c r="O703" i="17" s="1"/>
  <c r="J704" i="17"/>
  <c r="P704" i="17" s="1"/>
  <c r="K704" i="17"/>
  <c r="Q704" i="17" s="1"/>
  <c r="L704" i="17"/>
  <c r="M704" i="17"/>
  <c r="O704" i="17" s="1"/>
  <c r="J705" i="17"/>
  <c r="P705" i="17" s="1"/>
  <c r="K705" i="17"/>
  <c r="Q705" i="17" s="1"/>
  <c r="L705" i="17"/>
  <c r="M705" i="17"/>
  <c r="O705" i="17" s="1"/>
  <c r="J706" i="17"/>
  <c r="P706" i="17" s="1"/>
  <c r="K706" i="17"/>
  <c r="Q706" i="17" s="1"/>
  <c r="L706" i="17"/>
  <c r="M706" i="17"/>
  <c r="O706" i="17" s="1"/>
  <c r="J707" i="17"/>
  <c r="P707" i="17" s="1"/>
  <c r="K707" i="17"/>
  <c r="Q707" i="17" s="1"/>
  <c r="L707" i="17"/>
  <c r="M707" i="17"/>
  <c r="O707" i="17" s="1"/>
  <c r="J708" i="17"/>
  <c r="P708" i="17" s="1"/>
  <c r="K708" i="17"/>
  <c r="Q708" i="17" s="1"/>
  <c r="L708" i="17"/>
  <c r="M708" i="17"/>
  <c r="O708" i="17" s="1"/>
  <c r="J709" i="17"/>
  <c r="P709" i="17" s="1"/>
  <c r="K709" i="17"/>
  <c r="Q709" i="17" s="1"/>
  <c r="L709" i="17"/>
  <c r="M709" i="17"/>
  <c r="O709" i="17" s="1"/>
  <c r="J710" i="17"/>
  <c r="P710" i="17" s="1"/>
  <c r="K710" i="17"/>
  <c r="Q710" i="17" s="1"/>
  <c r="L710" i="17"/>
  <c r="M710" i="17"/>
  <c r="O710" i="17" s="1"/>
  <c r="J711" i="17"/>
  <c r="P711" i="17" s="1"/>
  <c r="K711" i="17"/>
  <c r="Q711" i="17" s="1"/>
  <c r="L711" i="17"/>
  <c r="M711" i="17"/>
  <c r="O711" i="17" s="1"/>
  <c r="J712" i="17"/>
  <c r="P712" i="17" s="1"/>
  <c r="K712" i="17"/>
  <c r="Q712" i="17" s="1"/>
  <c r="L712" i="17"/>
  <c r="M712" i="17"/>
  <c r="O712" i="17" s="1"/>
  <c r="J713" i="17"/>
  <c r="P713" i="17" s="1"/>
  <c r="K713" i="17"/>
  <c r="Q713" i="17" s="1"/>
  <c r="L713" i="17"/>
  <c r="M713" i="17"/>
  <c r="O713" i="17" s="1"/>
  <c r="J714" i="17"/>
  <c r="P714" i="17" s="1"/>
  <c r="K714" i="17"/>
  <c r="Q714" i="17" s="1"/>
  <c r="L714" i="17"/>
  <c r="M714" i="17"/>
  <c r="O714" i="17" s="1"/>
  <c r="J715" i="17"/>
  <c r="P715" i="17" s="1"/>
  <c r="K715" i="17"/>
  <c r="Q715" i="17" s="1"/>
  <c r="L715" i="17"/>
  <c r="M715" i="17"/>
  <c r="O715" i="17" s="1"/>
  <c r="J716" i="17"/>
  <c r="P716" i="17" s="1"/>
  <c r="K716" i="17"/>
  <c r="Q716" i="17" s="1"/>
  <c r="L716" i="17"/>
  <c r="M716" i="17"/>
  <c r="O716" i="17" s="1"/>
  <c r="J717" i="17"/>
  <c r="P717" i="17" s="1"/>
  <c r="K717" i="17"/>
  <c r="Q717" i="17" s="1"/>
  <c r="L717" i="17"/>
  <c r="M717" i="17"/>
  <c r="O717" i="17" s="1"/>
  <c r="J718" i="17"/>
  <c r="P718" i="17" s="1"/>
  <c r="K718" i="17"/>
  <c r="Q718" i="17" s="1"/>
  <c r="L718" i="17"/>
  <c r="M718" i="17"/>
  <c r="O718" i="17" s="1"/>
  <c r="J719" i="17"/>
  <c r="P719" i="17" s="1"/>
  <c r="K719" i="17"/>
  <c r="Q719" i="17" s="1"/>
  <c r="L719" i="17"/>
  <c r="M719" i="17"/>
  <c r="O719" i="17" s="1"/>
  <c r="J720" i="17"/>
  <c r="P720" i="17" s="1"/>
  <c r="K720" i="17"/>
  <c r="Q720" i="17" s="1"/>
  <c r="L720" i="17"/>
  <c r="M720" i="17"/>
  <c r="O720" i="17" s="1"/>
  <c r="J721" i="17"/>
  <c r="P721" i="17" s="1"/>
  <c r="K721" i="17"/>
  <c r="Q721" i="17" s="1"/>
  <c r="L721" i="17"/>
  <c r="M721" i="17"/>
  <c r="O721" i="17" s="1"/>
  <c r="J722" i="17"/>
  <c r="P722" i="17" s="1"/>
  <c r="K722" i="17"/>
  <c r="Q722" i="17" s="1"/>
  <c r="L722" i="17"/>
  <c r="M722" i="17"/>
  <c r="O722" i="17" s="1"/>
  <c r="J723" i="17"/>
  <c r="P723" i="17" s="1"/>
  <c r="K723" i="17"/>
  <c r="Q723" i="17" s="1"/>
  <c r="L723" i="17"/>
  <c r="M723" i="17"/>
  <c r="O723" i="17" s="1"/>
  <c r="J724" i="17"/>
  <c r="P724" i="17" s="1"/>
  <c r="K724" i="17"/>
  <c r="Q724" i="17" s="1"/>
  <c r="L724" i="17"/>
  <c r="M724" i="17"/>
  <c r="O724" i="17" s="1"/>
  <c r="J725" i="17"/>
  <c r="P725" i="17" s="1"/>
  <c r="K725" i="17"/>
  <c r="Q725" i="17" s="1"/>
  <c r="L725" i="17"/>
  <c r="M725" i="17"/>
  <c r="O725" i="17" s="1"/>
  <c r="J726" i="17"/>
  <c r="P726" i="17" s="1"/>
  <c r="K726" i="17"/>
  <c r="Q726" i="17" s="1"/>
  <c r="L726" i="17"/>
  <c r="M726" i="17"/>
  <c r="O726" i="17" s="1"/>
  <c r="J727" i="17"/>
  <c r="P727" i="17" s="1"/>
  <c r="K727" i="17"/>
  <c r="Q727" i="17" s="1"/>
  <c r="L727" i="17"/>
  <c r="M727" i="17"/>
  <c r="O727" i="17" s="1"/>
  <c r="J728" i="17"/>
  <c r="P728" i="17" s="1"/>
  <c r="K728" i="17"/>
  <c r="Q728" i="17" s="1"/>
  <c r="L728" i="17"/>
  <c r="M728" i="17"/>
  <c r="O728" i="17" s="1"/>
  <c r="J729" i="17"/>
  <c r="P729" i="17" s="1"/>
  <c r="K729" i="17"/>
  <c r="Q729" i="17" s="1"/>
  <c r="L729" i="17"/>
  <c r="M729" i="17"/>
  <c r="O729" i="17" s="1"/>
  <c r="J730" i="17"/>
  <c r="P730" i="17" s="1"/>
  <c r="K730" i="17"/>
  <c r="Q730" i="17" s="1"/>
  <c r="L730" i="17"/>
  <c r="M730" i="17"/>
  <c r="O730" i="17" s="1"/>
  <c r="J731" i="17"/>
  <c r="P731" i="17" s="1"/>
  <c r="K731" i="17"/>
  <c r="Q731" i="17" s="1"/>
  <c r="L731" i="17"/>
  <c r="M731" i="17"/>
  <c r="O731" i="17" s="1"/>
  <c r="J732" i="17"/>
  <c r="P732" i="17" s="1"/>
  <c r="K732" i="17"/>
  <c r="Q732" i="17" s="1"/>
  <c r="L732" i="17"/>
  <c r="M732" i="17"/>
  <c r="O732" i="17" s="1"/>
  <c r="J733" i="17"/>
  <c r="P733" i="17" s="1"/>
  <c r="K733" i="17"/>
  <c r="Q733" i="17" s="1"/>
  <c r="L733" i="17"/>
  <c r="M733" i="17"/>
  <c r="O733" i="17" s="1"/>
  <c r="J734" i="17"/>
  <c r="P734" i="17" s="1"/>
  <c r="K734" i="17"/>
  <c r="Q734" i="17" s="1"/>
  <c r="L734" i="17"/>
  <c r="M734" i="17"/>
  <c r="O734" i="17" s="1"/>
  <c r="J735" i="17"/>
  <c r="P735" i="17" s="1"/>
  <c r="K735" i="17"/>
  <c r="Q735" i="17" s="1"/>
  <c r="L735" i="17"/>
  <c r="M735" i="17"/>
  <c r="O735" i="17" s="1"/>
  <c r="J736" i="17"/>
  <c r="P736" i="17" s="1"/>
  <c r="K736" i="17"/>
  <c r="Q736" i="17" s="1"/>
  <c r="L736" i="17"/>
  <c r="M736" i="17"/>
  <c r="O736" i="17" s="1"/>
  <c r="J737" i="17"/>
  <c r="P737" i="17" s="1"/>
  <c r="K737" i="17"/>
  <c r="Q737" i="17" s="1"/>
  <c r="L737" i="17"/>
  <c r="M737" i="17"/>
  <c r="O737" i="17" s="1"/>
  <c r="J738" i="17"/>
  <c r="P738" i="17" s="1"/>
  <c r="K738" i="17"/>
  <c r="Q738" i="17" s="1"/>
  <c r="L738" i="17"/>
  <c r="M738" i="17"/>
  <c r="O738" i="17" s="1"/>
  <c r="J739" i="17"/>
  <c r="P739" i="17" s="1"/>
  <c r="K739" i="17"/>
  <c r="Q739" i="17" s="1"/>
  <c r="L739" i="17"/>
  <c r="M739" i="17"/>
  <c r="O739" i="17" s="1"/>
  <c r="J740" i="17"/>
  <c r="P740" i="17" s="1"/>
  <c r="K740" i="17"/>
  <c r="Q740" i="17" s="1"/>
  <c r="L740" i="17"/>
  <c r="M740" i="17"/>
  <c r="O740" i="17" s="1"/>
  <c r="J741" i="17"/>
  <c r="P741" i="17" s="1"/>
  <c r="K741" i="17"/>
  <c r="Q741" i="17" s="1"/>
  <c r="L741" i="17"/>
  <c r="M741" i="17"/>
  <c r="O741" i="17" s="1"/>
  <c r="J742" i="17"/>
  <c r="P742" i="17" s="1"/>
  <c r="K742" i="17"/>
  <c r="Q742" i="17" s="1"/>
  <c r="L742" i="17"/>
  <c r="M742" i="17"/>
  <c r="O742" i="17" s="1"/>
  <c r="J743" i="17"/>
  <c r="P743" i="17" s="1"/>
  <c r="K743" i="17"/>
  <c r="Q743" i="17" s="1"/>
  <c r="L743" i="17"/>
  <c r="M743" i="17"/>
  <c r="O743" i="17" s="1"/>
  <c r="J744" i="17"/>
  <c r="P744" i="17" s="1"/>
  <c r="K744" i="17"/>
  <c r="Q744" i="17" s="1"/>
  <c r="L744" i="17"/>
  <c r="M744" i="17"/>
  <c r="O744" i="17" s="1"/>
  <c r="J745" i="17"/>
  <c r="P745" i="17" s="1"/>
  <c r="K745" i="17"/>
  <c r="Q745" i="17" s="1"/>
  <c r="L745" i="17"/>
  <c r="M745" i="17"/>
  <c r="O745" i="17" s="1"/>
  <c r="J746" i="17"/>
  <c r="P746" i="17" s="1"/>
  <c r="K746" i="17"/>
  <c r="Q746" i="17" s="1"/>
  <c r="L746" i="17"/>
  <c r="M746" i="17"/>
  <c r="O746" i="17" s="1"/>
  <c r="J747" i="17"/>
  <c r="P747" i="17" s="1"/>
  <c r="K747" i="17"/>
  <c r="Q747" i="17" s="1"/>
  <c r="L747" i="17"/>
  <c r="M747" i="17"/>
  <c r="O747" i="17" s="1"/>
  <c r="J748" i="17"/>
  <c r="P748" i="17" s="1"/>
  <c r="K748" i="17"/>
  <c r="Q748" i="17" s="1"/>
  <c r="L748" i="17"/>
  <c r="M748" i="17"/>
  <c r="O748" i="17" s="1"/>
  <c r="J749" i="17"/>
  <c r="P749" i="17" s="1"/>
  <c r="K749" i="17"/>
  <c r="Q749" i="17" s="1"/>
  <c r="L749" i="17"/>
  <c r="M749" i="17"/>
  <c r="O749" i="17" s="1"/>
  <c r="J750" i="17"/>
  <c r="P750" i="17" s="1"/>
  <c r="K750" i="17"/>
  <c r="Q750" i="17" s="1"/>
  <c r="L750" i="17"/>
  <c r="M750" i="17"/>
  <c r="O750" i="17" s="1"/>
  <c r="J751" i="17"/>
  <c r="P751" i="17" s="1"/>
  <c r="K751" i="17"/>
  <c r="Q751" i="17" s="1"/>
  <c r="L751" i="17"/>
  <c r="M751" i="17"/>
  <c r="O751" i="17" s="1"/>
  <c r="J752" i="17"/>
  <c r="P752" i="17" s="1"/>
  <c r="K752" i="17"/>
  <c r="Q752" i="17" s="1"/>
  <c r="L752" i="17"/>
  <c r="M752" i="17"/>
  <c r="O752" i="17" s="1"/>
  <c r="J753" i="17"/>
  <c r="P753" i="17" s="1"/>
  <c r="K753" i="17"/>
  <c r="Q753" i="17" s="1"/>
  <c r="L753" i="17"/>
  <c r="M753" i="17"/>
  <c r="O753" i="17" s="1"/>
  <c r="J754" i="17"/>
  <c r="P754" i="17" s="1"/>
  <c r="K754" i="17"/>
  <c r="Q754" i="17" s="1"/>
  <c r="L754" i="17"/>
  <c r="M754" i="17"/>
  <c r="O754" i="17" s="1"/>
  <c r="J755" i="17"/>
  <c r="P755" i="17" s="1"/>
  <c r="K755" i="17"/>
  <c r="Q755" i="17" s="1"/>
  <c r="L755" i="17"/>
  <c r="M755" i="17"/>
  <c r="O755" i="17" s="1"/>
  <c r="J756" i="17"/>
  <c r="P756" i="17" s="1"/>
  <c r="K756" i="17"/>
  <c r="Q756" i="17" s="1"/>
  <c r="L756" i="17"/>
  <c r="M756" i="17"/>
  <c r="O756" i="17" s="1"/>
  <c r="J757" i="17"/>
  <c r="P757" i="17" s="1"/>
  <c r="K757" i="17"/>
  <c r="Q757" i="17" s="1"/>
  <c r="L757" i="17"/>
  <c r="M757" i="17"/>
  <c r="O757" i="17" s="1"/>
  <c r="J758" i="17"/>
  <c r="P758" i="17" s="1"/>
  <c r="K758" i="17"/>
  <c r="Q758" i="17" s="1"/>
  <c r="L758" i="17"/>
  <c r="M758" i="17"/>
  <c r="O758" i="17" s="1"/>
  <c r="J759" i="17"/>
  <c r="P759" i="17" s="1"/>
  <c r="K759" i="17"/>
  <c r="Q759" i="17" s="1"/>
  <c r="L759" i="17"/>
  <c r="M759" i="17"/>
  <c r="O759" i="17" s="1"/>
  <c r="J760" i="17"/>
  <c r="P760" i="17" s="1"/>
  <c r="K760" i="17"/>
  <c r="Q760" i="17" s="1"/>
  <c r="L760" i="17"/>
  <c r="M760" i="17"/>
  <c r="O760" i="17" s="1"/>
  <c r="J761" i="17"/>
  <c r="P761" i="17" s="1"/>
  <c r="K761" i="17"/>
  <c r="Q761" i="17" s="1"/>
  <c r="L761" i="17"/>
  <c r="M761" i="17"/>
  <c r="O761" i="17" s="1"/>
  <c r="J762" i="17"/>
  <c r="P762" i="17" s="1"/>
  <c r="K762" i="17"/>
  <c r="Q762" i="17" s="1"/>
  <c r="L762" i="17"/>
  <c r="M762" i="17"/>
  <c r="O762" i="17" s="1"/>
  <c r="J763" i="17"/>
  <c r="P763" i="17" s="1"/>
  <c r="K763" i="17"/>
  <c r="Q763" i="17" s="1"/>
  <c r="L763" i="17"/>
  <c r="M763" i="17"/>
  <c r="O763" i="17" s="1"/>
  <c r="J764" i="17"/>
  <c r="P764" i="17" s="1"/>
  <c r="K764" i="17"/>
  <c r="Q764" i="17" s="1"/>
  <c r="L764" i="17"/>
  <c r="M764" i="17"/>
  <c r="O764" i="17" s="1"/>
  <c r="J765" i="17"/>
  <c r="P765" i="17" s="1"/>
  <c r="K765" i="17"/>
  <c r="Q765" i="17" s="1"/>
  <c r="L765" i="17"/>
  <c r="M765" i="17"/>
  <c r="O765" i="17" s="1"/>
  <c r="J766" i="17"/>
  <c r="P766" i="17" s="1"/>
  <c r="K766" i="17"/>
  <c r="Q766" i="17" s="1"/>
  <c r="L766" i="17"/>
  <c r="M766" i="17"/>
  <c r="O766" i="17" s="1"/>
  <c r="J767" i="17"/>
  <c r="P767" i="17" s="1"/>
  <c r="K767" i="17"/>
  <c r="Q767" i="17" s="1"/>
  <c r="L767" i="17"/>
  <c r="M767" i="17"/>
  <c r="O767" i="17" s="1"/>
  <c r="J768" i="17"/>
  <c r="P768" i="17" s="1"/>
  <c r="K768" i="17"/>
  <c r="Q768" i="17" s="1"/>
  <c r="L768" i="17"/>
  <c r="M768" i="17"/>
  <c r="O768" i="17" s="1"/>
  <c r="J769" i="17"/>
  <c r="P769" i="17" s="1"/>
  <c r="K769" i="17"/>
  <c r="Q769" i="17" s="1"/>
  <c r="L769" i="17"/>
  <c r="M769" i="17"/>
  <c r="O769" i="17" s="1"/>
  <c r="J770" i="17"/>
  <c r="P770" i="17" s="1"/>
  <c r="K770" i="17"/>
  <c r="Q770" i="17" s="1"/>
  <c r="L770" i="17"/>
  <c r="M770" i="17"/>
  <c r="O770" i="17" s="1"/>
  <c r="J771" i="17"/>
  <c r="P771" i="17" s="1"/>
  <c r="K771" i="17"/>
  <c r="Q771" i="17" s="1"/>
  <c r="L771" i="17"/>
  <c r="M771" i="17"/>
  <c r="O771" i="17" s="1"/>
  <c r="J772" i="17"/>
  <c r="P772" i="17" s="1"/>
  <c r="K772" i="17"/>
  <c r="Q772" i="17" s="1"/>
  <c r="L772" i="17"/>
  <c r="M772" i="17"/>
  <c r="O772" i="17" s="1"/>
  <c r="J773" i="17"/>
  <c r="P773" i="17" s="1"/>
  <c r="K773" i="17"/>
  <c r="Q773" i="17" s="1"/>
  <c r="L773" i="17"/>
  <c r="M773" i="17"/>
  <c r="O773" i="17" s="1"/>
  <c r="J774" i="17"/>
  <c r="P774" i="17" s="1"/>
  <c r="K774" i="17"/>
  <c r="Q774" i="17" s="1"/>
  <c r="L774" i="17"/>
  <c r="M774" i="17"/>
  <c r="O774" i="17" s="1"/>
  <c r="J775" i="17"/>
  <c r="P775" i="17" s="1"/>
  <c r="K775" i="17"/>
  <c r="Q775" i="17" s="1"/>
  <c r="L775" i="17"/>
  <c r="M775" i="17"/>
  <c r="O775" i="17" s="1"/>
  <c r="J776" i="17"/>
  <c r="P776" i="17" s="1"/>
  <c r="K776" i="17"/>
  <c r="Q776" i="17" s="1"/>
  <c r="L776" i="17"/>
  <c r="M776" i="17"/>
  <c r="O776" i="17" s="1"/>
  <c r="J777" i="17"/>
  <c r="P777" i="17" s="1"/>
  <c r="K777" i="17"/>
  <c r="Q777" i="17" s="1"/>
  <c r="L777" i="17"/>
  <c r="M777" i="17"/>
  <c r="O777" i="17" s="1"/>
  <c r="J778" i="17"/>
  <c r="P778" i="17" s="1"/>
  <c r="K778" i="17"/>
  <c r="Q778" i="17" s="1"/>
  <c r="L778" i="17"/>
  <c r="M778" i="17"/>
  <c r="O778" i="17" s="1"/>
  <c r="J779" i="17"/>
  <c r="P779" i="17" s="1"/>
  <c r="K779" i="17"/>
  <c r="Q779" i="17" s="1"/>
  <c r="L779" i="17"/>
  <c r="M779" i="17"/>
  <c r="O779" i="17" s="1"/>
  <c r="J780" i="17"/>
  <c r="P780" i="17" s="1"/>
  <c r="K780" i="17"/>
  <c r="Q780" i="17" s="1"/>
  <c r="L780" i="17"/>
  <c r="M780" i="17"/>
  <c r="O780" i="17" s="1"/>
  <c r="J781" i="17"/>
  <c r="P781" i="17" s="1"/>
  <c r="K781" i="17"/>
  <c r="Q781" i="17" s="1"/>
  <c r="L781" i="17"/>
  <c r="M781" i="17"/>
  <c r="O781" i="17" s="1"/>
  <c r="J782" i="17"/>
  <c r="P782" i="17" s="1"/>
  <c r="K782" i="17"/>
  <c r="Q782" i="17" s="1"/>
  <c r="L782" i="17"/>
  <c r="M782" i="17"/>
  <c r="O782" i="17" s="1"/>
  <c r="J783" i="17"/>
  <c r="P783" i="17" s="1"/>
  <c r="K783" i="17"/>
  <c r="Q783" i="17" s="1"/>
  <c r="L783" i="17"/>
  <c r="M783" i="17"/>
  <c r="O783" i="17" s="1"/>
  <c r="J784" i="17"/>
  <c r="P784" i="17" s="1"/>
  <c r="K784" i="17"/>
  <c r="Q784" i="17" s="1"/>
  <c r="L784" i="17"/>
  <c r="M784" i="17"/>
  <c r="O784" i="17" s="1"/>
  <c r="J785" i="17"/>
  <c r="P785" i="17" s="1"/>
  <c r="K785" i="17"/>
  <c r="Q785" i="17" s="1"/>
  <c r="L785" i="17"/>
  <c r="M785" i="17"/>
  <c r="O785" i="17" s="1"/>
  <c r="J786" i="17"/>
  <c r="P786" i="17" s="1"/>
  <c r="K786" i="17"/>
  <c r="Q786" i="17" s="1"/>
  <c r="L786" i="17"/>
  <c r="M786" i="17"/>
  <c r="O786" i="17" s="1"/>
  <c r="J787" i="17"/>
  <c r="P787" i="17" s="1"/>
  <c r="K787" i="17"/>
  <c r="Q787" i="17" s="1"/>
  <c r="L787" i="17"/>
  <c r="M787" i="17"/>
  <c r="O787" i="17" s="1"/>
  <c r="J788" i="17"/>
  <c r="P788" i="17" s="1"/>
  <c r="K788" i="17"/>
  <c r="Q788" i="17" s="1"/>
  <c r="L788" i="17"/>
  <c r="M788" i="17"/>
  <c r="O788" i="17" s="1"/>
  <c r="J789" i="17"/>
  <c r="P789" i="17" s="1"/>
  <c r="K789" i="17"/>
  <c r="Q789" i="17" s="1"/>
  <c r="L789" i="17"/>
  <c r="M789" i="17"/>
  <c r="O789" i="17" s="1"/>
  <c r="J790" i="17"/>
  <c r="P790" i="17" s="1"/>
  <c r="K790" i="17"/>
  <c r="Q790" i="17" s="1"/>
  <c r="L790" i="17"/>
  <c r="M790" i="17"/>
  <c r="O790" i="17" s="1"/>
  <c r="J791" i="17"/>
  <c r="P791" i="17" s="1"/>
  <c r="K791" i="17"/>
  <c r="Q791" i="17" s="1"/>
  <c r="L791" i="17"/>
  <c r="M791" i="17"/>
  <c r="O791" i="17" s="1"/>
  <c r="J792" i="17"/>
  <c r="P792" i="17" s="1"/>
  <c r="K792" i="17"/>
  <c r="Q792" i="17" s="1"/>
  <c r="L792" i="17"/>
  <c r="M792" i="17"/>
  <c r="O792" i="17" s="1"/>
  <c r="J793" i="17"/>
  <c r="P793" i="17" s="1"/>
  <c r="K793" i="17"/>
  <c r="Q793" i="17" s="1"/>
  <c r="L793" i="17"/>
  <c r="M793" i="17"/>
  <c r="O793" i="17" s="1"/>
  <c r="J794" i="17"/>
  <c r="P794" i="17" s="1"/>
  <c r="K794" i="17"/>
  <c r="Q794" i="17" s="1"/>
  <c r="L794" i="17"/>
  <c r="M794" i="17"/>
  <c r="O794" i="17" s="1"/>
  <c r="J795" i="17"/>
  <c r="P795" i="17" s="1"/>
  <c r="K795" i="17"/>
  <c r="Q795" i="17" s="1"/>
  <c r="L795" i="17"/>
  <c r="M795" i="17"/>
  <c r="O795" i="17" s="1"/>
  <c r="J796" i="17"/>
  <c r="P796" i="17" s="1"/>
  <c r="K796" i="17"/>
  <c r="Q796" i="17" s="1"/>
  <c r="L796" i="17"/>
  <c r="M796" i="17"/>
  <c r="O796" i="17" s="1"/>
  <c r="J797" i="17"/>
  <c r="P797" i="17" s="1"/>
  <c r="K797" i="17"/>
  <c r="Q797" i="17" s="1"/>
  <c r="L797" i="17"/>
  <c r="M797" i="17"/>
  <c r="O797" i="17" s="1"/>
  <c r="J798" i="17"/>
  <c r="P798" i="17" s="1"/>
  <c r="K798" i="17"/>
  <c r="Q798" i="17" s="1"/>
  <c r="L798" i="17"/>
  <c r="M798" i="17"/>
  <c r="O798" i="17" s="1"/>
  <c r="J799" i="17"/>
  <c r="P799" i="17" s="1"/>
  <c r="K799" i="17"/>
  <c r="Q799" i="17" s="1"/>
  <c r="L799" i="17"/>
  <c r="M799" i="17"/>
  <c r="O799" i="17" s="1"/>
  <c r="J800" i="17"/>
  <c r="P800" i="17" s="1"/>
  <c r="K800" i="17"/>
  <c r="Q800" i="17" s="1"/>
  <c r="L800" i="17"/>
  <c r="M800" i="17"/>
  <c r="O800" i="17" s="1"/>
  <c r="J801" i="17"/>
  <c r="P801" i="17" s="1"/>
  <c r="K801" i="17"/>
  <c r="Q801" i="17" s="1"/>
  <c r="L801" i="17"/>
  <c r="M801" i="17"/>
  <c r="O801" i="17" s="1"/>
  <c r="J802" i="17"/>
  <c r="P802" i="17" s="1"/>
  <c r="K802" i="17"/>
  <c r="Q802" i="17" s="1"/>
  <c r="L802" i="17"/>
  <c r="M802" i="17"/>
  <c r="O802" i="17" s="1"/>
  <c r="J803" i="17"/>
  <c r="P803" i="17" s="1"/>
  <c r="K803" i="17"/>
  <c r="Q803" i="17" s="1"/>
  <c r="L803" i="17"/>
  <c r="M803" i="17"/>
  <c r="O803" i="17" s="1"/>
  <c r="J804" i="17"/>
  <c r="P804" i="17" s="1"/>
  <c r="K804" i="17"/>
  <c r="Q804" i="17" s="1"/>
  <c r="L804" i="17"/>
  <c r="M804" i="17"/>
  <c r="O804" i="17" s="1"/>
  <c r="J805" i="17"/>
  <c r="P805" i="17" s="1"/>
  <c r="K805" i="17"/>
  <c r="Q805" i="17" s="1"/>
  <c r="L805" i="17"/>
  <c r="M805" i="17"/>
  <c r="O805" i="17" s="1"/>
  <c r="J806" i="17"/>
  <c r="P806" i="17" s="1"/>
  <c r="K806" i="17"/>
  <c r="Q806" i="17" s="1"/>
  <c r="L806" i="17"/>
  <c r="M806" i="17"/>
  <c r="O806" i="17" s="1"/>
  <c r="J807" i="17"/>
  <c r="P807" i="17" s="1"/>
  <c r="K807" i="17"/>
  <c r="Q807" i="17" s="1"/>
  <c r="L807" i="17"/>
  <c r="M807" i="17"/>
  <c r="O807" i="17" s="1"/>
  <c r="J808" i="17"/>
  <c r="P808" i="17" s="1"/>
  <c r="K808" i="17"/>
  <c r="Q808" i="17" s="1"/>
  <c r="L808" i="17"/>
  <c r="M808" i="17"/>
  <c r="O808" i="17" s="1"/>
  <c r="J809" i="17"/>
  <c r="P809" i="17" s="1"/>
  <c r="K809" i="17"/>
  <c r="Q809" i="17" s="1"/>
  <c r="L809" i="17"/>
  <c r="M809" i="17"/>
  <c r="O809" i="17" s="1"/>
  <c r="J810" i="17"/>
  <c r="P810" i="17" s="1"/>
  <c r="K810" i="17"/>
  <c r="Q810" i="17" s="1"/>
  <c r="L810" i="17"/>
  <c r="M810" i="17"/>
  <c r="O810" i="17" s="1"/>
  <c r="J811" i="17"/>
  <c r="P811" i="17" s="1"/>
  <c r="K811" i="17"/>
  <c r="Q811" i="17" s="1"/>
  <c r="L811" i="17"/>
  <c r="M811" i="17"/>
  <c r="O811" i="17" s="1"/>
  <c r="J812" i="17"/>
  <c r="P812" i="17" s="1"/>
  <c r="K812" i="17"/>
  <c r="Q812" i="17" s="1"/>
  <c r="L812" i="17"/>
  <c r="M812" i="17"/>
  <c r="O812" i="17" s="1"/>
  <c r="J813" i="17"/>
  <c r="P813" i="17" s="1"/>
  <c r="K813" i="17"/>
  <c r="Q813" i="17" s="1"/>
  <c r="L813" i="17"/>
  <c r="M813" i="17"/>
  <c r="O813" i="17" s="1"/>
  <c r="J814" i="17"/>
  <c r="P814" i="17" s="1"/>
  <c r="K814" i="17"/>
  <c r="Q814" i="17" s="1"/>
  <c r="L814" i="17"/>
  <c r="M814" i="17"/>
  <c r="O814" i="17" s="1"/>
  <c r="J815" i="17"/>
  <c r="P815" i="17" s="1"/>
  <c r="K815" i="17"/>
  <c r="Q815" i="17" s="1"/>
  <c r="L815" i="17"/>
  <c r="M815" i="17"/>
  <c r="O815" i="17" s="1"/>
  <c r="J816" i="17"/>
  <c r="P816" i="17" s="1"/>
  <c r="K816" i="17"/>
  <c r="Q816" i="17" s="1"/>
  <c r="L816" i="17"/>
  <c r="M816" i="17"/>
  <c r="O816" i="17" s="1"/>
  <c r="J817" i="17"/>
  <c r="P817" i="17" s="1"/>
  <c r="K817" i="17"/>
  <c r="Q817" i="17" s="1"/>
  <c r="L817" i="17"/>
  <c r="M817" i="17"/>
  <c r="O817" i="17" s="1"/>
  <c r="J818" i="17"/>
  <c r="P818" i="17" s="1"/>
  <c r="K818" i="17"/>
  <c r="Q818" i="17" s="1"/>
  <c r="L818" i="17"/>
  <c r="M818" i="17"/>
  <c r="O818" i="17" s="1"/>
  <c r="J819" i="17"/>
  <c r="P819" i="17" s="1"/>
  <c r="K819" i="17"/>
  <c r="Q819" i="17" s="1"/>
  <c r="L819" i="17"/>
  <c r="M819" i="17"/>
  <c r="O819" i="17" s="1"/>
  <c r="J820" i="17"/>
  <c r="P820" i="17" s="1"/>
  <c r="K820" i="17"/>
  <c r="Q820" i="17" s="1"/>
  <c r="L820" i="17"/>
  <c r="M820" i="17"/>
  <c r="O820" i="17" s="1"/>
  <c r="J821" i="17"/>
  <c r="P821" i="17" s="1"/>
  <c r="K821" i="17"/>
  <c r="Q821" i="17" s="1"/>
  <c r="L821" i="17"/>
  <c r="M821" i="17"/>
  <c r="O821" i="17" s="1"/>
  <c r="J822" i="17"/>
  <c r="P822" i="17" s="1"/>
  <c r="K822" i="17"/>
  <c r="Q822" i="17" s="1"/>
  <c r="L822" i="17"/>
  <c r="M822" i="17"/>
  <c r="O822" i="17" s="1"/>
  <c r="J823" i="17"/>
  <c r="P823" i="17" s="1"/>
  <c r="K823" i="17"/>
  <c r="Q823" i="17" s="1"/>
  <c r="L823" i="17"/>
  <c r="M823" i="17"/>
  <c r="O823" i="17" s="1"/>
  <c r="J824" i="17"/>
  <c r="P824" i="17" s="1"/>
  <c r="K824" i="17"/>
  <c r="Q824" i="17" s="1"/>
  <c r="L824" i="17"/>
  <c r="M824" i="17"/>
  <c r="O824" i="17" s="1"/>
  <c r="J825" i="17"/>
  <c r="P825" i="17" s="1"/>
  <c r="K825" i="17"/>
  <c r="Q825" i="17" s="1"/>
  <c r="L825" i="17"/>
  <c r="M825" i="17"/>
  <c r="O825" i="17" s="1"/>
  <c r="J826" i="17"/>
  <c r="P826" i="17" s="1"/>
  <c r="K826" i="17"/>
  <c r="Q826" i="17" s="1"/>
  <c r="L826" i="17"/>
  <c r="M826" i="17"/>
  <c r="O826" i="17" s="1"/>
  <c r="J827" i="17"/>
  <c r="P827" i="17" s="1"/>
  <c r="K827" i="17"/>
  <c r="Q827" i="17" s="1"/>
  <c r="L827" i="17"/>
  <c r="M827" i="17"/>
  <c r="O827" i="17" s="1"/>
  <c r="J828" i="17"/>
  <c r="P828" i="17" s="1"/>
  <c r="K828" i="17"/>
  <c r="Q828" i="17" s="1"/>
  <c r="L828" i="17"/>
  <c r="M828" i="17"/>
  <c r="O828" i="17" s="1"/>
  <c r="J829" i="17"/>
  <c r="P829" i="17" s="1"/>
  <c r="K829" i="17"/>
  <c r="Q829" i="17" s="1"/>
  <c r="L829" i="17"/>
  <c r="M829" i="17"/>
  <c r="O829" i="17" s="1"/>
  <c r="J830" i="17"/>
  <c r="P830" i="17" s="1"/>
  <c r="K830" i="17"/>
  <c r="Q830" i="17" s="1"/>
  <c r="L830" i="17"/>
  <c r="M830" i="17"/>
  <c r="O830" i="17" s="1"/>
  <c r="J831" i="17"/>
  <c r="P831" i="17" s="1"/>
  <c r="K831" i="17"/>
  <c r="Q831" i="17" s="1"/>
  <c r="L831" i="17"/>
  <c r="M831" i="17"/>
  <c r="O831" i="17" s="1"/>
  <c r="J832" i="17"/>
  <c r="P832" i="17" s="1"/>
  <c r="K832" i="17"/>
  <c r="Q832" i="17" s="1"/>
  <c r="L832" i="17"/>
  <c r="M832" i="17"/>
  <c r="O832" i="17" s="1"/>
  <c r="J833" i="17"/>
  <c r="P833" i="17" s="1"/>
  <c r="K833" i="17"/>
  <c r="Q833" i="17" s="1"/>
  <c r="L833" i="17"/>
  <c r="M833" i="17"/>
  <c r="O833" i="17" s="1"/>
  <c r="J834" i="17"/>
  <c r="P834" i="17" s="1"/>
  <c r="K834" i="17"/>
  <c r="Q834" i="17" s="1"/>
  <c r="L834" i="17"/>
  <c r="M834" i="17"/>
  <c r="O834" i="17" s="1"/>
  <c r="J835" i="17"/>
  <c r="P835" i="17" s="1"/>
  <c r="K835" i="17"/>
  <c r="Q835" i="17" s="1"/>
  <c r="L835" i="17"/>
  <c r="M835" i="17"/>
  <c r="O835" i="17" s="1"/>
  <c r="J836" i="17"/>
  <c r="P836" i="17" s="1"/>
  <c r="K836" i="17"/>
  <c r="Q836" i="17" s="1"/>
  <c r="L836" i="17"/>
  <c r="M836" i="17"/>
  <c r="O836" i="17" s="1"/>
  <c r="J837" i="17"/>
  <c r="P837" i="17" s="1"/>
  <c r="K837" i="17"/>
  <c r="Q837" i="17" s="1"/>
  <c r="L837" i="17"/>
  <c r="M837" i="17"/>
  <c r="O837" i="17" s="1"/>
  <c r="J838" i="17"/>
  <c r="P838" i="17" s="1"/>
  <c r="K838" i="17"/>
  <c r="Q838" i="17" s="1"/>
  <c r="L838" i="17"/>
  <c r="M838" i="17"/>
  <c r="O838" i="17" s="1"/>
  <c r="J839" i="17"/>
  <c r="P839" i="17" s="1"/>
  <c r="K839" i="17"/>
  <c r="Q839" i="17" s="1"/>
  <c r="L839" i="17"/>
  <c r="M839" i="17"/>
  <c r="O839" i="17" s="1"/>
  <c r="J840" i="17"/>
  <c r="P840" i="17" s="1"/>
  <c r="K840" i="17"/>
  <c r="Q840" i="17" s="1"/>
  <c r="L840" i="17"/>
  <c r="M840" i="17"/>
  <c r="O840" i="17" s="1"/>
  <c r="J841" i="17"/>
  <c r="P841" i="17" s="1"/>
  <c r="K841" i="17"/>
  <c r="Q841" i="17" s="1"/>
  <c r="L841" i="17"/>
  <c r="M841" i="17"/>
  <c r="O841" i="17" s="1"/>
  <c r="J842" i="17"/>
  <c r="P842" i="17" s="1"/>
  <c r="K842" i="17"/>
  <c r="Q842" i="17" s="1"/>
  <c r="L842" i="17"/>
  <c r="M842" i="17"/>
  <c r="O842" i="17" s="1"/>
  <c r="J843" i="17"/>
  <c r="P843" i="17" s="1"/>
  <c r="K843" i="17"/>
  <c r="Q843" i="17" s="1"/>
  <c r="L843" i="17"/>
  <c r="M843" i="17"/>
  <c r="O843" i="17" s="1"/>
  <c r="J844" i="17"/>
  <c r="P844" i="17" s="1"/>
  <c r="K844" i="17"/>
  <c r="Q844" i="17" s="1"/>
  <c r="L844" i="17"/>
  <c r="M844" i="17"/>
  <c r="O844" i="17" s="1"/>
  <c r="J845" i="17"/>
  <c r="P845" i="17" s="1"/>
  <c r="K845" i="17"/>
  <c r="Q845" i="17" s="1"/>
  <c r="L845" i="17"/>
  <c r="M845" i="17"/>
  <c r="O845" i="17" s="1"/>
  <c r="J846" i="17"/>
  <c r="P846" i="17" s="1"/>
  <c r="K846" i="17"/>
  <c r="Q846" i="17" s="1"/>
  <c r="L846" i="17"/>
  <c r="M846" i="17"/>
  <c r="O846" i="17" s="1"/>
  <c r="J847" i="17"/>
  <c r="P847" i="17" s="1"/>
  <c r="K847" i="17"/>
  <c r="Q847" i="17" s="1"/>
  <c r="L847" i="17"/>
  <c r="M847" i="17"/>
  <c r="O847" i="17" s="1"/>
  <c r="J848" i="17"/>
  <c r="P848" i="17" s="1"/>
  <c r="K848" i="17"/>
  <c r="Q848" i="17" s="1"/>
  <c r="L848" i="17"/>
  <c r="M848" i="17"/>
  <c r="O848" i="17" s="1"/>
  <c r="J849" i="17"/>
  <c r="P849" i="17" s="1"/>
  <c r="K849" i="17"/>
  <c r="Q849" i="17" s="1"/>
  <c r="L849" i="17"/>
  <c r="M849" i="17"/>
  <c r="O849" i="17" s="1"/>
  <c r="J850" i="17"/>
  <c r="P850" i="17" s="1"/>
  <c r="K850" i="17"/>
  <c r="Q850" i="17" s="1"/>
  <c r="L850" i="17"/>
  <c r="M850" i="17"/>
  <c r="O850" i="17" s="1"/>
  <c r="J851" i="17"/>
  <c r="P851" i="17" s="1"/>
  <c r="K851" i="17"/>
  <c r="Q851" i="17" s="1"/>
  <c r="L851" i="17"/>
  <c r="M851" i="17"/>
  <c r="O851" i="17" s="1"/>
  <c r="J852" i="17"/>
  <c r="P852" i="17" s="1"/>
  <c r="K852" i="17"/>
  <c r="Q852" i="17" s="1"/>
  <c r="L852" i="17"/>
  <c r="M852" i="17"/>
  <c r="O852" i="17" s="1"/>
  <c r="J853" i="17"/>
  <c r="P853" i="17" s="1"/>
  <c r="K853" i="17"/>
  <c r="Q853" i="17" s="1"/>
  <c r="L853" i="17"/>
  <c r="M853" i="17"/>
  <c r="O853" i="17" s="1"/>
  <c r="J854" i="17"/>
  <c r="P854" i="17" s="1"/>
  <c r="K854" i="17"/>
  <c r="Q854" i="17" s="1"/>
  <c r="L854" i="17"/>
  <c r="M854" i="17"/>
  <c r="O854" i="17" s="1"/>
  <c r="J855" i="17"/>
  <c r="P855" i="17" s="1"/>
  <c r="K855" i="17"/>
  <c r="Q855" i="17" s="1"/>
  <c r="L855" i="17"/>
  <c r="M855" i="17"/>
  <c r="O855" i="17" s="1"/>
  <c r="J856" i="17"/>
  <c r="P856" i="17" s="1"/>
  <c r="K856" i="17"/>
  <c r="Q856" i="17" s="1"/>
  <c r="L856" i="17"/>
  <c r="M856" i="17"/>
  <c r="O856" i="17" s="1"/>
  <c r="J857" i="17"/>
  <c r="P857" i="17" s="1"/>
  <c r="K857" i="17"/>
  <c r="Q857" i="17" s="1"/>
  <c r="L857" i="17"/>
  <c r="M857" i="17"/>
  <c r="O857" i="17" s="1"/>
  <c r="J858" i="17"/>
  <c r="P858" i="17" s="1"/>
  <c r="K858" i="17"/>
  <c r="Q858" i="17" s="1"/>
  <c r="L858" i="17"/>
  <c r="M858" i="17"/>
  <c r="O858" i="17" s="1"/>
  <c r="J859" i="17"/>
  <c r="P859" i="17" s="1"/>
  <c r="K859" i="17"/>
  <c r="Q859" i="17" s="1"/>
  <c r="L859" i="17"/>
  <c r="M859" i="17"/>
  <c r="O859" i="17" s="1"/>
  <c r="J860" i="17"/>
  <c r="P860" i="17" s="1"/>
  <c r="K860" i="17"/>
  <c r="Q860" i="17" s="1"/>
  <c r="L860" i="17"/>
  <c r="M860" i="17"/>
  <c r="O860" i="17" s="1"/>
  <c r="J861" i="17"/>
  <c r="P861" i="17" s="1"/>
  <c r="K861" i="17"/>
  <c r="Q861" i="17" s="1"/>
  <c r="L861" i="17"/>
  <c r="M861" i="17"/>
  <c r="O861" i="17" s="1"/>
  <c r="J862" i="17"/>
  <c r="P862" i="17" s="1"/>
  <c r="K862" i="17"/>
  <c r="Q862" i="17" s="1"/>
  <c r="L862" i="17"/>
  <c r="M862" i="17"/>
  <c r="O862" i="17" s="1"/>
  <c r="J863" i="17"/>
  <c r="P863" i="17" s="1"/>
  <c r="K863" i="17"/>
  <c r="Q863" i="17" s="1"/>
  <c r="L863" i="17"/>
  <c r="M863" i="17"/>
  <c r="O863" i="17" s="1"/>
  <c r="J864" i="17"/>
  <c r="P864" i="17" s="1"/>
  <c r="K864" i="17"/>
  <c r="Q864" i="17" s="1"/>
  <c r="L864" i="17"/>
  <c r="M864" i="17"/>
  <c r="O864" i="17" s="1"/>
  <c r="J865" i="17"/>
  <c r="P865" i="17" s="1"/>
  <c r="K865" i="17"/>
  <c r="Q865" i="17" s="1"/>
  <c r="L865" i="17"/>
  <c r="M865" i="17"/>
  <c r="O865" i="17" s="1"/>
  <c r="J866" i="17"/>
  <c r="P866" i="17" s="1"/>
  <c r="K866" i="17"/>
  <c r="Q866" i="17" s="1"/>
  <c r="L866" i="17"/>
  <c r="M866" i="17"/>
  <c r="O866" i="17" s="1"/>
  <c r="J867" i="17"/>
  <c r="P867" i="17" s="1"/>
  <c r="K867" i="17"/>
  <c r="Q867" i="17" s="1"/>
  <c r="L867" i="17"/>
  <c r="M867" i="17"/>
  <c r="O867" i="17" s="1"/>
  <c r="J868" i="17"/>
  <c r="P868" i="17" s="1"/>
  <c r="K868" i="17"/>
  <c r="Q868" i="17" s="1"/>
  <c r="L868" i="17"/>
  <c r="M868" i="17"/>
  <c r="O868" i="17" s="1"/>
  <c r="J869" i="17"/>
  <c r="P869" i="17" s="1"/>
  <c r="K869" i="17"/>
  <c r="Q869" i="17" s="1"/>
  <c r="L869" i="17"/>
  <c r="M869" i="17"/>
  <c r="O869" i="17" s="1"/>
  <c r="J870" i="17"/>
  <c r="P870" i="17" s="1"/>
  <c r="K870" i="17"/>
  <c r="Q870" i="17" s="1"/>
  <c r="L870" i="17"/>
  <c r="M870" i="17"/>
  <c r="O870" i="17" s="1"/>
  <c r="J871" i="17"/>
  <c r="P871" i="17" s="1"/>
  <c r="K871" i="17"/>
  <c r="Q871" i="17" s="1"/>
  <c r="L871" i="17"/>
  <c r="M871" i="17"/>
  <c r="O871" i="17" s="1"/>
  <c r="J872" i="17"/>
  <c r="P872" i="17" s="1"/>
  <c r="K872" i="17"/>
  <c r="Q872" i="17" s="1"/>
  <c r="L872" i="17"/>
  <c r="M872" i="17"/>
  <c r="O872" i="17" s="1"/>
  <c r="J873" i="17"/>
  <c r="P873" i="17" s="1"/>
  <c r="K873" i="17"/>
  <c r="Q873" i="17" s="1"/>
  <c r="L873" i="17"/>
  <c r="M873" i="17"/>
  <c r="O873" i="17" s="1"/>
  <c r="J874" i="17"/>
  <c r="P874" i="17" s="1"/>
  <c r="K874" i="17"/>
  <c r="Q874" i="17" s="1"/>
  <c r="L874" i="17"/>
  <c r="M874" i="17"/>
  <c r="O874" i="17" s="1"/>
  <c r="J875" i="17"/>
  <c r="P875" i="17" s="1"/>
  <c r="K875" i="17"/>
  <c r="Q875" i="17" s="1"/>
  <c r="L875" i="17"/>
  <c r="M875" i="17"/>
  <c r="O875" i="17" s="1"/>
  <c r="J876" i="17"/>
  <c r="P876" i="17" s="1"/>
  <c r="K876" i="17"/>
  <c r="Q876" i="17" s="1"/>
  <c r="L876" i="17"/>
  <c r="M876" i="17"/>
  <c r="O876" i="17" s="1"/>
  <c r="J877" i="17"/>
  <c r="P877" i="17" s="1"/>
  <c r="K877" i="17"/>
  <c r="Q877" i="17" s="1"/>
  <c r="L877" i="17"/>
  <c r="M877" i="17"/>
  <c r="O877" i="17" s="1"/>
  <c r="J878" i="17"/>
  <c r="P878" i="17" s="1"/>
  <c r="K878" i="17"/>
  <c r="Q878" i="17" s="1"/>
  <c r="L878" i="17"/>
  <c r="M878" i="17"/>
  <c r="O878" i="17" s="1"/>
  <c r="J879" i="17"/>
  <c r="P879" i="17" s="1"/>
  <c r="K879" i="17"/>
  <c r="Q879" i="17" s="1"/>
  <c r="L879" i="17"/>
  <c r="M879" i="17"/>
  <c r="O879" i="17" s="1"/>
  <c r="J880" i="17"/>
  <c r="P880" i="17" s="1"/>
  <c r="K880" i="17"/>
  <c r="Q880" i="17" s="1"/>
  <c r="L880" i="17"/>
  <c r="M880" i="17"/>
  <c r="O880" i="17" s="1"/>
  <c r="J881" i="17"/>
  <c r="P881" i="17" s="1"/>
  <c r="K881" i="17"/>
  <c r="Q881" i="17" s="1"/>
  <c r="L881" i="17"/>
  <c r="M881" i="17"/>
  <c r="O881" i="17" s="1"/>
  <c r="J882" i="17"/>
  <c r="P882" i="17" s="1"/>
  <c r="K882" i="17"/>
  <c r="Q882" i="17" s="1"/>
  <c r="L882" i="17"/>
  <c r="M882" i="17"/>
  <c r="O882" i="17" s="1"/>
  <c r="J883" i="17"/>
  <c r="P883" i="17" s="1"/>
  <c r="K883" i="17"/>
  <c r="Q883" i="17" s="1"/>
  <c r="L883" i="17"/>
  <c r="M883" i="17"/>
  <c r="O883" i="17" s="1"/>
  <c r="J884" i="17"/>
  <c r="P884" i="17" s="1"/>
  <c r="K884" i="17"/>
  <c r="Q884" i="17" s="1"/>
  <c r="L884" i="17"/>
  <c r="M884" i="17"/>
  <c r="O884" i="17" s="1"/>
  <c r="J885" i="17"/>
  <c r="P885" i="17" s="1"/>
  <c r="K885" i="17"/>
  <c r="Q885" i="17" s="1"/>
  <c r="L885" i="17"/>
  <c r="M885" i="17"/>
  <c r="O885" i="17" s="1"/>
  <c r="J886" i="17"/>
  <c r="P886" i="17" s="1"/>
  <c r="K886" i="17"/>
  <c r="Q886" i="17" s="1"/>
  <c r="L886" i="17"/>
  <c r="M886" i="17"/>
  <c r="O886" i="17" s="1"/>
  <c r="J887" i="17"/>
  <c r="P887" i="17" s="1"/>
  <c r="K887" i="17"/>
  <c r="Q887" i="17" s="1"/>
  <c r="L887" i="17"/>
  <c r="M887" i="17"/>
  <c r="O887" i="17" s="1"/>
  <c r="J888" i="17"/>
  <c r="P888" i="17" s="1"/>
  <c r="K888" i="17"/>
  <c r="Q888" i="17" s="1"/>
  <c r="L888" i="17"/>
  <c r="M888" i="17"/>
  <c r="O888" i="17" s="1"/>
  <c r="J889" i="17"/>
  <c r="P889" i="17" s="1"/>
  <c r="K889" i="17"/>
  <c r="Q889" i="17" s="1"/>
  <c r="L889" i="17"/>
  <c r="M889" i="17"/>
  <c r="O889" i="17" s="1"/>
  <c r="J890" i="17"/>
  <c r="P890" i="17" s="1"/>
  <c r="K890" i="17"/>
  <c r="Q890" i="17" s="1"/>
  <c r="L890" i="17"/>
  <c r="M890" i="17"/>
  <c r="O890" i="17" s="1"/>
  <c r="J891" i="17"/>
  <c r="P891" i="17" s="1"/>
  <c r="K891" i="17"/>
  <c r="Q891" i="17" s="1"/>
  <c r="L891" i="17"/>
  <c r="M891" i="17"/>
  <c r="O891" i="17" s="1"/>
  <c r="J892" i="17"/>
  <c r="P892" i="17" s="1"/>
  <c r="K892" i="17"/>
  <c r="Q892" i="17" s="1"/>
  <c r="L892" i="17"/>
  <c r="M892" i="17"/>
  <c r="O892" i="17" s="1"/>
  <c r="J893" i="17"/>
  <c r="P893" i="17" s="1"/>
  <c r="K893" i="17"/>
  <c r="Q893" i="17" s="1"/>
  <c r="L893" i="17"/>
  <c r="M893" i="17"/>
  <c r="O893" i="17" s="1"/>
  <c r="J894" i="17"/>
  <c r="P894" i="17" s="1"/>
  <c r="K894" i="17"/>
  <c r="Q894" i="17" s="1"/>
  <c r="L894" i="17"/>
  <c r="M894" i="17"/>
  <c r="O894" i="17" s="1"/>
  <c r="J895" i="17"/>
  <c r="P895" i="17" s="1"/>
  <c r="K895" i="17"/>
  <c r="Q895" i="17" s="1"/>
  <c r="L895" i="17"/>
  <c r="M895" i="17"/>
  <c r="O895" i="17" s="1"/>
  <c r="J896" i="17"/>
  <c r="P896" i="17" s="1"/>
  <c r="K896" i="17"/>
  <c r="Q896" i="17" s="1"/>
  <c r="L896" i="17"/>
  <c r="M896" i="17"/>
  <c r="O896" i="17" s="1"/>
  <c r="J897" i="17"/>
  <c r="P897" i="17" s="1"/>
  <c r="K897" i="17"/>
  <c r="Q897" i="17" s="1"/>
  <c r="L897" i="17"/>
  <c r="M897" i="17"/>
  <c r="O897" i="17" s="1"/>
  <c r="J898" i="17"/>
  <c r="P898" i="17" s="1"/>
  <c r="K898" i="17"/>
  <c r="Q898" i="17" s="1"/>
  <c r="L898" i="17"/>
  <c r="M898" i="17"/>
  <c r="O898" i="17" s="1"/>
  <c r="J899" i="17"/>
  <c r="P899" i="17" s="1"/>
  <c r="K899" i="17"/>
  <c r="Q899" i="17" s="1"/>
  <c r="L899" i="17"/>
  <c r="M899" i="17"/>
  <c r="O899" i="17" s="1"/>
  <c r="J900" i="17"/>
  <c r="P900" i="17" s="1"/>
  <c r="K900" i="17"/>
  <c r="Q900" i="17" s="1"/>
  <c r="L900" i="17"/>
  <c r="M900" i="17"/>
  <c r="O900" i="17" s="1"/>
  <c r="J901" i="17"/>
  <c r="P901" i="17" s="1"/>
  <c r="K901" i="17"/>
  <c r="Q901" i="17" s="1"/>
  <c r="L901" i="17"/>
  <c r="M901" i="17"/>
  <c r="O901" i="17" s="1"/>
  <c r="J902" i="17"/>
  <c r="P902" i="17" s="1"/>
  <c r="K902" i="17"/>
  <c r="Q902" i="17" s="1"/>
  <c r="L902" i="17"/>
  <c r="M902" i="17"/>
  <c r="O902" i="17" s="1"/>
  <c r="J903" i="17"/>
  <c r="P903" i="17" s="1"/>
  <c r="K903" i="17"/>
  <c r="Q903" i="17" s="1"/>
  <c r="L903" i="17"/>
  <c r="M903" i="17"/>
  <c r="O903" i="17" s="1"/>
  <c r="J904" i="17"/>
  <c r="P904" i="17" s="1"/>
  <c r="K904" i="17"/>
  <c r="Q904" i="17" s="1"/>
  <c r="L904" i="17"/>
  <c r="M904" i="17"/>
  <c r="O904" i="17" s="1"/>
  <c r="J905" i="17"/>
  <c r="P905" i="17" s="1"/>
  <c r="K905" i="17"/>
  <c r="Q905" i="17" s="1"/>
  <c r="L905" i="17"/>
  <c r="M905" i="17"/>
  <c r="O905" i="17" s="1"/>
  <c r="J906" i="17"/>
  <c r="P906" i="17" s="1"/>
  <c r="K906" i="17"/>
  <c r="Q906" i="17" s="1"/>
  <c r="L906" i="17"/>
  <c r="M906" i="17"/>
  <c r="O906" i="17" s="1"/>
  <c r="J907" i="17"/>
  <c r="P907" i="17" s="1"/>
  <c r="K907" i="17"/>
  <c r="Q907" i="17" s="1"/>
  <c r="L907" i="17"/>
  <c r="M907" i="17"/>
  <c r="O907" i="17" s="1"/>
  <c r="J908" i="17"/>
  <c r="P908" i="17" s="1"/>
  <c r="K908" i="17"/>
  <c r="Q908" i="17" s="1"/>
  <c r="L908" i="17"/>
  <c r="M908" i="17"/>
  <c r="O908" i="17" s="1"/>
  <c r="J909" i="17"/>
  <c r="P909" i="17" s="1"/>
  <c r="K909" i="17"/>
  <c r="Q909" i="17" s="1"/>
  <c r="L909" i="17"/>
  <c r="M909" i="17"/>
  <c r="O909" i="17" s="1"/>
  <c r="J910" i="17"/>
  <c r="P910" i="17" s="1"/>
  <c r="K910" i="17"/>
  <c r="Q910" i="17" s="1"/>
  <c r="L910" i="17"/>
  <c r="M910" i="17"/>
  <c r="O910" i="17" s="1"/>
  <c r="J911" i="17"/>
  <c r="P911" i="17" s="1"/>
  <c r="K911" i="17"/>
  <c r="Q911" i="17" s="1"/>
  <c r="L911" i="17"/>
  <c r="M911" i="17"/>
  <c r="O911" i="17" s="1"/>
  <c r="J912" i="17"/>
  <c r="P912" i="17" s="1"/>
  <c r="K912" i="17"/>
  <c r="Q912" i="17" s="1"/>
  <c r="L912" i="17"/>
  <c r="M912" i="17"/>
  <c r="O912" i="17" s="1"/>
  <c r="J913" i="17"/>
  <c r="P913" i="17" s="1"/>
  <c r="K913" i="17"/>
  <c r="Q913" i="17" s="1"/>
  <c r="L913" i="17"/>
  <c r="M913" i="17"/>
  <c r="O913" i="17" s="1"/>
  <c r="J914" i="17"/>
  <c r="P914" i="17" s="1"/>
  <c r="K914" i="17"/>
  <c r="Q914" i="17" s="1"/>
  <c r="L914" i="17"/>
  <c r="M914" i="17"/>
  <c r="O914" i="17" s="1"/>
  <c r="J915" i="17"/>
  <c r="P915" i="17" s="1"/>
  <c r="K915" i="17"/>
  <c r="Q915" i="17" s="1"/>
  <c r="L915" i="17"/>
  <c r="M915" i="17"/>
  <c r="O915" i="17" s="1"/>
  <c r="J916" i="17"/>
  <c r="P916" i="17" s="1"/>
  <c r="K916" i="17"/>
  <c r="Q916" i="17" s="1"/>
  <c r="L916" i="17"/>
  <c r="M916" i="17"/>
  <c r="O916" i="17" s="1"/>
  <c r="J917" i="17"/>
  <c r="P917" i="17" s="1"/>
  <c r="K917" i="17"/>
  <c r="Q917" i="17" s="1"/>
  <c r="L917" i="17"/>
  <c r="M917" i="17"/>
  <c r="O917" i="17" s="1"/>
  <c r="J918" i="17"/>
  <c r="P918" i="17" s="1"/>
  <c r="K918" i="17"/>
  <c r="Q918" i="17" s="1"/>
  <c r="L918" i="17"/>
  <c r="M918" i="17"/>
  <c r="O918" i="17" s="1"/>
  <c r="J919" i="17"/>
  <c r="P919" i="17" s="1"/>
  <c r="K919" i="17"/>
  <c r="Q919" i="17" s="1"/>
  <c r="L919" i="17"/>
  <c r="M919" i="17"/>
  <c r="O919" i="17" s="1"/>
  <c r="J920" i="17"/>
  <c r="P920" i="17" s="1"/>
  <c r="K920" i="17"/>
  <c r="Q920" i="17" s="1"/>
  <c r="L920" i="17"/>
  <c r="M920" i="17"/>
  <c r="O920" i="17" s="1"/>
  <c r="J921" i="17"/>
  <c r="P921" i="17" s="1"/>
  <c r="K921" i="17"/>
  <c r="Q921" i="17" s="1"/>
  <c r="L921" i="17"/>
  <c r="M921" i="17"/>
  <c r="O921" i="17" s="1"/>
  <c r="J922" i="17"/>
  <c r="P922" i="17" s="1"/>
  <c r="K922" i="17"/>
  <c r="Q922" i="17" s="1"/>
  <c r="L922" i="17"/>
  <c r="M922" i="17"/>
  <c r="O922" i="17" s="1"/>
  <c r="J923" i="17"/>
  <c r="P923" i="17" s="1"/>
  <c r="K923" i="17"/>
  <c r="Q923" i="17" s="1"/>
  <c r="L923" i="17"/>
  <c r="M923" i="17"/>
  <c r="O923" i="17" s="1"/>
  <c r="J924" i="17"/>
  <c r="P924" i="17" s="1"/>
  <c r="K924" i="17"/>
  <c r="Q924" i="17" s="1"/>
  <c r="L924" i="17"/>
  <c r="M924" i="17"/>
  <c r="O924" i="17" s="1"/>
  <c r="J925" i="17"/>
  <c r="P925" i="17" s="1"/>
  <c r="K925" i="17"/>
  <c r="Q925" i="17" s="1"/>
  <c r="L925" i="17"/>
  <c r="M925" i="17"/>
  <c r="O925" i="17" s="1"/>
  <c r="J926" i="17"/>
  <c r="P926" i="17" s="1"/>
  <c r="K926" i="17"/>
  <c r="Q926" i="17" s="1"/>
  <c r="L926" i="17"/>
  <c r="M926" i="17"/>
  <c r="O926" i="17" s="1"/>
  <c r="J927" i="17"/>
  <c r="P927" i="17" s="1"/>
  <c r="K927" i="17"/>
  <c r="Q927" i="17" s="1"/>
  <c r="L927" i="17"/>
  <c r="M927" i="17"/>
  <c r="O927" i="17" s="1"/>
  <c r="J928" i="17"/>
  <c r="P928" i="17" s="1"/>
  <c r="K928" i="17"/>
  <c r="Q928" i="17" s="1"/>
  <c r="L928" i="17"/>
  <c r="M928" i="17"/>
  <c r="O928" i="17" s="1"/>
  <c r="J929" i="17"/>
  <c r="P929" i="17" s="1"/>
  <c r="K929" i="17"/>
  <c r="Q929" i="17" s="1"/>
  <c r="L929" i="17"/>
  <c r="M929" i="17"/>
  <c r="O929" i="17" s="1"/>
  <c r="J930" i="17"/>
  <c r="P930" i="17" s="1"/>
  <c r="K930" i="17"/>
  <c r="Q930" i="17" s="1"/>
  <c r="L930" i="17"/>
  <c r="M930" i="17"/>
  <c r="O930" i="17" s="1"/>
  <c r="J931" i="17"/>
  <c r="P931" i="17" s="1"/>
  <c r="K931" i="17"/>
  <c r="Q931" i="17" s="1"/>
  <c r="L931" i="17"/>
  <c r="M931" i="17"/>
  <c r="O931" i="17" s="1"/>
  <c r="J932" i="17"/>
  <c r="P932" i="17" s="1"/>
  <c r="K932" i="17"/>
  <c r="Q932" i="17" s="1"/>
  <c r="L932" i="17"/>
  <c r="M932" i="17"/>
  <c r="O932" i="17" s="1"/>
  <c r="J933" i="17"/>
  <c r="P933" i="17" s="1"/>
  <c r="K933" i="17"/>
  <c r="Q933" i="17" s="1"/>
  <c r="L933" i="17"/>
  <c r="M933" i="17"/>
  <c r="O933" i="17" s="1"/>
  <c r="J934" i="17"/>
  <c r="P934" i="17" s="1"/>
  <c r="K934" i="17"/>
  <c r="Q934" i="17" s="1"/>
  <c r="L934" i="17"/>
  <c r="M934" i="17"/>
  <c r="O934" i="17" s="1"/>
  <c r="J935" i="17"/>
  <c r="P935" i="17" s="1"/>
  <c r="K935" i="17"/>
  <c r="Q935" i="17" s="1"/>
  <c r="L935" i="17"/>
  <c r="M935" i="17"/>
  <c r="O935" i="17" s="1"/>
  <c r="J936" i="17"/>
  <c r="P936" i="17" s="1"/>
  <c r="K936" i="17"/>
  <c r="Q936" i="17" s="1"/>
  <c r="L936" i="17"/>
  <c r="M936" i="17"/>
  <c r="O936" i="17" s="1"/>
  <c r="J937" i="17"/>
  <c r="P937" i="17" s="1"/>
  <c r="K937" i="17"/>
  <c r="Q937" i="17" s="1"/>
  <c r="L937" i="17"/>
  <c r="M937" i="17"/>
  <c r="O937" i="17" s="1"/>
  <c r="J938" i="17"/>
  <c r="P938" i="17" s="1"/>
  <c r="K938" i="17"/>
  <c r="Q938" i="17" s="1"/>
  <c r="L938" i="17"/>
  <c r="M938" i="17"/>
  <c r="O938" i="17" s="1"/>
  <c r="J939" i="17"/>
  <c r="P939" i="17" s="1"/>
  <c r="K939" i="17"/>
  <c r="Q939" i="17" s="1"/>
  <c r="L939" i="17"/>
  <c r="M939" i="17"/>
  <c r="O939" i="17" s="1"/>
  <c r="J940" i="17"/>
  <c r="P940" i="17" s="1"/>
  <c r="K940" i="17"/>
  <c r="Q940" i="17" s="1"/>
  <c r="L940" i="17"/>
  <c r="M940" i="17"/>
  <c r="O940" i="17" s="1"/>
  <c r="J941" i="17"/>
  <c r="P941" i="17" s="1"/>
  <c r="K941" i="17"/>
  <c r="Q941" i="17" s="1"/>
  <c r="L941" i="17"/>
  <c r="M941" i="17"/>
  <c r="O941" i="17" s="1"/>
  <c r="J942" i="17"/>
  <c r="P942" i="17" s="1"/>
  <c r="K942" i="17"/>
  <c r="Q942" i="17" s="1"/>
  <c r="L942" i="17"/>
  <c r="M942" i="17"/>
  <c r="O942" i="17" s="1"/>
  <c r="J943" i="17"/>
  <c r="P943" i="17" s="1"/>
  <c r="K943" i="17"/>
  <c r="Q943" i="17" s="1"/>
  <c r="L943" i="17"/>
  <c r="M943" i="17"/>
  <c r="O943" i="17" s="1"/>
  <c r="J944" i="17"/>
  <c r="P944" i="17" s="1"/>
  <c r="K944" i="17"/>
  <c r="Q944" i="17" s="1"/>
  <c r="L944" i="17"/>
  <c r="M944" i="17"/>
  <c r="O944" i="17" s="1"/>
  <c r="J945" i="17"/>
  <c r="P945" i="17" s="1"/>
  <c r="K945" i="17"/>
  <c r="Q945" i="17" s="1"/>
  <c r="L945" i="17"/>
  <c r="M945" i="17"/>
  <c r="O945" i="17" s="1"/>
  <c r="J946" i="17"/>
  <c r="P946" i="17" s="1"/>
  <c r="K946" i="17"/>
  <c r="Q946" i="17" s="1"/>
  <c r="L946" i="17"/>
  <c r="M946" i="17"/>
  <c r="O946" i="17" s="1"/>
  <c r="J947" i="17"/>
  <c r="P947" i="17" s="1"/>
  <c r="K947" i="17"/>
  <c r="Q947" i="17" s="1"/>
  <c r="L947" i="17"/>
  <c r="M947" i="17"/>
  <c r="O947" i="17" s="1"/>
  <c r="J948" i="17"/>
  <c r="P948" i="17" s="1"/>
  <c r="K948" i="17"/>
  <c r="Q948" i="17" s="1"/>
  <c r="L948" i="17"/>
  <c r="M948" i="17"/>
  <c r="O948" i="17" s="1"/>
  <c r="J949" i="17"/>
  <c r="P949" i="17" s="1"/>
  <c r="K949" i="17"/>
  <c r="Q949" i="17" s="1"/>
  <c r="L949" i="17"/>
  <c r="M949" i="17"/>
  <c r="O949" i="17" s="1"/>
  <c r="J950" i="17"/>
  <c r="P950" i="17" s="1"/>
  <c r="K950" i="17"/>
  <c r="Q950" i="17" s="1"/>
  <c r="L950" i="17"/>
  <c r="M950" i="17"/>
  <c r="O950" i="17" s="1"/>
  <c r="J951" i="17"/>
  <c r="P951" i="17" s="1"/>
  <c r="K951" i="17"/>
  <c r="Q951" i="17" s="1"/>
  <c r="L951" i="17"/>
  <c r="M951" i="17"/>
  <c r="O951" i="17" s="1"/>
  <c r="J952" i="17"/>
  <c r="P952" i="17" s="1"/>
  <c r="K952" i="17"/>
  <c r="Q952" i="17" s="1"/>
  <c r="L952" i="17"/>
  <c r="M952" i="17"/>
  <c r="O952" i="17" s="1"/>
  <c r="J953" i="17"/>
  <c r="P953" i="17" s="1"/>
  <c r="K953" i="17"/>
  <c r="Q953" i="17" s="1"/>
  <c r="L953" i="17"/>
  <c r="M953" i="17"/>
  <c r="O953" i="17" s="1"/>
  <c r="J954" i="17"/>
  <c r="P954" i="17" s="1"/>
  <c r="K954" i="17"/>
  <c r="Q954" i="17" s="1"/>
  <c r="L954" i="17"/>
  <c r="M954" i="17"/>
  <c r="O954" i="17" s="1"/>
  <c r="J955" i="17"/>
  <c r="P955" i="17" s="1"/>
  <c r="K955" i="17"/>
  <c r="Q955" i="17" s="1"/>
  <c r="L955" i="17"/>
  <c r="M955" i="17"/>
  <c r="O955" i="17" s="1"/>
  <c r="J956" i="17"/>
  <c r="P956" i="17" s="1"/>
  <c r="K956" i="17"/>
  <c r="Q956" i="17" s="1"/>
  <c r="L956" i="17"/>
  <c r="M956" i="17"/>
  <c r="O956" i="17" s="1"/>
  <c r="J957" i="17"/>
  <c r="P957" i="17" s="1"/>
  <c r="K957" i="17"/>
  <c r="Q957" i="17" s="1"/>
  <c r="L957" i="17"/>
  <c r="M957" i="17"/>
  <c r="O957" i="17" s="1"/>
  <c r="J958" i="17"/>
  <c r="P958" i="17" s="1"/>
  <c r="K958" i="17"/>
  <c r="Q958" i="17" s="1"/>
  <c r="L958" i="17"/>
  <c r="M958" i="17"/>
  <c r="O958" i="17" s="1"/>
  <c r="J959" i="17"/>
  <c r="P959" i="17" s="1"/>
  <c r="K959" i="17"/>
  <c r="Q959" i="17" s="1"/>
  <c r="L959" i="17"/>
  <c r="M959" i="17"/>
  <c r="O959" i="17" s="1"/>
  <c r="J960" i="17"/>
  <c r="P960" i="17" s="1"/>
  <c r="K960" i="17"/>
  <c r="Q960" i="17" s="1"/>
  <c r="L960" i="17"/>
  <c r="M960" i="17"/>
  <c r="O960" i="17" s="1"/>
  <c r="J961" i="17"/>
  <c r="P961" i="17" s="1"/>
  <c r="K961" i="17"/>
  <c r="Q961" i="17" s="1"/>
  <c r="L961" i="17"/>
  <c r="M961" i="17"/>
  <c r="O961" i="17" s="1"/>
  <c r="J962" i="17"/>
  <c r="P962" i="17" s="1"/>
  <c r="K962" i="17"/>
  <c r="Q962" i="17" s="1"/>
  <c r="L962" i="17"/>
  <c r="M962" i="17"/>
  <c r="O962" i="17" s="1"/>
  <c r="J963" i="17"/>
  <c r="P963" i="17" s="1"/>
  <c r="K963" i="17"/>
  <c r="Q963" i="17" s="1"/>
  <c r="L963" i="17"/>
  <c r="M963" i="17"/>
  <c r="O963" i="17" s="1"/>
  <c r="J964" i="17"/>
  <c r="P964" i="17" s="1"/>
  <c r="K964" i="17"/>
  <c r="Q964" i="17" s="1"/>
  <c r="L964" i="17"/>
  <c r="M964" i="17"/>
  <c r="O964" i="17" s="1"/>
  <c r="J965" i="17"/>
  <c r="P965" i="17" s="1"/>
  <c r="K965" i="17"/>
  <c r="Q965" i="17" s="1"/>
  <c r="L965" i="17"/>
  <c r="M965" i="17"/>
  <c r="O965" i="17" s="1"/>
  <c r="J966" i="17"/>
  <c r="P966" i="17" s="1"/>
  <c r="K966" i="17"/>
  <c r="Q966" i="17" s="1"/>
  <c r="L966" i="17"/>
  <c r="M966" i="17"/>
  <c r="O966" i="17" s="1"/>
  <c r="J967" i="17"/>
  <c r="P967" i="17" s="1"/>
  <c r="K967" i="17"/>
  <c r="Q967" i="17" s="1"/>
  <c r="L967" i="17"/>
  <c r="M967" i="17"/>
  <c r="O967" i="17" s="1"/>
  <c r="J968" i="17"/>
  <c r="P968" i="17" s="1"/>
  <c r="K968" i="17"/>
  <c r="Q968" i="17" s="1"/>
  <c r="L968" i="17"/>
  <c r="M968" i="17"/>
  <c r="O968" i="17" s="1"/>
  <c r="J969" i="17"/>
  <c r="P969" i="17" s="1"/>
  <c r="K969" i="17"/>
  <c r="Q969" i="17" s="1"/>
  <c r="L969" i="17"/>
  <c r="M969" i="17"/>
  <c r="O969" i="17" s="1"/>
  <c r="J970" i="17"/>
  <c r="P970" i="17" s="1"/>
  <c r="K970" i="17"/>
  <c r="Q970" i="17" s="1"/>
  <c r="L970" i="17"/>
  <c r="M970" i="17"/>
  <c r="O970" i="17" s="1"/>
  <c r="J971" i="17"/>
  <c r="P971" i="17" s="1"/>
  <c r="K971" i="17"/>
  <c r="Q971" i="17" s="1"/>
  <c r="L971" i="17"/>
  <c r="M971" i="17"/>
  <c r="O971" i="17" s="1"/>
  <c r="J972" i="17"/>
  <c r="P972" i="17" s="1"/>
  <c r="K972" i="17"/>
  <c r="Q972" i="17" s="1"/>
  <c r="L972" i="17"/>
  <c r="M972" i="17"/>
  <c r="O972" i="17" s="1"/>
  <c r="J973" i="17"/>
  <c r="P973" i="17" s="1"/>
  <c r="K973" i="17"/>
  <c r="Q973" i="17" s="1"/>
  <c r="L973" i="17"/>
  <c r="M973" i="17"/>
  <c r="O973" i="17" s="1"/>
  <c r="J974" i="17"/>
  <c r="P974" i="17" s="1"/>
  <c r="K974" i="17"/>
  <c r="Q974" i="17" s="1"/>
  <c r="L974" i="17"/>
  <c r="M974" i="17"/>
  <c r="O974" i="17" s="1"/>
  <c r="J975" i="17"/>
  <c r="P975" i="17" s="1"/>
  <c r="K975" i="17"/>
  <c r="Q975" i="17" s="1"/>
  <c r="L975" i="17"/>
  <c r="M975" i="17"/>
  <c r="O975" i="17" s="1"/>
  <c r="J976" i="17"/>
  <c r="P976" i="17" s="1"/>
  <c r="K976" i="17"/>
  <c r="Q976" i="17" s="1"/>
  <c r="L976" i="17"/>
  <c r="M976" i="17"/>
  <c r="O976" i="17" s="1"/>
  <c r="J977" i="17"/>
  <c r="P977" i="17" s="1"/>
  <c r="K977" i="17"/>
  <c r="Q977" i="17" s="1"/>
  <c r="L977" i="17"/>
  <c r="M977" i="17"/>
  <c r="O977" i="17" s="1"/>
  <c r="J978" i="17"/>
  <c r="P978" i="17" s="1"/>
  <c r="K978" i="17"/>
  <c r="Q978" i="17" s="1"/>
  <c r="L978" i="17"/>
  <c r="M978" i="17"/>
  <c r="O978" i="17" s="1"/>
  <c r="J979" i="17"/>
  <c r="P979" i="17" s="1"/>
  <c r="K979" i="17"/>
  <c r="Q979" i="17" s="1"/>
  <c r="L979" i="17"/>
  <c r="M979" i="17"/>
  <c r="O979" i="17" s="1"/>
  <c r="J980" i="17"/>
  <c r="P980" i="17" s="1"/>
  <c r="K980" i="17"/>
  <c r="Q980" i="17" s="1"/>
  <c r="L980" i="17"/>
  <c r="M980" i="17"/>
  <c r="O980" i="17" s="1"/>
  <c r="J981" i="17"/>
  <c r="P981" i="17" s="1"/>
  <c r="K981" i="17"/>
  <c r="Q981" i="17" s="1"/>
  <c r="L981" i="17"/>
  <c r="M981" i="17"/>
  <c r="O981" i="17" s="1"/>
  <c r="J982" i="17"/>
  <c r="P982" i="17" s="1"/>
  <c r="K982" i="17"/>
  <c r="Q982" i="17" s="1"/>
  <c r="L982" i="17"/>
  <c r="M982" i="17"/>
  <c r="O982" i="17" s="1"/>
  <c r="J983" i="17"/>
  <c r="P983" i="17" s="1"/>
  <c r="K983" i="17"/>
  <c r="Q983" i="17" s="1"/>
  <c r="L983" i="17"/>
  <c r="M983" i="17"/>
  <c r="O983" i="17" s="1"/>
  <c r="J984" i="17"/>
  <c r="P984" i="17" s="1"/>
  <c r="K984" i="17"/>
  <c r="Q984" i="17" s="1"/>
  <c r="L984" i="17"/>
  <c r="M984" i="17"/>
  <c r="O984" i="17" s="1"/>
  <c r="J985" i="17"/>
  <c r="P985" i="17" s="1"/>
  <c r="K985" i="17"/>
  <c r="Q985" i="17" s="1"/>
  <c r="L985" i="17"/>
  <c r="M985" i="17"/>
  <c r="O985" i="17" s="1"/>
  <c r="J986" i="17"/>
  <c r="P986" i="17" s="1"/>
  <c r="K986" i="17"/>
  <c r="Q986" i="17" s="1"/>
  <c r="L986" i="17"/>
  <c r="M986" i="17"/>
  <c r="O986" i="17" s="1"/>
  <c r="J987" i="17"/>
  <c r="P987" i="17" s="1"/>
  <c r="K987" i="17"/>
  <c r="Q987" i="17" s="1"/>
  <c r="L987" i="17"/>
  <c r="M987" i="17"/>
  <c r="O987" i="17" s="1"/>
  <c r="J988" i="17"/>
  <c r="P988" i="17" s="1"/>
  <c r="K988" i="17"/>
  <c r="Q988" i="17" s="1"/>
  <c r="L988" i="17"/>
  <c r="M988" i="17"/>
  <c r="O988" i="17" s="1"/>
  <c r="J989" i="17"/>
  <c r="P989" i="17" s="1"/>
  <c r="K989" i="17"/>
  <c r="Q989" i="17" s="1"/>
  <c r="L989" i="17"/>
  <c r="M989" i="17"/>
  <c r="O989" i="17" s="1"/>
  <c r="J990" i="17"/>
  <c r="P990" i="17" s="1"/>
  <c r="K990" i="17"/>
  <c r="Q990" i="17" s="1"/>
  <c r="L990" i="17"/>
  <c r="M990" i="17"/>
  <c r="O990" i="17" s="1"/>
  <c r="J991" i="17"/>
  <c r="P991" i="17" s="1"/>
  <c r="K991" i="17"/>
  <c r="Q991" i="17" s="1"/>
  <c r="L991" i="17"/>
  <c r="M991" i="17"/>
  <c r="O991" i="17" s="1"/>
  <c r="J992" i="17"/>
  <c r="P992" i="17" s="1"/>
  <c r="K992" i="17"/>
  <c r="Q992" i="17" s="1"/>
  <c r="L992" i="17"/>
  <c r="M992" i="17"/>
  <c r="O992" i="17" s="1"/>
  <c r="J993" i="17"/>
  <c r="P993" i="17" s="1"/>
  <c r="K993" i="17"/>
  <c r="Q993" i="17" s="1"/>
  <c r="L993" i="17"/>
  <c r="M993" i="17"/>
  <c r="O993" i="17" s="1"/>
  <c r="J994" i="17"/>
  <c r="P994" i="17" s="1"/>
  <c r="K994" i="17"/>
  <c r="Q994" i="17" s="1"/>
  <c r="L994" i="17"/>
  <c r="M994" i="17"/>
  <c r="O994" i="17" s="1"/>
  <c r="J995" i="17"/>
  <c r="P995" i="17" s="1"/>
  <c r="K995" i="17"/>
  <c r="Q995" i="17" s="1"/>
  <c r="L995" i="17"/>
  <c r="M995" i="17"/>
  <c r="O995" i="17" s="1"/>
  <c r="J996" i="17"/>
  <c r="P996" i="17" s="1"/>
  <c r="K996" i="17"/>
  <c r="Q996" i="17" s="1"/>
  <c r="L996" i="17"/>
  <c r="M996" i="17"/>
  <c r="O996" i="17" s="1"/>
  <c r="J997" i="17"/>
  <c r="P997" i="17" s="1"/>
  <c r="K997" i="17"/>
  <c r="Q997" i="17" s="1"/>
  <c r="L997" i="17"/>
  <c r="M997" i="17"/>
  <c r="O997" i="17" s="1"/>
  <c r="J998" i="17"/>
  <c r="P998" i="17" s="1"/>
  <c r="K998" i="17"/>
  <c r="Q998" i="17" s="1"/>
  <c r="L998" i="17"/>
  <c r="M998" i="17"/>
  <c r="O998" i="17" s="1"/>
  <c r="J999" i="17"/>
  <c r="P999" i="17" s="1"/>
  <c r="K999" i="17"/>
  <c r="Q999" i="17" s="1"/>
  <c r="L999" i="17"/>
  <c r="M999" i="17"/>
  <c r="O999" i="17" s="1"/>
  <c r="J1000" i="17"/>
  <c r="P1000" i="17" s="1"/>
  <c r="K1000" i="17"/>
  <c r="Q1000" i="17" s="1"/>
  <c r="L1000" i="17"/>
  <c r="M1000" i="17"/>
  <c r="O1000" i="17" s="1"/>
  <c r="J1001" i="17"/>
  <c r="P1001" i="17" s="1"/>
  <c r="K1001" i="17"/>
  <c r="Q1001" i="17" s="1"/>
  <c r="L1001" i="17"/>
  <c r="M1001" i="17"/>
  <c r="O1001" i="17" s="1"/>
  <c r="K2" i="17"/>
  <c r="Q2" i="17" s="1"/>
  <c r="L2" i="17"/>
  <c r="M2" i="17"/>
  <c r="O2" i="17" s="1"/>
  <c r="J2" i="17"/>
  <c r="P2" i="17" s="1"/>
  <c r="G2" i="17"/>
  <c r="G3" i="17"/>
  <c r="G4" i="17"/>
  <c r="G5"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AG9" i="18"/>
  <c r="AG8" i="18"/>
  <c r="AH8" i="18" l="1"/>
  <c r="AH9" i="18"/>
</calcChain>
</file>

<file path=xl/sharedStrings.xml><?xml version="1.0" encoding="utf-8"?>
<sst xmlns="http://schemas.openxmlformats.org/spreadsheetml/2006/main" count="11147" uniqueCount="6240">
  <si>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</si>
  <si>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</si>
  <si>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</si>
  <si>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</si>
  <si>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</si>
  <si>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</si>
  <si>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</si>
  <si>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</si>
  <si>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</si>
  <si>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</si>
  <si>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</si>
  <si>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</si>
  <si>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</si>
  <si>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</si>
  <si>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</si>
  <si>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</si>
  <si>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</si>
  <si>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</si>
  <si>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</si>
  <si>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</si>
  <si>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</si>
  <si>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</si>
  <si>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</si>
  <si>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</si>
  <si>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</si>
  <si>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</si>
  <si>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</si>
  <si>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</si>
  <si>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</si>
  <si>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</si>
  <si>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</si>
  <si>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</si>
  <si>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</si>
  <si>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</si>
  <si>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</si>
  <si>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</si>
  <si>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</si>
  <si>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</si>
  <si>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</si>
  <si>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</si>
  <si>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</si>
  <si>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</si>
  <si>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</si>
  <si>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</si>
  <si>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</si>
  <si>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</si>
  <si>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</si>
  <si>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</si>
  <si>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</si>
  <si>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</si>
  <si>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</si>
  <si>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</si>
  <si>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</si>
  <si>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</si>
  <si>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</si>
  <si>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</si>
  <si>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</si>
  <si>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</si>
  <si>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</si>
  <si>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</si>
  <si>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</si>
  <si>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</si>
  <si>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</si>
  <si>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</si>
  <si>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</si>
  <si>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</si>
  <si>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</si>
  <si>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</si>
  <si>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</si>
  <si>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</si>
  <si>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</si>
  <si>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</si>
  <si>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</si>
  <si>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</si>
  <si>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</si>
  <si>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</si>
  <si>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</si>
  <si>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</si>
  <si>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</si>
  <si>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</si>
  <si>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</si>
  <si>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</si>
  <si>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</si>
  <si>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</si>
  <si>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</si>
  <si>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</si>
  <si>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</si>
  <si>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</si>
  <si>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</si>
  <si>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</si>
  <si>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</si>
  <si>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</si>
  <si>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</si>
  <si>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</si>
  <si>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</si>
  <si>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</si>
  <si>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</si>
  <si>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</si>
  <si>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</si>
  <si>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</si>
  <si>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</si>
  <si>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</si>
  <si>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</si>
  <si>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</si>
  <si>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</si>
  <si>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</si>
  <si>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</si>
  <si>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</si>
  <si>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</si>
  <si>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</si>
  <si>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</si>
  <si>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</si>
  <si>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</si>
  <si>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</si>
  <si>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</si>
  <si>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</si>
  <si>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</si>
  <si>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</si>
  <si>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</si>
  <si>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</si>
  <si>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</si>
  <si>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</si>
  <si>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</si>
  <si>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</si>
  <si>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</si>
  <si>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</si>
  <si>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</si>
  <si>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</si>
  <si>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</si>
  <si>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</si>
  <si>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</si>
  <si>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</si>
  <si>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</si>
  <si>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</si>
  <si>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</si>
  <si>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</si>
  <si>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</si>
  <si>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</si>
  <si>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</si>
  <si>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</si>
  <si>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</si>
  <si>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</si>
  <si>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</si>
  <si>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</si>
  <si>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</si>
  <si>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</si>
  <si>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</si>
  <si>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</si>
  <si>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</si>
  <si>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</si>
  <si>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</si>
  <si>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</si>
  <si>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</si>
  <si>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</si>
  <si>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</si>
  <si>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</si>
  <si>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</si>
  <si>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</si>
  <si>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</si>
  <si>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</si>
  <si>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</si>
  <si>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</si>
  <si>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</si>
  <si>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</si>
  <si>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</si>
  <si>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</si>
  <si>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</si>
  <si>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</si>
  <si>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</si>
  <si>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</si>
  <si>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</si>
  <si>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</si>
  <si>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</si>
  <si>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</si>
  <si>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</si>
  <si>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</si>
  <si>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</si>
  <si>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</si>
  <si>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</si>
  <si>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</si>
  <si>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</si>
  <si>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</si>
  <si>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</si>
  <si>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</si>
  <si>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</si>
  <si>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</si>
  <si>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</si>
  <si>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</si>
  <si>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</si>
  <si>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</si>
  <si>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</si>
  <si>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</si>
  <si>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</si>
  <si>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</si>
  <si>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</si>
  <si>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</si>
  <si>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</si>
  <si>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</si>
  <si>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</si>
  <si>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</si>
  <si>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</si>
  <si>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</si>
  <si>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</si>
  <si>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</si>
  <si>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</si>
  <si>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</si>
  <si>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</si>
  <si>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</si>
  <si>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</si>
  <si>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</si>
  <si>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</si>
  <si>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</si>
  <si>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</si>
  <si>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</si>
  <si>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</si>
  <si>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</si>
  <si>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</si>
  <si>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</si>
  <si>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</si>
  <si>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</si>
  <si>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</si>
  <si>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</si>
  <si>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</si>
  <si>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</si>
  <si>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</si>
  <si>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</si>
  <si>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</si>
  <si>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</si>
  <si>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</si>
  <si>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</si>
  <si>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</si>
  <si>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</si>
  <si>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</si>
  <si>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</si>
  <si>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</si>
  <si>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</si>
  <si>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</si>
  <si>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</si>
  <si>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</si>
  <si>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</si>
  <si>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</si>
  <si>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</si>
  <si>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</si>
  <si>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</si>
  <si>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</si>
  <si>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</si>
  <si>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</si>
  <si>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</si>
  <si>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</si>
  <si>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</si>
  <si>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</si>
  <si>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</si>
  <si>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</si>
  <si>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</si>
  <si>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</si>
  <si>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</si>
  <si>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</si>
  <si>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</si>
  <si>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</si>
  <si>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</si>
  <si>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</si>
  <si>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</si>
  <si>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</si>
  <si>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</si>
  <si>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</si>
  <si>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</si>
  <si>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</si>
  <si>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</si>
  <si>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</si>
  <si>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</si>
  <si>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</si>
  <si>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</si>
  <si>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</si>
  <si>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</si>
  <si>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</si>
  <si>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</si>
  <si>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</si>
  <si>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</si>
  <si>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</si>
  <si>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</si>
  <si>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</si>
  <si>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</si>
  <si>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</si>
  <si>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</si>
  <si>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</si>
  <si>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</si>
  <si>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</si>
  <si>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</si>
  <si>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</si>
  <si>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</si>
  <si>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</si>
  <si>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</si>
  <si>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</si>
  <si>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</si>
  <si>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</si>
  <si>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</si>
  <si>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</si>
  <si>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</si>
  <si>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</si>
  <si>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</si>
  <si>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</si>
  <si>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</si>
  <si>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</si>
  <si>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</si>
  <si>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</si>
  <si>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</si>
  <si>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</si>
  <si>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</si>
  <si>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</si>
  <si>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</si>
  <si>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</si>
  <si>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</si>
  <si>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</si>
  <si>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</si>
  <si>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</si>
  <si>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</si>
  <si>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</si>
  <si>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</si>
  <si>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</si>
  <si>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</si>
  <si>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</si>
  <si>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</si>
  <si>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</si>
  <si>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</si>
  <si>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</si>
  <si>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</si>
  <si>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</si>
  <si>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</si>
  <si>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</si>
  <si>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</si>
  <si>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</si>
  <si>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</si>
  <si>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</si>
  <si>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</si>
  <si>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</si>
  <si>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</si>
  <si>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</si>
  <si>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</si>
  <si>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</si>
  <si>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</si>
  <si>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</si>
  <si>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</si>
  <si>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</si>
  <si>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</si>
  <si>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</si>
  <si>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</si>
  <si>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</si>
  <si>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</si>
  <si>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</si>
  <si>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</si>
  <si>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</si>
  <si>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</si>
  <si>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</si>
  <si>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</si>
  <si>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</si>
  <si>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</si>
  <si>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</si>
  <si>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</si>
  <si>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</si>
  <si>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</si>
  <si>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</si>
  <si>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</si>
  <si>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</si>
  <si>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</si>
  <si>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</si>
  <si>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</si>
  <si>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</si>
  <si>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</si>
  <si>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</si>
  <si>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</si>
  <si>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</si>
  <si>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</si>
  <si>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</si>
  <si>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</si>
  <si>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</si>
  <si>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</si>
  <si>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</si>
  <si>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</si>
  <si>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</si>
  <si>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</si>
  <si>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</si>
  <si>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</si>
  <si>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</si>
  <si>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</si>
  <si>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</si>
  <si>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</si>
  <si>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</si>
  <si>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</si>
  <si>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</si>
  <si>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</si>
  <si>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</si>
  <si>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</si>
  <si>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</si>
  <si>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</si>
  <si>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</si>
  <si>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</si>
  <si>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</si>
  <si>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</si>
  <si>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</si>
  <si>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</si>
  <si>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</si>
  <si>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</si>
  <si>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</si>
  <si>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</si>
  <si>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</si>
  <si>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</si>
  <si>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</si>
  <si>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</si>
  <si>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</si>
  <si>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</si>
  <si>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</si>
  <si>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</si>
  <si>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</si>
  <si>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</si>
  <si>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</si>
  <si>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</si>
  <si>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</si>
  <si>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</si>
  <si>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</si>
  <si>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</si>
  <si>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</si>
  <si>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</si>
  <si>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</si>
  <si>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</si>
  <si>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</si>
  <si>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</si>
  <si>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</si>
  <si>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</si>
  <si>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</si>
  <si>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</si>
  <si>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</si>
  <si>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</si>
  <si>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</si>
  <si>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</si>
  <si>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</si>
  <si>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</si>
  <si>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</si>
  <si>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</si>
  <si>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</si>
  <si>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</si>
  <si>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</si>
  <si>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</si>
  <si>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</si>
  <si>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</si>
  <si>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</si>
  <si>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</si>
  <si>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</si>
  <si>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</si>
  <si>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</si>
  <si>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</si>
  <si>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</si>
  <si>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</si>
  <si>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</si>
  <si>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</si>
  <si>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</si>
  <si>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</si>
  <si>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</si>
  <si>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</si>
  <si>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</si>
  <si>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</si>
  <si>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</si>
  <si>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</si>
  <si>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</si>
  <si>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</si>
  <si>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</si>
  <si>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</si>
  <si>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</si>
  <si>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</si>
  <si>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</si>
  <si>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</si>
  <si>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</si>
  <si>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</si>
  <si>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</si>
  <si>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</si>
  <si>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</si>
  <si>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</si>
  <si>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</si>
  <si>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</si>
  <si>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</si>
  <si>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</si>
  <si>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</si>
  <si>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</si>
  <si>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</si>
  <si>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</si>
  <si>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</si>
  <si>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</si>
  <si>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</si>
  <si>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</si>
  <si>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</si>
  <si>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</si>
  <si>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</si>
  <si>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</si>
  <si>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</si>
  <si>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</si>
  <si>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</si>
  <si>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</si>
  <si>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</si>
  <si>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</si>
  <si>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</si>
  <si>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</si>
  <si>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</si>
  <si>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</si>
  <si>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</si>
  <si>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</si>
  <si>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</si>
  <si>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</si>
  <si>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</si>
  <si>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</si>
  <si>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</si>
  <si>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</si>
  <si>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</si>
  <si>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</si>
  <si>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</si>
  <si>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</si>
  <si>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</si>
  <si>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</si>
  <si>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</si>
  <si>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</si>
  <si>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</si>
  <si>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</si>
  <si>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</si>
  <si>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</si>
  <si>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</si>
  <si>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</si>
  <si>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</si>
  <si>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</si>
  <si>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</si>
  <si>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</si>
  <si>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</si>
  <si>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</si>
  <si>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</si>
  <si>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</si>
  <si>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</si>
  <si>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</si>
  <si>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</si>
  <si>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</si>
  <si>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</si>
  <si>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</si>
  <si>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</si>
  <si>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</si>
  <si>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</si>
  <si>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</si>
  <si>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</si>
  <si>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</si>
  <si>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</si>
  <si>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</si>
  <si>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</si>
  <si>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</si>
  <si>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</si>
  <si>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</si>
  <si>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</si>
  <si>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</si>
  <si>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</si>
  <si>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</si>
  <si>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</si>
  <si>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</si>
  <si>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</si>
  <si>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</si>
  <si>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</si>
  <si>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</si>
  <si>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</si>
  <si>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</si>
  <si>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</si>
  <si>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</si>
  <si>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</si>
  <si>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</si>
  <si>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</si>
  <si>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</si>
  <si>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</si>
  <si>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</si>
  <si>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</si>
  <si>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</si>
  <si>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</si>
  <si>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</si>
  <si>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</si>
  <si>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</si>
  <si>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</si>
  <si>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</si>
  <si>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</si>
  <si>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</si>
  <si>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</si>
  <si>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</si>
  <si>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</si>
  <si>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</si>
  <si>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</si>
  <si>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</si>
  <si>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</si>
  <si>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</si>
  <si>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</si>
  <si>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</si>
  <si>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</si>
  <si>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</si>
  <si>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</si>
  <si>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</si>
  <si>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</si>
  <si>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</si>
  <si>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</si>
  <si>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</si>
  <si>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</si>
  <si>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</si>
  <si>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</si>
  <si>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</si>
  <si>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</si>
  <si>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</si>
  <si>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</si>
  <si>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</si>
  <si>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</si>
  <si>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</si>
  <si>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</si>
  <si>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</si>
  <si>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</si>
  <si>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</si>
  <si>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</si>
  <si>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</si>
  <si>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</si>
  <si>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</si>
  <si>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</si>
  <si>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</si>
  <si>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</si>
  <si>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</si>
  <si>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</si>
  <si>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</si>
  <si>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</si>
  <si>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</si>
  <si>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</si>
  <si>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</si>
  <si>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</si>
  <si>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</si>
  <si>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</si>
  <si>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</si>
  <si>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</si>
  <si>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</si>
  <si>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</si>
  <si>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</si>
  <si>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</si>
  <si>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</si>
  <si>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</si>
  <si>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</si>
  <si>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</si>
  <si>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</si>
  <si>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</si>
  <si>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</si>
  <si>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</si>
  <si>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</si>
  <si>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</si>
  <si>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</si>
  <si>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</si>
  <si>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</si>
  <si>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</si>
  <si>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</si>
  <si>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</si>
  <si>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</si>
  <si>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</si>
  <si>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</si>
  <si>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</si>
  <si>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</si>
  <si>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</si>
  <si>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</si>
  <si>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</si>
  <si>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</si>
  <si>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</si>
  <si>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</si>
  <si>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</si>
  <si>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</si>
  <si>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</si>
  <si>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</si>
  <si>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</si>
  <si>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</si>
  <si>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</si>
  <si>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</si>
  <si>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</si>
  <si>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</si>
  <si>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</si>
  <si>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</si>
  <si>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</si>
  <si>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</si>
  <si>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</si>
  <si>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</si>
  <si>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</si>
  <si>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</si>
  <si>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</si>
  <si>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</si>
  <si>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</si>
  <si>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</si>
  <si>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</si>
  <si>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</si>
  <si>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</si>
  <si>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</si>
  <si>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</si>
  <si>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</si>
  <si>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</si>
  <si>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</si>
  <si>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</si>
  <si>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</si>
  <si>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</si>
  <si>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</si>
  <si>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</si>
  <si>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</si>
  <si>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</si>
  <si>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</si>
  <si>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</si>
  <si>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</si>
  <si>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</si>
  <si>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</si>
  <si>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</si>
  <si>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</si>
  <si>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</si>
  <si>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</si>
  <si>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</si>
  <si>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</si>
  <si>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</si>
  <si>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</si>
  <si>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</si>
  <si>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</si>
  <si>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</si>
  <si>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</si>
  <si>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</si>
  <si>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</si>
  <si>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</si>
  <si>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</si>
  <si>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</si>
  <si>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</si>
  <si>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</si>
  <si>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</si>
  <si>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</si>
  <si>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</si>
  <si>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</si>
  <si>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</si>
  <si>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</si>
  <si>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</si>
  <si>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</si>
  <si>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</si>
  <si>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</si>
  <si>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</si>
  <si>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</si>
  <si>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</si>
  <si>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</si>
  <si>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</si>
  <si>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</si>
  <si>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</si>
  <si>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</si>
  <si>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</si>
  <si>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</si>
  <si>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</si>
  <si>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</si>
  <si>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</si>
  <si>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</si>
  <si>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</si>
  <si>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</si>
  <si>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</si>
  <si>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</si>
  <si>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</si>
  <si>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</si>
  <si>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</si>
  <si>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</si>
  <si>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</si>
  <si>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</si>
  <si>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</si>
  <si>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</si>
  <si>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</si>
  <si>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</si>
  <si>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</si>
  <si>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</si>
  <si>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</si>
  <si>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</si>
  <si>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</si>
  <si>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</si>
  <si>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</si>
  <si>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</si>
  <si>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</si>
  <si>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</si>
  <si>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</si>
  <si>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</si>
  <si>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</si>
  <si>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</si>
  <si>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</si>
  <si>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</si>
  <si>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</si>
  <si>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</si>
  <si>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</si>
  <si>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</si>
  <si>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</si>
  <si>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</si>
  <si>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</si>
  <si>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</si>
  <si>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</si>
  <si>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</si>
  <si>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</si>
  <si>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</si>
  <si>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</si>
  <si>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</si>
  <si>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</si>
  <si>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</si>
  <si>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</si>
  <si>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</si>
  <si>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</si>
  <si>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</si>
  <si>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</si>
  <si>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</si>
  <si>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</si>
  <si>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</si>
  <si>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</si>
  <si>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</si>
  <si>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</si>
  <si>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</si>
  <si>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</si>
  <si>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</si>
  <si>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</si>
  <si>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</si>
  <si>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</si>
  <si>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</si>
  <si>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</si>
  <si>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</si>
  <si>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</si>
  <si>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</si>
  <si>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</si>
  <si>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</si>
  <si>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</si>
  <si>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</si>
  <si>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</si>
  <si>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</si>
  <si>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</si>
  <si>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</si>
  <si>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</si>
  <si>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</si>
  <si>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</si>
  <si>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</si>
  <si>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</si>
  <si>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</si>
  <si>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</si>
  <si>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</si>
  <si>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</si>
  <si>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</si>
  <si>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</si>
  <si>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</si>
  <si>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</si>
  <si>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</si>
  <si>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</si>
  <si>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</si>
  <si>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</si>
  <si>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</si>
  <si>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</si>
  <si>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</si>
  <si>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</si>
  <si>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</si>
  <si>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</si>
  <si>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</si>
  <si>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</si>
  <si>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</si>
  <si>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</si>
  <si>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</si>
  <si>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</si>
  <si>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</si>
  <si>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</si>
  <si>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</si>
  <si>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</si>
  <si>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</si>
  <si>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</si>
  <si>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</si>
  <si>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</si>
  <si>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</si>
  <si>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</si>
  <si>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</si>
  <si>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</si>
  <si>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</si>
  <si>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</si>
  <si>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</si>
  <si>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</si>
  <si>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</si>
  <si>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</si>
  <si>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</si>
  <si>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</si>
  <si>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</si>
  <si>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</si>
  <si>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</si>
  <si>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</si>
  <si>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</si>
  <si>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</si>
  <si>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</si>
  <si>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</si>
  <si>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</si>
  <si>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</si>
  <si>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</si>
  <si>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</si>
  <si>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</si>
  <si>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</si>
  <si>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</si>
  <si>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</si>
  <si>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</si>
  <si>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</si>
  <si>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</si>
  <si>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</si>
  <si>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</si>
  <si>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</si>
  <si>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</si>
  <si>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</si>
  <si>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</si>
  <si>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</si>
  <si>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</si>
  <si>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</si>
  <si>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</si>
  <si>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</si>
  <si>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</si>
  <si>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</si>
  <si>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</si>
  <si>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</si>
  <si>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</si>
  <si>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</si>
  <si>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</si>
  <si>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</si>
  <si>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</si>
  <si>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</si>
  <si>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</si>
  <si>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</si>
  <si>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</si>
  <si>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</si>
  <si>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</si>
  <si>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</si>
  <si>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</si>
  <si>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</si>
  <si>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</si>
  <si>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</si>
  <si>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</si>
  <si>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</si>
  <si>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</si>
  <si>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</si>
  <si>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</si>
  <si>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</si>
  <si>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</si>
  <si>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</si>
  <si>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</si>
  <si>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</si>
  <si>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</si>
  <si>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</si>
  <si>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</si>
  <si>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</si>
  <si>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</si>
  <si>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</si>
  <si>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</si>
  <si>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</si>
  <si>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</si>
  <si>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</si>
  <si>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</si>
  <si>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</si>
  <si>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</si>
  <si>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</si>
  <si>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</si>
  <si>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</si>
  <si>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</si>
  <si>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</si>
  <si>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</si>
  <si>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</si>
  <si>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</si>
  <si>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</si>
  <si>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</si>
  <si>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</si>
  <si>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</si>
  <si>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</si>
  <si>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</si>
  <si>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</si>
  <si>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</si>
  <si>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</si>
  <si>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</si>
  <si>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</si>
  <si>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</si>
  <si>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</si>
  <si>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</si>
  <si>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</si>
  <si>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</si>
  <si>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</si>
  <si>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</si>
  <si>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</si>
  <si>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</si>
  <si>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</si>
  <si>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</si>
  <si>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</si>
  <si>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</si>
  <si>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</si>
  <si>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</si>
  <si>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</si>
  <si>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</si>
  <si>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</si>
  <si>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</si>
  <si>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</si>
  <si>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</si>
  <si>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</si>
  <si>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</si>
  <si>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</si>
  <si>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</si>
  <si>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</si>
  <si>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</si>
  <si>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</si>
  <si>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</si>
  <si>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</si>
  <si>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</si>
  <si>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</si>
  <si>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</si>
  <si>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</si>
  <si>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</si>
  <si>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</si>
  <si>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</si>
  <si>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</si>
  <si>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</si>
  <si>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</si>
  <si>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</si>
  <si>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</si>
  <si>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</si>
  <si>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</si>
  <si>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</si>
  <si>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</si>
  <si>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</si>
  <si>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</si>
  <si>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</si>
  <si>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</si>
  <si>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</si>
  <si>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</si>
  <si>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</si>
  <si>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</si>
  <si>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</si>
  <si>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</si>
  <si>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</si>
  <si>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</si>
  <si>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</si>
  <si>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</si>
  <si>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</si>
  <si>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</si>
  <si>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</si>
  <si>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</si>
  <si>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</si>
  <si>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</si>
  <si>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</si>
  <si>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</si>
  <si>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</si>
  <si>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</si>
  <si>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</si>
  <si>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</si>
  <si>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</si>
  <si>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</si>
  <si>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</si>
  <si>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</si>
  <si>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</si>
  <si>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</si>
  <si>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</si>
  <si>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</si>
  <si>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</si>
  <si>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</si>
  <si>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</si>
  <si>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</si>
  <si>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</si>
  <si>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</si>
  <si>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</si>
  <si>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</si>
  <si>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</si>
  <si>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</si>
  <si>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</si>
  <si>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</si>
  <si>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</si>
  <si>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</si>
  <si>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</si>
  <si>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</si>
  <si>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</si>
  <si>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</si>
  <si>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</si>
  <si>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</si>
  <si>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</si>
  <si>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</si>
  <si>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</si>
  <si>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</si>
  <si>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</si>
  <si>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</si>
  <si>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</si>
  <si>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</si>
  <si>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</si>
  <si>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</si>
  <si>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</si>
  <si>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</si>
  <si>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</si>
  <si>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</si>
  <si>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</si>
  <si>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</si>
  <si>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</si>
  <si>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</si>
  <si>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</si>
  <si>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</si>
  <si>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</si>
  <si>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</si>
  <si>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</si>
  <si>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</si>
  <si>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</si>
  <si>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</si>
  <si>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</si>
  <si>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</si>
  <si>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</si>
  <si>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</si>
  <si>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</si>
  <si>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</si>
  <si>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</si>
  <si>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</si>
  <si>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</si>
  <si>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</si>
  <si>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</si>
  <si>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</si>
  <si>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</si>
  <si>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</si>
  <si>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</si>
  <si>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</si>
  <si>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</si>
  <si>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</si>
  <si>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</si>
  <si>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</si>
  <si>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</si>
  <si>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</si>
  <si>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</si>
  <si>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</si>
  <si>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</si>
  <si>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</si>
  <si>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</si>
  <si>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</si>
  <si>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</si>
  <si>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</si>
  <si>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</si>
  <si>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</si>
  <si>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</si>
  <si>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</si>
  <si>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</si>
  <si>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</si>
  <si>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</si>
  <si>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</si>
  <si>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</si>
  <si>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</si>
  <si>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</si>
  <si>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</si>
  <si>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</si>
  <si>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</si>
  <si>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</si>
  <si>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</si>
  <si>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</si>
  <si>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</si>
  <si>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</si>
  <si>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</si>
  <si>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</si>
  <si>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</si>
  <si>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</si>
  <si>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</si>
  <si>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</si>
  <si>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</si>
  <si>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</si>
  <si>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</si>
  <si>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</si>
  <si>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</si>
  <si>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</si>
  <si>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</si>
  <si>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</si>
  <si>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</si>
  <si>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</si>
  <si>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</si>
  <si>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</si>
  <si>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</si>
  <si>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</si>
  <si>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</si>
  <si>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</si>
  <si>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</si>
  <si>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</si>
  <si>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</si>
  <si>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</si>
  <si>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</si>
  <si>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</si>
  <si>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</si>
  <si>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</si>
  <si>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</si>
  <si>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</si>
  <si>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</si>
  <si>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</si>
  <si>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</si>
  <si>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</si>
  <si>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</si>
  <si>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</si>
  <si>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</si>
  <si>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</si>
  <si>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</si>
  <si>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</si>
  <si>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</si>
  <si>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</si>
  <si>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</si>
  <si>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</si>
  <si>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</si>
  <si>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</si>
  <si>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</si>
  <si>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</si>
  <si>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</si>
  <si>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</si>
  <si>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</si>
  <si>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</si>
  <si>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</si>
  <si>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</si>
  <si>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</si>
  <si>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</si>
  <si>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</si>
  <si>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</si>
  <si>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</si>
  <si>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</si>
  <si>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</si>
  <si>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</si>
  <si>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</si>
  <si>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</si>
  <si>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</si>
  <si>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</si>
  <si>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</si>
  <si>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</si>
  <si>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</si>
  <si>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</si>
  <si>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</si>
  <si>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</si>
  <si>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</si>
  <si>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</si>
  <si>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</si>
  <si>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</si>
  <si>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</si>
  <si>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</si>
  <si>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</si>
  <si>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</si>
  <si>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</si>
  <si>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</si>
  <si>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</si>
  <si>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</si>
  <si>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</si>
  <si>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</si>
  <si>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</si>
  <si>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</si>
  <si>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</si>
  <si>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</si>
  <si>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</si>
  <si>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</si>
  <si>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</si>
  <si>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</si>
  <si>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</si>
  <si>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</si>
  <si>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</si>
  <si>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</si>
  <si>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</si>
  <si>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</si>
  <si>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</si>
  <si>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</si>
  <si>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</si>
  <si>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</si>
  <si>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</si>
  <si>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</si>
  <si>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</si>
  <si>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</si>
  <si>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</si>
  <si>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</si>
  <si>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</si>
  <si>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</si>
  <si>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</si>
  <si>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</si>
  <si>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</si>
  <si>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</si>
  <si>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</si>
  <si>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</si>
  <si>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</si>
  <si>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</si>
  <si>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</si>
  <si>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</si>
  <si>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</si>
  <si>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</si>
  <si>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</si>
  <si>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</si>
  <si>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</si>
  <si>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</si>
  <si>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</si>
  <si>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</si>
  <si>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</si>
  <si>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</si>
  <si>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</si>
  <si>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</si>
  <si>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</si>
  <si>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</si>
  <si>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</si>
  <si>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</si>
  <si>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</si>
  <si>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</si>
  <si>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</si>
  <si>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</si>
  <si>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</si>
  <si>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</si>
  <si>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</si>
  <si>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</si>
  <si>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</si>
  <si>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</si>
  <si>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</si>
  <si>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</si>
  <si>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</si>
  <si>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</si>
  <si>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</si>
  <si>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</si>
  <si>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</si>
  <si>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</si>
  <si>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</si>
  <si>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</si>
  <si>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</si>
  <si>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</si>
  <si>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</si>
  <si>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</si>
  <si>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</si>
  <si>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</si>
  <si>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</si>
  <si>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</si>
  <si>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</si>
  <si>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</si>
  <si>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</si>
  <si>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</si>
  <si>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</si>
  <si>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</si>
  <si>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</si>
  <si>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</si>
  <si>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</si>
  <si>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</si>
  <si>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</si>
  <si>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</si>
  <si>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</si>
  <si>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</si>
  <si>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</si>
  <si>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</si>
  <si>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</si>
  <si>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</si>
  <si>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</si>
  <si>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</si>
  <si>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</si>
  <si>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</si>
  <si>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</si>
  <si>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</si>
  <si>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</si>
  <si>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</si>
  <si>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</si>
  <si>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</si>
  <si>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</si>
  <si>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</si>
  <si>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</si>
  <si>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</si>
  <si>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</si>
  <si>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</si>
  <si>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</si>
  <si>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</si>
  <si>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</si>
  <si>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</si>
  <si>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</si>
  <si>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</si>
  <si>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</si>
  <si>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</si>
  <si>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</si>
  <si>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</si>
  <si>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</si>
  <si>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</si>
  <si>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</si>
  <si>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</si>
  <si>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</si>
  <si>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</si>
  <si>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</si>
  <si>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</si>
  <si>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</si>
  <si>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</si>
  <si>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</si>
  <si>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</si>
  <si>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</si>
  <si>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</si>
  <si>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</si>
  <si>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</si>
  <si>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</si>
  <si>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</si>
  <si>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</si>
  <si>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</si>
  <si>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</si>
  <si>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</si>
  <si>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</si>
  <si>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</si>
  <si>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</si>
  <si>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</si>
  <si>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</si>
  <si>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</si>
  <si>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</si>
  <si>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</si>
  <si>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</si>
  <si>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</si>
  <si>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</si>
  <si>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</si>
  <si>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</si>
  <si>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</si>
  <si>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</si>
  <si>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</si>
  <si>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</si>
  <si>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</si>
  <si>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</si>
  <si>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</si>
  <si>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</si>
  <si>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</si>
  <si>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</si>
  <si>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</si>
  <si>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</si>
  <si>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</si>
  <si>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</si>
  <si>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</si>
  <si>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</si>
  <si>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</si>
  <si>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</si>
  <si>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</si>
  <si>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</si>
  <si>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</si>
  <si>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</si>
  <si>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</si>
  <si>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</si>
  <si>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</si>
  <si>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</si>
  <si>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</si>
  <si>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</si>
  <si>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</si>
  <si>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</si>
  <si>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</si>
  <si>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</si>
  <si>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</si>
  <si>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</si>
  <si>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</si>
  <si>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</si>
  <si>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</si>
  <si>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</si>
  <si>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</si>
  <si>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</si>
  <si>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</si>
  <si>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</si>
  <si>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</si>
  <si>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</si>
  <si>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</si>
  <si>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</si>
  <si>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</si>
  <si>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</si>
  <si>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</si>
  <si>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</si>
  <si>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</si>
  <si>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</si>
  <si>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</si>
  <si>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</si>
  <si>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</si>
  <si>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</si>
  <si>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</si>
  <si>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</si>
  <si>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</si>
  <si>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</si>
  <si>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</si>
  <si>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</si>
  <si>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</si>
  <si>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</si>
  <si>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</si>
  <si>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</si>
  <si>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</si>
  <si>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</si>
  <si>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</si>
  <si>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</si>
  <si>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</si>
  <si>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</si>
  <si>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</si>
  <si>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</si>
  <si>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</si>
  <si>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</si>
  <si>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</si>
  <si>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</si>
  <si>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</si>
  <si>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</si>
  <si>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</si>
  <si>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</si>
  <si>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</si>
  <si>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</si>
  <si>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</si>
  <si>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</si>
  <si>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</si>
  <si>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</si>
  <si>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</si>
  <si>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</si>
  <si>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</si>
  <si>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</si>
  <si>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</si>
  <si>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</si>
  <si>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</si>
  <si>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</si>
  <si>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</si>
  <si>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</si>
  <si>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</si>
  <si>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</si>
  <si>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</si>
  <si>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</si>
  <si>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</si>
  <si>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</si>
  <si>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</si>
  <si>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</si>
  <si>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</si>
  <si>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</si>
  <si>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</si>
  <si>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</si>
  <si>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</si>
  <si>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</si>
  <si>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</si>
  <si>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</si>
  <si>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</si>
  <si>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</si>
  <si>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</si>
  <si>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</si>
  <si>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</si>
  <si>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</si>
  <si>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</si>
  <si>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</si>
  <si>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</si>
  <si>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</si>
  <si>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</si>
  <si>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</si>
  <si>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</si>
  <si>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</si>
  <si>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</si>
  <si>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</si>
  <si>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</si>
  <si>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</si>
  <si>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</si>
  <si>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</si>
  <si>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</si>
  <si>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</si>
  <si>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</si>
  <si>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</si>
  <si>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</si>
  <si>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</si>
  <si>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</si>
  <si>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</si>
  <si>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</si>
  <si>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</si>
  <si>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</si>
  <si>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</si>
  <si>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</si>
  <si>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</si>
  <si>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</si>
  <si>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</si>
  <si>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</si>
  <si>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</si>
  <si>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</si>
  <si>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</si>
  <si>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</si>
  <si>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</si>
  <si>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</si>
  <si>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</si>
  <si>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</si>
  <si>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</si>
  <si>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</si>
  <si>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</si>
  <si>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</si>
  <si>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</si>
  <si>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</si>
  <si>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</si>
  <si>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</si>
  <si>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</si>
  <si>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</si>
  <si>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</si>
  <si>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</si>
  <si>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</si>
  <si>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</si>
  <si>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</si>
  <si>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</si>
  <si>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</si>
  <si>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</si>
  <si>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</si>
  <si>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</si>
  <si>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</si>
  <si>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</si>
  <si>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</si>
  <si>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</si>
  <si>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</si>
  <si>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</si>
  <si>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</si>
  <si>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</si>
  <si>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</si>
  <si>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</si>
  <si>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</si>
  <si>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</si>
  <si>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</si>
  <si>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</si>
  <si>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</si>
  <si>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</si>
  <si>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</si>
  <si>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</si>
  <si>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</si>
  <si>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</si>
  <si>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</si>
  <si>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</si>
  <si>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</si>
  <si>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</si>
  <si>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</si>
  <si>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</si>
  <si>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</si>
  <si>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</si>
  <si>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</si>
  <si>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</si>
  <si>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</si>
  <si>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</si>
  <si>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</si>
  <si>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</si>
  <si>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</si>
  <si>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</si>
  <si>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</si>
  <si>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</si>
  <si>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</si>
  <si>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</si>
  <si>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</si>
  <si>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</si>
  <si>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</si>
  <si>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</si>
  <si>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</si>
  <si>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</si>
  <si>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</si>
  <si>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</si>
  <si>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</si>
  <si>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</si>
  <si>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</si>
  <si>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</si>
  <si>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</si>
  <si>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</si>
  <si>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</si>
  <si>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</si>
  <si>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</si>
  <si>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</si>
  <si>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</si>
  <si>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</si>
  <si>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</si>
  <si>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</si>
  <si>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</si>
  <si>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</si>
  <si>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</si>
  <si>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</si>
  <si>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</si>
  <si>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</si>
  <si>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</si>
  <si>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</si>
  <si>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</si>
  <si>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</si>
  <si>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</si>
  <si>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</si>
  <si>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</si>
  <si>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</si>
  <si>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</si>
  <si>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</si>
  <si>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</si>
  <si>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</si>
  <si>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</si>
  <si>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</si>
  <si>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</si>
  <si>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</si>
  <si>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</si>
  <si>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</si>
  <si>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</si>
  <si>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</si>
  <si>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</si>
  <si>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</si>
  <si>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</si>
  <si>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</si>
  <si>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</si>
  <si>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</si>
  <si>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</si>
  <si>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</si>
  <si>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</si>
  <si>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</si>
  <si>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</si>
  <si>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</si>
  <si>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</si>
  <si>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</si>
  <si>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</si>
  <si>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</si>
  <si>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</si>
  <si>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</si>
  <si>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</si>
  <si>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</si>
  <si>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</si>
  <si>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</si>
  <si>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</si>
  <si>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</si>
  <si>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</si>
  <si>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</si>
  <si>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</si>
  <si>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</si>
  <si>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</si>
  <si>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</si>
  <si>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</si>
  <si>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</si>
  <si>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</si>
  <si>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</si>
  <si>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</si>
  <si>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</si>
  <si>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</si>
  <si>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</si>
  <si>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</si>
  <si>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</si>
  <si>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</si>
  <si>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</si>
  <si>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</si>
  <si>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</si>
  <si>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</si>
  <si>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</si>
  <si>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</si>
  <si>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</si>
  <si>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</si>
  <si>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</si>
  <si>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</si>
  <si>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</si>
  <si>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</si>
  <si>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</si>
  <si>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</si>
  <si>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</si>
  <si>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</si>
  <si>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</si>
  <si>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</si>
  <si>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</si>
  <si>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</si>
  <si>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</si>
  <si>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</si>
  <si>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</si>
  <si>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</si>
  <si>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</si>
  <si>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</si>
  <si>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</si>
  <si>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</si>
  <si>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</si>
  <si>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</si>
  <si>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</si>
  <si>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</si>
  <si>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</si>
  <si>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</si>
  <si>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</si>
  <si>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</si>
  <si>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</si>
  <si>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</si>
  <si>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</si>
  <si>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</si>
  <si>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</si>
  <si>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</si>
  <si>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</si>
  <si>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</si>
  <si>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</si>
  <si>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</si>
  <si>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</si>
  <si>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</si>
  <si>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</si>
  <si>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</si>
  <si>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</si>
  <si>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</si>
  <si>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</si>
  <si>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</si>
  <si>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</si>
  <si>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</si>
  <si>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</si>
  <si>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</si>
  <si>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</si>
  <si>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</si>
  <si>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</si>
  <si>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</si>
  <si>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</si>
  <si>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</si>
  <si>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</si>
  <si>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</si>
  <si>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</si>
  <si>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</si>
  <si>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</si>
  <si>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</si>
  <si>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</si>
  <si>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</si>
  <si>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</si>
  <si>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</si>
  <si>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</si>
  <si>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</si>
  <si>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</si>
  <si>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</si>
  <si>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</si>
  <si>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</si>
  <si>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</si>
  <si>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</si>
  <si>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</si>
  <si>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</si>
  <si>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</si>
  <si>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</si>
  <si>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</si>
  <si>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</si>
  <si>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</si>
  <si>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</si>
  <si>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</si>
  <si>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</si>
  <si>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</si>
  <si>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</si>
  <si>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</si>
  <si>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</si>
  <si>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</si>
  <si>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</si>
  <si>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</si>
  <si>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</si>
  <si>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</si>
  <si>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</si>
  <si>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</si>
  <si>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</si>
  <si>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</si>
  <si>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</si>
  <si>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</si>
  <si>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</si>
  <si>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</si>
  <si>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</si>
  <si>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</si>
  <si>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</si>
  <si>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</si>
  <si>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</si>
  <si>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</si>
  <si>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</si>
  <si>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</si>
  <si>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</si>
  <si>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</si>
  <si>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</si>
  <si>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</si>
  <si>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</si>
  <si>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</si>
  <si>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</si>
  <si>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</si>
  <si>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</si>
  <si>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</si>
  <si>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</si>
  <si>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</si>
  <si>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</si>
  <si>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</si>
  <si>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</si>
  <si>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</si>
  <si>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</si>
  <si>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</si>
  <si>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</si>
  <si>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</si>
  <si>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</si>
  <si>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</si>
  <si>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</si>
  <si>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</si>
  <si>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</si>
  <si>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</si>
  <si>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</si>
  <si>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</si>
  <si>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</si>
  <si>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</si>
  <si>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</si>
  <si>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</si>
  <si>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</si>
  <si>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</si>
  <si>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</si>
  <si>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</si>
  <si>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</si>
  <si>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</si>
  <si>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</si>
  <si>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</si>
  <si>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</si>
  <si>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</si>
  <si>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</si>
  <si>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</si>
  <si>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</si>
  <si>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</si>
  <si>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</si>
  <si>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</si>
  <si>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</si>
  <si>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</si>
  <si>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</si>
  <si>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</si>
  <si>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</si>
  <si>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</si>
  <si>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</si>
  <si>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</si>
  <si>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</si>
  <si>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</si>
  <si>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</si>
  <si>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</si>
  <si>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</si>
  <si>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</si>
  <si>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</si>
  <si>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</si>
  <si>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</si>
  <si>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</si>
  <si>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</si>
  <si>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</si>
  <si>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</si>
  <si>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</si>
  <si>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</si>
  <si>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</si>
  <si>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</si>
  <si>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</si>
  <si>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</si>
  <si>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</si>
  <si>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</si>
  <si>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</si>
  <si>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</si>
  <si>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</si>
  <si>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</si>
  <si>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</si>
  <si>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</si>
  <si>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</si>
  <si>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</si>
  <si>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</si>
  <si>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</si>
  <si>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</si>
  <si>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</si>
  <si>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</si>
  <si>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</si>
  <si>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</si>
  <si>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</si>
  <si>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</si>
  <si>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</si>
  <si>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</si>
  <si>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</si>
  <si>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</si>
  <si>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</si>
  <si>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</si>
  <si>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</si>
  <si>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</si>
  <si>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</si>
  <si>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</si>
  <si>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</si>
  <si>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</si>
  <si>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</si>
  <si>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</si>
  <si>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</si>
  <si>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</si>
  <si>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</si>
  <si>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</si>
  <si>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</si>
  <si>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</si>
  <si>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</si>
  <si>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</si>
  <si>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</si>
  <si>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</si>
  <si>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</si>
  <si>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</si>
  <si>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</si>
  <si>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</si>
  <si>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</si>
  <si>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</si>
  <si>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</si>
  <si>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</si>
  <si>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</si>
  <si>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</si>
  <si>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</si>
  <si>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</si>
  <si>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</si>
  <si>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</si>
  <si>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</si>
  <si>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</si>
  <si>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</si>
  <si>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</si>
  <si>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</si>
  <si>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</si>
  <si>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</si>
  <si>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</si>
  <si>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</si>
  <si>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</si>
  <si>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</si>
  <si>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</si>
  <si>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</si>
  <si>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</si>
  <si>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</si>
  <si>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</si>
  <si>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</si>
  <si>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</si>
  <si>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</si>
  <si>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</si>
  <si>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</si>
  <si>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</si>
  <si>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</si>
  <si>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</si>
  <si>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</si>
  <si>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</si>
  <si>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</si>
  <si>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</si>
  <si>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</si>
  <si>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</si>
  <si>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</si>
  <si>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</si>
  <si>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</si>
  <si>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</si>
  <si>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</si>
  <si>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</si>
  <si>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</si>
  <si>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</si>
  <si>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</si>
  <si>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</si>
  <si>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</si>
  <si>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</si>
  <si>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</si>
  <si>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</si>
  <si>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</si>
  <si>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</si>
  <si>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</si>
  <si>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</si>
  <si>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</si>
  <si>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</si>
  <si>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</si>
  <si>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</si>
  <si>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</si>
  <si>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</si>
  <si>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</si>
  <si>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</si>
  <si>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</si>
  <si>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</si>
  <si>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</si>
  <si>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</si>
  <si>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</si>
  <si>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</si>
  <si>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</si>
  <si>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</si>
  <si>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</si>
  <si>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</si>
  <si>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</si>
  <si>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</si>
  <si>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</si>
  <si>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</si>
  <si>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</si>
  <si>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</si>
  <si>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</si>
  <si>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</si>
  <si>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</si>
  <si>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</si>
  <si>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</si>
  <si>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</si>
  <si>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</si>
  <si>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</si>
  <si>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</si>
  <si>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</si>
  <si>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</si>
  <si>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</si>
  <si>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</si>
  <si>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</si>
  <si>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</si>
  <si>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</si>
  <si>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</si>
  <si>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</si>
  <si>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</si>
  <si>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</si>
  <si>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</si>
  <si>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</si>
  <si>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</si>
  <si>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</si>
  <si>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</si>
  <si>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</si>
  <si>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</si>
  <si>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</si>
  <si>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</si>
  <si>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</si>
  <si>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</si>
  <si>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</si>
  <si>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</si>
  <si>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</si>
  <si>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</si>
  <si>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</si>
  <si>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</si>
  <si>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</si>
  <si>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</si>
  <si>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</si>
  <si>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</si>
  <si>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</si>
  <si>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</si>
  <si>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</si>
  <si>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</si>
  <si>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</si>
  <si>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</si>
  <si>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</si>
  <si>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</si>
  <si>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</si>
  <si>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</si>
  <si>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</si>
  <si>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</si>
  <si>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</si>
  <si>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</si>
  <si>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</si>
  <si>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</si>
  <si>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</si>
  <si>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</si>
  <si>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</si>
  <si>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</si>
  <si>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</si>
  <si>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</si>
  <si>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</si>
  <si>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</si>
  <si>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</si>
  <si>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</si>
  <si>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</si>
  <si>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</si>
  <si>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</si>
  <si>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</si>
  <si>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</si>
  <si>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</si>
  <si>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</si>
  <si>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</si>
  <si>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</si>
  <si>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</si>
  <si>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</si>
  <si>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</si>
  <si>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</si>
  <si>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</si>
  <si>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</si>
  <si>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</si>
  <si>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</si>
  <si>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</si>
  <si>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</si>
  <si>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</si>
  <si>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</si>
  <si>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</si>
  <si>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</si>
  <si>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</si>
  <si>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</si>
  <si>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</si>
  <si>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</si>
  <si>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</si>
  <si>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</si>
  <si>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</si>
  <si>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</si>
  <si>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</si>
  <si>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</si>
  <si>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</si>
  <si>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</si>
  <si>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</si>
  <si>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</si>
  <si>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</si>
  <si>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</si>
  <si>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</si>
  <si>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</si>
  <si>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</si>
  <si>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</si>
  <si>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</si>
  <si>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</si>
  <si>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</si>
  <si>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</si>
  <si>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</si>
  <si>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</si>
  <si>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</si>
  <si>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</si>
  <si>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</si>
  <si>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</si>
  <si>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</si>
  <si>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</si>
  <si>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</si>
  <si>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</si>
  <si>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</si>
  <si>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</si>
  <si>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</si>
  <si>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</si>
  <si>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</si>
  <si>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</si>
  <si>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</si>
  <si>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</si>
  <si>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</si>
  <si>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</si>
  <si>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</si>
  <si>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</si>
  <si>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</si>
  <si>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</si>
  <si>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</si>
  <si>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</si>
  <si>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</si>
  <si>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</si>
  <si>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</si>
  <si>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</si>
  <si>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</si>
  <si>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</si>
  <si>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</si>
  <si>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</si>
  <si>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</si>
  <si>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</si>
  <si>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</si>
  <si>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</si>
  <si>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</si>
  <si>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</si>
  <si>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</si>
  <si>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</si>
  <si>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</si>
  <si>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</si>
  <si>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</si>
  <si>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</si>
  <si>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</si>
  <si>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</si>
  <si>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</si>
  <si>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</si>
  <si>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</si>
  <si>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</si>
  <si>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</si>
  <si>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</si>
  <si>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</si>
  <si>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</si>
  <si>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</si>
  <si>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</si>
  <si>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</si>
  <si>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</si>
  <si>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</si>
  <si>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</si>
  <si>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</si>
  <si>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</si>
  <si>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</si>
  <si>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</si>
  <si>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</si>
  <si>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</si>
  <si>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</si>
  <si>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</si>
  <si>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</si>
  <si>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</si>
  <si>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</si>
  <si>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</si>
  <si>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</si>
  <si>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</si>
  <si>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</si>
  <si>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</si>
  <si>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</si>
  <si>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</si>
  <si>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</si>
  <si>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</si>
  <si>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</si>
  <si>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</si>
  <si>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</si>
  <si>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</si>
  <si>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</si>
  <si>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</si>
  <si>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</si>
  <si>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</si>
  <si>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</si>
  <si>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</si>
  <si>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</si>
  <si>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</si>
  <si>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</si>
  <si>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</si>
  <si>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</si>
  <si>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</si>
  <si>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</si>
  <si>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</si>
  <si>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</si>
  <si>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</si>
  <si>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</si>
  <si>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</si>
  <si>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</si>
  <si>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</si>
  <si>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</si>
  <si>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</si>
  <si>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</si>
  <si>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</si>
  <si>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</si>
  <si>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</si>
  <si>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</si>
  <si>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</si>
  <si>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</si>
  <si>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</si>
  <si>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</si>
  <si>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</si>
  <si>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</si>
  <si>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</si>
  <si>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</si>
  <si>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</si>
  <si>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</si>
  <si>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</si>
  <si>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</si>
  <si>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</si>
  <si>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</si>
  <si>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</si>
  <si>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</si>
  <si>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</si>
  <si>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</si>
  <si>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</si>
  <si>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</si>
  <si>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</si>
  <si>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</si>
  <si>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</si>
  <si>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</si>
  <si>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</si>
  <si>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</si>
  <si>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</si>
  <si>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</si>
  <si>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</si>
  <si>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</si>
  <si>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</si>
  <si>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</si>
  <si>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</si>
  <si>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</si>
  <si>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</si>
  <si>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</si>
  <si>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</si>
  <si>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</si>
  <si>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</si>
  <si>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</si>
  <si>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</si>
  <si>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</si>
  <si>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</si>
  <si>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</si>
  <si>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</si>
  <si>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</si>
  <si>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</si>
  <si>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</si>
  <si>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</si>
  <si>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</si>
  <si>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</si>
  <si>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</si>
  <si>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</si>
  <si>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</si>
  <si>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</si>
  <si>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</si>
  <si>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</si>
  <si>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</si>
  <si>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</si>
  <si>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</si>
  <si>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</si>
  <si>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</si>
  <si>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</si>
  <si>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</si>
  <si>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</si>
  <si>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</si>
  <si>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</si>
  <si>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</si>
  <si>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</si>
  <si>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</si>
  <si>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</si>
  <si>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</si>
  <si>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</si>
  <si>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</si>
  <si>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</si>
  <si>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</si>
  <si>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</si>
  <si>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</si>
  <si>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</si>
  <si>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</si>
  <si>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</si>
  <si>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</si>
  <si>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</si>
  <si>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</si>
  <si>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</si>
  <si>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</si>
  <si>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</si>
  <si>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</si>
  <si>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</si>
  <si>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</si>
  <si>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</si>
  <si>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</si>
  <si>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</si>
  <si>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</si>
  <si>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</si>
  <si>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</si>
  <si>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</si>
  <si>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</si>
  <si>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</si>
  <si>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</si>
  <si>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</si>
  <si>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</si>
  <si>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</si>
  <si>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</si>
  <si>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</si>
  <si>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</si>
  <si>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</si>
  <si>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</si>
  <si>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</si>
  <si>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</si>
  <si>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</si>
  <si>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</si>
  <si>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</si>
  <si>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</si>
  <si>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</si>
  <si>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</si>
  <si>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</si>
  <si>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</si>
  <si>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</si>
  <si>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</si>
  <si>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</si>
  <si>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</si>
  <si>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</si>
  <si>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</si>
  <si>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</si>
  <si>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</si>
  <si>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</si>
  <si>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</si>
  <si>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</si>
  <si>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</si>
  <si>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</si>
  <si>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</si>
  <si>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</si>
  <si>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</si>
  <si>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</si>
  <si>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</si>
  <si>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</si>
  <si>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</si>
  <si>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</si>
  <si>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</si>
  <si>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</si>
  <si>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</si>
  <si>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</si>
  <si>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</si>
  <si>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</si>
  <si>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</si>
  <si>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</si>
  <si>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</si>
  <si>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</si>
  <si>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</si>
  <si>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</si>
  <si>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</si>
  <si>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</si>
  <si>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</si>
  <si>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</si>
  <si>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</si>
  <si>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</si>
  <si>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</si>
  <si>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</si>
  <si>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</si>
  <si>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</si>
  <si>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</si>
  <si>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</si>
  <si>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</si>
  <si>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</si>
  <si>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</si>
  <si>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</si>
  <si>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</si>
  <si>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</si>
  <si>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</si>
  <si>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</si>
  <si>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</si>
  <si>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</si>
  <si>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</si>
  <si>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</si>
  <si>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</si>
  <si>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</si>
  <si>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</si>
  <si>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</si>
  <si>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</si>
  <si>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</si>
  <si>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</si>
  <si>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</si>
  <si>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</si>
  <si>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</si>
  <si>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</si>
  <si>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</si>
  <si>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</si>
  <si>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</si>
  <si>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</si>
  <si>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</si>
  <si>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</si>
  <si>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</si>
  <si>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</si>
  <si>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</si>
  <si>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</si>
  <si>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</si>
  <si>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</si>
  <si>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</si>
  <si>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</si>
  <si>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</si>
  <si>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</si>
  <si>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</si>
  <si>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</si>
  <si>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</si>
  <si>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</si>
  <si>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</si>
  <si>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</si>
  <si>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</si>
  <si>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</si>
  <si>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</si>
  <si>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</si>
  <si>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</si>
  <si>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</si>
  <si>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</si>
  <si>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</si>
  <si>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</si>
  <si>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</si>
  <si>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</si>
  <si>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</si>
  <si>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</si>
  <si>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</si>
  <si>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</si>
  <si>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</si>
  <si>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</si>
  <si>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</si>
  <si>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</si>
  <si>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</si>
  <si>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</si>
  <si>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</si>
  <si>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</si>
  <si>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</si>
  <si>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</si>
  <si>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</si>
  <si>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</si>
  <si>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</si>
  <si>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</si>
  <si>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</si>
  <si>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</si>
  <si>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</si>
  <si>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</si>
  <si>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</si>
  <si>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</si>
  <si>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</si>
  <si>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</si>
  <si>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</si>
  <si>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</si>
  <si>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</si>
  <si>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</si>
  <si>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</si>
  <si>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</si>
  <si>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</si>
  <si>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</si>
  <si>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</si>
  <si>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</si>
  <si>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</si>
  <si>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</si>
  <si>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</si>
  <si>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</si>
  <si>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</si>
  <si>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</si>
  <si>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</si>
  <si>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</si>
  <si>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</si>
  <si>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</si>
  <si>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</si>
  <si>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</si>
  <si>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</si>
  <si>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</si>
  <si>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</si>
  <si>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</si>
  <si>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</si>
  <si>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</si>
  <si>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</si>
  <si>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</si>
  <si>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</si>
  <si>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</si>
  <si>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</si>
  <si>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</si>
  <si>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</si>
  <si>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</si>
  <si>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</si>
  <si>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</si>
  <si>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</si>
  <si>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</si>
  <si>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</si>
  <si>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</si>
  <si>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</si>
  <si>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</si>
  <si>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</si>
  <si>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</si>
  <si>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</si>
  <si>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</si>
  <si>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</si>
  <si>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</si>
  <si>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</si>
  <si>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</si>
  <si>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</si>
  <si>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</si>
  <si>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</si>
  <si>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</si>
  <si>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</si>
  <si>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</si>
  <si>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</si>
  <si>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</si>
  <si>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</si>
  <si>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</si>
  <si>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</si>
  <si>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</si>
  <si>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</si>
  <si>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</si>
  <si>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</si>
  <si>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</si>
  <si>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</si>
  <si>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</si>
  <si>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</si>
  <si>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</si>
  <si>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</si>
  <si>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</si>
  <si>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</si>
  <si>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</si>
  <si>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</si>
  <si>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</si>
  <si>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</si>
  <si>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</si>
  <si>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</si>
  <si>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</si>
  <si>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</si>
  <si>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</si>
  <si>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</si>
  <si>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</si>
  <si>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</si>
  <si>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</si>
  <si>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</si>
  <si>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</si>
  <si>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</si>
  <si>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</si>
  <si>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</si>
  <si>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</si>
  <si>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</si>
  <si>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</si>
  <si>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</si>
  <si>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</si>
  <si>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</si>
  <si>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</si>
  <si>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</si>
  <si>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</si>
  <si>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</si>
  <si>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</si>
  <si>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</si>
  <si>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</si>
  <si>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</si>
  <si>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</si>
  <si>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</si>
  <si>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</si>
  <si>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</si>
  <si>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</si>
  <si>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</si>
  <si>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</si>
  <si>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</si>
  <si>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</si>
  <si>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</si>
  <si>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</si>
  <si>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</si>
  <si>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</si>
  <si>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</si>
  <si>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</si>
  <si>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</si>
  <si>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</si>
  <si>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</si>
  <si>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</si>
  <si>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</si>
  <si>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</si>
  <si>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</si>
  <si>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</si>
  <si>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</si>
  <si>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</si>
  <si>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</si>
  <si>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</si>
  <si>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</si>
  <si>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</si>
  <si>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</si>
  <si>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</si>
  <si>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</si>
  <si>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</si>
  <si>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</si>
  <si>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</si>
  <si>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</si>
  <si>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</si>
  <si>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</si>
  <si>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</si>
  <si>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</si>
  <si>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</si>
  <si>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</si>
  <si>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</si>
  <si>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</si>
  <si>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</si>
  <si>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</si>
  <si>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</si>
  <si>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</si>
  <si>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</si>
  <si>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</si>
  <si>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</si>
  <si>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</si>
  <si>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</si>
  <si>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</si>
  <si>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</si>
  <si>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</si>
  <si>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</si>
  <si>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</si>
  <si>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</si>
  <si>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</si>
  <si>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</si>
  <si>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</si>
  <si>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</si>
  <si>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</si>
  <si>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</si>
  <si>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</si>
  <si>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</si>
  <si>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</si>
  <si>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</si>
  <si>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</si>
  <si>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</si>
  <si>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</si>
  <si>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</si>
  <si>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</si>
  <si>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</si>
  <si>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</si>
  <si>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</si>
  <si>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</si>
  <si>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</si>
  <si>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</si>
  <si>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</si>
  <si>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</si>
  <si>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</si>
  <si>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</si>
  <si>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</si>
  <si>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</si>
  <si>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</si>
  <si>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</si>
  <si>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</si>
  <si>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</si>
  <si>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</si>
  <si>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</si>
  <si>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</si>
  <si>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</si>
  <si>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</si>
  <si>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</si>
  <si>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</si>
  <si>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</si>
  <si>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</si>
  <si>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</si>
  <si>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</si>
  <si>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</si>
  <si>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</si>
  <si>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</si>
  <si>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</si>
  <si>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</si>
  <si>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</si>
  <si>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</si>
  <si>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</si>
  <si>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</si>
  <si>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</si>
  <si>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</si>
  <si>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</si>
  <si>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</si>
  <si>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</si>
  <si>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</si>
  <si>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</si>
  <si>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</si>
  <si>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</si>
  <si>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</si>
  <si>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</si>
  <si>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</si>
  <si>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</si>
  <si>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</si>
  <si>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</si>
  <si>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</si>
  <si>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</si>
  <si>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</si>
  <si>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</si>
  <si>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</si>
  <si>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</si>
  <si>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</si>
  <si>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</si>
  <si>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</si>
  <si>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</si>
  <si>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</si>
  <si>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</si>
  <si>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</si>
  <si>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</si>
  <si>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</si>
  <si>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</si>
  <si>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</si>
  <si>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</si>
  <si>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</si>
  <si>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</si>
  <si>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</si>
  <si>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</si>
  <si>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</si>
  <si>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</si>
  <si>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</si>
  <si>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</si>
  <si>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</si>
  <si>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</si>
  <si>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</si>
  <si>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</si>
  <si>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</si>
  <si>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</si>
  <si>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</si>
  <si>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</si>
  <si>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</si>
  <si>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</si>
  <si>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</si>
  <si>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</si>
  <si>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</si>
  <si>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</si>
  <si>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</si>
  <si>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</si>
  <si>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</si>
  <si>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</si>
  <si>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</si>
  <si>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</si>
  <si>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</si>
  <si>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</si>
  <si>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</si>
  <si>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</si>
  <si>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</si>
  <si>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</si>
  <si>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</si>
  <si>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</si>
  <si>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</si>
  <si>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</si>
  <si>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</si>
  <si>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</si>
  <si>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</si>
  <si>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</si>
  <si>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</si>
  <si>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</si>
  <si>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</si>
  <si>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</si>
  <si>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</si>
  <si>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</si>
  <si>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</si>
  <si>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</si>
  <si>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</si>
  <si>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</si>
  <si>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</si>
  <si>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</si>
  <si>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</si>
  <si>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</si>
  <si>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</si>
  <si>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</si>
  <si>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</si>
  <si>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</si>
  <si>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</si>
  <si>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</si>
  <si>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</si>
  <si>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</si>
  <si>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</si>
  <si>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</si>
  <si>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</si>
  <si>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</si>
  <si>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</si>
  <si>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</si>
  <si>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</si>
  <si>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</si>
  <si>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</si>
  <si>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</si>
  <si>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</si>
  <si>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</si>
  <si>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</si>
  <si>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</si>
  <si>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</si>
  <si>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</si>
  <si>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</si>
  <si>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</si>
  <si>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</si>
  <si>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</si>
  <si>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</si>
  <si>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</si>
  <si>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</si>
  <si>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</si>
  <si>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</si>
  <si>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</si>
  <si>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</si>
  <si>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</si>
  <si>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</si>
  <si>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</si>
  <si>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</si>
  <si>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</si>
  <si>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</si>
  <si>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</si>
  <si>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</si>
  <si>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</si>
  <si>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</si>
  <si>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</si>
  <si>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</si>
  <si>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</si>
  <si>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</si>
  <si>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</si>
  <si>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</si>
  <si>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</si>
  <si>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</si>
  <si>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</si>
  <si>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</si>
  <si>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</si>
  <si>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</si>
  <si>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</si>
  <si>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</si>
  <si>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</si>
  <si>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</si>
  <si>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</si>
  <si>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</si>
  <si>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</si>
  <si>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</si>
  <si>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</si>
  <si>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</si>
  <si>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</si>
  <si>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</si>
  <si>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</si>
  <si>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</si>
  <si>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</si>
  <si>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</si>
  <si>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</si>
  <si>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</si>
  <si>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</si>
  <si>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</si>
  <si>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</si>
  <si>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</si>
  <si>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</si>
  <si>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</si>
  <si>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</si>
  <si>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</si>
  <si>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</si>
  <si>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</si>
  <si>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</si>
  <si>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</si>
  <si>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</si>
  <si>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</si>
  <si>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</si>
  <si>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</si>
  <si>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</si>
  <si>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</si>
  <si>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</si>
  <si>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</si>
  <si>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</si>
  <si>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</si>
  <si>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</si>
  <si>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</si>
  <si>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</si>
  <si>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</si>
  <si>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</si>
  <si>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</si>
  <si>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</si>
  <si>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</si>
  <si>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</si>
  <si>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</si>
  <si>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</si>
  <si>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</si>
  <si>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</si>
  <si>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</si>
  <si>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</si>
  <si>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</si>
  <si>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</si>
  <si>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</si>
  <si>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</si>
  <si>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</si>
  <si>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</si>
  <si>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</si>
  <si>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</si>
  <si>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</si>
  <si>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</si>
  <si>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</si>
  <si>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</si>
  <si>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</si>
  <si>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</si>
  <si>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</si>
  <si>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</si>
  <si>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</si>
  <si>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</si>
  <si>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</si>
  <si>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</si>
  <si>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</si>
  <si>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</si>
  <si>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</si>
  <si>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</si>
  <si>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</si>
  <si>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</si>
  <si>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</si>
  <si>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</si>
  <si>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</si>
  <si>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</si>
  <si>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</si>
  <si>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</si>
  <si>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</si>
  <si>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</si>
  <si>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</si>
  <si>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</si>
  <si>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</si>
  <si>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</si>
  <si>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</si>
  <si>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</si>
  <si>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</si>
  <si>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</si>
  <si>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</si>
  <si>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</si>
  <si>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</si>
  <si>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</si>
  <si>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</si>
  <si>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</si>
  <si>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</si>
  <si>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</si>
  <si>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</si>
  <si>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</si>
  <si>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</si>
  <si>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</si>
  <si>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</si>
  <si>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</si>
  <si>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</si>
  <si>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</si>
  <si>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</si>
  <si>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</si>
  <si>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</si>
  <si>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</si>
  <si>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</si>
  <si>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</si>
  <si>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</si>
  <si>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</si>
  <si>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</si>
  <si>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</si>
  <si>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</si>
  <si>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</si>
  <si>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</si>
  <si>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</si>
  <si>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</si>
  <si>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</si>
  <si>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</si>
  <si>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</si>
  <si>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</si>
  <si>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</si>
  <si>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</si>
  <si>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</si>
  <si>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</si>
  <si>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</si>
  <si>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</si>
  <si>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</si>
  <si>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</si>
  <si>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</si>
  <si>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</si>
  <si>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</si>
  <si>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</si>
  <si>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</si>
  <si>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</si>
  <si>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</si>
  <si>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</si>
  <si>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</si>
  <si>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</si>
  <si>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</si>
  <si>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</si>
  <si>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</si>
  <si>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</si>
  <si>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</si>
  <si>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</si>
  <si>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</si>
  <si>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</si>
  <si>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</si>
  <si>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</si>
  <si>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</si>
  <si>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</si>
  <si>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</si>
  <si>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</si>
  <si>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</si>
  <si>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</si>
  <si>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</si>
  <si>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</si>
  <si>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</si>
  <si>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</si>
  <si>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</si>
  <si>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</si>
  <si>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</si>
  <si>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</si>
  <si>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</si>
  <si>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</si>
  <si>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</si>
  <si>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</si>
  <si>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</si>
  <si>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</si>
  <si>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</si>
  <si>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</si>
  <si>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</si>
  <si>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</si>
  <si>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</si>
  <si>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</si>
  <si>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</si>
  <si>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</si>
  <si>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</si>
  <si>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</si>
  <si>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</si>
  <si>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</si>
  <si>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</si>
  <si>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</si>
  <si>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</si>
  <si>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</si>
  <si>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</si>
  <si>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</si>
  <si>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</si>
  <si>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</si>
  <si>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</si>
  <si>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</si>
  <si>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</si>
  <si>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</si>
  <si>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</si>
  <si>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</si>
  <si>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</si>
  <si>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</si>
  <si>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</si>
  <si>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</si>
  <si>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</si>
  <si>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</si>
  <si>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</si>
  <si>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</si>
  <si>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</si>
  <si>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</si>
  <si>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</si>
  <si>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</si>
  <si>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</si>
  <si>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</si>
  <si>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</si>
  <si>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</si>
  <si>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</si>
  <si>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</si>
  <si>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</si>
  <si>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</si>
  <si>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</si>
  <si>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</si>
  <si>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</si>
  <si>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</si>
  <si>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</si>
  <si>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</si>
  <si>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</si>
  <si>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</si>
  <si>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</si>
  <si>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</si>
  <si>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</si>
  <si>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</si>
  <si>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</si>
  <si>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</si>
  <si>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</si>
  <si>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</si>
  <si>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</si>
  <si>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</si>
  <si>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</si>
  <si>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</si>
  <si>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</si>
  <si>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</si>
  <si>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</si>
  <si>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</si>
  <si>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</si>
  <si>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</si>
  <si>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</si>
  <si>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</si>
  <si>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</si>
  <si>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</si>
  <si>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</si>
  <si>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</si>
  <si>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</si>
  <si>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</si>
  <si>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</si>
  <si>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</si>
  <si>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</si>
  <si>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</si>
  <si>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</si>
  <si>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</si>
  <si>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</si>
  <si>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</si>
  <si>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</si>
  <si>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</si>
  <si>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</si>
  <si>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</si>
  <si>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</si>
  <si>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</si>
  <si>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</si>
  <si>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</si>
  <si>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</si>
  <si>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</si>
  <si>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</si>
  <si>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</si>
  <si>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</si>
  <si>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</si>
  <si>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</si>
  <si>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</si>
  <si>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</si>
  <si>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</si>
  <si>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</si>
  <si>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</si>
  <si>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</si>
  <si>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</si>
  <si>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</si>
  <si>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</si>
  <si>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</si>
  <si>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</si>
  <si>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</si>
  <si>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</si>
  <si>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</si>
  <si>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</si>
  <si>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</si>
  <si>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</si>
  <si>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</si>
  <si>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</si>
  <si>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</si>
  <si>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</si>
  <si>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</si>
  <si>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</si>
  <si>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</si>
  <si>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</si>
  <si>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</si>
  <si>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</si>
  <si>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</si>
  <si>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</si>
  <si>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</si>
  <si>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</si>
  <si>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</si>
  <si>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</si>
  <si>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</si>
  <si>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</si>
  <si>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</si>
  <si>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</si>
  <si>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</si>
  <si>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</si>
  <si>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</si>
  <si>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</si>
  <si>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</si>
  <si>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</si>
  <si>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</si>
  <si>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</si>
  <si>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</si>
  <si>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</si>
  <si>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</si>
  <si>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</si>
  <si>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</si>
  <si>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</si>
  <si>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</si>
  <si>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</si>
  <si>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</si>
  <si>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</si>
  <si>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</si>
  <si>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</si>
  <si>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</si>
  <si>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</si>
  <si>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</si>
  <si>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</si>
  <si>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</si>
  <si>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</si>
  <si>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</si>
  <si>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</si>
  <si>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</si>
  <si>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</si>
  <si>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</si>
  <si>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</si>
  <si>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</si>
  <si>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</si>
  <si>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</si>
  <si>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</si>
  <si>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</si>
  <si>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</si>
  <si>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</si>
  <si>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</si>
  <si>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</si>
  <si>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</si>
  <si>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</si>
  <si>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</si>
  <si>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</si>
  <si>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</si>
  <si>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</si>
  <si>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</si>
  <si>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</si>
  <si>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</si>
  <si>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</si>
  <si>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</si>
  <si>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</si>
  <si>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</si>
  <si>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</si>
  <si>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</si>
  <si>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</si>
  <si>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</si>
  <si>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</si>
  <si>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</si>
  <si>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</si>
  <si>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</si>
  <si>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</si>
  <si>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</si>
  <si>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</si>
  <si>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</si>
  <si>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</si>
  <si>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</si>
  <si>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</si>
  <si>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</si>
  <si>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</si>
  <si>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</si>
  <si>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</si>
  <si>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</si>
  <si>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</si>
  <si>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</si>
  <si>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</si>
  <si>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</si>
  <si>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</si>
  <si>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</si>
  <si>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</si>
  <si>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</si>
  <si>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</si>
  <si>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</si>
  <si>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</si>
  <si>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</si>
  <si>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</si>
  <si>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</si>
  <si>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</si>
  <si>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</si>
  <si>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</si>
  <si>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</si>
  <si>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</si>
  <si>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</si>
  <si>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</si>
  <si>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</si>
  <si>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</si>
  <si>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</si>
  <si>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</si>
  <si>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</si>
  <si>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</si>
  <si>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</si>
  <si>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</si>
  <si>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</si>
  <si>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</si>
  <si>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</si>
  <si>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</si>
  <si>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</si>
  <si>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</si>
  <si>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</si>
  <si>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</si>
  <si>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</si>
  <si>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</si>
  <si>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</si>
  <si>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</si>
  <si>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</si>
  <si>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</si>
  <si>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</si>
  <si>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</si>
  <si>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</si>
  <si>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</si>
  <si>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</si>
  <si>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</si>
  <si>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</si>
  <si>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</si>
  <si>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</si>
  <si>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</si>
  <si>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</si>
  <si>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</si>
  <si>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</si>
  <si>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</si>
  <si>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</si>
  <si>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</si>
  <si>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</si>
  <si>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</si>
  <si>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</si>
  <si>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</si>
  <si>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</si>
  <si>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</si>
  <si>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</si>
  <si>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</si>
  <si>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</si>
  <si>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</si>
  <si>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</si>
  <si>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</si>
  <si>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</si>
  <si>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</si>
  <si>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</si>
  <si>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</si>
  <si>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</si>
  <si>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</si>
  <si>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</si>
  <si>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</si>
  <si>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</si>
  <si>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</si>
  <si>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</si>
  <si>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</si>
  <si>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</si>
  <si>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</si>
  <si>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</si>
  <si>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</si>
  <si>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</si>
  <si>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</si>
  <si>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</si>
  <si>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</si>
  <si>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</si>
  <si>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</si>
  <si>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</si>
  <si>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</si>
  <si>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</si>
  <si>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</si>
  <si>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</si>
  <si>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</si>
  <si>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</si>
  <si>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</si>
  <si>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</si>
  <si>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</si>
  <si>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</si>
  <si>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</si>
  <si>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</si>
  <si>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</si>
  <si>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</si>
  <si>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</si>
  <si>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</si>
  <si>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</si>
  <si>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</si>
  <si>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</si>
  <si>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</si>
  <si>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</si>
  <si>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</si>
  <si>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</si>
  <si>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</si>
  <si>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</si>
  <si>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</si>
  <si>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</si>
  <si>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</si>
  <si>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</si>
  <si>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</si>
  <si>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</si>
  <si>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</si>
  <si>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</si>
  <si>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</si>
  <si>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</si>
  <si>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</si>
  <si>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</si>
  <si>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</si>
  <si>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</si>
  <si>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</si>
  <si>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</si>
  <si>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</si>
  <si>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</si>
  <si>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</si>
  <si>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</si>
  <si>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</si>
  <si>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</si>
  <si>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</si>
  <si>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</si>
  <si>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</si>
  <si>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</si>
  <si>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</si>
  <si>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</si>
  <si>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</si>
  <si>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</si>
  <si>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</si>
  <si>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</si>
  <si>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</si>
  <si>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</si>
  <si>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</si>
  <si>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</si>
  <si>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</si>
  <si>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</si>
  <si>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</si>
  <si>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</si>
  <si>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</si>
  <si>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</si>
  <si>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</si>
  <si>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</si>
  <si>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</si>
  <si>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</si>
  <si>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</si>
  <si>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</si>
  <si>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</si>
  <si>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</si>
  <si>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</si>
  <si>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</si>
  <si>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</si>
  <si>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</si>
  <si>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</si>
  <si>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</si>
  <si>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</si>
  <si>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</si>
  <si>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</si>
  <si>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</si>
  <si>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</si>
  <si>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</si>
  <si>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</si>
  <si>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</si>
  <si>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</si>
  <si>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</si>
  <si>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</si>
  <si>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</si>
  <si>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</si>
  <si>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</si>
  <si>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</si>
  <si>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</si>
  <si>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</si>
  <si>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</si>
  <si>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</si>
  <si>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</si>
  <si>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</si>
  <si>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</si>
  <si>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</si>
  <si>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</si>
  <si>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</si>
  <si>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</si>
  <si>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</si>
  <si>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</si>
  <si>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</si>
  <si>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</si>
  <si>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</si>
  <si>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</si>
  <si>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</si>
  <si>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</si>
  <si>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</si>
  <si>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</si>
  <si>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</si>
  <si>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</si>
  <si>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</si>
  <si>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</si>
  <si>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</si>
  <si>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</si>
  <si>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</si>
  <si>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</si>
  <si>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</si>
  <si>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</si>
  <si>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</si>
  <si>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</si>
  <si>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</si>
  <si>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</si>
  <si>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</si>
  <si>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</si>
  <si>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</si>
  <si>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</si>
  <si>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</si>
  <si>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</si>
  <si>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</si>
  <si>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</si>
  <si>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</si>
  <si>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</si>
  <si>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</si>
  <si>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</si>
  <si>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</si>
  <si>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</si>
  <si>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</si>
  <si>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</si>
  <si>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</si>
  <si>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</si>
  <si>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</si>
  <si>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</si>
  <si>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</si>
  <si>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</si>
  <si>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</si>
  <si>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</si>
  <si>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</si>
  <si>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</si>
  <si>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</si>
  <si>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</si>
  <si>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</si>
  <si>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</si>
  <si>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</si>
  <si>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</si>
  <si>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</si>
  <si>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</si>
  <si>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</si>
  <si>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</si>
  <si>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</si>
  <si>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</si>
  <si>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</si>
  <si>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</si>
  <si>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</si>
  <si>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</si>
  <si>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</si>
  <si>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</si>
  <si>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</si>
  <si>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</si>
  <si>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</si>
  <si>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</si>
  <si>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</si>
  <si>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</si>
  <si>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</si>
  <si>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</si>
  <si>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</si>
  <si>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</si>
  <si>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</si>
  <si>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</si>
  <si>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</si>
  <si>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</si>
  <si>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</si>
  <si>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</si>
  <si>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</si>
  <si>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</si>
  <si>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</si>
  <si>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</si>
  <si>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</si>
  <si>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</si>
  <si>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</si>
  <si>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</si>
  <si>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</si>
  <si>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</si>
  <si>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</si>
  <si>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</si>
  <si>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</si>
  <si>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</si>
  <si>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</si>
  <si>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</si>
  <si>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</si>
  <si>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</si>
  <si>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</si>
  <si>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</si>
  <si>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</si>
  <si>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</si>
  <si>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</si>
  <si>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</si>
  <si>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</si>
  <si>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</si>
  <si>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</si>
  <si>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</si>
  <si>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</si>
  <si>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</si>
  <si>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</si>
  <si>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</si>
  <si>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</si>
  <si>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</si>
  <si>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</si>
  <si>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</si>
  <si>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</si>
  <si>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</si>
  <si>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</si>
  <si>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</si>
  <si>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</si>
  <si>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</si>
  <si>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</si>
  <si>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</si>
  <si>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</si>
  <si>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</si>
  <si>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</si>
  <si>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</si>
  <si>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</si>
  <si>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</si>
  <si>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</si>
  <si>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</si>
  <si>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</si>
  <si>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</si>
  <si>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</si>
  <si>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</si>
  <si>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</si>
  <si>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</si>
  <si>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</si>
  <si>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</si>
  <si>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</si>
  <si>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</si>
  <si>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</si>
  <si>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</si>
  <si>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</si>
  <si>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</si>
  <si>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</si>
  <si>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</si>
  <si>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</si>
  <si>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</si>
  <si>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</si>
  <si>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</si>
  <si>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</si>
  <si>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</si>
  <si>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</si>
  <si>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</si>
  <si>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</si>
  <si>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</si>
  <si>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</si>
  <si>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</si>
  <si>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</si>
  <si>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</si>
  <si>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</si>
  <si>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</si>
  <si>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</si>
  <si>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</si>
  <si>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</si>
  <si>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</si>
  <si>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</si>
  <si>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</si>
  <si>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</si>
  <si>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</si>
  <si>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</si>
  <si>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</si>
  <si>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</si>
  <si>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</si>
  <si>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</si>
  <si>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</si>
  <si>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</si>
  <si>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</si>
  <si>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</si>
  <si>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</si>
  <si>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</si>
  <si>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</si>
  <si>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</si>
  <si>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</si>
  <si>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</si>
  <si>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</si>
  <si>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</si>
  <si>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</si>
  <si>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</si>
  <si>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</si>
  <si>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</si>
  <si>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</si>
  <si>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</si>
  <si>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</si>
  <si>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</si>
  <si>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</si>
  <si>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</si>
  <si>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</si>
  <si>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</si>
  <si>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</si>
  <si>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</si>
  <si>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</si>
  <si>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</si>
  <si>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</si>
  <si>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</si>
  <si>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</si>
  <si>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</si>
  <si>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</si>
  <si>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</si>
  <si>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</si>
  <si>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</si>
  <si>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</si>
  <si>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</si>
  <si>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</si>
  <si>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</si>
  <si>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</si>
  <si>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</si>
  <si>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</si>
  <si>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</si>
  <si>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</si>
  <si>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</si>
  <si>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</si>
  <si>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</si>
  <si>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</si>
  <si>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</si>
  <si>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</si>
  <si>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</si>
  <si>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</si>
  <si>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</si>
  <si>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</si>
  <si>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</si>
  <si>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</si>
  <si>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</si>
  <si>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</si>
  <si>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</si>
  <si>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</si>
  <si>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</si>
  <si>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</si>
  <si>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</si>
  <si>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</si>
  <si>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</si>
  <si>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</si>
  <si>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</si>
  <si>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</si>
  <si>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</si>
  <si>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</si>
  <si>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</si>
  <si>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</si>
  <si>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</si>
  <si>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</si>
  <si>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</si>
  <si>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</si>
  <si>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</si>
  <si>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</si>
  <si>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</si>
  <si>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</si>
  <si>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</si>
  <si>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</si>
  <si>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</si>
  <si>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</si>
  <si>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</si>
  <si>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</si>
  <si>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</si>
  <si>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</si>
  <si>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</si>
  <si>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</si>
  <si>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</si>
  <si>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</si>
  <si>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</si>
  <si>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</si>
  <si>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</si>
  <si>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</si>
  <si>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</si>
  <si>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</si>
  <si>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</si>
  <si>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</si>
  <si>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</si>
  <si>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</si>
  <si>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</si>
  <si>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</si>
  <si>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</si>
  <si>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</si>
  <si>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</si>
  <si>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</si>
  <si>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</si>
  <si>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</si>
  <si>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</si>
  <si>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</si>
  <si>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</si>
  <si>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</si>
  <si>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</si>
  <si>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</si>
  <si>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</si>
  <si>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</si>
  <si>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</si>
  <si>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</si>
  <si>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</si>
  <si>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</si>
  <si>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</si>
  <si>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</si>
  <si>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</si>
  <si>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</si>
  <si>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</si>
  <si>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</si>
  <si>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</si>
  <si>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</si>
  <si>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</si>
  <si>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</si>
  <si>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</si>
  <si>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</si>
  <si>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</si>
  <si>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</si>
  <si>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</si>
  <si>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</si>
  <si>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</si>
  <si>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</si>
  <si>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</si>
  <si>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</si>
  <si>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</si>
  <si>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</si>
  <si>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</si>
  <si>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</si>
  <si>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</si>
  <si>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</si>
  <si>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</si>
  <si>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</si>
  <si>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</si>
  <si>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</si>
  <si>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</si>
  <si>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</si>
  <si>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</si>
  <si>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</si>
  <si>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</si>
  <si>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</si>
  <si>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</si>
  <si>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</si>
  <si>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</si>
  <si>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</si>
  <si>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</si>
  <si>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</si>
  <si>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</si>
  <si>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</si>
  <si>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</si>
  <si>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</si>
  <si>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</si>
  <si>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</si>
  <si>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</si>
  <si>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</si>
  <si>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</si>
  <si>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</si>
  <si>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</si>
  <si>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</si>
  <si>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</si>
  <si>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</si>
  <si>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</si>
  <si>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</si>
  <si>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</si>
  <si>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</si>
  <si>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</si>
  <si>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</si>
  <si>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</si>
  <si>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</si>
  <si>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</si>
  <si>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</si>
  <si>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</si>
  <si>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</si>
  <si>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</si>
  <si>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</si>
  <si>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</si>
  <si>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</si>
  <si>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</si>
  <si>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</si>
  <si>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</si>
  <si>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</si>
  <si>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</si>
  <si>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</si>
  <si>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</si>
  <si>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</si>
  <si>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</si>
  <si>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</si>
  <si>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</si>
  <si>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</si>
  <si>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</si>
  <si>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</si>
  <si>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</si>
  <si>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</si>
  <si>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</si>
  <si>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</si>
  <si>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</si>
  <si>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</si>
  <si>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</si>
  <si>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</si>
  <si>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</si>
  <si>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</si>
  <si>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</si>
  <si>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</si>
  <si>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</si>
  <si>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</si>
  <si>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</si>
  <si>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</si>
  <si>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</si>
  <si>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</si>
  <si>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</si>
  <si>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</si>
  <si>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</si>
  <si>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</si>
  <si>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</si>
  <si>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</si>
  <si>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</si>
  <si>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</si>
  <si>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</si>
  <si>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</si>
  <si>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</si>
  <si>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</si>
  <si>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</si>
  <si>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</si>
  <si>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</si>
  <si>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</si>
  <si>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</si>
  <si>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</si>
  <si>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</si>
  <si>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</si>
  <si>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</si>
  <si>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</si>
  <si>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</si>
  <si>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</si>
  <si>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</si>
  <si>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</si>
  <si>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</si>
  <si>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</si>
  <si>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</si>
  <si>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</si>
  <si>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</si>
  <si>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</si>
  <si>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</si>
  <si>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</si>
  <si>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</si>
  <si>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</si>
  <si>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</si>
  <si>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</si>
  <si>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</si>
  <si>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</si>
  <si>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</si>
  <si>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</si>
  <si>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</si>
  <si>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</si>
  <si>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</si>
  <si>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</si>
  <si>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</si>
  <si>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</si>
  <si>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</si>
  <si>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</si>
  <si>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</si>
  <si>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</si>
  <si>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</si>
  <si>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</si>
  <si>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</si>
  <si>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</si>
  <si>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</si>
  <si>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</si>
  <si>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</si>
  <si>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</si>
  <si>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</si>
  <si>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</si>
  <si>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</si>
  <si>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</si>
  <si>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</si>
  <si>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</si>
  <si>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</si>
  <si>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</si>
  <si>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</si>
  <si>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</si>
  <si>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</si>
  <si>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</si>
  <si>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</si>
  <si>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</si>
  <si>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</si>
  <si>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</si>
  <si>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</si>
  <si>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</si>
  <si>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</si>
  <si>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</si>
  <si>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</si>
  <si>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</si>
  <si>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</si>
  <si>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</si>
  <si>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</si>
  <si>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</si>
  <si>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</si>
  <si>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</si>
  <si>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</si>
  <si>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</si>
  <si>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</si>
  <si>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</si>
  <si>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</si>
  <si>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</si>
  <si>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</si>
  <si>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</si>
  <si>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</si>
  <si>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</si>
  <si>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</si>
  <si>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</si>
  <si>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</si>
  <si>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</si>
  <si>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</si>
  <si>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</si>
  <si>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</si>
  <si>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</si>
  <si>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</si>
  <si>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</si>
  <si>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</si>
  <si>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</si>
  <si>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</si>
  <si>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</si>
  <si>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</si>
  <si>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</si>
  <si>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</si>
  <si>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</si>
  <si>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</si>
  <si>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</si>
  <si>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</si>
  <si>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</si>
  <si>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</si>
  <si>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</si>
  <si>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</si>
  <si>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</si>
  <si>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</si>
  <si>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</si>
  <si>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</si>
  <si>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</si>
  <si>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</si>
  <si>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</si>
  <si>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</si>
  <si>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</si>
  <si>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</si>
  <si>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</si>
  <si>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</si>
  <si>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</si>
  <si>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</si>
  <si>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</si>
  <si>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</si>
  <si>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</si>
  <si>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</si>
  <si>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</si>
  <si>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</si>
  <si>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</si>
  <si>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</si>
  <si>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</si>
  <si>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</si>
  <si>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</si>
  <si>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</si>
  <si>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</si>
  <si>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</si>
  <si>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</si>
  <si>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</si>
  <si>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</si>
  <si>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</si>
  <si>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</si>
  <si>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</si>
  <si>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</si>
  <si>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</si>
  <si>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</si>
  <si>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</si>
  <si>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</si>
  <si>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</si>
  <si>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</si>
  <si>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</si>
  <si>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</si>
  <si>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</si>
  <si>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</si>
  <si>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</si>
  <si>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</si>
  <si>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</si>
  <si>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</si>
  <si>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</si>
  <si>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</si>
  <si>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</si>
  <si>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</si>
  <si>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</si>
  <si>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</si>
  <si>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</si>
  <si>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</si>
  <si>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</si>
  <si>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</si>
  <si>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</si>
  <si>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</si>
  <si>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</si>
  <si>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</si>
  <si>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</si>
  <si>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</si>
  <si>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</si>
  <si>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</si>
  <si>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</si>
  <si>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</si>
  <si>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</si>
  <si>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</si>
  <si>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</si>
  <si>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</si>
  <si>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</si>
  <si>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</si>
  <si>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</si>
  <si>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</si>
  <si>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</si>
  <si>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</si>
  <si>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</si>
  <si>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</si>
  <si>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</si>
  <si>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</si>
  <si>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</si>
  <si>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</si>
  <si>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</si>
  <si>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</si>
  <si>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</si>
  <si>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</si>
  <si>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</si>
  <si>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</si>
  <si>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</si>
  <si>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</si>
  <si>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</si>
  <si>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</si>
  <si>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</si>
  <si>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</si>
  <si>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</si>
  <si>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</si>
  <si>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</si>
  <si>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</si>
  <si>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</si>
  <si>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</si>
  <si>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</si>
  <si>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</si>
  <si>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</si>
  <si>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</si>
  <si>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</si>
  <si>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</si>
  <si>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</si>
  <si>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</si>
  <si>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</si>
  <si>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</si>
  <si>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</si>
  <si>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</si>
  <si>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</si>
  <si>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</si>
  <si>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</si>
  <si>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</si>
  <si>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</si>
  <si>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</si>
  <si>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</si>
  <si>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</si>
  <si>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</si>
  <si>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</si>
  <si>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</si>
  <si>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</si>
  <si>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</si>
  <si>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</si>
  <si>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</si>
  <si>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</si>
  <si>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</si>
  <si>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</si>
  <si>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</si>
  <si>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</si>
  <si>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</si>
  <si>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</si>
  <si>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</si>
  <si>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</si>
  <si>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</si>
  <si>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</si>
  <si>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</si>
  <si>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</si>
  <si>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</si>
  <si>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</si>
  <si>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</si>
  <si>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</si>
  <si>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</si>
  <si>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</si>
  <si>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</si>
  <si>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</si>
  <si>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</si>
  <si>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</si>
  <si>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</si>
  <si>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</si>
  <si>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</si>
  <si>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</si>
  <si>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</si>
  <si>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</si>
  <si>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</si>
  <si>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</si>
  <si>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</si>
  <si>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</si>
  <si>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</si>
  <si>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</si>
  <si>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</si>
  <si>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</si>
  <si>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</si>
  <si>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</si>
  <si>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</si>
  <si>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</si>
  <si>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</si>
  <si>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</si>
  <si>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</si>
  <si>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</si>
  <si>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</si>
  <si>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</si>
  <si>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</si>
  <si>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</si>
  <si>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</si>
  <si>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</si>
  <si>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</si>
  <si>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</si>
  <si>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</si>
  <si>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</si>
  <si>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</si>
  <si>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</si>
  <si>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</si>
  <si>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</si>
  <si>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</si>
  <si>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</si>
  <si>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</si>
  <si>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</si>
  <si>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</si>
  <si>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</si>
  <si>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</si>
  <si>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</si>
  <si>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</si>
  <si>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</si>
  <si>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</si>
  <si>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</si>
  <si>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</si>
  <si>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</si>
  <si>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</si>
  <si>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</si>
  <si>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</si>
  <si>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</si>
  <si>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</si>
  <si>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</si>
  <si>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</si>
  <si>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</si>
  <si>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</si>
  <si>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</si>
  <si>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</si>
  <si>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</si>
  <si>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</si>
  <si>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</si>
  <si>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</si>
  <si>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</si>
  <si>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</si>
  <si>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</si>
  <si>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</si>
  <si>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</si>
  <si>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</si>
  <si>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</si>
  <si>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</si>
  <si>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</si>
  <si>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</si>
  <si>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</si>
  <si>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</si>
  <si>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</si>
  <si>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</si>
  <si>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</si>
  <si>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</si>
  <si>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</si>
  <si>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</si>
  <si>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</si>
  <si>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</si>
  <si>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</si>
  <si>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</si>
  <si>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</si>
  <si>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</si>
  <si>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</si>
  <si>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</si>
  <si>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</si>
  <si>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</si>
  <si>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</si>
  <si>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</si>
  <si>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</si>
  <si>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</si>
  <si>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</si>
  <si>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</si>
  <si>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</si>
  <si>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</si>
  <si>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</si>
  <si>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</si>
  <si>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</si>
  <si>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</si>
  <si>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</si>
  <si>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</si>
  <si>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</si>
  <si>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</si>
  <si>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</si>
  <si>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</si>
  <si>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</si>
  <si>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</si>
  <si>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</si>
  <si>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</si>
  <si>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</si>
  <si>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</si>
  <si>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</si>
  <si>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</si>
  <si>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</si>
  <si>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</si>
  <si>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</si>
  <si>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</si>
  <si>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</si>
  <si>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</si>
  <si>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</si>
  <si>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</si>
  <si>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</si>
  <si>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</si>
  <si>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</si>
  <si>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</si>
  <si>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</si>
  <si>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</si>
  <si>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</si>
  <si>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</si>
  <si>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</si>
  <si>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</si>
  <si>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</si>
  <si>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</si>
  <si>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</si>
  <si>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</si>
  <si>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</si>
  <si>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</si>
  <si>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</si>
  <si>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</si>
  <si>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</si>
  <si>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</si>
  <si>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</si>
  <si>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</si>
  <si>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</si>
  <si>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</si>
  <si>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</si>
  <si>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</si>
  <si>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</si>
  <si>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</si>
  <si>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</si>
  <si>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</si>
  <si>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</si>
  <si>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</si>
  <si>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</si>
  <si>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</si>
  <si>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</si>
  <si>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</si>
  <si>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</si>
  <si>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</si>
  <si>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</si>
  <si>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</si>
  <si>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</si>
  <si>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</si>
  <si>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</si>
  <si>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</si>
  <si>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</si>
  <si>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</si>
  <si>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</si>
  <si>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</si>
  <si>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</si>
  <si>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</si>
  <si>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</si>
  <si>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</si>
  <si>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</si>
  <si>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</si>
  <si>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</si>
  <si>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</si>
  <si>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</si>
  <si>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</si>
  <si>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</si>
  <si>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</si>
  <si>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</si>
  <si>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</si>
  <si>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</si>
  <si>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</si>
  <si>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</si>
  <si>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</si>
  <si>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</si>
  <si>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</si>
  <si>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</si>
  <si>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</si>
  <si>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</si>
  <si>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</si>
  <si>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</si>
  <si>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</si>
  <si>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</si>
  <si>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</si>
  <si>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</si>
  <si>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</si>
  <si>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</si>
  <si>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</si>
  <si>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</si>
  <si>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</si>
  <si>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</si>
  <si>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</si>
  <si>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</si>
  <si>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</si>
  <si>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</si>
  <si>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</si>
  <si>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</si>
  <si>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</si>
  <si>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</si>
  <si>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</si>
  <si>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</si>
  <si>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</si>
  <si>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</si>
  <si>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</si>
  <si>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</si>
  <si>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</si>
  <si>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</si>
  <si>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</si>
  <si>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</si>
  <si>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</si>
  <si>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</si>
  <si>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</si>
  <si>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</si>
  <si>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</si>
  <si>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</si>
  <si>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</si>
  <si>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</si>
  <si>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</si>
  <si>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</si>
  <si>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</si>
  <si>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</si>
  <si>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</si>
  <si>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</si>
  <si>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</si>
  <si>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</si>
  <si>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</si>
  <si>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</si>
  <si>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</si>
  <si>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</si>
  <si>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</si>
  <si>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</si>
  <si>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</si>
  <si>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</si>
  <si>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</si>
  <si>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</si>
  <si>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</si>
  <si>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</si>
  <si>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</si>
  <si>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</si>
  <si>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</si>
  <si>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</si>
  <si>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</si>
  <si>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</si>
  <si>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</si>
  <si>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</si>
  <si>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</si>
  <si>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</si>
  <si>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</si>
  <si>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</si>
  <si>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</si>
  <si>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</si>
  <si>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</si>
  <si>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</si>
  <si>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</si>
  <si>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</si>
  <si>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</si>
  <si>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</si>
  <si>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</si>
  <si>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</si>
  <si>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</si>
  <si>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</si>
  <si>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</si>
  <si>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</si>
  <si>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</si>
  <si>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</si>
  <si>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</si>
  <si>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</si>
  <si>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</si>
  <si>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</si>
  <si>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</si>
  <si>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</si>
  <si>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</si>
  <si>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</si>
  <si>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</si>
  <si>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</si>
  <si>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</si>
  <si>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</si>
  <si>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</si>
  <si>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</si>
  <si>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</si>
  <si>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</si>
  <si>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</si>
  <si>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</si>
  <si>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</si>
  <si>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</si>
  <si>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</si>
  <si>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</si>
  <si>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</si>
  <si>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</si>
  <si>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</si>
  <si>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</si>
  <si>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</si>
  <si>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</si>
  <si>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</si>
  <si>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</si>
  <si>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</si>
  <si>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</si>
  <si>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</si>
  <si>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</si>
  <si>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</si>
  <si>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</si>
  <si>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</si>
  <si>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</si>
  <si>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</si>
  <si>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</si>
  <si>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</si>
  <si>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</si>
  <si>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</si>
  <si>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</si>
  <si>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</si>
  <si>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</si>
  <si>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</si>
  <si>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</si>
  <si>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</si>
  <si>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</si>
  <si>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</si>
  <si>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</si>
  <si>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</si>
  <si>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</si>
  <si>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</si>
  <si>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</si>
  <si>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</si>
  <si>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</si>
  <si>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</si>
  <si>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</si>
  <si>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</si>
  <si>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</si>
  <si>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</si>
  <si>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</si>
  <si>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</si>
  <si>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</si>
  <si>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</si>
  <si>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</si>
  <si>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</si>
  <si>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</si>
  <si>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</si>
  <si>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</si>
  <si>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</si>
  <si>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</si>
  <si>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</si>
  <si>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</si>
  <si>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</si>
  <si>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</si>
  <si>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</si>
  <si>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</si>
  <si>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</si>
  <si>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</si>
  <si>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</si>
  <si>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</si>
  <si>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</si>
  <si>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</si>
  <si>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</si>
  <si>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</si>
  <si>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</si>
  <si>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</si>
  <si>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</si>
  <si>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</si>
  <si>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</si>
  <si>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</si>
  <si>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</si>
  <si>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</si>
  <si>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</si>
  <si>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</si>
  <si>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</si>
  <si>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</si>
  <si>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</si>
  <si>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</si>
  <si>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</si>
  <si>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</si>
  <si>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</si>
  <si>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</si>
  <si>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</si>
  <si>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</si>
  <si>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</si>
  <si>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</si>
  <si>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</si>
  <si>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</si>
  <si>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</si>
  <si>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</si>
  <si>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</si>
  <si>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</si>
  <si>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</si>
  <si>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</si>
  <si>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</si>
  <si>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</si>
  <si>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</si>
  <si>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</si>
  <si>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</si>
  <si>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</si>
  <si>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</si>
  <si>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</si>
  <si>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</si>
  <si>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</si>
  <si>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</si>
  <si>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</si>
  <si>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</si>
  <si>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</si>
  <si>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</si>
  <si>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</si>
  <si>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</si>
  <si>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</si>
  <si>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</si>
  <si>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</si>
  <si>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</si>
  <si>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</si>
  <si>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</si>
  <si>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</si>
  <si>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</si>
  <si>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</si>
  <si>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</si>
  <si>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</si>
  <si>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</si>
  <si>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</si>
  <si>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</si>
  <si>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</si>
  <si>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</si>
  <si>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</si>
  <si>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</si>
  <si>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</si>
  <si>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</si>
  <si>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</si>
  <si>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</si>
  <si>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</si>
  <si>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</si>
  <si>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</si>
  <si>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</si>
  <si>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</si>
  <si>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</si>
  <si>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</si>
  <si>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</si>
  <si>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</si>
  <si>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</si>
  <si>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</si>
  <si>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</si>
  <si>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</si>
  <si>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</si>
  <si>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</si>
  <si>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</si>
  <si>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</si>
  <si>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</si>
  <si>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</si>
  <si>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</si>
  <si>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</si>
  <si>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</si>
  <si>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</si>
  <si>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</si>
  <si>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</si>
  <si>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</si>
  <si>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</si>
  <si>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</si>
  <si>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</si>
  <si>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</si>
  <si>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</si>
  <si>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</si>
  <si>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</si>
  <si>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</si>
  <si>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</si>
  <si>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</si>
  <si>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</si>
  <si>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</si>
  <si>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</si>
  <si>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</si>
  <si>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</si>
  <si>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</si>
  <si>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</si>
  <si>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</si>
  <si>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</si>
  <si>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</si>
  <si>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</si>
  <si>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</si>
  <si>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</si>
  <si>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</si>
  <si>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</si>
  <si>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</si>
  <si>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</si>
  <si>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</si>
  <si>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</si>
  <si>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</si>
  <si>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</si>
  <si>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</si>
  <si>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</si>
  <si>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</si>
  <si>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</si>
  <si>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</si>
  <si>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</si>
  <si>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</si>
  <si>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</si>
  <si>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</si>
  <si>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</si>
  <si>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</si>
  <si>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</si>
  <si>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</si>
  <si>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</si>
  <si>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</si>
  <si>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</si>
  <si>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</si>
  <si>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</si>
  <si>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</si>
  <si>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</si>
  <si>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</si>
  <si>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</si>
  <si>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</si>
  <si>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</si>
  <si>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</si>
  <si>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</si>
  <si>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</si>
  <si>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</si>
  <si>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</si>
  <si>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</si>
  <si>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</si>
  <si>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</si>
  <si>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</si>
  <si>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</si>
  <si>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</si>
  <si>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</si>
  <si>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</si>
  <si>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</si>
  <si>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</si>
  <si>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</si>
  <si>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</si>
  <si>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</si>
  <si>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</si>
  <si>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</si>
  <si>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</si>
  <si>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</si>
  <si>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</si>
  <si>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</si>
  <si>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</si>
  <si>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</si>
  <si>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</si>
  <si>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</si>
  <si>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</si>
  <si>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</si>
  <si>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</si>
  <si>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</si>
  <si>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</si>
  <si>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</si>
  <si>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</si>
  <si>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</si>
  <si>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</si>
  <si>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</si>
  <si>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</si>
  <si>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</si>
  <si>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</si>
  <si>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</si>
  <si>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</si>
  <si>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</si>
  <si>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</si>
  <si>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</si>
  <si>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</si>
  <si>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</si>
  <si>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</si>
  <si>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</si>
  <si>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</si>
  <si>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</si>
  <si>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</si>
  <si>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</si>
  <si>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</si>
  <si>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</si>
  <si>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</si>
  <si>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</si>
  <si>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</si>
  <si>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</si>
  <si>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</si>
  <si>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</si>
  <si>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</si>
  <si>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</si>
  <si>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</si>
  <si>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</si>
  <si>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</si>
  <si>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</si>
  <si>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</si>
  <si>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</si>
  <si>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</si>
  <si>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</si>
  <si>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</si>
  <si>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</si>
  <si>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</si>
  <si>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</si>
  <si>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</si>
  <si>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</si>
  <si>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</si>
  <si>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</si>
  <si>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</si>
  <si>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</si>
  <si>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</si>
  <si>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</si>
  <si>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</si>
  <si>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</si>
  <si>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</si>
  <si>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</si>
  <si>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</si>
  <si>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</si>
  <si>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</si>
  <si>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</si>
  <si>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</si>
  <si>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</si>
  <si>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</si>
  <si>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</si>
  <si>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</si>
  <si>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</si>
  <si>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</si>
  <si>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</si>
  <si>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</si>
  <si>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</si>
  <si>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</si>
  <si>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</si>
  <si>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</si>
  <si>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</si>
  <si>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</si>
  <si>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</si>
  <si>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</si>
  <si>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</si>
  <si>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</si>
  <si>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</si>
  <si>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</si>
  <si>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</si>
  <si>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</si>
  <si>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</si>
  <si>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</si>
  <si>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</si>
  <si>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</si>
  <si>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</si>
  <si>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</si>
  <si>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</si>
  <si>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</si>
  <si>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</si>
  <si>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</si>
  <si>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</si>
  <si>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</si>
  <si>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</si>
  <si>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</si>
  <si>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</si>
  <si>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</si>
  <si>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</si>
  <si>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</si>
  <si>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</si>
  <si>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</si>
  <si>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</si>
  <si>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</si>
  <si>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</si>
  <si>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</si>
  <si>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</si>
  <si>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</si>
  <si>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</si>
  <si>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</si>
  <si>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</si>
  <si>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</si>
  <si>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</si>
  <si>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</si>
  <si>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</si>
  <si>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</si>
  <si>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</si>
  <si>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</si>
  <si>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</si>
  <si>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</si>
  <si>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</si>
  <si>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</si>
  <si>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</si>
  <si>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</si>
  <si>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</si>
  <si>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</si>
  <si>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</si>
  <si>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</si>
  <si>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</si>
  <si>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</si>
  <si>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</si>
  <si>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</si>
  <si>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</si>
  <si>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</si>
  <si>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</si>
  <si>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</si>
  <si>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</si>
  <si>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</si>
  <si>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</si>
  <si>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</si>
  <si>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</si>
  <si>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</si>
  <si>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</si>
  <si>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</si>
  <si>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</si>
  <si>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</si>
  <si>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</si>
  <si>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</si>
  <si>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</si>
  <si>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</si>
  <si>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</si>
  <si>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</si>
  <si>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</si>
  <si>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</si>
  <si>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</si>
  <si>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</si>
  <si>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</si>
  <si>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</si>
  <si>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</si>
  <si>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</si>
  <si>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</si>
  <si>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</si>
  <si>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</si>
  <si>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</si>
  <si>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</si>
  <si>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</si>
  <si>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</si>
  <si>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</si>
  <si>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</si>
  <si>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</si>
  <si>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</si>
  <si>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</si>
  <si>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</si>
  <si>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</si>
  <si>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</si>
  <si>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</si>
  <si>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</si>
  <si>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</si>
  <si>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</si>
  <si>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</si>
  <si>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</si>
  <si>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</si>
  <si>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</si>
  <si>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</si>
  <si>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</si>
  <si>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</si>
  <si>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</si>
  <si>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</si>
  <si>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</si>
  <si>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</si>
  <si>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</si>
  <si>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</si>
  <si>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</si>
  <si>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</si>
  <si>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</si>
  <si>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</si>
  <si>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</si>
  <si>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</si>
  <si>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</si>
  <si>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</si>
  <si>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</si>
  <si>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</si>
  <si>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</si>
  <si>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</si>
  <si>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</si>
  <si>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</si>
  <si>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</si>
  <si>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</si>
  <si>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</si>
  <si>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</si>
  <si>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</si>
  <si>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</si>
  <si>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</si>
  <si>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</si>
  <si>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</si>
  <si>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</si>
  <si>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</si>
  <si>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</si>
  <si>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</si>
  <si>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</si>
  <si>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</si>
  <si>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</si>
  <si>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</si>
  <si>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</si>
  <si>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</si>
  <si>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</si>
  <si>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</si>
  <si>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</si>
  <si>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</si>
  <si>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</si>
  <si>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</si>
  <si>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</si>
  <si>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</si>
  <si>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</si>
  <si>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</si>
  <si>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</si>
  <si>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</si>
  <si>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</si>
  <si>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</si>
  <si>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</si>
  <si>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</si>
  <si>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</si>
  <si>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</si>
  <si>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</si>
  <si>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</si>
  <si>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</si>
  <si>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</si>
  <si>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</si>
  <si>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</si>
  <si>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</si>
  <si>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</si>
  <si>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</si>
  <si>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</si>
  <si>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</si>
  <si>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</si>
  <si>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</si>
  <si>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</si>
  <si>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</si>
  <si>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</si>
  <si>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</si>
  <si>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</si>
  <si>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</si>
  <si>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</si>
  <si>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</si>
  <si>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</si>
  <si>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</si>
  <si>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</si>
  <si>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</si>
  <si>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</si>
  <si>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</si>
  <si>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</si>
  <si>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</si>
  <si>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</si>
  <si>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</si>
  <si>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</si>
  <si>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</si>
  <si>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</si>
  <si>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</si>
  <si>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</si>
  <si>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</si>
  <si>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</si>
  <si>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</si>
  <si>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</si>
  <si>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</si>
  <si>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</si>
  <si>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</si>
  <si>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</si>
  <si>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</si>
  <si>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</si>
  <si>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</si>
  <si>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</si>
  <si>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</si>
  <si>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</si>
  <si>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</si>
  <si>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</si>
  <si>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</si>
  <si>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</si>
  <si>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</si>
  <si>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</si>
  <si>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</si>
  <si>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</si>
  <si>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</si>
  <si>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</si>
  <si>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</si>
  <si>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</si>
  <si>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</si>
  <si>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</si>
  <si>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</si>
  <si>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</si>
  <si>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</si>
  <si>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</si>
  <si>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</si>
  <si>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</si>
  <si>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</si>
  <si>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</si>
  <si>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</si>
  <si>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</si>
  <si>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</si>
  <si>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</si>
  <si>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</si>
  <si>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</si>
  <si>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</si>
  <si>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</si>
  <si>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</si>
  <si>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</si>
  <si>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</si>
  <si>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</si>
  <si>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</si>
  <si>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</si>
  <si>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</si>
  <si>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</si>
  <si>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</si>
  <si>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</si>
  <si>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</si>
  <si>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</si>
  <si>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</si>
  <si>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</si>
  <si>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</si>
  <si>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</si>
  <si>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</si>
  <si>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</si>
  <si>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</si>
  <si>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</si>
  <si>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</si>
  <si>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</si>
  <si>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</si>
  <si>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</si>
  <si>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</si>
  <si>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</si>
  <si>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</si>
  <si>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</si>
  <si>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</si>
  <si>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</si>
  <si>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</si>
  <si>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</si>
  <si>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</si>
  <si>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</si>
  <si>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</si>
  <si>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</si>
  <si>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</si>
  <si>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</si>
  <si>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</si>
  <si>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</si>
  <si>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</si>
  <si>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</si>
  <si>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</si>
  <si>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</si>
  <si>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</si>
  <si>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</si>
  <si>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</si>
  <si>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</si>
  <si>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</si>
  <si>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</si>
  <si>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</si>
  <si>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</si>
  <si>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</si>
  <si>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</si>
  <si>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</si>
  <si>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</si>
  <si>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</si>
  <si>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</si>
  <si>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</si>
  <si>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</si>
  <si>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</si>
  <si>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</si>
  <si>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</si>
  <si>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</si>
  <si>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</si>
  <si>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</si>
  <si>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</si>
  <si>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</si>
  <si>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</si>
  <si>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</si>
  <si>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</si>
  <si>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</si>
  <si>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</si>
  <si>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</si>
  <si>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</si>
  <si>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</si>
  <si>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</si>
  <si>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</si>
  <si>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</si>
  <si>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</si>
  <si>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</si>
  <si>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</si>
  <si>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</si>
  <si>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</si>
  <si>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</si>
  <si>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</si>
  <si>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</si>
  <si>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</si>
  <si>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</si>
  <si>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</si>
  <si>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</si>
  <si>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</si>
  <si>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</si>
  <si>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</si>
  <si>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</si>
  <si>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</si>
  <si>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</si>
  <si>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</si>
  <si>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</si>
  <si>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</si>
  <si>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</si>
  <si>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</si>
  <si>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</si>
  <si>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</si>
  <si>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</si>
  <si>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</si>
  <si>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</si>
  <si>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</si>
  <si>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</si>
  <si>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</si>
  <si>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</si>
  <si>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</si>
  <si>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</si>
  <si>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</si>
  <si>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</si>
  <si>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</si>
  <si>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</si>
  <si>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</si>
  <si>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</si>
  <si>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</si>
  <si>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</si>
  <si>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</si>
  <si>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</si>
  <si>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</si>
  <si>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</si>
  <si>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</si>
  <si>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</si>
  <si>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</si>
  <si>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</si>
  <si>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</si>
  <si>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</si>
  <si>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</si>
  <si>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</si>
  <si>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</si>
  <si>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</si>
  <si>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</si>
  <si>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</si>
  <si>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</si>
  <si>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</si>
  <si>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</si>
  <si>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</si>
  <si>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</si>
  <si>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</si>
  <si>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</si>
  <si>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</si>
  <si>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</si>
  <si>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</si>
  <si>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</si>
  <si>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</si>
  <si>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</si>
  <si>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</si>
  <si>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</si>
  <si>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</si>
  <si>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</si>
  <si>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</si>
  <si>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</si>
  <si>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</si>
  <si>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</si>
  <si>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</si>
  <si>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</si>
  <si>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</si>
  <si>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</si>
  <si>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</si>
  <si>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</si>
  <si>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</si>
  <si>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</si>
  <si>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</si>
  <si>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</si>
  <si>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</si>
  <si>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</si>
  <si>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</si>
  <si>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</si>
  <si>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</si>
  <si>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</si>
  <si>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</si>
  <si>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</si>
  <si>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</si>
  <si>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</si>
  <si>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</si>
  <si>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</si>
  <si>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</si>
  <si>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</si>
  <si>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</si>
  <si>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</si>
  <si>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</si>
  <si>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</si>
  <si>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</si>
  <si>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</si>
  <si>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</si>
  <si>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</si>
  <si>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</si>
  <si>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</si>
  <si>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</si>
  <si>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</si>
  <si>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</si>
  <si>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</si>
  <si>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</si>
  <si>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</si>
  <si>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</si>
  <si>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</si>
  <si>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</si>
  <si>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</si>
  <si>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</si>
  <si>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</si>
  <si>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</si>
  <si>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</si>
  <si>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</si>
  <si>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</si>
  <si>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</si>
  <si>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</si>
  <si>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</si>
  <si>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</si>
  <si>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</si>
  <si>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</si>
  <si>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</si>
  <si>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</si>
  <si>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</si>
  <si>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</si>
  <si>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</si>
  <si>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</si>
  <si>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</si>
  <si>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</si>
  <si>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</si>
  <si>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</si>
  <si>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</si>
  <si>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</si>
  <si>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</si>
  <si>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</si>
  <si>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</si>
  <si>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</si>
  <si>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</si>
  <si>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</si>
  <si>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</si>
  <si>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</si>
  <si>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</si>
  <si>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</si>
  <si>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</si>
  <si>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</si>
  <si>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</si>
  <si>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</si>
  <si>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</si>
  <si>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</si>
  <si>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</si>
  <si>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</si>
  <si>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</si>
  <si>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</si>
  <si>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</si>
  <si>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</si>
  <si>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</si>
  <si>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</si>
  <si>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</si>
  <si>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</si>
  <si>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</si>
  <si>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</si>
  <si>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</si>
  <si>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</si>
  <si>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</si>
  <si>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</si>
  <si>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</si>
  <si>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</si>
  <si>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</si>
  <si>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</si>
  <si>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</si>
  <si>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</si>
  <si>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</si>
  <si>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</si>
  <si>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</si>
  <si>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</si>
  <si>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</si>
  <si>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</si>
  <si>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</si>
  <si>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</si>
  <si>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</si>
  <si>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</si>
  <si>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</si>
  <si>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</si>
  <si>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</si>
  <si>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</si>
  <si>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</si>
  <si>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</si>
  <si>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</si>
  <si>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</si>
  <si>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</si>
  <si>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</si>
  <si>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</si>
  <si>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</si>
  <si>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</si>
  <si>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</si>
  <si>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</si>
  <si>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</si>
  <si>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</si>
  <si>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</si>
  <si>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</si>
  <si>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</si>
  <si>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</si>
  <si>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</si>
  <si>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</si>
  <si>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</si>
  <si>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</si>
  <si>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</si>
  <si>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</si>
  <si>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</si>
  <si>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</si>
  <si>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</si>
  <si>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</si>
  <si>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</si>
  <si>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</si>
  <si>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</si>
  <si>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</si>
  <si>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</si>
  <si>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</si>
  <si>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</si>
  <si>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</si>
  <si>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</si>
  <si>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</si>
  <si>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</si>
  <si>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</si>
  <si>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</si>
  <si>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</si>
  <si>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</si>
  <si>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</si>
  <si>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</si>
  <si>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</si>
  <si>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</si>
  <si>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</si>
  <si>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</si>
  <si>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</si>
  <si>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</si>
  <si>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</si>
  <si>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</si>
  <si>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</si>
  <si>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</si>
  <si>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</si>
  <si>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</si>
  <si>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</si>
  <si>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</si>
  <si>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</si>
  <si>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</si>
  <si>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</si>
  <si>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</si>
  <si>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</si>
  <si>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</si>
  <si>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</si>
  <si>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</si>
  <si>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</si>
  <si>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</si>
  <si>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</si>
  <si>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</si>
  <si>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</si>
  <si>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</si>
  <si>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</si>
  <si>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</si>
  <si>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</si>
  <si>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</si>
  <si>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</si>
  <si>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</si>
  <si>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</si>
  <si>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</si>
  <si>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</si>
  <si>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</si>
  <si>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</si>
  <si>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</si>
  <si>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</si>
  <si>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</si>
  <si>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</si>
  <si>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</si>
  <si>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</si>
  <si>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</si>
  <si>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</si>
  <si>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</si>
  <si>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</si>
  <si>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</si>
  <si>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</si>
  <si>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</si>
  <si>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</si>
  <si>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</si>
  <si>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</si>
  <si>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</si>
  <si>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</si>
  <si>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</si>
  <si>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</si>
  <si>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</si>
  <si>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</si>
  <si>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</si>
  <si>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</si>
  <si>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</si>
  <si>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</si>
  <si>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</si>
  <si>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</si>
  <si>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</si>
  <si>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</si>
  <si>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</si>
  <si>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</si>
  <si>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</si>
  <si>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</si>
  <si>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</si>
  <si>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</si>
  <si>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</si>
  <si>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</si>
  <si>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</si>
  <si>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</si>
  <si>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</si>
  <si>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</si>
  <si>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</si>
  <si>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</si>
  <si>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</si>
  <si>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</si>
  <si>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</si>
  <si>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</si>
  <si>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</si>
  <si>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</si>
  <si>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</si>
  <si>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</si>
  <si>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</si>
  <si>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</si>
  <si>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</si>
  <si>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</si>
  <si>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</si>
  <si>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</si>
  <si>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</si>
  <si>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</si>
  <si>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</si>
  <si>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</si>
  <si>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</si>
  <si>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</si>
  <si>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</si>
  <si>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</si>
  <si>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</si>
  <si>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</si>
  <si>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</si>
  <si>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</si>
  <si>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</si>
  <si>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</si>
  <si>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</si>
  <si>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</si>
  <si>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</si>
  <si>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</si>
  <si>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</si>
  <si>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</si>
  <si>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</si>
  <si>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</si>
  <si>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</si>
  <si>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</si>
  <si>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</si>
  <si>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</si>
  <si>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</si>
  <si>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</si>
  <si>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</si>
  <si>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</si>
  <si>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</si>
  <si>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</si>
  <si>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</si>
  <si>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</si>
  <si>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</si>
  <si>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</si>
  <si>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</si>
  <si>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</si>
  <si>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</si>
  <si>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</si>
  <si>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</si>
  <si>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</si>
  <si>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</si>
  <si>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</si>
  <si>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</si>
  <si>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</si>
  <si>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</si>
  <si>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</si>
  <si>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</si>
  <si>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</si>
  <si>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</si>
  <si>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</si>
  <si>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</si>
  <si>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</si>
  <si>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</si>
  <si>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</si>
  <si>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</si>
  <si>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</si>
  <si>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</si>
  <si>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</si>
  <si>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</si>
  <si>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</si>
  <si>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</si>
  <si>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</si>
  <si>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</si>
  <si>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</si>
  <si>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</si>
  <si>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</si>
  <si>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</si>
  <si>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</si>
  <si>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</si>
  <si>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</si>
  <si>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</si>
  <si>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</si>
  <si>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</si>
  <si>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</si>
  <si>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</si>
  <si>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</si>
  <si>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</si>
  <si>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</si>
  <si>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</si>
  <si>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</si>
  <si>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</si>
  <si>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</si>
  <si>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</si>
  <si>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</si>
  <si>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</si>
  <si>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</si>
  <si>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</si>
  <si>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</si>
  <si>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</si>
  <si>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</si>
  <si>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</si>
  <si>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</si>
  <si>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</si>
  <si>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</si>
  <si>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</si>
  <si>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</si>
  <si>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</si>
  <si>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</si>
  <si>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</si>
  <si>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</si>
  <si>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</si>
  <si>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</si>
  <si>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</si>
  <si>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</si>
  <si>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</si>
  <si>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</si>
  <si>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</si>
  <si>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</si>
  <si>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</si>
  <si>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</si>
  <si>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</si>
  <si>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</si>
  <si>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</si>
  <si>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</si>
  <si>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</si>
  <si>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</si>
  <si>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</si>
  <si>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</si>
  <si>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</si>
  <si>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</si>
  <si>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</si>
  <si>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</si>
  <si>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</si>
  <si>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</si>
  <si>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</si>
  <si>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</si>
  <si>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</si>
  <si>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</si>
  <si>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</si>
  <si>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</si>
  <si>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</si>
  <si>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</si>
  <si>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</si>
  <si>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</si>
  <si>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</si>
  <si>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</si>
  <si>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</si>
  <si>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</si>
  <si>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</si>
  <si>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</si>
  <si>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</si>
  <si>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</si>
  <si>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</si>
  <si>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</si>
  <si>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</si>
  <si>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</si>
  <si>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</si>
  <si>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</si>
  <si>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</si>
  <si>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</si>
  <si>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</si>
  <si>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</si>
  <si>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</si>
  <si>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</si>
  <si>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</si>
  <si>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</si>
  <si>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</si>
  <si>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</si>
  <si>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</si>
  <si>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</si>
  <si>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</si>
  <si>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</si>
  <si>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</si>
  <si>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</si>
  <si>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</si>
  <si>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</si>
  <si>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</si>
  <si>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</si>
  <si>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</si>
  <si>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</si>
  <si>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</si>
  <si>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</si>
  <si>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</si>
  <si>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</si>
  <si>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</si>
  <si>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</si>
  <si>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</si>
  <si>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</si>
  <si>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</si>
  <si>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</si>
  <si>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</si>
  <si>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</si>
  <si>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</si>
  <si>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</si>
  <si>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</si>
  <si>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</si>
  <si>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</si>
  <si>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</si>
  <si>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</si>
  <si>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</si>
  <si>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</si>
  <si>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</si>
  <si>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</si>
  <si>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</si>
  <si>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</si>
  <si>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</si>
  <si>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</si>
  <si>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</si>
  <si>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</si>
  <si>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</si>
  <si>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</si>
  <si>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</si>
  <si>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</si>
  <si>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</si>
  <si>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</si>
  <si>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</si>
  <si>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</si>
  <si>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</si>
  <si>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</si>
  <si>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</si>
  <si>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</si>
  <si>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</si>
  <si>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</si>
  <si>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</si>
  <si>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</si>
  <si>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</si>
  <si>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</si>
  <si>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</si>
  <si>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</si>
  <si>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</si>
  <si>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</si>
  <si>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</si>
  <si>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</si>
  <si>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</si>
  <si>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</si>
  <si>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</si>
  <si>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</si>
  <si>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</si>
  <si>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</si>
  <si>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</si>
  <si>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</si>
  <si>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</si>
  <si>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</si>
  <si>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</si>
  <si>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</si>
  <si>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</si>
  <si>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</si>
  <si>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</si>
  <si>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</si>
  <si>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</si>
  <si>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</si>
  <si>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</si>
  <si>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</si>
  <si>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</si>
  <si>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</si>
  <si>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</si>
  <si>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</si>
  <si>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</si>
  <si>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</si>
  <si>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</si>
  <si>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</si>
  <si>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</si>
  <si>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</si>
  <si>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</si>
  <si>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</si>
  <si>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</si>
  <si>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</si>
  <si>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</si>
  <si>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</si>
  <si>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</si>
  <si>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</si>
  <si>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</si>
  <si>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</si>
  <si>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</si>
  <si>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</si>
  <si>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</si>
  <si>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</si>
  <si>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</si>
  <si>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</si>
  <si>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</si>
  <si>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</si>
  <si>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</si>
  <si>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</si>
  <si>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</si>
  <si>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</si>
  <si>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</si>
  <si>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</si>
  <si>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</si>
  <si>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</si>
  <si>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</si>
  <si>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</si>
  <si>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</si>
  <si>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</si>
  <si>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</si>
  <si>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</si>
  <si>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</si>
  <si>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</si>
  <si>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</si>
  <si>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</si>
  <si>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</si>
  <si>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</si>
  <si>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</si>
  <si>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</si>
  <si>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</si>
  <si>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</si>
  <si>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</si>
  <si>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</si>
  <si>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</si>
  <si>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</si>
  <si>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</si>
  <si>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</si>
  <si>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</si>
  <si>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</si>
  <si>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</si>
  <si>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</si>
  <si>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</si>
  <si>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</si>
  <si>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</si>
  <si>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</si>
  <si>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</si>
  <si>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</si>
  <si>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</si>
  <si>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</si>
  <si>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</si>
  <si>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</si>
  <si>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</si>
  <si>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</si>
  <si>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</si>
  <si>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</si>
  <si>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</si>
  <si>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</si>
  <si>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</si>
  <si>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</si>
  <si>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</si>
  <si>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</si>
  <si>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</si>
  <si>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</si>
  <si>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</si>
  <si>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</si>
  <si>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</si>
  <si>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</si>
  <si>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</si>
  <si>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</si>
  <si>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</si>
  <si>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</si>
  <si>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</si>
  <si>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</si>
  <si>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</si>
  <si>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</si>
  <si>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</si>
  <si>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</si>
  <si>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</si>
  <si>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</si>
  <si>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</si>
  <si>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</si>
  <si>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</si>
  <si>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</si>
  <si>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</si>
  <si>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</si>
  <si>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</si>
  <si>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</si>
  <si>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</si>
  <si>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</si>
  <si>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</si>
  <si>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</si>
  <si>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</si>
  <si>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</si>
  <si>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</si>
  <si>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</si>
  <si>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</si>
  <si>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</si>
  <si>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</si>
  <si>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</si>
  <si>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</si>
  <si>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</si>
  <si>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</si>
  <si>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</si>
  <si>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</si>
  <si>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</si>
  <si>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</si>
  <si>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</si>
  <si>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</si>
  <si>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</si>
  <si>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</si>
  <si>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</si>
  <si>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</si>
  <si>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</si>
  <si>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</si>
  <si>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</si>
  <si>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</si>
  <si>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</si>
  <si>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</si>
  <si>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</si>
  <si>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</si>
  <si>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</si>
  <si>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</si>
  <si>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</si>
  <si>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</si>
  <si>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</si>
  <si>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</si>
  <si>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</si>
  <si>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</si>
  <si>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</si>
  <si>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</si>
  <si>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</si>
  <si>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</si>
  <si>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</si>
  <si>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</si>
  <si>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</si>
  <si>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</si>
  <si>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</si>
  <si>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</si>
  <si>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</si>
  <si>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</si>
  <si>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</si>
  <si>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</si>
  <si>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</si>
  <si>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</si>
  <si>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</si>
  <si>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</si>
  <si>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</si>
  <si>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</si>
  <si>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</si>
  <si>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</si>
  <si>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</si>
  <si>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</si>
  <si>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</si>
  <si>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</si>
  <si>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</si>
  <si>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</si>
  <si>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</si>
  <si>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</si>
  <si>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</si>
  <si>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</si>
  <si>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</si>
  <si>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</si>
  <si>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</si>
  <si>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</si>
  <si>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</si>
  <si>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</si>
  <si>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</si>
  <si>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</si>
  <si>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</si>
  <si>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</si>
  <si>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</si>
  <si>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</si>
  <si>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</si>
  <si>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</si>
  <si>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</si>
  <si>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</si>
  <si>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</si>
  <si>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</si>
  <si>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</si>
  <si>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</si>
  <si>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</si>
  <si>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</si>
  <si>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</si>
  <si>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</si>
  <si>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</si>
  <si>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</si>
  <si>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</si>
  <si>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</si>
  <si>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</si>
  <si>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</si>
  <si>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</si>
  <si>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</si>
  <si>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</si>
  <si>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</si>
  <si>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</si>
  <si>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</si>
  <si>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</si>
  <si>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</si>
  <si>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</si>
  <si>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</si>
  <si>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</si>
  <si>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</si>
  <si>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</si>
  <si>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</si>
  <si>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</si>
  <si>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</si>
  <si>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</si>
  <si>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</si>
  <si>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</si>
  <si>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</si>
  <si>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</si>
  <si>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</si>
  <si>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</si>
  <si>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</si>
  <si>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</si>
  <si>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</si>
  <si>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</si>
  <si>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</si>
  <si>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</si>
  <si>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</si>
  <si>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</si>
  <si>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</si>
  <si>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</si>
  <si>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</si>
  <si>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</si>
  <si>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</si>
  <si>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</si>
  <si>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</si>
  <si>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</si>
  <si>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</si>
  <si>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</si>
  <si>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</si>
  <si>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</si>
  <si>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</si>
  <si>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</si>
  <si>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</si>
  <si>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</si>
  <si>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</si>
  <si>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</si>
  <si>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</si>
  <si>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</si>
  <si>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</si>
  <si>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</si>
  <si>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</si>
  <si>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</si>
  <si>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</si>
  <si>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</si>
  <si>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</si>
  <si>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</si>
  <si>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</si>
  <si>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</si>
  <si>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</si>
  <si>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</si>
  <si>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</si>
  <si>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</si>
  <si>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</si>
  <si>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</si>
  <si>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</si>
  <si>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</si>
  <si>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</si>
  <si>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</si>
  <si>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</si>
  <si>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</si>
  <si>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</si>
  <si>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</si>
  <si>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</si>
  <si>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</si>
  <si>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</si>
  <si>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</si>
  <si>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</si>
  <si>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</si>
  <si>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</si>
  <si>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</si>
  <si>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</si>
  <si>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</si>
  <si>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</si>
  <si>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</si>
  <si>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</si>
  <si>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</si>
  <si>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</si>
  <si>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</si>
  <si>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</si>
  <si>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</si>
  <si>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</si>
  <si>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</si>
  <si>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</si>
  <si>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</si>
  <si>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</si>
  <si>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</si>
  <si>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</si>
  <si>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</si>
  <si>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</si>
  <si>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</si>
  <si>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</si>
  <si>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</si>
  <si>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</si>
  <si>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</si>
  <si>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</si>
  <si>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</si>
  <si>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</si>
  <si>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</si>
  <si>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</si>
  <si>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</si>
  <si>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</si>
  <si>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</si>
  <si>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</si>
  <si>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</si>
  <si>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</si>
  <si>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</si>
  <si>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</si>
  <si>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</si>
  <si>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</si>
  <si>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</si>
  <si>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</si>
  <si>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</si>
  <si>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</si>
  <si>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</si>
  <si>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</si>
  <si>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</si>
  <si>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</si>
  <si>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</si>
  <si>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</si>
  <si>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</si>
  <si>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</si>
  <si>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</si>
  <si>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</si>
  <si>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</si>
  <si>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</si>
  <si>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</si>
  <si>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</si>
  <si>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</si>
  <si>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</si>
  <si>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</si>
  <si>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</si>
  <si>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</si>
  <si>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</si>
  <si>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</si>
  <si>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</si>
  <si>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</si>
  <si>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</si>
  <si>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</si>
  <si>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</si>
  <si>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</si>
  <si>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</si>
  <si>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</si>
  <si>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</si>
  <si>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</si>
  <si>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</si>
  <si>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</si>
  <si>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</si>
  <si>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</si>
  <si>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</si>
  <si>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</si>
  <si>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</si>
  <si>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</si>
  <si>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</si>
  <si>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</si>
  <si>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</si>
  <si>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</si>
  <si>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</si>
  <si>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</si>
  <si>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</si>
  <si>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</si>
  <si>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</si>
  <si>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</si>
  <si>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</si>
  <si>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</si>
  <si>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</si>
  <si>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</si>
  <si>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</si>
  <si>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</si>
  <si>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</si>
  <si>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</si>
  <si>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</si>
  <si>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</si>
  <si>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</si>
  <si>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</si>
  <si>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</si>
  <si>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</si>
  <si>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</si>
  <si>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</si>
  <si>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</si>
  <si>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</si>
  <si>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</si>
  <si>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</si>
  <si>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</si>
  <si>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</si>
  <si>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</si>
  <si>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</si>
  <si>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</si>
  <si>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</si>
  <si>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</si>
  <si>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</si>
  <si>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</si>
  <si>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</si>
  <si>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</si>
  <si>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</si>
  <si>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</si>
  <si>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</si>
  <si>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</si>
  <si>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</si>
  <si>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</si>
  <si>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</si>
  <si>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</si>
  <si>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</si>
  <si>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</si>
  <si>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</si>
  <si>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</si>
  <si>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</si>
  <si>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</si>
  <si>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</si>
  <si>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</si>
  <si>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</si>
  <si>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</si>
  <si>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</si>
  <si>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</si>
  <si>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</si>
  <si>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</si>
  <si>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</si>
  <si>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</si>
  <si>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</si>
  <si>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</si>
  <si>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</si>
  <si>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</si>
  <si>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</si>
  <si>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</si>
  <si>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</si>
  <si>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</si>
  <si>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</si>
  <si>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</si>
  <si>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</si>
  <si>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</si>
  <si>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</si>
  <si>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</si>
  <si>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</si>
  <si>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</si>
  <si>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</si>
  <si>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</si>
  <si>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</si>
  <si>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</si>
  <si>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</si>
  <si>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</si>
  <si>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</si>
  <si>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</si>
  <si>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</si>
  <si>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</si>
  <si>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</si>
  <si>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</si>
  <si>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</si>
  <si>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</si>
  <si>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</si>
  <si>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</si>
  <si>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</si>
  <si>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</si>
  <si>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</si>
  <si>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</si>
  <si>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</si>
  <si>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</si>
  <si>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</si>
  <si>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</si>
  <si>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</si>
  <si>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</si>
  <si>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</si>
  <si>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</si>
  <si>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</si>
  <si>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</si>
  <si>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</si>
  <si>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</si>
  <si>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</si>
  <si>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</si>
  <si>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</si>
  <si>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</si>
  <si>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</si>
  <si>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</si>
  <si>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</si>
  <si>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</si>
  <si>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</si>
  <si>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</si>
  <si>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</si>
  <si>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</si>
  <si>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</si>
  <si>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</si>
  <si>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</si>
  <si>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</si>
  <si>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</si>
  <si>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</si>
  <si>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</si>
  <si>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</si>
  <si>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</si>
  <si>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</si>
  <si>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</si>
  <si>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</si>
  <si>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</si>
  <si>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</si>
  <si>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</si>
  <si>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</si>
  <si>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</si>
  <si>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</si>
  <si>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</si>
  <si>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</si>
  <si>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</si>
  <si>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</si>
  <si>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</si>
  <si>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</si>
  <si>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</si>
  <si>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Rost Type Name</t>
  </si>
  <si>
    <t>Grand Total</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</si>
  <si>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</si>
  <si>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</si>
  <si>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</si>
  <si>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</si>
  <si>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</si>
  <si>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</si>
  <si>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</si>
  <si>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</si>
  <si>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</si>
  <si>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</si>
  <si>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</si>
  <si>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</si>
  <si>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</si>
  <si>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</si>
  <si>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</si>
  <si>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</si>
  <si>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</si>
  <si>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</si>
  <si>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</si>
  <si>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</si>
  <si>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</si>
  <si>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</si>
  <si>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</si>
  <si>
    <t>Customer Loyalty</t>
  </si>
  <si>
    <t>Count of Order ID</t>
  </si>
  <si>
    <t>Sum of Quantity</t>
  </si>
  <si>
    <t>KPI</t>
  </si>
  <si>
    <t>Yearly sales</t>
  </si>
  <si>
    <t>Dark</t>
  </si>
  <si>
    <t>Light</t>
  </si>
  <si>
    <t>Medium</t>
  </si>
  <si>
    <t>Sum of Profit</t>
  </si>
  <si>
    <t>Monthly Product Sales</t>
  </si>
  <si>
    <t>Product sales</t>
  </si>
  <si>
    <t xml:space="preserve"> </t>
  </si>
  <si>
    <t>Sum of Sales2</t>
  </si>
  <si>
    <t>Roast type sales</t>
  </si>
  <si>
    <t>Size sales</t>
  </si>
  <si>
    <t>Country Sales</t>
  </si>
  <si>
    <t>City Sales</t>
  </si>
  <si>
    <t>Customer loyalty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</si>
</sst>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quot;$&quot;* #,##0_);_(&quot;$&quot;* \(#,##0\);_(&quot;$&quot;* &quot;-&quot;_);_(@_)"/>
    <numFmt numFmtId="44" formatCode="_(&quot;$&quot;* #,##0.00_);_(&quot;$&quot;* \(#,##0.00\);_(&quot;$&quot;* &quot;-&quot;??_);_(@_)"/>
    <numFmt numFmtId="164" formatCode="0.0"/>
    <numFmt numFmtId="165" formatCode="dd\-mmm\-yyyy"/>
    <numFmt numFmtId="166" formatCode="0.0\ &quot;kg&quot;"/>
    <numFmt numFmtId="167" formatCode="_(* #,##0_);_(* \(#,##0\);_(* &quot;-&quot;??_);_(@_)"/>
    <numFmt numFmtId="168" formatCode="_(&quot;$&quot;* #,##0_);_(&quot;$&quot;* \(#,##0\);_(&quot;$&quot;* &quot;-&quot;??_);_(@_)"/>
  </numFmts>
  <fonts count="4" x14ac:knownFonts="1">
    <font>
      <sz val="11"/>
      <color theme="1"/>
      <name val="Calibri"/>
      <family val="2"/>
      <scheme val="minor"/>
    </font>
    <font>
      <sz val="11"/>
      <color indexed="8"/>
      <name val="Calibri"/>
      <family val="2"/>
    </font>
    <font>
      <sz val="11"/>
      <color theme="1"/>
      <name val="Calibri"/>
      <family val="2"/>
      <scheme val="minor"/>
    </font>
    <font>
      <b/>
      <sz val="12"/>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3" tint="-0.499984740745262"/>
        <bgColor indexed="64"/>
      </patternFill>
    </fill>
  </fills>
  <borders count="1">
    <border>
      <left/>
      <right/>
      <top/>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1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44" fontId="0" fillId="0" borderId="0" xfId="1" applyFont="1"/>
    <xf numFmtId="0" fontId="0" fillId="0" borderId="0" xfId="0" pivotButton="1"/>
    <xf numFmtId="44" fontId="0" fillId="0" borderId="0" xfId="0" applyNumberFormat="1"/>
    <xf numFmtId="42" fontId="0" fillId="0" borderId="0" xfId="0" applyNumberFormat="1"/>
    <xf numFmtId="0" fontId="0" fillId="2" borderId="0" xfId="0" applyFill="1"/>
    <xf numFmtId="167" fontId="0" fillId="0" borderId="0" xfId="0" applyNumberFormat="1"/>
    <xf numFmtId="168" fontId="0" fillId="0" borderId="0" xfId="1" applyNumberFormat="1" applyFont="1"/>
    <xf numFmtId="168" fontId="0" fillId="0" borderId="0" xfId="0" applyNumberFormat="1"/>
    <xf numFmtId="0" fontId="0" fillId="0" borderId="0" xfId="0" applyFont="1"/>
    <xf numFmtId="9" fontId="0" fillId="0" borderId="0" xfId="2" applyFont="1"/>
    <xf numFmtId="10" fontId="0" fillId="0" borderId="0" xfId="0" applyNumberFormat="1"/>
    <xf numFmtId="9" fontId="0" fillId="0" borderId="0" xfId="0" applyNumberFormat="1"/>
    <xf numFmtId="0" fontId="3" fillId="3" borderId="0" xfId="0" applyFont="1" applyFill="1" applyAlignment="1">
      <alignment horizontal="center"/>
    </xf>
    <xf numFmtId="0" fontId="3" fillId="3" borderId="0" xfId="0" applyFont="1" applyFill="1" applyAlignment="1">
      <alignment horizontal="center" vertical="center"/>
    </xf>
  </cellXfs>
  <cellStyles count="3">
    <cellStyle name="Currency" xfId="1" builtinId="4"/>
    <cellStyle name="Normal" xfId="0" builtinId="0"/>
    <cellStyle name="Percent" xfId="2" builtinId="5"/>
  </cellStyles>
  <dxfs count="22">
    <dxf>
      <numFmt numFmtId="13" formatCode="0%"/>
    </dxf>
    <dxf>
      <numFmt numFmtId="13" formatCode="0%"/>
    </dxf>
    <dxf>
      <font>
        <color rgb="FF1F1F1F"/>
      </font>
      <border diagonalUp="0" diagonalDown="0">
        <left/>
        <right/>
        <top/>
        <bottom/>
        <vertical/>
        <horizontal/>
      </border>
    </dxf>
    <dxf>
      <font>
        <name val="Aptos Display"/>
        <family val="2"/>
        <scheme val="none"/>
      </font>
      <fill>
        <patternFill patternType="solid">
          <fgColor rgb="FF1F1F1F"/>
          <bgColor rgb="FF1F1F1F"/>
        </patternFill>
      </fill>
    </dxf>
    <dxf>
      <font>
        <color rgb="FF343434"/>
      </font>
      <border diagonalUp="0" diagonalDown="0">
        <left/>
        <right/>
        <top/>
        <bottom/>
        <vertical/>
        <horizontal/>
      </border>
    </dxf>
    <dxf>
      <font>
        <name val="Aptos Display"/>
        <family val="2"/>
        <scheme val="none"/>
      </font>
      <fill>
        <patternFill>
          <fgColor rgb="FF343434"/>
          <bgColor rgb="FF343434"/>
        </patternFill>
      </fill>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166" formatCode="0.0\ &quot;kg&quot;"/>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quot;$&quot;* #,##0_);_(&quot;$&quot;* \(#,##0\);_(&quot;$&quot;* &quot;-&quot;??_);_(@_)"/>
    </dxf>
    <dxf>
      <numFmt numFmtId="167" formatCode="_(* #,##0_);_(* \(#,##0\);_(* &quot;-&quot;??_);_(@_)"/>
    </dxf>
  </dxfs>
  <tableStyles count="2" defaultTableStyle="TableStyleMedium2" defaultPivotStyle="PivotStyleMedium9">
    <tableStyle name="coffee theme" pivot="0" table="0" count="10" xr9:uid="{1340911A-8C00-47F1-B5B1-BD45AB7A576F}">
      <tableStyleElement type="wholeTable" dxfId="5"/>
      <tableStyleElement type="headerRow" dxfId="4"/>
    </tableStyle>
    <tableStyle name="coffee theme 2" pivot="0" table="0" count="10" xr9:uid="{E3EC03C5-DF70-48AE-BC0E-6E7A4DC073D5}">
      <tableStyleElement type="wholeTable" dxfId="3"/>
      <tableStyleElement type="headerRow" dxfId="2"/>
    </tableStyle>
  </tableStyles>
  <colors>
    <mruColors>
      <color rgb="FFC4A792"/>
      <color rgb="FFA98062"/>
      <color rgb="FF956643"/>
      <color rgb="FF623528"/>
      <color rgb="FFE1BB9F"/>
      <color rgb="FF343434"/>
      <color rgb="FF1F1F1F"/>
      <color rgb="FFA9B062"/>
      <color rgb="FFD9A883"/>
      <color rgb="FF111A19"/>
    </mruColors>
  </colors>
  <extLst>
    <ext xmlns:x14="http://schemas.microsoft.com/office/spreadsheetml/2009/9/main" uri="{46F421CA-312F-682f-3DD2-61675219B42D}">
      <x14:dxfs count="16">
        <dxf>
          <font>
            <color rgb="FF623528"/>
            <name val="Aptos Display"/>
            <family val="2"/>
            <scheme val="none"/>
          </font>
          <fill>
            <patternFill patternType="solid">
              <bgColor rgb="FFC4A792"/>
            </patternFill>
          </fill>
          <border>
            <left style="thin">
              <color auto="1"/>
            </left>
          </border>
        </dxf>
        <dxf>
          <font>
            <color rgb="FFC4A792"/>
            <name val="Aptos Display"/>
            <family val="2"/>
            <scheme val="none"/>
          </font>
          <border>
            <left style="thin">
              <color auto="1"/>
            </left>
          </border>
        </dxf>
        <dxf>
          <font>
            <name val="Aptos Display"/>
            <family val="2"/>
            <scheme val="none"/>
          </font>
          <fill>
            <patternFill>
              <bgColor rgb="FFC4A792"/>
            </patternFill>
          </fill>
          <border>
            <left style="thin">
              <color auto="1"/>
            </left>
          </border>
        </dxf>
        <dxf>
          <font>
            <color rgb="FFC4A792"/>
            <name val="Aptos Display"/>
            <family val="2"/>
            <scheme val="none"/>
          </font>
        </dxf>
        <dxf>
          <font>
            <sz val="12"/>
            <color rgb="FFC4A792"/>
            <name val="Aptos Display"/>
            <family val="2"/>
            <scheme val="none"/>
          </font>
          <fill>
            <patternFill>
              <fgColor rgb="FF343434"/>
              <bgColor rgb="FF343434"/>
            </patternFill>
          </fill>
        </dxf>
        <dxf>
          <font>
            <b/>
            <i val="0"/>
            <sz val="12"/>
            <color rgb="FFC4A792"/>
            <name val="Aptos Display"/>
            <family val="2"/>
            <scheme val="none"/>
          </font>
          <fill>
            <patternFill>
              <fgColor rgb="FF343434"/>
              <bgColor rgb="FF343434"/>
            </patternFill>
          </fill>
        </dxf>
        <dxf>
          <font>
            <color rgb="FFC4A792"/>
            <name val="Aptos Display"/>
            <family val="2"/>
            <scheme val="none"/>
          </font>
        </dxf>
        <dxf>
          <font>
            <color rgb="FFC4A792"/>
            <name val="Aptos Display"/>
            <family val="2"/>
            <scheme val="none"/>
          </font>
        </dxf>
        <dxf>
          <font>
            <color rgb="FFC4A792"/>
            <name val="Aptos Display"/>
            <family val="2"/>
            <scheme val="none"/>
          </font>
        </dxf>
        <dxf>
          <font>
            <color rgb="FFC4A792"/>
            <name val="Aptos Display"/>
            <family val="2"/>
            <scheme val="none"/>
          </font>
        </dxf>
        <dxf>
          <font>
            <color rgb="FF623528"/>
            <name val="Aptos Display"/>
            <family val="2"/>
            <scheme val="none"/>
          </font>
          <fill>
            <patternFill patternType="solid">
              <bgColor rgb="FFC4A792"/>
            </patternFill>
          </fill>
        </dxf>
        <dxf>
          <font>
            <name val="Aptos Display"/>
            <family val="2"/>
            <scheme val="none"/>
          </font>
          <fill>
            <patternFill>
              <bgColor rgb="FFC4A792"/>
            </patternFill>
          </fill>
        </dxf>
        <dxf>
          <font>
            <color rgb="FFC4A792"/>
            <name val="Aptos Display"/>
            <family val="2"/>
            <scheme val="none"/>
          </font>
        </dxf>
        <dxf>
          <font>
            <color rgb="FFC4A792"/>
            <name val="Aptos Display"/>
            <family val="2"/>
            <scheme val="none"/>
          </font>
        </dxf>
        <dxf>
          <font>
            <color rgb="FF623528"/>
            <name val="Aptos Display"/>
            <family val="2"/>
            <scheme val="none"/>
          </font>
          <fill>
            <patternFill>
              <bgColor rgb="FFC4A792"/>
            </patternFill>
          </fill>
        </dxf>
        <dxf>
          <font>
            <color rgb="FF623528"/>
            <name val="Aptos Display"/>
            <family val="2"/>
            <scheme val="none"/>
          </font>
          <fill>
            <patternFill>
              <fgColor rgb="FFC4A792"/>
              <bgColor rgb="FFC4A792"/>
            </patternFill>
          </fill>
        </dxf>
      </x14:dxfs>
    </ext>
    <ext xmlns:x14="http://schemas.microsoft.com/office/spreadsheetml/2009/9/main" uri="{EB79DEF2-80B8-43e5-95BD-54CBDDF9020C}">
      <x14:slicerStyles defaultSlicerStyle="SlicerStyleLight1">
        <x14:slicerStyle name="coffee theme">
          <x14:slicerStyleElements>
            <x14:slicerStyleElement type="unselectedItemWithData" dxfId="13"/>
            <x14:slicerStyleElement type="unselectedItemWithNoData" dxfId="12"/>
            <x14:slicerStyleElement type="selectedItemWithData" dxfId="15"/>
            <x14:slicerStyleElement type="selectedItemWithNoData" dxfId="14"/>
            <x14:slicerStyleElement type="hoveredUnselectedItemWithData" dxfId="9"/>
            <x14:slicerStyleElement type="hoveredSelectedItemWithData" dxfId="11"/>
            <x14:slicerStyleElement type="hoveredUnselectedItemWithNoData" dxfId="8"/>
            <x14:slicerStyleElement type="hoveredSelectedItemWithNoData" dxfId="10"/>
          </x14:slicerStyleElements>
        </x14:slicerStyle>
        <x14:slicerStyle name="coffee theme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[coffeeOrdersData.xlsx]PivotTable!Yearly sales</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4A792"/>
          </a:solidFill>
          <a:ln>
            <a:noFill/>
          </a:ln>
          <a:effectLst/>
        </c:spPr>
        <c:marker>
          <c:symbol val="none"/>
        </c:marker>
        <c:dLbl>
          <c:idx val="0"/>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4A79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rgbClr val="62352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PivotTable!$G$3</c:f>
              <c:strCache>
                <c:ptCount val="1"/>
                <c:pt idx="0">
                  <c:v>Sum of Sales</c:v>
                </c:pt>
              </c:strCache>
            </c:strRef>
          </c:tx>
          <c:spPr>
            <a:solidFill>
              <a:srgbClr val="C4A792"/>
            </a:solidFill>
            <a:ln>
              <a:noFill/>
            </a:ln>
            <a:effectLst/>
          </c:spPr>
          <c:invertIfNegative val="0"/>
          <c:dLbls>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4A79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PivotTable!$F$4:$F$8</c:f>
              <c:strCache>
                <c:ptCount val="4"/>
                <c:pt idx="0">
                  <c:v>2019</c:v>
                </c:pt>
                <c:pt idx="1">
                  <c:v>2020</c:v>
                </c:pt>
                <c:pt idx="2">
                  <c:v>2021</c:v>
                </c:pt>
                <c:pt idx="3">
                  <c:v>2022</c:v>
                </c:pt>
              </c:strCache>
            </c:strRef>
          </c:cat>
          <c:val>
            <c:numRef>
              <c:f>PivotTable!$G$4:$G$8</c:f>
              <c:numCache>
                <c:formatCode>_("$"* #,##0_);_("$"* \(#,##0\);_("$"* "-"_);_(@_)</c:formatCode>
                <c:ptCount val="4"/>
                <c:pt idx="0">
                  <c:v>12187.165000000001</c:v>
                </c:pt>
                <c:pt idx="1">
                  <c:v>12117.545</c:v>
                </c:pt>
                <c:pt idx="2">
                  <c:v>13766.109999999999</c:v>
                </c:pt>
                <c:pt idx="3">
                  <c:v>7063.435000000004</c:v>
                </c:pt>
              </c:numCache>
            </c:numRef>
          </c:val>
          <c:extLst>
            <c:ext xmlns:c16="http://schemas.microsoft.com/office/drawing/2014/chart" uri="{C3380CC4-5D6E-409C-BE32-E72D297353CC}">
              <c16:uniqueId val="{00000000-5F1E-456B-ADB2-6C854EBAB379}"/>
            </c:ext>
          </c:extLst>
        </c:ser>
        <c:dLbls>
          <c:showLegendKey val="0"/>
          <c:showVal val="0"/>
          <c:showCatName val="0"/>
          <c:showSerName val="0"/>
          <c:showPercent val="0"/>
          <c:showBubbleSize val="0"/>
        </c:dLbls>
        <c:gapWidth val="75"/>
        <c:axId val="541011520"/>
        <c:axId val="541013680"/>
      </c:barChart>
      <c:lineChart>
        <c:grouping val="standard"/>
        <c:varyColors val="0"/>
        <c:ser>
          <c:idx val="1"/>
          <c:order val="1"/>
          <c:tx>
            <c:strRef>
              <c:f>PivotTable!$H$3</c:f>
              <c:strCache>
                <c:ptCount val="1"/>
                <c:pt idx="0">
                  <c:v>Sum of Profit</c:v>
                </c:pt>
              </c:strCache>
            </c:strRef>
          </c:tx>
          <c:spPr>
            <a:ln w="28575" cap="rnd">
              <a:solidFill>
                <a:srgbClr val="623528"/>
              </a:solidFill>
              <a:round/>
            </a:ln>
            <a:effectLst/>
          </c:spPr>
          <c:marker>
            <c:symbol val="none"/>
          </c:marker>
          <c:cat>
            <c:strRef>
              <c:f>PivotTable!$F$4:$F$8</c:f>
              <c:strCache>
                <c:ptCount val="4"/>
                <c:pt idx="0">
                  <c:v>2019</c:v>
                </c:pt>
                <c:pt idx="1">
                  <c:v>2020</c:v>
                </c:pt>
                <c:pt idx="2">
                  <c:v>2021</c:v>
                </c:pt>
                <c:pt idx="3">
                  <c:v>2022</c:v>
                </c:pt>
              </c:strCache>
            </c:strRef>
          </c:cat>
          <c:val>
            <c:numRef>
              <c:f>PivotTable!$H$4:$H$8</c:f>
              <c:numCache>
                <c:formatCode>_("$"* #,##0_);_("$"* \(#,##0\);_("$"* "-"??_);_(@_)</c:formatCode>
                <c:ptCount val="4"/>
                <c:pt idx="0">
                  <c:v>1229.5621500000002</c:v>
                </c:pt>
                <c:pt idx="1">
                  <c:v>1193.2274999999997</c:v>
                </c:pt>
                <c:pt idx="2">
                  <c:v>1389.38615</c:v>
                </c:pt>
                <c:pt idx="3">
                  <c:v>708.04160000000002</c:v>
                </c:pt>
              </c:numCache>
            </c:numRef>
          </c:val>
          <c:smooth val="0"/>
          <c:extLst>
            <c:ext xmlns:c16="http://schemas.microsoft.com/office/drawing/2014/chart" uri="{C3380CC4-5D6E-409C-BE32-E72D297353CC}">
              <c16:uniqueId val="{00000001-5F1E-456B-ADB2-6C854EBAB379}"/>
            </c:ext>
          </c:extLst>
        </c:ser>
        <c:dLbls>
          <c:showLegendKey val="0"/>
          <c:showVal val="0"/>
          <c:showCatName val="0"/>
          <c:showSerName val="0"/>
          <c:showPercent val="0"/>
          <c:showBubbleSize val="0"/>
        </c:dLbls>
        <c:marker val="1"/>
        <c:smooth val="0"/>
        <c:axId val="541011520"/>
        <c:axId val="541013680"/>
      </c:lineChart>
      <c:catAx>
        <c:axId val="5410115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E1BB9F"/>
                </a:solidFill>
                <a:latin typeface="+mn-lt"/>
                <a:ea typeface="+mn-ea"/>
                <a:cs typeface="+mn-cs"/>
              </a:defRPr>
            </a:pPr>
            <a:endParaRPr lang="en-US"/>
          </a:p>
        </c:txPr>
        <c:crossAx val="541013680"/>
        <c:crosses val="autoZero"/>
        <c:auto val="1"/>
        <c:lblAlgn val="ctr"/>
        <c:lblOffset val="100"/>
        <c:noMultiLvlLbl val="0"/>
      </c:catAx>
      <c:valAx>
        <c:axId val="541013680"/>
        <c:scaling>
          <c:orientation val="minMax"/>
          <c:max val="15000"/>
        </c:scaling>
        <c:delete val="1"/>
        <c:axPos val="l"/>
        <c:numFmt formatCode="_(&quot;$&quot;* #,##0_);_(&quot;$&quot;* \(#,##0\);_(&quot;$&quot;* &quot;-&quot;_);_(@_)" sourceLinked="1"/>
        <c:majorTickMark val="none"/>
        <c:minorTickMark val="none"/>
        <c:tickLblPos val="nextTo"/>
        <c:crossAx val="541011520"/>
        <c:crosses val="autoZero"/>
        <c:crossBetween val="between"/>
        <c:majorUnit val="3000"/>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[coffeeOrdersData.xlsx]PivotTable!Monthly Sales</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62352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95664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A9806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C4A79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PivotTable!$K$3:$K$4</c:f>
              <c:strCache>
                <c:ptCount val="1"/>
                <c:pt idx="0">
                  <c:v>Ara</c:v>
                </c:pt>
              </c:strCache>
            </c:strRef>
          </c:tx>
          <c:spPr>
            <a:solidFill>
              <a:srgbClr val="623528"/>
            </a:solidFill>
            <a:ln>
              <a:noFill/>
            </a:ln>
            <a:effectLst/>
          </c:spPr>
          <c:invertIfNegative val="0"/>
          <c:cat>
            <c:strRef>
              <c:f>PivotTable!$J$5:$J$17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PivotTable!$K$5:$K$17</c:f>
              <c:numCache>
                <c:formatCode>_("$"* #,##0_);_("$"* \(#,##0\);_("$"* "-"_);_(@_)</c:formatCode>
                <c:ptCount val="12"/>
                <c:pt idx="0">
                  <c:v>605.14499999999998</c:v>
                </c:pt>
                <c:pt idx="1">
                  <c:v>1454.4949999999994</c:v>
                </c:pt>
                <c:pt idx="2">
                  <c:v>1051.48</c:v>
                </c:pt>
                <c:pt idx="3">
                  <c:v>634.34499999999991</c:v>
                </c:pt>
                <c:pt idx="4">
                  <c:v>736.61500000000001</c:v>
                </c:pt>
                <c:pt idx="5">
                  <c:v>1357.9899999999996</c:v>
                </c:pt>
                <c:pt idx="6">
                  <c:v>1131.9349999999997</c:v>
                </c:pt>
                <c:pt idx="7">
                  <c:v>761.31000000000006</c:v>
                </c:pt>
                <c:pt idx="8">
                  <c:v>1145.79</c:v>
                </c:pt>
                <c:pt idx="9">
                  <c:v>977.08500000000004</c:v>
                </c:pt>
                <c:pt idx="10">
                  <c:v>1151.3399999999999</c:v>
                </c:pt>
                <c:pt idx="11">
                  <c:v>760.96499999999992</c:v>
                </c:pt>
              </c:numCache>
            </c:numRef>
          </c:val>
          <c:extLst>
            <c:ext xmlns:c16="http://schemas.microsoft.com/office/drawing/2014/chart" uri="{C3380CC4-5D6E-409C-BE32-E72D297353CC}">
              <c16:uniqueId val="{00000000-579E-4B7A-98CE-B039C75B469D}"/>
            </c:ext>
          </c:extLst>
        </c:ser>
        <c:ser>
          <c:idx val="1"/>
          <c:order val="1"/>
          <c:tx>
            <c:strRef>
              <c:f>PivotTable!$L$3:$L$4</c:f>
              <c:strCache>
                <c:ptCount val="1"/>
                <c:pt idx="0">
                  <c:v>Exc</c:v>
                </c:pt>
              </c:strCache>
            </c:strRef>
          </c:tx>
          <c:spPr>
            <a:solidFill>
              <a:srgbClr val="956643"/>
            </a:solidFill>
            <a:ln>
              <a:noFill/>
            </a:ln>
            <a:effectLst/>
          </c:spPr>
          <c:invertIfNegative val="0"/>
          <c:cat>
            <c:strRef>
              <c:f>PivotTable!$J$5:$J$17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PivotTable!$L$5:$L$17</c:f>
              <c:numCache>
                <c:formatCode>_("$"* #,##0_);_("$"* \(#,##0\);_("$"* "-"_);_(@_)</c:formatCode>
                <c:ptCount val="12"/>
                <c:pt idx="0">
                  <c:v>677.71999999999991</c:v>
                </c:pt>
                <c:pt idx="1">
                  <c:v>976.41</c:v>
                </c:pt>
                <c:pt idx="2">
                  <c:v>1264.1399999999999</c:v>
                </c:pt>
                <c:pt idx="3">
                  <c:v>1560.23</c:v>
                </c:pt>
                <c:pt idx="4">
                  <c:v>970.33000000000015</c:v>
                </c:pt>
                <c:pt idx="5">
                  <c:v>1598.1949999999995</c:v>
                </c:pt>
                <c:pt idx="6">
                  <c:v>1141.5549999999996</c:v>
                </c:pt>
                <c:pt idx="7">
                  <c:v>478.59</c:v>
                </c:pt>
                <c:pt idx="8">
                  <c:v>771.08499999999992</c:v>
                </c:pt>
                <c:pt idx="9">
                  <c:v>937.33</c:v>
                </c:pt>
                <c:pt idx="10">
                  <c:v>771.38</c:v>
                </c:pt>
                <c:pt idx="11">
                  <c:v>1159.4749999999999</c:v>
                </c:pt>
              </c:numCache>
            </c:numRef>
          </c:val>
          <c:extLst>
            <c:ext xmlns:c16="http://schemas.microsoft.com/office/drawing/2014/chart" uri="{C3380CC4-5D6E-409C-BE32-E72D297353CC}">
              <c16:uniqueId val="{0000000E-579E-4B7A-98CE-B039C75B469D}"/>
            </c:ext>
          </c:extLst>
        </c:ser>
        <c:ser>
          <c:idx val="2"/>
          <c:order val="2"/>
          <c:tx>
            <c:strRef>
              <c:f>PivotTable!$M$3:$M$4</c:f>
              <c:strCache>
                <c:ptCount val="1"/>
                <c:pt idx="0">
                  <c:v>Lib</c:v>
                </c:pt>
              </c:strCache>
            </c:strRef>
          </c:tx>
          <c:spPr>
            <a:solidFill>
              <a:srgbClr val="A98062"/>
            </a:solidFill>
            <a:ln>
              <a:noFill/>
            </a:ln>
            <a:effectLst/>
          </c:spPr>
          <c:invertIfNegative val="0"/>
          <c:cat>
            <c:strRef>
              <c:f>PivotTable!$J$5:$J$17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PivotTable!$M$5:$M$17</c:f>
              <c:numCache>
                <c:formatCode>_("$"* #,##0_);_("$"* \(#,##0\);_("$"* "-"_);_(@_)</c:formatCode>
                <c:ptCount val="12"/>
                <c:pt idx="0">
                  <c:v>1611.0699999999995</c:v>
                </c:pt>
                <c:pt idx="1">
                  <c:v>971.21999999999969</c:v>
                </c:pt>
                <c:pt idx="2">
                  <c:v>1469.8100000000002</c:v>
                </c:pt>
                <c:pt idx="3">
                  <c:v>1324.6350000000002</c:v>
                </c:pt>
                <c:pt idx="4">
                  <c:v>836.755</c:v>
                </c:pt>
                <c:pt idx="5">
                  <c:v>906.07499999999982</c:v>
                </c:pt>
                <c:pt idx="6">
                  <c:v>752.53500000000008</c:v>
                </c:pt>
                <c:pt idx="7">
                  <c:v>335.84999999999991</c:v>
                </c:pt>
                <c:pt idx="8">
                  <c:v>699.76999999999987</c:v>
                </c:pt>
                <c:pt idx="9">
                  <c:v>1241.1599999999996</c:v>
                </c:pt>
                <c:pt idx="10">
                  <c:v>1235.7449999999999</c:v>
                </c:pt>
                <c:pt idx="11">
                  <c:v>669.44999999999982</c:v>
                </c:pt>
              </c:numCache>
            </c:numRef>
          </c:val>
          <c:extLst>
            <c:ext xmlns:c16="http://schemas.microsoft.com/office/drawing/2014/chart" uri="{C3380CC4-5D6E-409C-BE32-E72D297353CC}">
              <c16:uniqueId val="{0000000F-579E-4B7A-98CE-B039C75B469D}"/>
            </c:ext>
          </c:extLst>
        </c:ser>
        <c:ser>
          <c:idx val="3"/>
          <c:order val="3"/>
          <c:tx>
            <c:strRef>
              <c:f>PivotTable!$N$3:$N$4</c:f>
              <c:strCache>
                <c:ptCount val="1"/>
                <c:pt idx="0">
                  <c:v>Rob</c:v>
                </c:pt>
              </c:strCache>
            </c:strRef>
          </c:tx>
          <c:spPr>
            <a:solidFill>
              <a:srgbClr val="C4A792"/>
            </a:solidFill>
            <a:ln>
              <a:noFill/>
            </a:ln>
            <a:effectLst/>
          </c:spPr>
          <c:invertIfNegative val="0"/>
          <c:cat>
            <c:strRef>
              <c:f>PivotTable!$J$5:$J$17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PivotTable!$N$5:$N$17</c:f>
              <c:numCache>
                <c:formatCode>_("$"* #,##0_);_("$"* \(#,##0\);_("$"* "-"_);_(@_)</c:formatCode>
                <c:ptCount val="12"/>
                <c:pt idx="0">
                  <c:v>609.09999999999991</c:v>
                </c:pt>
                <c:pt idx="1">
                  <c:v>736.07999999999981</c:v>
                </c:pt>
                <c:pt idx="2">
                  <c:v>1010.3450000000001</c:v>
                </c:pt>
                <c:pt idx="3">
                  <c:v>705.38499999999999</c:v>
                </c:pt>
                <c:pt idx="4">
                  <c:v>704.28000000000009</c:v>
                </c:pt>
                <c:pt idx="5">
                  <c:v>980.77999999999975</c:v>
                </c:pt>
                <c:pt idx="6">
                  <c:v>956.89</c:v>
                </c:pt>
                <c:pt idx="7">
                  <c:v>751.15</c:v>
                </c:pt>
                <c:pt idx="8">
                  <c:v>1016.9999999999999</c:v>
                </c:pt>
                <c:pt idx="9">
                  <c:v>644.49999999999989</c:v>
                </c:pt>
                <c:pt idx="10">
                  <c:v>389.96499999999997</c:v>
                </c:pt>
                <c:pt idx="11">
                  <c:v>499.77</c:v>
                </c:pt>
              </c:numCache>
            </c:numRef>
          </c:val>
          <c:extLst>
            <c:ext xmlns:c16="http://schemas.microsoft.com/office/drawing/2014/chart" uri="{C3380CC4-5D6E-409C-BE32-E72D297353CC}">
              <c16:uniqueId val="{00000010-579E-4B7A-98CE-B039C75B469D}"/>
            </c:ext>
          </c:extLst>
        </c:ser>
        <c:dLbls>
          <c:showLegendKey val="0"/>
          <c:showVal val="0"/>
          <c:showCatName val="0"/>
          <c:showSerName val="0"/>
          <c:showPercent val="0"/>
          <c:showBubbleSize val="0"/>
        </c:dLbls>
        <c:gapWidth val="100"/>
        <c:overlap val="100"/>
        <c:axId val="396904432"/>
        <c:axId val="396907312"/>
      </c:barChart>
      <c:catAx>
        <c:axId val="396904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E1BB9F"/>
                </a:solidFill>
                <a:latin typeface="+mn-lt"/>
                <a:ea typeface="+mn-ea"/>
                <a:cs typeface="+mn-cs"/>
              </a:defRPr>
            </a:pPr>
            <a:endParaRPr lang="en-US"/>
          </a:p>
        </c:txPr>
        <c:crossAx val="396907312"/>
        <c:crosses val="autoZero"/>
        <c:auto val="1"/>
        <c:lblAlgn val="ctr"/>
        <c:lblOffset val="100"/>
        <c:noMultiLvlLbl val="0"/>
      </c:catAx>
      <c:valAx>
        <c:axId val="396907312"/>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E1BB9F"/>
                </a:solidFill>
                <a:latin typeface="+mn-lt"/>
                <a:ea typeface="+mn-ea"/>
                <a:cs typeface="+mn-cs"/>
              </a:defRPr>
            </a:pPr>
            <a:endParaRPr lang="en-US"/>
          </a:p>
        </c:txPr>
        <c:crossAx val="396904432"/>
        <c:crosses val="autoZero"/>
        <c:crossBetween val="between"/>
        <c:majorUnit val="1500"/>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[coffeeOrdersData.xlsx]PivotTable!Product sales</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1BB9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56643"/>
          </a:solidFill>
          <a:ln>
            <a:noFill/>
          </a:ln>
          <a:effectLst/>
        </c:spPr>
      </c:pivotFmt>
      <c:pivotFmt>
        <c:idx val="4"/>
        <c:spPr>
          <a:solidFill>
            <a:srgbClr val="A98062"/>
          </a:solidFill>
          <a:ln>
            <a:noFill/>
          </a:ln>
          <a:effectLst/>
        </c:spPr>
      </c:pivotFmt>
      <c:pivotFmt>
        <c:idx val="5"/>
        <c:spPr>
          <a:solidFill>
            <a:srgbClr val="623528"/>
          </a:solidFill>
          <a:ln>
            <a:noFill/>
          </a:ln>
          <a:effectLst/>
        </c:spPr>
      </c:pivotFmt>
      <c:pivotFmt>
        <c:idx val="6"/>
        <c:spPr>
          <a:solidFill>
            <a:srgbClr val="C4A792"/>
          </a:solidFill>
          <a:ln>
            <a:noFill/>
          </a:ln>
          <a:effectLst/>
        </c:spPr>
      </c:pivotFmt>
    </c:pivotFmts>
    <c:plotArea>
      <c:layout/>
      <c:barChart>
        <c:barDir val="bar"/>
        <c:grouping val="clustered"/>
        <c:varyColors val="0"/>
        <c:ser>
          <c:idx val="0"/>
          <c:order val="0"/>
          <c:tx>
            <c:strRef>
              <c:f>PivotTable!$Q$3</c:f>
              <c:strCache>
                <c:ptCount val="1"/>
                <c:pt idx="0">
                  <c:v>Total</c:v>
                </c:pt>
              </c:strCache>
            </c:strRef>
          </c:tx>
          <c:spPr>
            <a:solidFill>
              <a:schemeClr val="accent1"/>
            </a:solidFill>
            <a:ln>
              <a:noFill/>
            </a:ln>
            <a:effectLst/>
          </c:spPr>
          <c:invertIfNegative val="0"/>
          <c:dPt>
            <c:idx val="0"/>
            <c:invertIfNegative val="0"/>
            <c:bubble3D val="0"/>
            <c:spPr>
              <a:solidFill>
                <a:srgbClr val="C4A792"/>
              </a:solidFill>
              <a:ln>
                <a:noFill/>
              </a:ln>
              <a:effectLst/>
            </c:spPr>
            <c:extLst>
              <c:ext xmlns:c16="http://schemas.microsoft.com/office/drawing/2014/chart" uri="{C3380CC4-5D6E-409C-BE32-E72D297353CC}">
                <c16:uniqueId val="{00000004-C4B3-4198-BE72-A74419C157FC}"/>
              </c:ext>
            </c:extLst>
          </c:dPt>
          <c:dPt>
            <c:idx val="1"/>
            <c:invertIfNegative val="0"/>
            <c:bubble3D val="0"/>
            <c:spPr>
              <a:solidFill>
                <a:srgbClr val="623528"/>
              </a:solidFill>
              <a:ln>
                <a:noFill/>
              </a:ln>
              <a:effectLst/>
            </c:spPr>
            <c:extLst>
              <c:ext xmlns:c16="http://schemas.microsoft.com/office/drawing/2014/chart" uri="{C3380CC4-5D6E-409C-BE32-E72D297353CC}">
                <c16:uniqueId val="{00000003-C4B3-4198-BE72-A74419C157FC}"/>
              </c:ext>
            </c:extLst>
          </c:dPt>
          <c:dPt>
            <c:idx val="2"/>
            <c:invertIfNegative val="0"/>
            <c:bubble3D val="0"/>
            <c:spPr>
              <a:solidFill>
                <a:srgbClr val="A98062"/>
              </a:solidFill>
              <a:ln>
                <a:noFill/>
              </a:ln>
              <a:effectLst/>
            </c:spPr>
            <c:extLst>
              <c:ext xmlns:c16="http://schemas.microsoft.com/office/drawing/2014/chart" uri="{C3380CC4-5D6E-409C-BE32-E72D297353CC}">
                <c16:uniqueId val="{00000002-C4B3-4198-BE72-A74419C157FC}"/>
              </c:ext>
            </c:extLst>
          </c:dPt>
          <c:dPt>
            <c:idx val="3"/>
            <c:invertIfNegative val="0"/>
            <c:bubble3D val="0"/>
            <c:spPr>
              <a:solidFill>
                <a:srgbClr val="956643"/>
              </a:solidFill>
              <a:ln>
                <a:noFill/>
              </a:ln>
              <a:effectLst/>
            </c:spPr>
            <c:extLst>
              <c:ext xmlns:c16="http://schemas.microsoft.com/office/drawing/2014/chart" uri="{C3380CC4-5D6E-409C-BE32-E72D297353CC}">
                <c16:uniqueId val="{00000001-C4B3-4198-BE72-A74419C157F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1BB9F"/>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PivotTable!$P$4:$P$8</c:f>
              <c:strCache>
                <c:ptCount val="4"/>
                <c:pt idx="0">
                  <c:v>Robusta</c:v>
                </c:pt>
                <c:pt idx="1">
                  <c:v>Arabica</c:v>
                </c:pt>
                <c:pt idx="2">
                  <c:v>Liberica</c:v>
                </c:pt>
                <c:pt idx="3">
                  <c:v>Excelsa</c:v>
                </c:pt>
              </c:strCache>
            </c:strRef>
          </c:cat>
          <c:val>
            <c:numRef>
              <c:f>PivotTable!$Q$4:$Q$8</c:f>
              <c:numCache>
                <c:formatCode>_("$"* #,##0_);_("$"* \(#,##0\);_("$"* "-"_);_(@_)</c:formatCode>
                <c:ptCount val="4"/>
                <c:pt idx="0">
                  <c:v>9005.2450000000099</c:v>
                </c:pt>
                <c:pt idx="1">
                  <c:v>11768.494999999997</c:v>
                </c:pt>
                <c:pt idx="2">
                  <c:v>12054.074999999995</c:v>
                </c:pt>
                <c:pt idx="3">
                  <c:v>12306.439999999995</c:v>
                </c:pt>
              </c:numCache>
            </c:numRef>
          </c:val>
          <c:extLst>
            <c:ext xmlns:c16="http://schemas.microsoft.com/office/drawing/2014/chart" uri="{C3380CC4-5D6E-409C-BE32-E72D297353CC}">
              <c16:uniqueId val="{00000000-C4B3-4198-BE72-A74419C157FC}"/>
            </c:ext>
          </c:extLst>
        </c:ser>
        <c:dLbls>
          <c:dLblPos val="outEnd"/>
          <c:showLegendKey val="0"/>
          <c:showVal val="1"/>
          <c:showCatName val="0"/>
          <c:showSerName val="0"/>
          <c:showPercent val="0"/>
          <c:showBubbleSize val="0"/>
        </c:dLbls>
        <c:gapWidth val="50"/>
        <c:axId val="393783840"/>
        <c:axId val="393781680"/>
      </c:barChart>
      <c:catAx>
        <c:axId val="39378384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E1BB9F"/>
                </a:solidFill>
                <a:latin typeface="+mn-lt"/>
                <a:ea typeface="+mn-ea"/>
                <a:cs typeface="+mn-cs"/>
              </a:defRPr>
            </a:pPr>
            <a:endParaRPr lang="en-US"/>
          </a:p>
        </c:txPr>
        <c:crossAx val="393781680"/>
        <c:crosses val="autoZero"/>
        <c:auto val="1"/>
        <c:lblAlgn val="ctr"/>
        <c:lblOffset val="100"/>
        <c:noMultiLvlLbl val="0"/>
      </c:catAx>
      <c:valAx>
        <c:axId val="393781680"/>
        <c:scaling>
          <c:orientation val="minMax"/>
        </c:scaling>
        <c:delete val="1"/>
        <c:axPos val="b"/>
        <c:majorGridlines>
          <c:spPr>
            <a:ln w="9525" cap="flat" cmpd="sng" algn="ctr">
              <a:noFill/>
              <a:round/>
            </a:ln>
            <a:effectLst/>
          </c:spPr>
        </c:majorGridlines>
        <c:numFmt formatCode="_(&quot;$&quot;* #,##0_);_(&quot;$&quot;* \(#,##0\);_(&quot;$&quot;* &quot;-&quot;_);_(@_)" sourceLinked="1"/>
        <c:majorTickMark val="out"/>
        <c:minorTickMark val="none"/>
        <c:tickLblPos val="nextTo"/>
        <c:crossAx val="3937838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[coffeeOrdersData.xlsx]PivotTable!City</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A9806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1BB9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PivotTable!$AD$3</c:f>
              <c:strCache>
                <c:ptCount val="1"/>
                <c:pt idx="0">
                  <c:v>Total</c:v>
                </c:pt>
              </c:strCache>
            </c:strRef>
          </c:tx>
          <c:spPr>
            <a:solidFill>
              <a:srgbClr val="A9806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1BB9F"/>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PivotTable!$AC$4:$AC$14</c:f>
              <c:strCache>
                <c:ptCount val="10"/>
                <c:pt idx="0">
                  <c:v>Oklahoma City</c:v>
                </c:pt>
                <c:pt idx="1">
                  <c:v>Dallas</c:v>
                </c:pt>
                <c:pt idx="2">
                  <c:v>Birmingham</c:v>
                </c:pt>
                <c:pt idx="3">
                  <c:v>Philadelphia</c:v>
                </c:pt>
                <c:pt idx="4">
                  <c:v>Portland</c:v>
                </c:pt>
                <c:pt idx="5">
                  <c:v>Sacramento</c:v>
                </c:pt>
                <c:pt idx="6">
                  <c:v>New York City</c:v>
                </c:pt>
                <c:pt idx="7">
                  <c:v>Toledo</c:v>
                </c:pt>
                <c:pt idx="8">
                  <c:v>Houston</c:v>
                </c:pt>
                <c:pt idx="9">
                  <c:v>Washington</c:v>
                </c:pt>
              </c:strCache>
            </c:strRef>
          </c:cat>
          <c:val>
            <c:numRef>
              <c:f>PivotTable!$AD$4:$AD$14</c:f>
              <c:numCache>
                <c:formatCode>_("$"* #,##0_);_("$"* \(#,##0\);_("$"* "-"_);_(@_)</c:formatCode>
                <c:ptCount val="10"/>
                <c:pt idx="0">
                  <c:v>475.1699999999999</c:v>
                </c:pt>
                <c:pt idx="1">
                  <c:v>505.92499999999995</c:v>
                </c:pt>
                <c:pt idx="2">
                  <c:v>509.11</c:v>
                </c:pt>
                <c:pt idx="3">
                  <c:v>511.23499999999996</c:v>
                </c:pt>
                <c:pt idx="4">
                  <c:v>580.26</c:v>
                </c:pt>
                <c:pt idx="5">
                  <c:v>627.74999999999989</c:v>
                </c:pt>
                <c:pt idx="6">
                  <c:v>772.7349999999999</c:v>
                </c:pt>
                <c:pt idx="7">
                  <c:v>774.18499999999995</c:v>
                </c:pt>
                <c:pt idx="8">
                  <c:v>819.77</c:v>
                </c:pt>
                <c:pt idx="9">
                  <c:v>1066.92</c:v>
                </c:pt>
              </c:numCache>
            </c:numRef>
          </c:val>
          <c:extLst>
            <c:ext xmlns:c16="http://schemas.microsoft.com/office/drawing/2014/chart" uri="{C3380CC4-5D6E-409C-BE32-E72D297353CC}">
              <c16:uniqueId val="{00000000-C43A-4104-8EC4-1FE06C28C2D7}"/>
            </c:ext>
          </c:extLst>
        </c:ser>
        <c:dLbls>
          <c:dLblPos val="outEnd"/>
          <c:showLegendKey val="0"/>
          <c:showVal val="1"/>
          <c:showCatName val="0"/>
          <c:showSerName val="0"/>
          <c:showPercent val="0"/>
          <c:showBubbleSize val="0"/>
        </c:dLbls>
        <c:gapWidth val="100"/>
        <c:axId val="812354312"/>
        <c:axId val="812351072"/>
      </c:barChart>
      <c:catAx>
        <c:axId val="812354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E1BB9F"/>
                </a:solidFill>
                <a:latin typeface="+mn-lt"/>
                <a:ea typeface="+mn-ea"/>
                <a:cs typeface="+mn-cs"/>
              </a:defRPr>
            </a:pPr>
            <a:endParaRPr lang="en-US"/>
          </a:p>
        </c:txPr>
        <c:crossAx val="812351072"/>
        <c:crosses val="autoZero"/>
        <c:auto val="1"/>
        <c:lblAlgn val="ctr"/>
        <c:lblOffset val="100"/>
        <c:noMultiLvlLbl val="0"/>
      </c:catAx>
      <c:valAx>
        <c:axId val="812351072"/>
        <c:scaling>
          <c:orientation val="minMax"/>
        </c:scaling>
        <c:delete val="1"/>
        <c:axPos val="b"/>
        <c:numFmt formatCode="_(&quot;$&quot;* #,##0_);_(&quot;$&quot;* \(#,##0\);_(&quot;$&quot;* &quot;-&quot;_);_(@_)" sourceLinked="1"/>
        <c:majorTickMark val="none"/>
        <c:minorTickMark val="none"/>
        <c:tickLblPos val="nextTo"/>
        <c:crossAx val="8123543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[coffeeOrdersData.xlsx]PivotTable!Rost Type Sales</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E1BB9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623528"/>
          </a:solidFill>
          <a:ln w="19050">
            <a:noFill/>
          </a:ln>
          <a:effectLst/>
        </c:spPr>
        <c:dLbl>
          <c:idx val="0"/>
          <c:layout>
            <c:manualLayout>
              <c:x val="-1.3676561174073551E-2"/>
              <c:y val="-5.550189886417767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E1BB9F"/>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C4A792"/>
          </a:solidFill>
          <a:ln w="88900">
            <a:solidFill>
              <a:srgbClr val="C4A792"/>
            </a:solidFill>
          </a:ln>
          <a:effectLst/>
        </c:spPr>
        <c:dLbl>
          <c:idx val="0"/>
          <c:layout>
            <c:manualLayout>
              <c:x val="0.1162507699796250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E1BB9F"/>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956643"/>
          </a:solidFill>
          <a:ln w="19050">
            <a:noFill/>
          </a:ln>
          <a:effectLst/>
        </c:spPr>
        <c:dLbl>
          <c:idx val="0"/>
          <c:layout>
            <c:manualLayout>
              <c:x val="0.1572804535018458"/>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E1BB9F"/>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PivotTable!$T$3</c:f>
              <c:strCache>
                <c:ptCount val="1"/>
                <c:pt idx="0">
                  <c:v>Total</c:v>
                </c:pt>
              </c:strCache>
            </c:strRef>
          </c:tx>
          <c:spPr>
            <a:ln>
              <a:noFill/>
            </a:ln>
          </c:spPr>
          <c:dPt>
            <c:idx val="0"/>
            <c:bubble3D val="0"/>
            <c:spPr>
              <a:solidFill>
                <a:srgbClr val="623528"/>
              </a:solidFill>
              <a:ln w="19050">
                <a:noFill/>
              </a:ln>
              <a:effectLst/>
            </c:spPr>
            <c:extLst>
              <c:ext xmlns:c16="http://schemas.microsoft.com/office/drawing/2014/chart" uri="{C3380CC4-5D6E-409C-BE32-E72D297353CC}">
                <c16:uniqueId val="{00000001-FC28-4BF1-9BE2-AD51E9A8D5EC}"/>
              </c:ext>
            </c:extLst>
          </c:dPt>
          <c:dPt>
            <c:idx val="1"/>
            <c:bubble3D val="0"/>
            <c:explosion val="15"/>
            <c:spPr>
              <a:solidFill>
                <a:srgbClr val="C4A792"/>
              </a:solidFill>
              <a:ln w="88900">
                <a:solidFill>
                  <a:srgbClr val="C4A792"/>
                </a:solidFill>
              </a:ln>
              <a:effectLst/>
            </c:spPr>
            <c:extLst>
              <c:ext xmlns:c16="http://schemas.microsoft.com/office/drawing/2014/chart" uri="{C3380CC4-5D6E-409C-BE32-E72D297353CC}">
                <c16:uniqueId val="{00000003-FC28-4BF1-9BE2-AD51E9A8D5EC}"/>
              </c:ext>
            </c:extLst>
          </c:dPt>
          <c:dPt>
            <c:idx val="2"/>
            <c:bubble3D val="0"/>
            <c:spPr>
              <a:solidFill>
                <a:srgbClr val="956643"/>
              </a:solidFill>
              <a:ln w="19050">
                <a:noFill/>
              </a:ln>
              <a:effectLst/>
            </c:spPr>
            <c:extLst>
              <c:ext xmlns:c16="http://schemas.microsoft.com/office/drawing/2014/chart" uri="{C3380CC4-5D6E-409C-BE32-E72D297353CC}">
                <c16:uniqueId val="{00000005-FC28-4BF1-9BE2-AD51E9A8D5EC}"/>
              </c:ext>
            </c:extLst>
          </c:dPt>
          <c:dLbls>
            <c:dLbl>
              <c:idx val="0"/>
              <c:layout>
                <c:manualLayout>
                  <c:x val="-1.3676561174073551E-2"/>
                  <c:y val="-5.550189886417767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C28-4BF1-9BE2-AD51E9A8D5EC}"/>
                </c:ext>
              </c:extLst>
            </c:dLbl>
            <c:dLbl>
              <c:idx val="1"/>
              <c:layout>
                <c:manualLayout>
                  <c:x val="0.11625076997962502"/>
                  <c:y val="0"/>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C28-4BF1-9BE2-AD51E9A8D5EC}"/>
                </c:ext>
              </c:extLst>
            </c:dLbl>
            <c:dLbl>
              <c:idx val="2"/>
              <c:layout>
                <c:manualLayout>
                  <c:x val="0.1572804535018458"/>
                  <c:y val="0"/>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C28-4BF1-9BE2-AD51E9A8D5E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E1BB9F"/>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PivotTable!$S$4:$S$7</c:f>
              <c:strCache>
                <c:ptCount val="3"/>
                <c:pt idx="0">
                  <c:v>Dark</c:v>
                </c:pt>
                <c:pt idx="1">
                  <c:v>Light</c:v>
                </c:pt>
                <c:pt idx="2">
                  <c:v>Medium</c:v>
                </c:pt>
              </c:strCache>
            </c:strRef>
          </c:cat>
          <c:val>
            <c:numRef>
              <c:f>PivotTable!$T$4:$T$7</c:f>
              <c:numCache>
                <c:formatCode>0%</c:formatCode>
                <c:ptCount val="3"/>
                <c:pt idx="0">
                  <c:v>0.29200249344982016</c:v>
                </c:pt>
                <c:pt idx="1">
                  <c:v>0.38450762065309357</c:v>
                </c:pt>
                <c:pt idx="2">
                  <c:v>0.32348988589708622</c:v>
                </c:pt>
              </c:numCache>
            </c:numRef>
          </c:val>
          <c:extLst>
            <c:ext xmlns:c16="http://schemas.microsoft.com/office/drawing/2014/chart" uri="{C3380CC4-5D6E-409C-BE32-E72D297353CC}">
              <c16:uniqueId val="{00000006-FC28-4BF1-9BE2-AD51E9A8D5EC}"/>
            </c:ext>
          </c:extLst>
        </c:ser>
        <c:dLbls>
          <c:dLblPos val="outEnd"/>
          <c:showLegendKey val="0"/>
          <c:showVal val="1"/>
          <c:showCatName val="0"/>
          <c:showSerName val="0"/>
          <c:showPercent val="0"/>
          <c:showBubbleSize val="0"/>
          <c:showLeaderLines val="1"/>
        </c:dLbls>
        <c:firstSliceAng val="224"/>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5.4258694760860642E-2"/>
          <c:w val="0.92503197004212256"/>
          <c:h val="0.89941084193450627"/>
        </c:manualLayout>
      </c:layout>
      <c:doughnutChart>
        <c:varyColors val="1"/>
        <c:ser>
          <c:idx val="0"/>
          <c:order val="0"/>
          <c:tx>
            <c:strRef>
              <c:f>PivotTable!$AF$8</c:f>
              <c:strCache>
                <c:ptCount val="1"/>
                <c:pt idx="0">
                  <c:v>No</c:v>
                </c:pt>
              </c:strCache>
            </c:strRef>
          </c:tx>
          <c:spPr>
            <a:ln>
              <a:noFill/>
            </a:ln>
          </c:spPr>
          <c:explosion val="3"/>
          <c:dPt>
            <c:idx val="0"/>
            <c:bubble3D val="0"/>
            <c:spPr>
              <a:solidFill>
                <a:srgbClr val="956643"/>
              </a:solidFill>
              <a:ln w="63500">
                <a:solidFill>
                  <a:srgbClr val="956643"/>
                </a:solidFill>
              </a:ln>
              <a:effectLst/>
            </c:spPr>
            <c:extLst>
              <c:ext xmlns:c16="http://schemas.microsoft.com/office/drawing/2014/chart" uri="{C3380CC4-5D6E-409C-BE32-E72D297353CC}">
                <c16:uniqueId val="{00000001-2C1D-47D7-803A-4D34D073862D}"/>
              </c:ext>
            </c:extLst>
          </c:dPt>
          <c:dPt>
            <c:idx val="1"/>
            <c:bubble3D val="0"/>
            <c:spPr>
              <a:solidFill>
                <a:srgbClr val="E1BB9F"/>
              </a:solidFill>
              <a:ln w="19050">
                <a:noFill/>
              </a:ln>
              <a:effectLst/>
            </c:spPr>
            <c:extLst>
              <c:ext xmlns:c16="http://schemas.microsoft.com/office/drawing/2014/chart" uri="{C3380CC4-5D6E-409C-BE32-E72D297353CC}">
                <c16:uniqueId val="{00000003-2C1D-47D7-803A-4D34D073862D}"/>
              </c:ext>
            </c:extLst>
          </c:dPt>
          <c:val>
            <c:numRef>
              <c:f>PivotTable!$AG$8:$AH$8</c:f>
              <c:numCache>
                <c:formatCode>0%</c:formatCode>
                <c:ptCount val="2"/>
                <c:pt idx="0">
                  <c:v>0.5365415913035454</c:v>
                </c:pt>
                <c:pt idx="1">
                  <c:v>0.4634584086964546</c:v>
                </c:pt>
              </c:numCache>
            </c:numRef>
          </c:val>
          <c:extLst>
            <c:ext xmlns:c16="http://schemas.microsoft.com/office/drawing/2014/chart" uri="{C3380CC4-5D6E-409C-BE32-E72D297353CC}">
              <c16:uniqueId val="{00000004-2C1D-47D7-803A-4D34D073862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660560918256528E-2"/>
          <c:y val="5.6922871866493009E-2"/>
          <c:w val="0.93035189722212064"/>
          <c:h val="0.86645365526208051"/>
        </c:manualLayout>
      </c:layout>
      <c:doughnutChart>
        <c:varyColors val="1"/>
        <c:ser>
          <c:idx val="0"/>
          <c:order val="0"/>
          <c:tx>
            <c:strRef>
              <c:f>PivotTable!$AF$9</c:f>
              <c:strCache>
                <c:ptCount val="1"/>
                <c:pt idx="0">
                  <c:v>Yes</c:v>
                </c:pt>
              </c:strCache>
            </c:strRef>
          </c:tx>
          <c:spPr>
            <a:solidFill>
              <a:srgbClr val="E1BB9F"/>
            </a:solidFill>
          </c:spPr>
          <c:explosion val="3"/>
          <c:dPt>
            <c:idx val="0"/>
            <c:bubble3D val="0"/>
            <c:spPr>
              <a:solidFill>
                <a:srgbClr val="623528"/>
              </a:solidFill>
              <a:ln w="63500">
                <a:solidFill>
                  <a:srgbClr val="623528"/>
                </a:solidFill>
              </a:ln>
              <a:effectLst/>
            </c:spPr>
            <c:extLst>
              <c:ext xmlns:c16="http://schemas.microsoft.com/office/drawing/2014/chart" uri="{C3380CC4-5D6E-409C-BE32-E72D297353CC}">
                <c16:uniqueId val="{00000001-8C8E-4F29-9401-BF567864528E}"/>
              </c:ext>
            </c:extLst>
          </c:dPt>
          <c:dPt>
            <c:idx val="1"/>
            <c:bubble3D val="0"/>
            <c:spPr>
              <a:solidFill>
                <a:srgbClr val="E1BB9F"/>
              </a:solidFill>
              <a:ln w="19050">
                <a:noFill/>
              </a:ln>
              <a:effectLst/>
            </c:spPr>
            <c:extLst>
              <c:ext xmlns:c16="http://schemas.microsoft.com/office/drawing/2014/chart" uri="{C3380CC4-5D6E-409C-BE32-E72D297353CC}">
                <c16:uniqueId val="{00000003-8C8E-4F29-9401-BF567864528E}"/>
              </c:ext>
            </c:extLst>
          </c:dPt>
          <c:val>
            <c:numRef>
              <c:f>PivotTable!$AG$9:$AH$9</c:f>
              <c:numCache>
                <c:formatCode>0%</c:formatCode>
                <c:ptCount val="2"/>
                <c:pt idx="0">
                  <c:v>0.4634584086964546</c:v>
                </c:pt>
                <c:pt idx="1">
                  <c:v>0.5365415913035454</c:v>
                </c:pt>
              </c:numCache>
            </c:numRef>
          </c:val>
          <c:extLst>
            <c:ext xmlns:c16="http://schemas.microsoft.com/office/drawing/2014/chart" uri="{C3380CC4-5D6E-409C-BE32-E72D297353CC}">
              <c16:uniqueId val="{00000004-8C8E-4F29-9401-BF567864528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13" Type="http://schemas.openxmlformats.org/officeDocument/2006/relationships/image" Target="../media/image8.svg"/><Relationship Id="rId18" Type="http://schemas.openxmlformats.org/officeDocument/2006/relationships/image" Target="../media/image13.png"/><Relationship Id="rId3" Type="http://schemas.openxmlformats.org/officeDocument/2006/relationships/image" Target="../media/image3.png"/><Relationship Id="rId21" Type="http://schemas.openxmlformats.org/officeDocument/2006/relationships/chart" Target="../charts/chart7.xml"/><Relationship Id="rId7" Type="http://schemas.openxmlformats.org/officeDocument/2006/relationships/chart" Target="../charts/chart3.xml"/><Relationship Id="rId12" Type="http://schemas.openxmlformats.org/officeDocument/2006/relationships/image" Target="../media/image7.png"/><Relationship Id="rId17" Type="http://schemas.openxmlformats.org/officeDocument/2006/relationships/image" Target="../media/image12.svg"/><Relationship Id="rId2" Type="http://schemas.openxmlformats.org/officeDocument/2006/relationships/image" Target="../media/image2.svg"/><Relationship Id="rId16" Type="http://schemas.openxmlformats.org/officeDocument/2006/relationships/image" Target="../media/image11.png"/><Relationship Id="rId20"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chart" Target="../charts/chart2.xml"/><Relationship Id="rId11" Type="http://schemas.openxmlformats.org/officeDocument/2006/relationships/image" Target="../media/image6.svg"/><Relationship Id="rId5" Type="http://schemas.openxmlformats.org/officeDocument/2006/relationships/chart" Target="../charts/chart1.xml"/><Relationship Id="rId15" Type="http://schemas.openxmlformats.org/officeDocument/2006/relationships/image" Target="../media/image10.svg"/><Relationship Id="rId10" Type="http://schemas.openxmlformats.org/officeDocument/2006/relationships/image" Target="../media/image5.png"/><Relationship Id="rId19" Type="http://schemas.openxmlformats.org/officeDocument/2006/relationships/image" Target="../media/image14.svg"/><Relationship Id="rId4" Type="http://schemas.openxmlformats.org/officeDocument/2006/relationships/image" Target="../media/image4.svg"/><Relationship Id="rId9" Type="http://schemas.openxmlformats.org/officeDocument/2006/relationships/chart" Target="../charts/chart5.xml"/><Relationship Id="rId1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0</xdr:col>
      <xdr:colOff>57150</xdr:colOff>
      <xdr:row>0</xdr:row>
      <xdr:rowOff>7055</xdr:rowOff>
    </xdr:from>
    <xdr:to>
      <xdr:col>21</xdr:col>
      <xdr:colOff>275167</xdr:colOff>
      <xdr:row>39</xdr:row>
      <xdr:rowOff>174451</xdr:rowOff>
    </xdr:to>
    <xdr:sp macro="" textlink="">
      <xdr:nvSpPr>
        <xdr:cNvPr id="2" name="Rectangle: Rounded Corners 1">
          <a:extLst>
            <a:ext uri="{FF2B5EF4-FFF2-40B4-BE49-F238E27FC236}">
              <a16:creationId xmlns:a16="http://schemas.microsoft.com/office/drawing/2014/main" id="{300F1737-2E5A-16B4-79AF-3AE019159870}"/>
            </a:ext>
          </a:extLst>
        </xdr:cNvPr>
        <xdr:cNvSpPr/>
      </xdr:nvSpPr>
      <xdr:spPr>
        <a:xfrm>
          <a:off x="57150" y="7055"/>
          <a:ext cx="12966863" cy="7243110"/>
        </a:xfrm>
        <a:prstGeom prst="roundRect">
          <a:avLst>
            <a:gd name="adj" fmla="val 625"/>
          </a:avLst>
        </a:prstGeom>
        <a:solidFill>
          <a:srgbClr val="1F1F1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0</xdr:col>
      <xdr:colOff>115750</xdr:colOff>
      <xdr:row>0</xdr:row>
      <xdr:rowOff>1</xdr:rowOff>
    </xdr:from>
    <xdr:to>
      <xdr:col>2</xdr:col>
      <xdr:colOff>402830</xdr:colOff>
      <xdr:row>8</xdr:row>
      <xdr:rowOff>84667</xdr:rowOff>
    </xdr:to>
    <xdr:pic>
      <xdr:nvPicPr>
        <xdr:cNvPr id="189" name="Graphic 188" descr="Coffee Beans with solid fill">
          <a:extLst>
            <a:ext uri="{FF2B5EF4-FFF2-40B4-BE49-F238E27FC236}">
              <a16:creationId xmlns:a16="http://schemas.microsoft.com/office/drawing/2014/main" id="{64984207-595C-E1CA-5BDB-4E522879BBD1}"/>
            </a:ext>
          </a:extLst>
        </xdr:cNvPr>
        <xdr:cNvPicPr>
          <a:picLocks noChangeAspect="1"/>
        </xdr:cNvPicPr>
      </xdr:nvPicPr>
      <xdr:blipFill rotWithShape="1">
        <a:blip xmlns:r="http://schemas.openxmlformats.org/officeDocument/2006/relationships" r:embed="rId1">
          <a:extLst>
            <a:ext uri="{96DAC541-7B7A-43D3-8B79-37D633B846F1}">
              <asvg:svgBlip xmlns:asvg="http://schemas.microsoft.com/office/drawing/2016/SVG/main" r:embed="rId2"/>
            </a:ext>
          </a:extLst>
        </a:blip>
        <a:srcRect l="7425" t="5993" r="957" b="3622"/>
        <a:stretch>
          <a:fillRect/>
        </a:stretch>
      </xdr:blipFill>
      <xdr:spPr>
        <a:xfrm rot="5400000" flipH="1" flipV="1">
          <a:off x="111124" y="4627"/>
          <a:ext cx="1523999" cy="1514747"/>
        </a:xfrm>
        <a:prstGeom prst="rect">
          <a:avLst/>
        </a:prstGeom>
      </xdr:spPr>
    </xdr:pic>
    <xdr:clientData/>
  </xdr:twoCellAnchor>
  <xdr:twoCellAnchor>
    <xdr:from>
      <xdr:col>0</xdr:col>
      <xdr:colOff>144183</xdr:colOff>
      <xdr:row>0</xdr:row>
      <xdr:rowOff>0</xdr:rowOff>
    </xdr:from>
    <xdr:to>
      <xdr:col>2</xdr:col>
      <xdr:colOff>444504</xdr:colOff>
      <xdr:row>8</xdr:row>
      <xdr:rowOff>107320</xdr:rowOff>
    </xdr:to>
    <xdr:pic>
      <xdr:nvPicPr>
        <xdr:cNvPr id="187" name="Graphic 186" descr="Coffee Beans with solid fill">
          <a:extLst>
            <a:ext uri="{FF2B5EF4-FFF2-40B4-BE49-F238E27FC236}">
              <a16:creationId xmlns:a16="http://schemas.microsoft.com/office/drawing/2014/main" id="{4002A31D-D11D-F280-691E-E7ADC72F3FB4}"/>
            </a:ext>
          </a:extLst>
        </xdr:cNvPr>
        <xdr:cNvPicPr>
          <a:picLocks noChangeAspect="1"/>
        </xdr:cNvPicPr>
      </xdr:nvPicPr>
      <xdr:blipFill rotWithShape="1">
        <a:blip xmlns:r="http://schemas.openxmlformats.org/officeDocument/2006/relationships" r:embed="rId3">
          <a:extLst>
            <a:ext uri="{96DAC541-7B7A-43D3-8B79-37D633B846F1}">
              <asvg:svgBlip xmlns:asvg="http://schemas.microsoft.com/office/drawing/2016/SVG/main" r:embed="rId4"/>
            </a:ext>
          </a:extLst>
        </a:blip>
        <a:srcRect l="7425" t="5993" r="957" b="3622"/>
        <a:stretch>
          <a:fillRect/>
        </a:stretch>
      </xdr:blipFill>
      <xdr:spPr>
        <a:xfrm rot="16200000">
          <a:off x="134850" y="9333"/>
          <a:ext cx="1546653" cy="1527988"/>
        </a:xfrm>
        <a:prstGeom prst="rect">
          <a:avLst/>
        </a:prstGeom>
      </xdr:spPr>
    </xdr:pic>
    <xdr:clientData/>
  </xdr:twoCellAnchor>
  <xdr:twoCellAnchor>
    <xdr:from>
      <xdr:col>0</xdr:col>
      <xdr:colOff>164283</xdr:colOff>
      <xdr:row>7</xdr:row>
      <xdr:rowOff>20885</xdr:rowOff>
    </xdr:from>
    <xdr:to>
      <xdr:col>4</xdr:col>
      <xdr:colOff>189619</xdr:colOff>
      <xdr:row>19</xdr:row>
      <xdr:rowOff>165805</xdr:rowOff>
    </xdr:to>
    <xdr:sp macro="" textlink="">
      <xdr:nvSpPr>
        <xdr:cNvPr id="8" name="Rectangle: Rounded Corners 7">
          <a:extLst>
            <a:ext uri="{FF2B5EF4-FFF2-40B4-BE49-F238E27FC236}">
              <a16:creationId xmlns:a16="http://schemas.microsoft.com/office/drawing/2014/main" id="{E6B20D51-B6C5-7A91-4383-9E65D31F20A5}"/>
            </a:ext>
          </a:extLst>
        </xdr:cNvPr>
        <xdr:cNvSpPr/>
      </xdr:nvSpPr>
      <xdr:spPr>
        <a:xfrm>
          <a:off x="164283" y="1304996"/>
          <a:ext cx="2452447" cy="2346253"/>
        </a:xfrm>
        <a:prstGeom prst="roundRect">
          <a:avLst>
            <a:gd name="adj" fmla="val 2137"/>
          </a:avLst>
        </a:prstGeom>
        <a:solidFill>
          <a:srgbClr val="34343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4</xdr:col>
      <xdr:colOff>297195</xdr:colOff>
      <xdr:row>7</xdr:row>
      <xdr:rowOff>18575</xdr:rowOff>
    </xdr:from>
    <xdr:to>
      <xdr:col>8</xdr:col>
      <xdr:colOff>329749</xdr:colOff>
      <xdr:row>12</xdr:row>
      <xdr:rowOff>25833</xdr:rowOff>
    </xdr:to>
    <xdr:sp macro="" textlink="">
      <xdr:nvSpPr>
        <xdr:cNvPr id="3" name="Rectangle: Rounded Corners 2">
          <a:extLst>
            <a:ext uri="{FF2B5EF4-FFF2-40B4-BE49-F238E27FC236}">
              <a16:creationId xmlns:a16="http://schemas.microsoft.com/office/drawing/2014/main" id="{A1587C15-35AC-0826-A822-D998EDCC11C3}"/>
            </a:ext>
          </a:extLst>
        </xdr:cNvPr>
        <xdr:cNvSpPr/>
      </xdr:nvSpPr>
      <xdr:spPr>
        <a:xfrm>
          <a:off x="2724306" y="1302686"/>
          <a:ext cx="2459665" cy="924480"/>
        </a:xfrm>
        <a:prstGeom prst="roundRect">
          <a:avLst>
            <a:gd name="adj" fmla="val 2137"/>
          </a:avLst>
        </a:prstGeom>
        <a:solidFill>
          <a:srgbClr val="34343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0</xdr:col>
      <xdr:colOff>164283</xdr:colOff>
      <xdr:row>20</xdr:row>
      <xdr:rowOff>71359</xdr:rowOff>
    </xdr:from>
    <xdr:to>
      <xdr:col>4</xdr:col>
      <xdr:colOff>185450</xdr:colOff>
      <xdr:row>39</xdr:row>
      <xdr:rowOff>90335</xdr:rowOff>
    </xdr:to>
    <xdr:sp macro="" textlink="">
      <xdr:nvSpPr>
        <xdr:cNvPr id="4" name="Rectangle: Rounded Corners 3">
          <a:extLst>
            <a:ext uri="{FF2B5EF4-FFF2-40B4-BE49-F238E27FC236}">
              <a16:creationId xmlns:a16="http://schemas.microsoft.com/office/drawing/2014/main" id="{F335CA51-B84F-CA7C-4B1B-721690A79F10}"/>
            </a:ext>
          </a:extLst>
        </xdr:cNvPr>
        <xdr:cNvSpPr/>
      </xdr:nvSpPr>
      <xdr:spPr>
        <a:xfrm>
          <a:off x="164283" y="3740248"/>
          <a:ext cx="2448278" cy="3504420"/>
        </a:xfrm>
        <a:prstGeom prst="roundRect">
          <a:avLst>
            <a:gd name="adj" fmla="val 2137"/>
          </a:avLst>
        </a:prstGeom>
        <a:solidFill>
          <a:srgbClr val="34343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8</xdr:col>
      <xdr:colOff>433266</xdr:colOff>
      <xdr:row>7</xdr:row>
      <xdr:rowOff>18575</xdr:rowOff>
    </xdr:from>
    <xdr:to>
      <xdr:col>12</xdr:col>
      <xdr:colOff>465819</xdr:colOff>
      <xdr:row>12</xdr:row>
      <xdr:rowOff>25833</xdr:rowOff>
    </xdr:to>
    <xdr:sp macro="" textlink="">
      <xdr:nvSpPr>
        <xdr:cNvPr id="5" name="Rectangle: Rounded Corners 4">
          <a:extLst>
            <a:ext uri="{FF2B5EF4-FFF2-40B4-BE49-F238E27FC236}">
              <a16:creationId xmlns:a16="http://schemas.microsoft.com/office/drawing/2014/main" id="{EEA8992E-B560-17C7-EF34-93D2C1A437B4}"/>
            </a:ext>
          </a:extLst>
        </xdr:cNvPr>
        <xdr:cNvSpPr/>
      </xdr:nvSpPr>
      <xdr:spPr>
        <a:xfrm>
          <a:off x="5287488" y="1302686"/>
          <a:ext cx="2459664" cy="924480"/>
        </a:xfrm>
        <a:prstGeom prst="roundRect">
          <a:avLst>
            <a:gd name="adj" fmla="val 2137"/>
          </a:avLst>
        </a:prstGeom>
        <a:solidFill>
          <a:srgbClr val="34343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12</xdr:col>
      <xdr:colOff>569336</xdr:colOff>
      <xdr:row>7</xdr:row>
      <xdr:rowOff>18575</xdr:rowOff>
    </xdr:from>
    <xdr:to>
      <xdr:col>16</xdr:col>
      <xdr:colOff>601890</xdr:colOff>
      <xdr:row>12</xdr:row>
      <xdr:rowOff>25833</xdr:rowOff>
    </xdr:to>
    <xdr:sp macro="" textlink="">
      <xdr:nvSpPr>
        <xdr:cNvPr id="6" name="Rectangle: Rounded Corners 5">
          <a:extLst>
            <a:ext uri="{FF2B5EF4-FFF2-40B4-BE49-F238E27FC236}">
              <a16:creationId xmlns:a16="http://schemas.microsoft.com/office/drawing/2014/main" id="{0C5C1C4D-5FF5-0072-87E2-DE3FA5AD6226}"/>
            </a:ext>
          </a:extLst>
        </xdr:cNvPr>
        <xdr:cNvSpPr/>
      </xdr:nvSpPr>
      <xdr:spPr>
        <a:xfrm>
          <a:off x="7850669" y="1302686"/>
          <a:ext cx="2459665" cy="924480"/>
        </a:xfrm>
        <a:prstGeom prst="roundRect">
          <a:avLst>
            <a:gd name="adj" fmla="val 2137"/>
          </a:avLst>
        </a:prstGeom>
        <a:solidFill>
          <a:srgbClr val="34343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17</xdr:col>
      <xdr:colOff>96323</xdr:colOff>
      <xdr:row>7</xdr:row>
      <xdr:rowOff>18575</xdr:rowOff>
    </xdr:from>
    <xdr:to>
      <xdr:col>21</xdr:col>
      <xdr:colOff>128877</xdr:colOff>
      <xdr:row>12</xdr:row>
      <xdr:rowOff>25833</xdr:rowOff>
    </xdr:to>
    <xdr:sp macro="" textlink="">
      <xdr:nvSpPr>
        <xdr:cNvPr id="7" name="Rectangle: Rounded Corners 6">
          <a:extLst>
            <a:ext uri="{FF2B5EF4-FFF2-40B4-BE49-F238E27FC236}">
              <a16:creationId xmlns:a16="http://schemas.microsoft.com/office/drawing/2014/main" id="{1746C23D-58E5-CAC2-646D-5012AD97CF47}"/>
            </a:ext>
          </a:extLst>
        </xdr:cNvPr>
        <xdr:cNvSpPr/>
      </xdr:nvSpPr>
      <xdr:spPr>
        <a:xfrm>
          <a:off x="10411545" y="1302686"/>
          <a:ext cx="2459665" cy="924480"/>
        </a:xfrm>
        <a:prstGeom prst="roundRect">
          <a:avLst>
            <a:gd name="adj" fmla="val 2137"/>
          </a:avLst>
        </a:prstGeom>
        <a:solidFill>
          <a:srgbClr val="34343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4</xdr:col>
      <xdr:colOff>297195</xdr:colOff>
      <xdr:row>12</xdr:row>
      <xdr:rowOff>133048</xdr:rowOff>
    </xdr:from>
    <xdr:to>
      <xdr:col>11</xdr:col>
      <xdr:colOff>113082</xdr:colOff>
      <xdr:row>25</xdr:row>
      <xdr:rowOff>151916</xdr:rowOff>
    </xdr:to>
    <xdr:sp macro="" textlink="">
      <xdr:nvSpPr>
        <xdr:cNvPr id="13" name="Rectangle: Rounded Corners 12">
          <a:extLst>
            <a:ext uri="{FF2B5EF4-FFF2-40B4-BE49-F238E27FC236}">
              <a16:creationId xmlns:a16="http://schemas.microsoft.com/office/drawing/2014/main" id="{185658B4-B0A9-305C-2FC7-CD7DFC8F68FE}"/>
            </a:ext>
          </a:extLst>
        </xdr:cNvPr>
        <xdr:cNvSpPr/>
      </xdr:nvSpPr>
      <xdr:spPr>
        <a:xfrm>
          <a:off x="2724306" y="2334381"/>
          <a:ext cx="4063332" cy="2403646"/>
        </a:xfrm>
        <a:prstGeom prst="roundRect">
          <a:avLst>
            <a:gd name="adj" fmla="val 2137"/>
          </a:avLst>
        </a:prstGeom>
        <a:solidFill>
          <a:srgbClr val="34343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11</xdr:col>
      <xdr:colOff>221384</xdr:colOff>
      <xdr:row>12</xdr:row>
      <xdr:rowOff>133048</xdr:rowOff>
    </xdr:from>
    <xdr:to>
      <xdr:col>16</xdr:col>
      <xdr:colOff>603771</xdr:colOff>
      <xdr:row>25</xdr:row>
      <xdr:rowOff>151916</xdr:rowOff>
    </xdr:to>
    <xdr:sp macro="" textlink="">
      <xdr:nvSpPr>
        <xdr:cNvPr id="14" name="Rectangle: Rounded Corners 13">
          <a:extLst>
            <a:ext uri="{FF2B5EF4-FFF2-40B4-BE49-F238E27FC236}">
              <a16:creationId xmlns:a16="http://schemas.microsoft.com/office/drawing/2014/main" id="{0160B681-6CCF-5B7D-EC2A-868BEA13793A}"/>
            </a:ext>
          </a:extLst>
        </xdr:cNvPr>
        <xdr:cNvSpPr/>
      </xdr:nvSpPr>
      <xdr:spPr>
        <a:xfrm>
          <a:off x="6895940" y="2334381"/>
          <a:ext cx="3416275" cy="2403646"/>
        </a:xfrm>
        <a:prstGeom prst="roundRect">
          <a:avLst>
            <a:gd name="adj" fmla="val 2137"/>
          </a:avLst>
        </a:prstGeom>
        <a:solidFill>
          <a:srgbClr val="34343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4</xdr:col>
      <xdr:colOff>284236</xdr:colOff>
      <xdr:row>26</xdr:row>
      <xdr:rowOff>71467</xdr:rowOff>
    </xdr:from>
    <xdr:to>
      <xdr:col>11</xdr:col>
      <xdr:colOff>113082</xdr:colOff>
      <xdr:row>39</xdr:row>
      <xdr:rowOff>90335</xdr:rowOff>
    </xdr:to>
    <xdr:sp macro="" textlink="">
      <xdr:nvSpPr>
        <xdr:cNvPr id="15" name="Rectangle: Rounded Corners 14">
          <a:extLst>
            <a:ext uri="{FF2B5EF4-FFF2-40B4-BE49-F238E27FC236}">
              <a16:creationId xmlns:a16="http://schemas.microsoft.com/office/drawing/2014/main" id="{BD5B49F1-E2DB-AAB2-A53A-B54F34C207AA}"/>
            </a:ext>
          </a:extLst>
        </xdr:cNvPr>
        <xdr:cNvSpPr/>
      </xdr:nvSpPr>
      <xdr:spPr>
        <a:xfrm>
          <a:off x="2739569" y="4749300"/>
          <a:ext cx="4125680" cy="2357785"/>
        </a:xfrm>
        <a:prstGeom prst="roundRect">
          <a:avLst>
            <a:gd name="adj" fmla="val 2137"/>
          </a:avLst>
        </a:prstGeom>
        <a:solidFill>
          <a:srgbClr val="34343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0</xdr:col>
      <xdr:colOff>454771</xdr:colOff>
      <xdr:row>13</xdr:row>
      <xdr:rowOff>90488</xdr:rowOff>
    </xdr:from>
    <xdr:to>
      <xdr:col>2</xdr:col>
      <xdr:colOff>550545</xdr:colOff>
      <xdr:row>14</xdr:row>
      <xdr:rowOff>170105</xdr:rowOff>
    </xdr:to>
    <xdr:sp macro="" textlink="">
      <xdr:nvSpPr>
        <xdr:cNvPr id="19" name="TextBox 18">
          <a:extLst>
            <a:ext uri="{FF2B5EF4-FFF2-40B4-BE49-F238E27FC236}">
              <a16:creationId xmlns:a16="http://schemas.microsoft.com/office/drawing/2014/main" id="{CC56D4BA-56F4-029D-99F1-C07F5E6EA069}"/>
            </a:ext>
          </a:extLst>
        </xdr:cNvPr>
        <xdr:cNvSpPr txBox="1"/>
      </xdr:nvSpPr>
      <xdr:spPr>
        <a:xfrm>
          <a:off x="454771" y="2475266"/>
          <a:ext cx="1309330" cy="2630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D" sz="1400" b="1">
              <a:solidFill>
                <a:srgbClr val="D9A883"/>
              </a:solidFill>
              <a:latin typeface="Aptos Display" panose="020B0004020202020204" pitchFamily="34" charset="0"/>
              <a:ea typeface="Cambria" panose="02040503050406030204" pitchFamily="18" charset="0"/>
            </a:rPr>
            <a:t>United States</a:t>
          </a:r>
          <a:endParaRPr lang="en-ID" sz="1600" b="1">
            <a:solidFill>
              <a:srgbClr val="D9A883"/>
            </a:solidFill>
            <a:latin typeface="Aptos Display" panose="020B0004020202020204" pitchFamily="34" charset="0"/>
            <a:ea typeface="Cambria" panose="02040503050406030204" pitchFamily="18" charset="0"/>
          </a:endParaRPr>
        </a:p>
      </xdr:txBody>
    </xdr:sp>
    <xdr:clientData/>
  </xdr:twoCellAnchor>
  <xdr:twoCellAnchor>
    <xdr:from>
      <xdr:col>8</xdr:col>
      <xdr:colOff>538414</xdr:colOff>
      <xdr:row>10</xdr:row>
      <xdr:rowOff>9648</xdr:rowOff>
    </xdr:from>
    <xdr:to>
      <xdr:col>11</xdr:col>
      <xdr:colOff>123720</xdr:colOff>
      <xdr:row>12</xdr:row>
      <xdr:rowOff>22606</xdr:rowOff>
    </xdr:to>
    <xdr:sp macro="" textlink="">
      <xdr:nvSpPr>
        <xdr:cNvPr id="20" name="TextBox 19">
          <a:extLst>
            <a:ext uri="{FF2B5EF4-FFF2-40B4-BE49-F238E27FC236}">
              <a16:creationId xmlns:a16="http://schemas.microsoft.com/office/drawing/2014/main" id="{AF122C5D-4CE3-23B8-713E-ADBAAA379D4D}"/>
            </a:ext>
          </a:extLst>
        </xdr:cNvPr>
        <xdr:cNvSpPr txBox="1"/>
      </xdr:nvSpPr>
      <xdr:spPr>
        <a:xfrm>
          <a:off x="5392636" y="1844092"/>
          <a:ext cx="1405640" cy="3798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1400" b="0">
              <a:solidFill>
                <a:srgbClr val="D9A883"/>
              </a:solidFill>
              <a:latin typeface="Aptos Display" panose="020B0004020202020204" pitchFamily="34" charset="0"/>
              <a:ea typeface="Cambria" panose="02040503050406030204" pitchFamily="18" charset="0"/>
            </a:rPr>
            <a:t>Total</a:t>
          </a:r>
          <a:r>
            <a:rPr lang="en-ID" sz="1400" b="0" baseline="0">
              <a:solidFill>
                <a:srgbClr val="D9A883"/>
              </a:solidFill>
              <a:latin typeface="Aptos Display" panose="020B0004020202020204" pitchFamily="34" charset="0"/>
              <a:ea typeface="Cambria" panose="02040503050406030204" pitchFamily="18" charset="0"/>
            </a:rPr>
            <a:t> Profit</a:t>
          </a:r>
          <a:endParaRPr lang="en-ID" sz="1400" b="0">
            <a:solidFill>
              <a:srgbClr val="D9A883"/>
            </a:solidFill>
            <a:latin typeface="Aptos Display" panose="020B0004020202020204" pitchFamily="34" charset="0"/>
            <a:ea typeface="Cambria" panose="02040503050406030204" pitchFamily="18" charset="0"/>
          </a:endParaRPr>
        </a:p>
      </xdr:txBody>
    </xdr:sp>
    <xdr:clientData/>
  </xdr:twoCellAnchor>
  <xdr:twoCellAnchor>
    <xdr:from>
      <xdr:col>13</xdr:col>
      <xdr:colOff>50629</xdr:colOff>
      <xdr:row>10</xdr:row>
      <xdr:rowOff>9648</xdr:rowOff>
    </xdr:from>
    <xdr:to>
      <xdr:col>15</xdr:col>
      <xdr:colOff>245017</xdr:colOff>
      <xdr:row>12</xdr:row>
      <xdr:rowOff>22606</xdr:rowOff>
    </xdr:to>
    <xdr:sp macro="" textlink="">
      <xdr:nvSpPr>
        <xdr:cNvPr id="21" name="TextBox 20">
          <a:extLst>
            <a:ext uri="{FF2B5EF4-FFF2-40B4-BE49-F238E27FC236}">
              <a16:creationId xmlns:a16="http://schemas.microsoft.com/office/drawing/2014/main" id="{96F96DEC-0AEE-A0F7-2774-FA9215EB177F}"/>
            </a:ext>
          </a:extLst>
        </xdr:cNvPr>
        <xdr:cNvSpPr txBox="1"/>
      </xdr:nvSpPr>
      <xdr:spPr>
        <a:xfrm>
          <a:off x="7938740" y="1844092"/>
          <a:ext cx="1407944" cy="3798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1400" b="0">
              <a:solidFill>
                <a:srgbClr val="D9A883"/>
              </a:solidFill>
              <a:latin typeface="Aptos Display" panose="020B0004020202020204" pitchFamily="34" charset="0"/>
              <a:ea typeface="Cambria" panose="02040503050406030204" pitchFamily="18" charset="0"/>
            </a:rPr>
            <a:t>Total</a:t>
          </a:r>
          <a:r>
            <a:rPr lang="en-ID" sz="1400" b="0" baseline="0">
              <a:solidFill>
                <a:srgbClr val="D9A883"/>
              </a:solidFill>
              <a:latin typeface="Aptos Display" panose="020B0004020202020204" pitchFamily="34" charset="0"/>
              <a:ea typeface="Cambria" panose="02040503050406030204" pitchFamily="18" charset="0"/>
            </a:rPr>
            <a:t> Orders</a:t>
          </a:r>
          <a:endParaRPr lang="en-ID" sz="1400" b="0">
            <a:solidFill>
              <a:srgbClr val="D9A883"/>
            </a:solidFill>
            <a:latin typeface="Aptos Display" panose="020B0004020202020204" pitchFamily="34" charset="0"/>
            <a:ea typeface="Cambria" panose="02040503050406030204" pitchFamily="18" charset="0"/>
          </a:endParaRPr>
        </a:p>
      </xdr:txBody>
    </xdr:sp>
    <xdr:clientData/>
  </xdr:twoCellAnchor>
  <xdr:twoCellAnchor>
    <xdr:from>
      <xdr:col>17</xdr:col>
      <xdr:colOff>188858</xdr:colOff>
      <xdr:row>10</xdr:row>
      <xdr:rowOff>29086</xdr:rowOff>
    </xdr:from>
    <xdr:to>
      <xdr:col>19</xdr:col>
      <xdr:colOff>486920</xdr:colOff>
      <xdr:row>12</xdr:row>
      <xdr:rowOff>7055</xdr:rowOff>
    </xdr:to>
    <xdr:sp macro="" textlink="">
      <xdr:nvSpPr>
        <xdr:cNvPr id="22" name="TextBox 21">
          <a:extLst>
            <a:ext uri="{FF2B5EF4-FFF2-40B4-BE49-F238E27FC236}">
              <a16:creationId xmlns:a16="http://schemas.microsoft.com/office/drawing/2014/main" id="{1DF51782-6C1D-067B-E686-7B23702E6A06}"/>
            </a:ext>
          </a:extLst>
        </xdr:cNvPr>
        <xdr:cNvSpPr txBox="1"/>
      </xdr:nvSpPr>
      <xdr:spPr>
        <a:xfrm>
          <a:off x="10504080" y="1863530"/>
          <a:ext cx="1511618" cy="344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1400" b="0">
              <a:solidFill>
                <a:srgbClr val="D9A883"/>
              </a:solidFill>
              <a:latin typeface="Aptos Display" panose="020B0004020202020204" pitchFamily="34" charset="0"/>
              <a:ea typeface="Cambria" panose="02040503050406030204" pitchFamily="18" charset="0"/>
            </a:rPr>
            <a:t>Quantity</a:t>
          </a:r>
          <a:r>
            <a:rPr lang="en-ID" sz="1400" b="0" baseline="0">
              <a:solidFill>
                <a:srgbClr val="D9A883"/>
              </a:solidFill>
              <a:latin typeface="Aptos Display" panose="020B0004020202020204" pitchFamily="34" charset="0"/>
              <a:ea typeface="Cambria" panose="02040503050406030204" pitchFamily="18" charset="0"/>
            </a:rPr>
            <a:t> Sold</a:t>
          </a:r>
          <a:endParaRPr lang="en-ID" sz="1400" b="0">
            <a:solidFill>
              <a:srgbClr val="D9A883"/>
            </a:solidFill>
            <a:latin typeface="Aptos Display" panose="020B0004020202020204" pitchFamily="34" charset="0"/>
            <a:ea typeface="Cambria" panose="02040503050406030204" pitchFamily="18" charset="0"/>
          </a:endParaRPr>
        </a:p>
      </xdr:txBody>
    </xdr:sp>
    <xdr:clientData/>
  </xdr:twoCellAnchor>
  <xdr:twoCellAnchor>
    <xdr:from>
      <xdr:col>4</xdr:col>
      <xdr:colOff>297195</xdr:colOff>
      <xdr:row>7</xdr:row>
      <xdr:rowOff>40921</xdr:rowOff>
    </xdr:from>
    <xdr:to>
      <xdr:col>7</xdr:col>
      <xdr:colOff>456593</xdr:colOff>
      <xdr:row>11</xdr:row>
      <xdr:rowOff>1410</xdr:rowOff>
    </xdr:to>
    <xdr:sp macro="" textlink="PivotTable!A4">
      <xdr:nvSpPr>
        <xdr:cNvPr id="23" name="TextBox 22">
          <a:extLst>
            <a:ext uri="{FF2B5EF4-FFF2-40B4-BE49-F238E27FC236}">
              <a16:creationId xmlns:a16="http://schemas.microsoft.com/office/drawing/2014/main" id="{ED77030F-1945-ACBF-005B-6E793DB4B82C}"/>
            </a:ext>
          </a:extLst>
        </xdr:cNvPr>
        <xdr:cNvSpPr txBox="1"/>
      </xdr:nvSpPr>
      <xdr:spPr>
        <a:xfrm>
          <a:off x="2752528" y="1300338"/>
          <a:ext cx="2000898" cy="680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396889A-746A-4821-872B-CD3CE0577BF6}" type="TxLink">
            <a:rPr lang="en-US" sz="3200" b="1" i="0" u="none" strike="noStrike">
              <a:solidFill>
                <a:srgbClr val="E1BB9F"/>
              </a:solidFill>
              <a:latin typeface="Aptos Display" panose="020B0004020202020204" pitchFamily="34" charset="0"/>
              <a:ea typeface="Calibri"/>
              <a:cs typeface="Calibri"/>
            </a:rPr>
            <a:pPr algn="l"/>
            <a:t> $45,134 </a:t>
          </a:fld>
          <a:endParaRPr lang="en-ID" sz="4800" b="1">
            <a:solidFill>
              <a:srgbClr val="E1BB9F"/>
            </a:solidFill>
            <a:latin typeface="Aptos Display" panose="020B0004020202020204" pitchFamily="34" charset="0"/>
            <a:ea typeface="Cambria" panose="02040503050406030204" pitchFamily="18" charset="0"/>
          </a:endParaRPr>
        </a:p>
      </xdr:txBody>
    </xdr:sp>
    <xdr:clientData/>
  </xdr:twoCellAnchor>
  <xdr:twoCellAnchor>
    <xdr:from>
      <xdr:col>8</xdr:col>
      <xdr:colOff>433266</xdr:colOff>
      <xdr:row>7</xdr:row>
      <xdr:rowOff>23987</xdr:rowOff>
    </xdr:from>
    <xdr:to>
      <xdr:col>11</xdr:col>
      <xdr:colOff>592664</xdr:colOff>
      <xdr:row>11</xdr:row>
      <xdr:rowOff>1409</xdr:rowOff>
    </xdr:to>
    <xdr:sp macro="" textlink="PivotTable!B4">
      <xdr:nvSpPr>
        <xdr:cNvPr id="24" name="TextBox 23">
          <a:extLst>
            <a:ext uri="{FF2B5EF4-FFF2-40B4-BE49-F238E27FC236}">
              <a16:creationId xmlns:a16="http://schemas.microsoft.com/office/drawing/2014/main" id="{682E5E26-05D6-1D50-96B3-DBFD0612AE0F}"/>
            </a:ext>
          </a:extLst>
        </xdr:cNvPr>
        <xdr:cNvSpPr txBox="1"/>
      </xdr:nvSpPr>
      <xdr:spPr>
        <a:xfrm>
          <a:off x="5287488" y="1308098"/>
          <a:ext cx="1979732" cy="711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8E4DB92-DD57-4820-ABAD-DD2CAA0E4223}" type="TxLink">
            <a:rPr lang="en-US" sz="3200" b="1" i="0" u="none" strike="noStrike">
              <a:solidFill>
                <a:srgbClr val="E1BB9F"/>
              </a:solidFill>
              <a:latin typeface="Aptos Display" panose="020B0004020202020204" pitchFamily="34" charset="0"/>
              <a:ea typeface="Calibri"/>
              <a:cs typeface="Calibri"/>
            </a:rPr>
            <a:pPr marL="0" indent="0" algn="l"/>
            <a:t> $4,520 </a:t>
          </a:fld>
          <a:endParaRPr lang="en-ID" sz="3200" b="1" i="0" u="none" strike="noStrike">
            <a:solidFill>
              <a:srgbClr val="E1BB9F"/>
            </a:solidFill>
            <a:latin typeface="Aptos Display" panose="020B0004020202020204" pitchFamily="34" charset="0"/>
            <a:ea typeface="Calibri"/>
            <a:cs typeface="Calibri"/>
          </a:endParaRPr>
        </a:p>
      </xdr:txBody>
    </xdr:sp>
    <xdr:clientData/>
  </xdr:twoCellAnchor>
  <xdr:twoCellAnchor>
    <xdr:from>
      <xdr:col>12</xdr:col>
      <xdr:colOff>569336</xdr:colOff>
      <xdr:row>6</xdr:row>
      <xdr:rowOff>137166</xdr:rowOff>
    </xdr:from>
    <xdr:to>
      <xdr:col>16</xdr:col>
      <xdr:colOff>119134</xdr:colOff>
      <xdr:row>11</xdr:row>
      <xdr:rowOff>1410</xdr:rowOff>
    </xdr:to>
    <xdr:sp macro="" textlink="PivotTable!C4">
      <xdr:nvSpPr>
        <xdr:cNvPr id="25" name="TextBox 24">
          <a:extLst>
            <a:ext uri="{FF2B5EF4-FFF2-40B4-BE49-F238E27FC236}">
              <a16:creationId xmlns:a16="http://schemas.microsoft.com/office/drawing/2014/main" id="{24411D72-17F9-C1CF-DB2D-90F2D29F4EDC}"/>
            </a:ext>
          </a:extLst>
        </xdr:cNvPr>
        <xdr:cNvSpPr txBox="1"/>
      </xdr:nvSpPr>
      <xdr:spPr>
        <a:xfrm>
          <a:off x="7850669" y="1237833"/>
          <a:ext cx="1976909" cy="7814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E60F984A-BE55-40D2-B486-A7AA6AB20D4A}" type="TxLink">
            <a:rPr lang="en-US" sz="3200" b="1" i="0" u="none" strike="noStrike">
              <a:solidFill>
                <a:srgbClr val="E1BB9F"/>
              </a:solidFill>
              <a:latin typeface="Aptos Display" panose="020B0004020202020204" pitchFamily="34" charset="0"/>
              <a:ea typeface="Calibri"/>
              <a:cs typeface="Calibri"/>
            </a:rPr>
            <a:pPr marL="0" indent="0" algn="l"/>
            <a:t> 1,000 </a:t>
          </a:fld>
          <a:endParaRPr lang="en-ID" sz="3200" b="1" i="0" u="none" strike="noStrike">
            <a:solidFill>
              <a:srgbClr val="E1BB9F"/>
            </a:solidFill>
            <a:latin typeface="Aptos Display" panose="020B0004020202020204" pitchFamily="34" charset="0"/>
            <a:ea typeface="Calibri"/>
            <a:cs typeface="Calibri"/>
          </a:endParaRPr>
        </a:p>
      </xdr:txBody>
    </xdr:sp>
    <xdr:clientData/>
  </xdr:twoCellAnchor>
  <xdr:twoCellAnchor>
    <xdr:from>
      <xdr:col>17</xdr:col>
      <xdr:colOff>96323</xdr:colOff>
      <xdr:row>6</xdr:row>
      <xdr:rowOff>137166</xdr:rowOff>
    </xdr:from>
    <xdr:to>
      <xdr:col>20</xdr:col>
      <xdr:colOff>255721</xdr:colOff>
      <xdr:row>11</xdr:row>
      <xdr:rowOff>1410</xdr:rowOff>
    </xdr:to>
    <xdr:sp macro="" textlink="PivotTable!D4">
      <xdr:nvSpPr>
        <xdr:cNvPr id="26" name="TextBox 25">
          <a:extLst>
            <a:ext uri="{FF2B5EF4-FFF2-40B4-BE49-F238E27FC236}">
              <a16:creationId xmlns:a16="http://schemas.microsoft.com/office/drawing/2014/main" id="{2C9643D0-F329-2B06-6E5C-FF3E95B0844F}"/>
            </a:ext>
          </a:extLst>
        </xdr:cNvPr>
        <xdr:cNvSpPr txBox="1"/>
      </xdr:nvSpPr>
      <xdr:spPr>
        <a:xfrm>
          <a:off x="10531490" y="1216666"/>
          <a:ext cx="2000898" cy="763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6EF34C89-30A5-400C-B69B-641F866B32EF}" type="TxLink">
            <a:rPr lang="en-US" sz="3200" b="1" i="0" u="none" strike="noStrike">
              <a:solidFill>
                <a:srgbClr val="E1BB9F"/>
              </a:solidFill>
              <a:latin typeface="Aptos Display" panose="020B0004020202020204" pitchFamily="34" charset="0"/>
              <a:ea typeface="Calibri"/>
              <a:cs typeface="Calibri"/>
            </a:rPr>
            <a:pPr marL="0" indent="0" algn="l"/>
            <a:t> 3,551 </a:t>
          </a:fld>
          <a:endParaRPr lang="en-ID" sz="3200" b="1" i="0" u="none" strike="noStrike">
            <a:solidFill>
              <a:srgbClr val="E1BB9F"/>
            </a:solidFill>
            <a:latin typeface="Aptos Display" panose="020B0004020202020204" pitchFamily="34" charset="0"/>
            <a:ea typeface="Calibri"/>
            <a:cs typeface="Calibri"/>
          </a:endParaRPr>
        </a:p>
      </xdr:txBody>
    </xdr:sp>
    <xdr:clientData/>
  </xdr:twoCellAnchor>
  <xdr:twoCellAnchor>
    <xdr:from>
      <xdr:col>4</xdr:col>
      <xdr:colOff>447523</xdr:colOff>
      <xdr:row>16</xdr:row>
      <xdr:rowOff>100743</xdr:rowOff>
    </xdr:from>
    <xdr:to>
      <xdr:col>10</xdr:col>
      <xdr:colOff>591508</xdr:colOff>
      <xdr:row>26</xdr:row>
      <xdr:rowOff>1411</xdr:rowOff>
    </xdr:to>
    <xdr:graphicFrame macro="">
      <xdr:nvGraphicFramePr>
        <xdr:cNvPr id="27" name="Chart 26">
          <a:extLst>
            <a:ext uri="{FF2B5EF4-FFF2-40B4-BE49-F238E27FC236}">
              <a16:creationId xmlns:a16="http://schemas.microsoft.com/office/drawing/2014/main" id="{EEC57243-ABA4-4244-8CE9-1FA15CAC85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486635</xdr:colOff>
      <xdr:row>30</xdr:row>
      <xdr:rowOff>96074</xdr:rowOff>
    </xdr:from>
    <xdr:to>
      <xdr:col>11</xdr:col>
      <xdr:colOff>17397</xdr:colOff>
      <xdr:row>39</xdr:row>
      <xdr:rowOff>33150</xdr:rowOff>
    </xdr:to>
    <xdr:graphicFrame macro="">
      <xdr:nvGraphicFramePr>
        <xdr:cNvPr id="28" name="Chart 27">
          <a:extLst>
            <a:ext uri="{FF2B5EF4-FFF2-40B4-BE49-F238E27FC236}">
              <a16:creationId xmlns:a16="http://schemas.microsoft.com/office/drawing/2014/main" id="{40EF1939-5EE9-4813-B44B-04C947F2E4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223516</xdr:colOff>
      <xdr:row>16</xdr:row>
      <xdr:rowOff>36728</xdr:rowOff>
    </xdr:from>
    <xdr:to>
      <xdr:col>16</xdr:col>
      <xdr:colOff>572541</xdr:colOff>
      <xdr:row>25</xdr:row>
      <xdr:rowOff>146233</xdr:rowOff>
    </xdr:to>
    <xdr:graphicFrame macro="">
      <xdr:nvGraphicFramePr>
        <xdr:cNvPr id="29" name="Chart 28">
          <a:extLst>
            <a:ext uri="{FF2B5EF4-FFF2-40B4-BE49-F238E27FC236}">
              <a16:creationId xmlns:a16="http://schemas.microsoft.com/office/drawing/2014/main" id="{F9CCE3B1-E9E9-4E0A-BDE7-0CEFBC58C0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98430</xdr:colOff>
      <xdr:row>12</xdr:row>
      <xdr:rowOff>133049</xdr:rowOff>
    </xdr:from>
    <xdr:to>
      <xdr:col>21</xdr:col>
      <xdr:colOff>128877</xdr:colOff>
      <xdr:row>25</xdr:row>
      <xdr:rowOff>151917</xdr:rowOff>
    </xdr:to>
    <xdr:sp macro="" textlink="">
      <xdr:nvSpPr>
        <xdr:cNvPr id="30" name="Rectangle: Rounded Corners 29">
          <a:extLst>
            <a:ext uri="{FF2B5EF4-FFF2-40B4-BE49-F238E27FC236}">
              <a16:creationId xmlns:a16="http://schemas.microsoft.com/office/drawing/2014/main" id="{F7E746D3-C1DC-A5C9-2865-B5F99CA1774E}"/>
            </a:ext>
          </a:extLst>
        </xdr:cNvPr>
        <xdr:cNvSpPr/>
      </xdr:nvSpPr>
      <xdr:spPr>
        <a:xfrm>
          <a:off x="10413652" y="2334382"/>
          <a:ext cx="2457558" cy="2403646"/>
        </a:xfrm>
        <a:prstGeom prst="roundRect">
          <a:avLst>
            <a:gd name="adj" fmla="val 2137"/>
          </a:avLst>
        </a:prstGeom>
        <a:solidFill>
          <a:srgbClr val="34343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11</xdr:col>
      <xdr:colOff>232747</xdr:colOff>
      <xdr:row>26</xdr:row>
      <xdr:rowOff>85737</xdr:rowOff>
    </xdr:from>
    <xdr:to>
      <xdr:col>16</xdr:col>
      <xdr:colOff>114306</xdr:colOff>
      <xdr:row>39</xdr:row>
      <xdr:rowOff>104605</xdr:rowOff>
    </xdr:to>
    <xdr:sp macro="" textlink="">
      <xdr:nvSpPr>
        <xdr:cNvPr id="31" name="Rectangle: Rounded Corners 30">
          <a:extLst>
            <a:ext uri="{FF2B5EF4-FFF2-40B4-BE49-F238E27FC236}">
              <a16:creationId xmlns:a16="http://schemas.microsoft.com/office/drawing/2014/main" id="{DA698EC7-7988-EDBF-2592-F4A8F8B34C36}"/>
            </a:ext>
          </a:extLst>
        </xdr:cNvPr>
        <xdr:cNvSpPr/>
      </xdr:nvSpPr>
      <xdr:spPr>
        <a:xfrm>
          <a:off x="6907303" y="4855293"/>
          <a:ext cx="2915447" cy="2403645"/>
        </a:xfrm>
        <a:prstGeom prst="roundRect">
          <a:avLst>
            <a:gd name="adj" fmla="val 2137"/>
          </a:avLst>
        </a:prstGeom>
        <a:solidFill>
          <a:srgbClr val="34343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16</xdr:col>
      <xdr:colOff>233971</xdr:colOff>
      <xdr:row>26</xdr:row>
      <xdr:rowOff>71467</xdr:rowOff>
    </xdr:from>
    <xdr:to>
      <xdr:col>21</xdr:col>
      <xdr:colOff>114501</xdr:colOff>
      <xdr:row>39</xdr:row>
      <xdr:rowOff>90335</xdr:rowOff>
    </xdr:to>
    <xdr:sp macro="" textlink="">
      <xdr:nvSpPr>
        <xdr:cNvPr id="32" name="Rectangle: Rounded Corners 31">
          <a:extLst>
            <a:ext uri="{FF2B5EF4-FFF2-40B4-BE49-F238E27FC236}">
              <a16:creationId xmlns:a16="http://schemas.microsoft.com/office/drawing/2014/main" id="{CBC6FB89-7B1D-EF4D-E59D-B9ADF0255B63}"/>
            </a:ext>
          </a:extLst>
        </xdr:cNvPr>
        <xdr:cNvSpPr/>
      </xdr:nvSpPr>
      <xdr:spPr>
        <a:xfrm>
          <a:off x="9942415" y="4841023"/>
          <a:ext cx="2914419" cy="2403645"/>
        </a:xfrm>
        <a:prstGeom prst="roundRect">
          <a:avLst>
            <a:gd name="adj" fmla="val 2137"/>
          </a:avLst>
        </a:prstGeom>
        <a:solidFill>
          <a:srgbClr val="34343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0</xdr:col>
      <xdr:colOff>167570</xdr:colOff>
      <xdr:row>24</xdr:row>
      <xdr:rowOff>139348</xdr:rowOff>
    </xdr:from>
    <xdr:to>
      <xdr:col>4</xdr:col>
      <xdr:colOff>167569</xdr:colOff>
      <xdr:row>39</xdr:row>
      <xdr:rowOff>75092</xdr:rowOff>
    </xdr:to>
    <xdr:graphicFrame macro="">
      <xdr:nvGraphicFramePr>
        <xdr:cNvPr id="33" name="Chart 32">
          <a:extLst>
            <a:ext uri="{FF2B5EF4-FFF2-40B4-BE49-F238E27FC236}">
              <a16:creationId xmlns:a16="http://schemas.microsoft.com/office/drawing/2014/main" id="{BFB57305-B20F-408A-B5A2-B9BE73D8D4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454771</xdr:colOff>
      <xdr:row>17</xdr:row>
      <xdr:rowOff>93288</xdr:rowOff>
    </xdr:from>
    <xdr:to>
      <xdr:col>3</xdr:col>
      <xdr:colOff>126087</xdr:colOff>
      <xdr:row>19</xdr:row>
      <xdr:rowOff>46597</xdr:rowOff>
    </xdr:to>
    <xdr:sp macro="" textlink="">
      <xdr:nvSpPr>
        <xdr:cNvPr id="35" name="TextBox 34">
          <a:extLst>
            <a:ext uri="{FF2B5EF4-FFF2-40B4-BE49-F238E27FC236}">
              <a16:creationId xmlns:a16="http://schemas.microsoft.com/office/drawing/2014/main" id="{99DDB8B8-163F-B330-11AD-47BBA02C1A32}"/>
            </a:ext>
          </a:extLst>
        </xdr:cNvPr>
        <xdr:cNvSpPr txBox="1"/>
      </xdr:nvSpPr>
      <xdr:spPr>
        <a:xfrm>
          <a:off x="454771" y="3211844"/>
          <a:ext cx="1491649" cy="3201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D" sz="1200" b="0">
              <a:solidFill>
                <a:srgbClr val="D9A883"/>
              </a:solidFill>
              <a:latin typeface="Aptos Display" panose="020B0004020202020204" pitchFamily="34" charset="0"/>
              <a:ea typeface="Cambria" panose="02040503050406030204" pitchFamily="18" charset="0"/>
            </a:rPr>
            <a:t>United Kingdom</a:t>
          </a:r>
          <a:endParaRPr lang="en-ID" sz="1400" b="0">
            <a:solidFill>
              <a:srgbClr val="D9A883"/>
            </a:solidFill>
            <a:latin typeface="Aptos Display" panose="020B0004020202020204" pitchFamily="34" charset="0"/>
            <a:ea typeface="Cambria" panose="02040503050406030204" pitchFamily="18" charset="0"/>
          </a:endParaRPr>
        </a:p>
      </xdr:txBody>
    </xdr:sp>
    <xdr:clientData/>
  </xdr:twoCellAnchor>
  <xdr:twoCellAnchor>
    <xdr:from>
      <xdr:col>0</xdr:col>
      <xdr:colOff>454771</xdr:colOff>
      <xdr:row>15</xdr:row>
      <xdr:rowOff>88876</xdr:rowOff>
    </xdr:from>
    <xdr:to>
      <xdr:col>3</xdr:col>
      <xdr:colOff>126087</xdr:colOff>
      <xdr:row>17</xdr:row>
      <xdr:rowOff>42184</xdr:rowOff>
    </xdr:to>
    <xdr:sp macro="" textlink="">
      <xdr:nvSpPr>
        <xdr:cNvPr id="36" name="TextBox 35">
          <a:extLst>
            <a:ext uri="{FF2B5EF4-FFF2-40B4-BE49-F238E27FC236}">
              <a16:creationId xmlns:a16="http://schemas.microsoft.com/office/drawing/2014/main" id="{C259FECE-5DB0-66EC-E4B6-A2524D351E3A}"/>
            </a:ext>
          </a:extLst>
        </xdr:cNvPr>
        <xdr:cNvSpPr txBox="1"/>
      </xdr:nvSpPr>
      <xdr:spPr>
        <a:xfrm>
          <a:off x="454771" y="2840543"/>
          <a:ext cx="1491649" cy="3201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D" sz="1200" b="0">
              <a:solidFill>
                <a:srgbClr val="D9A883"/>
              </a:solidFill>
              <a:latin typeface="Aptos Display" panose="020B0004020202020204" pitchFamily="34" charset="0"/>
              <a:ea typeface="Cambria" panose="02040503050406030204" pitchFamily="18" charset="0"/>
            </a:rPr>
            <a:t>Ireland</a:t>
          </a:r>
          <a:endParaRPr lang="en-ID" sz="1400" b="0">
            <a:solidFill>
              <a:srgbClr val="D9A883"/>
            </a:solidFill>
            <a:latin typeface="Aptos Display" panose="020B0004020202020204" pitchFamily="34" charset="0"/>
            <a:ea typeface="Cambria" panose="02040503050406030204" pitchFamily="18" charset="0"/>
          </a:endParaRPr>
        </a:p>
      </xdr:txBody>
    </xdr:sp>
    <xdr:clientData/>
  </xdr:twoCellAnchor>
  <xdr:twoCellAnchor>
    <xdr:from>
      <xdr:col>2</xdr:col>
      <xdr:colOff>405319</xdr:colOff>
      <xdr:row>13</xdr:row>
      <xdr:rowOff>126777</xdr:rowOff>
    </xdr:from>
    <xdr:to>
      <xdr:col>3</xdr:col>
      <xdr:colOff>561937</xdr:colOff>
      <xdr:row>18</xdr:row>
      <xdr:rowOff>169866</xdr:rowOff>
    </xdr:to>
    <xdr:grpSp>
      <xdr:nvGrpSpPr>
        <xdr:cNvPr id="42" name="Group 41">
          <a:extLst>
            <a:ext uri="{FF2B5EF4-FFF2-40B4-BE49-F238E27FC236}">
              <a16:creationId xmlns:a16="http://schemas.microsoft.com/office/drawing/2014/main" id="{35181C0E-F316-FAC7-0F9A-8E5B6CA3B29C}"/>
            </a:ext>
          </a:extLst>
        </xdr:cNvPr>
        <xdr:cNvGrpSpPr/>
      </xdr:nvGrpSpPr>
      <xdr:grpSpPr>
        <a:xfrm>
          <a:off x="1619495" y="2485348"/>
          <a:ext cx="763706" cy="950232"/>
          <a:chOff x="1687150" y="1981337"/>
          <a:chExt cx="767953" cy="969952"/>
        </a:xfrm>
      </xdr:grpSpPr>
      <xdr:sp macro="" textlink="">
        <xdr:nvSpPr>
          <xdr:cNvPr id="39" name="Rectangle: Rounded Corners 38">
            <a:extLst>
              <a:ext uri="{FF2B5EF4-FFF2-40B4-BE49-F238E27FC236}">
                <a16:creationId xmlns:a16="http://schemas.microsoft.com/office/drawing/2014/main" id="{B3B61E83-F82A-7897-83D6-DA3B3EF2CB8C}"/>
              </a:ext>
            </a:extLst>
          </xdr:cNvPr>
          <xdr:cNvSpPr/>
        </xdr:nvSpPr>
        <xdr:spPr>
          <a:xfrm>
            <a:off x="1689188" y="1981337"/>
            <a:ext cx="763876" cy="237315"/>
          </a:xfrm>
          <a:prstGeom prst="roundRect">
            <a:avLst/>
          </a:prstGeom>
          <a:solidFill>
            <a:srgbClr val="62352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sp macro="" textlink="">
        <xdr:nvSpPr>
          <xdr:cNvPr id="40" name="Rectangle: Rounded Corners 39">
            <a:extLst>
              <a:ext uri="{FF2B5EF4-FFF2-40B4-BE49-F238E27FC236}">
                <a16:creationId xmlns:a16="http://schemas.microsoft.com/office/drawing/2014/main" id="{E7C6BC3D-4746-1177-3BC2-202F691ED274}"/>
              </a:ext>
            </a:extLst>
          </xdr:cNvPr>
          <xdr:cNvSpPr/>
        </xdr:nvSpPr>
        <xdr:spPr>
          <a:xfrm>
            <a:off x="1689188" y="2341134"/>
            <a:ext cx="763876" cy="237316"/>
          </a:xfrm>
          <a:prstGeom prst="roundRect">
            <a:avLst/>
          </a:prstGeom>
          <a:solidFill>
            <a:srgbClr val="62352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sp macro="" textlink="">
        <xdr:nvSpPr>
          <xdr:cNvPr id="41" name="Rectangle: Rounded Corners 40">
            <a:extLst>
              <a:ext uri="{FF2B5EF4-FFF2-40B4-BE49-F238E27FC236}">
                <a16:creationId xmlns:a16="http://schemas.microsoft.com/office/drawing/2014/main" id="{FF1BF49A-41FD-A119-34D7-2D6A04F164A1}"/>
              </a:ext>
            </a:extLst>
          </xdr:cNvPr>
          <xdr:cNvSpPr/>
        </xdr:nvSpPr>
        <xdr:spPr>
          <a:xfrm>
            <a:off x="1689188" y="2700931"/>
            <a:ext cx="763876" cy="237315"/>
          </a:xfrm>
          <a:prstGeom prst="roundRect">
            <a:avLst/>
          </a:prstGeom>
          <a:solidFill>
            <a:srgbClr val="62352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sp macro="" textlink="PivotTable!Z5">
        <xdr:nvSpPr>
          <xdr:cNvPr id="37" name="TextBox 36">
            <a:extLst>
              <a:ext uri="{FF2B5EF4-FFF2-40B4-BE49-F238E27FC236}">
                <a16:creationId xmlns:a16="http://schemas.microsoft.com/office/drawing/2014/main" id="{CCA98B96-2E32-B3D6-AC9D-E7640C30BCCC}"/>
              </a:ext>
            </a:extLst>
          </xdr:cNvPr>
          <xdr:cNvSpPr txBox="1"/>
        </xdr:nvSpPr>
        <xdr:spPr>
          <a:xfrm>
            <a:off x="1700288" y="2334717"/>
            <a:ext cx="741677" cy="238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4529267-3072-4536-BA13-8CC5F114FBCB}" type="TxLink">
              <a:rPr lang="en-US" sz="1100" b="0" i="0" u="none" strike="noStrike">
                <a:solidFill>
                  <a:srgbClr val="E1BB9F"/>
                </a:solidFill>
                <a:latin typeface="Calibri"/>
                <a:ea typeface="Calibri"/>
                <a:cs typeface="Calibri"/>
              </a:rPr>
              <a:pPr marL="0" indent="0" algn="ctr"/>
              <a:t> $6,697 </a:t>
            </a:fld>
            <a:endParaRPr lang="en-ID" sz="2000" b="1" i="0" u="none" strike="noStrike">
              <a:solidFill>
                <a:srgbClr val="E1BB9F"/>
              </a:solidFill>
              <a:latin typeface="Aptos Display" panose="020B0004020202020204" pitchFamily="34" charset="0"/>
              <a:ea typeface="Calibri"/>
              <a:cs typeface="Calibri"/>
            </a:endParaRPr>
          </a:p>
        </xdr:txBody>
      </xdr:sp>
      <xdr:sp macro="" textlink="PivotTable!Z6">
        <xdr:nvSpPr>
          <xdr:cNvPr id="38" name="TextBox 37">
            <a:extLst>
              <a:ext uri="{FF2B5EF4-FFF2-40B4-BE49-F238E27FC236}">
                <a16:creationId xmlns:a16="http://schemas.microsoft.com/office/drawing/2014/main" id="{A3FE7D6E-867A-DCF8-24A1-DA5C715C32BA}"/>
              </a:ext>
            </a:extLst>
          </xdr:cNvPr>
          <xdr:cNvSpPr txBox="1"/>
        </xdr:nvSpPr>
        <xdr:spPr>
          <a:xfrm>
            <a:off x="1700288" y="2701051"/>
            <a:ext cx="741677" cy="2502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7780F88-5353-4D59-9F41-0BABA4EBB8F3}" type="TxLink">
              <a:rPr lang="en-US" sz="1100" b="0" i="0" u="none" strike="noStrike">
                <a:solidFill>
                  <a:srgbClr val="E1BB9F"/>
                </a:solidFill>
                <a:latin typeface="Calibri"/>
                <a:ea typeface="Calibri"/>
                <a:cs typeface="Calibri"/>
              </a:rPr>
              <a:pPr marL="0" indent="0" algn="ctr"/>
              <a:t> $2,799 </a:t>
            </a:fld>
            <a:endParaRPr lang="en-ID" sz="2000" b="1" i="0" u="none" strike="noStrike">
              <a:solidFill>
                <a:srgbClr val="E1BB9F"/>
              </a:solidFill>
              <a:latin typeface="Aptos Display" panose="020B0004020202020204" pitchFamily="34" charset="0"/>
              <a:ea typeface="Calibri"/>
              <a:cs typeface="Calibri"/>
            </a:endParaRPr>
          </a:p>
        </xdr:txBody>
      </xdr:sp>
      <xdr:sp macro="" textlink="PivotTable!Z4">
        <xdr:nvSpPr>
          <xdr:cNvPr id="34" name="TextBox 33">
            <a:extLst>
              <a:ext uri="{FF2B5EF4-FFF2-40B4-BE49-F238E27FC236}">
                <a16:creationId xmlns:a16="http://schemas.microsoft.com/office/drawing/2014/main" id="{12180992-28E5-2434-8A3A-58F08FFA6798}"/>
              </a:ext>
            </a:extLst>
          </xdr:cNvPr>
          <xdr:cNvSpPr txBox="1"/>
        </xdr:nvSpPr>
        <xdr:spPr>
          <a:xfrm>
            <a:off x="1687150" y="1985108"/>
            <a:ext cx="767953" cy="2291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B732EA3-DB8E-4A1C-BC39-BA8BA943A9ED}" type="TxLink">
              <a:rPr lang="en-US" sz="1200" b="1" i="0" u="none" strike="noStrike">
                <a:solidFill>
                  <a:srgbClr val="E1BB9F"/>
                </a:solidFill>
                <a:latin typeface="Aptos Display" panose="020B0004020202020204" pitchFamily="34" charset="0"/>
                <a:ea typeface="Calibri"/>
                <a:cs typeface="Calibri"/>
              </a:rPr>
              <a:pPr marL="0" indent="0" algn="ctr"/>
              <a:t> $35,639 </a:t>
            </a:fld>
            <a:endParaRPr lang="en-ID" sz="1200" b="1" i="0" u="none" strike="noStrike">
              <a:solidFill>
                <a:srgbClr val="E1BB9F"/>
              </a:solidFill>
              <a:latin typeface="Aptos Display" panose="020B0004020202020204" pitchFamily="34" charset="0"/>
              <a:ea typeface="Calibri"/>
              <a:cs typeface="Calibri"/>
            </a:endParaRPr>
          </a:p>
        </xdr:txBody>
      </xdr:sp>
    </xdr:grpSp>
    <xdr:clientData/>
  </xdr:twoCellAnchor>
  <xdr:twoCellAnchor>
    <xdr:from>
      <xdr:col>0</xdr:col>
      <xdr:colOff>380464</xdr:colOff>
      <xdr:row>13</xdr:row>
      <xdr:rowOff>176175</xdr:rowOff>
    </xdr:from>
    <xdr:to>
      <xdr:col>0</xdr:col>
      <xdr:colOff>471904</xdr:colOff>
      <xdr:row>14</xdr:row>
      <xdr:rowOff>82243</xdr:rowOff>
    </xdr:to>
    <xdr:sp macro="" textlink="">
      <xdr:nvSpPr>
        <xdr:cNvPr id="43" name="Oval 42">
          <a:extLst>
            <a:ext uri="{FF2B5EF4-FFF2-40B4-BE49-F238E27FC236}">
              <a16:creationId xmlns:a16="http://schemas.microsoft.com/office/drawing/2014/main" id="{D52BA853-BE5D-8A49-2A24-0CD542194A68}"/>
            </a:ext>
          </a:extLst>
        </xdr:cNvPr>
        <xdr:cNvSpPr/>
      </xdr:nvSpPr>
      <xdr:spPr>
        <a:xfrm>
          <a:off x="380464" y="2560953"/>
          <a:ext cx="91440" cy="89512"/>
        </a:xfrm>
        <a:prstGeom prst="ellipse">
          <a:avLst/>
        </a:prstGeom>
        <a:solidFill>
          <a:srgbClr val="95664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ID" sz="1100"/>
        </a:p>
      </xdr:txBody>
    </xdr:sp>
    <xdr:clientData/>
  </xdr:twoCellAnchor>
  <xdr:twoCellAnchor>
    <xdr:from>
      <xdr:col>0</xdr:col>
      <xdr:colOff>380464</xdr:colOff>
      <xdr:row>16</xdr:row>
      <xdr:rowOff>7512</xdr:rowOff>
    </xdr:from>
    <xdr:to>
      <xdr:col>0</xdr:col>
      <xdr:colOff>471904</xdr:colOff>
      <xdr:row>16</xdr:row>
      <xdr:rowOff>98952</xdr:rowOff>
    </xdr:to>
    <xdr:sp macro="" textlink="">
      <xdr:nvSpPr>
        <xdr:cNvPr id="44" name="Oval 43">
          <a:extLst>
            <a:ext uri="{FF2B5EF4-FFF2-40B4-BE49-F238E27FC236}">
              <a16:creationId xmlns:a16="http://schemas.microsoft.com/office/drawing/2014/main" id="{746BC9C5-6A22-2EDD-7E5E-7061500C5DC1}"/>
            </a:ext>
          </a:extLst>
        </xdr:cNvPr>
        <xdr:cNvSpPr/>
      </xdr:nvSpPr>
      <xdr:spPr>
        <a:xfrm>
          <a:off x="380464" y="2942623"/>
          <a:ext cx="91440" cy="91440"/>
        </a:xfrm>
        <a:prstGeom prst="ellipse">
          <a:avLst/>
        </a:prstGeom>
        <a:solidFill>
          <a:srgbClr val="95664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ID" sz="1100"/>
        </a:p>
      </xdr:txBody>
    </xdr:sp>
    <xdr:clientData/>
  </xdr:twoCellAnchor>
  <xdr:twoCellAnchor>
    <xdr:from>
      <xdr:col>0</xdr:col>
      <xdr:colOff>380464</xdr:colOff>
      <xdr:row>18</xdr:row>
      <xdr:rowOff>24222</xdr:rowOff>
    </xdr:from>
    <xdr:to>
      <xdr:col>0</xdr:col>
      <xdr:colOff>471904</xdr:colOff>
      <xdr:row>18</xdr:row>
      <xdr:rowOff>115662</xdr:rowOff>
    </xdr:to>
    <xdr:sp macro="" textlink="">
      <xdr:nvSpPr>
        <xdr:cNvPr id="45" name="Oval 44">
          <a:extLst>
            <a:ext uri="{FF2B5EF4-FFF2-40B4-BE49-F238E27FC236}">
              <a16:creationId xmlns:a16="http://schemas.microsoft.com/office/drawing/2014/main" id="{BA4C23FB-A723-68BF-0096-1F64287CF227}"/>
            </a:ext>
          </a:extLst>
        </xdr:cNvPr>
        <xdr:cNvSpPr/>
      </xdr:nvSpPr>
      <xdr:spPr>
        <a:xfrm>
          <a:off x="380464" y="3326222"/>
          <a:ext cx="91440" cy="91440"/>
        </a:xfrm>
        <a:prstGeom prst="ellipse">
          <a:avLst/>
        </a:prstGeom>
        <a:solidFill>
          <a:srgbClr val="95664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ID" sz="1100"/>
        </a:p>
      </xdr:txBody>
    </xdr:sp>
    <xdr:clientData/>
  </xdr:twoCellAnchor>
  <xdr:twoCellAnchor>
    <xdr:from>
      <xdr:col>17</xdr:col>
      <xdr:colOff>543401</xdr:colOff>
      <xdr:row>17</xdr:row>
      <xdr:rowOff>36999</xdr:rowOff>
    </xdr:from>
    <xdr:to>
      <xdr:col>20</xdr:col>
      <xdr:colOff>298086</xdr:colOff>
      <xdr:row>25</xdr:row>
      <xdr:rowOff>151917</xdr:rowOff>
    </xdr:to>
    <xdr:graphicFrame macro="">
      <xdr:nvGraphicFramePr>
        <xdr:cNvPr id="46" name="Chart 45">
          <a:extLst>
            <a:ext uri="{FF2B5EF4-FFF2-40B4-BE49-F238E27FC236}">
              <a16:creationId xmlns:a16="http://schemas.microsoft.com/office/drawing/2014/main" id="{F178A443-96DA-4A94-8C73-D7D5CFC97E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153366</xdr:colOff>
      <xdr:row>30</xdr:row>
      <xdr:rowOff>19356</xdr:rowOff>
    </xdr:from>
    <xdr:to>
      <xdr:col>12</xdr:col>
      <xdr:colOff>526833</xdr:colOff>
      <xdr:row>36</xdr:row>
      <xdr:rowOff>156721</xdr:rowOff>
    </xdr:to>
    <xdr:grpSp>
      <xdr:nvGrpSpPr>
        <xdr:cNvPr id="174" name="Group 173">
          <a:extLst>
            <a:ext uri="{FF2B5EF4-FFF2-40B4-BE49-F238E27FC236}">
              <a16:creationId xmlns:a16="http://schemas.microsoft.com/office/drawing/2014/main" id="{1717D646-B56F-BD9B-555E-42F6A4119BB7}"/>
            </a:ext>
          </a:extLst>
        </xdr:cNvPr>
        <xdr:cNvGrpSpPr/>
      </xdr:nvGrpSpPr>
      <xdr:grpSpPr>
        <a:xfrm>
          <a:off x="6831333" y="5462213"/>
          <a:ext cx="980555" cy="1225937"/>
          <a:chOff x="6847324" y="5581967"/>
          <a:chExt cx="982009" cy="1248615"/>
        </a:xfrm>
      </xdr:grpSpPr>
      <xdr:sp macro="" textlink="PivotTable!W4">
        <xdr:nvSpPr>
          <xdr:cNvPr id="49" name="TextBox 48">
            <a:extLst>
              <a:ext uri="{FF2B5EF4-FFF2-40B4-BE49-F238E27FC236}">
                <a16:creationId xmlns:a16="http://schemas.microsoft.com/office/drawing/2014/main" id="{0BFD72DC-F0EB-61FA-B153-EAAE94DC6F75}"/>
              </a:ext>
            </a:extLst>
          </xdr:cNvPr>
          <xdr:cNvSpPr txBox="1"/>
        </xdr:nvSpPr>
        <xdr:spPr>
          <a:xfrm>
            <a:off x="6847324" y="6535119"/>
            <a:ext cx="982009" cy="2954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D4FCD54-D693-43AD-AE2E-81346AFFD21E}" type="TxLink">
              <a:rPr lang="en-US" sz="1400" b="0" i="0" u="none" strike="noStrike">
                <a:solidFill>
                  <a:srgbClr val="E1BB9F"/>
                </a:solidFill>
                <a:latin typeface="Calibri"/>
                <a:ea typeface="Calibri"/>
                <a:cs typeface="Calibri"/>
              </a:rPr>
              <a:pPr algn="ctr"/>
              <a:t> $3,308 </a:t>
            </a:fld>
            <a:endParaRPr lang="en-ID" sz="1600" b="0">
              <a:solidFill>
                <a:srgbClr val="E1BB9F"/>
              </a:solidFill>
              <a:latin typeface="Aptos Display" panose="020B0004020202020204" pitchFamily="34" charset="0"/>
              <a:ea typeface="Cambria" panose="02040503050406030204" pitchFamily="18" charset="0"/>
            </a:endParaRPr>
          </a:p>
        </xdr:txBody>
      </xdr:sp>
      <xdr:sp macro="" textlink="">
        <xdr:nvSpPr>
          <xdr:cNvPr id="53" name="TextBox 52">
            <a:extLst>
              <a:ext uri="{FF2B5EF4-FFF2-40B4-BE49-F238E27FC236}">
                <a16:creationId xmlns:a16="http://schemas.microsoft.com/office/drawing/2014/main" id="{69FC418B-74D0-4907-06C4-BA0F57326B01}"/>
              </a:ext>
            </a:extLst>
          </xdr:cNvPr>
          <xdr:cNvSpPr txBox="1"/>
        </xdr:nvSpPr>
        <xdr:spPr>
          <a:xfrm>
            <a:off x="6997189" y="5581967"/>
            <a:ext cx="682279" cy="2936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200" b="0">
                <a:solidFill>
                  <a:srgbClr val="956643"/>
                </a:solidFill>
                <a:latin typeface="Aptos Display" panose="020B0004020202020204" pitchFamily="34" charset="0"/>
                <a:ea typeface="Cambria" panose="02040503050406030204" pitchFamily="18" charset="0"/>
              </a:rPr>
              <a:t>0.2 Kg</a:t>
            </a:r>
            <a:endParaRPr lang="en-ID" sz="1400" b="0">
              <a:solidFill>
                <a:srgbClr val="956643"/>
              </a:solidFill>
              <a:latin typeface="Aptos Display" panose="020B0004020202020204" pitchFamily="34" charset="0"/>
              <a:ea typeface="Cambria" panose="02040503050406030204" pitchFamily="18" charset="0"/>
            </a:endParaRPr>
          </a:p>
        </xdr:txBody>
      </xdr:sp>
      <xdr:grpSp>
        <xdr:nvGrpSpPr>
          <xdr:cNvPr id="63" name="Group 62">
            <a:extLst>
              <a:ext uri="{FF2B5EF4-FFF2-40B4-BE49-F238E27FC236}">
                <a16:creationId xmlns:a16="http://schemas.microsoft.com/office/drawing/2014/main" id="{C894FD7D-F85F-15F6-64E2-99B89FFE88E0}"/>
              </a:ext>
            </a:extLst>
          </xdr:cNvPr>
          <xdr:cNvGrpSpPr/>
        </xdr:nvGrpSpPr>
        <xdr:grpSpPr>
          <a:xfrm>
            <a:off x="6973098" y="5834679"/>
            <a:ext cx="730462" cy="741330"/>
            <a:chOff x="9528847" y="7391711"/>
            <a:chExt cx="913896" cy="899984"/>
          </a:xfrm>
        </xdr:grpSpPr>
        <xdr:grpSp>
          <xdr:nvGrpSpPr>
            <xdr:cNvPr id="62" name="Group 61">
              <a:extLst>
                <a:ext uri="{FF2B5EF4-FFF2-40B4-BE49-F238E27FC236}">
                  <a16:creationId xmlns:a16="http://schemas.microsoft.com/office/drawing/2014/main" id="{D8C94E0A-4EBB-EADF-64F2-A7D8185EC061}"/>
                </a:ext>
              </a:extLst>
            </xdr:cNvPr>
            <xdr:cNvGrpSpPr/>
          </xdr:nvGrpSpPr>
          <xdr:grpSpPr>
            <a:xfrm>
              <a:off x="9528847" y="7391711"/>
              <a:ext cx="913896" cy="899984"/>
              <a:chOff x="9138810" y="7455924"/>
              <a:chExt cx="913896" cy="899984"/>
            </a:xfrm>
          </xdr:grpSpPr>
          <xdr:pic>
            <xdr:nvPicPr>
              <xdr:cNvPr id="60" name="Graphic 59" descr="Seeds with solid fill">
                <a:extLst>
                  <a:ext uri="{FF2B5EF4-FFF2-40B4-BE49-F238E27FC236}">
                    <a16:creationId xmlns:a16="http://schemas.microsoft.com/office/drawing/2014/main" id="{FD684187-22FB-E6D9-EBF0-10C77370B225}"/>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9138810" y="7455924"/>
                <a:ext cx="913896" cy="899984"/>
              </a:xfrm>
              <a:prstGeom prst="rect">
                <a:avLst/>
              </a:prstGeom>
            </xdr:spPr>
          </xdr:pic>
          <xdr:sp macro="" textlink="">
            <xdr:nvSpPr>
              <xdr:cNvPr id="61" name="Rectangle 60">
                <a:extLst>
                  <a:ext uri="{FF2B5EF4-FFF2-40B4-BE49-F238E27FC236}">
                    <a16:creationId xmlns:a16="http://schemas.microsoft.com/office/drawing/2014/main" id="{70D86B18-45CA-219B-A16E-B85CF6A7B507}"/>
                  </a:ext>
                </a:extLst>
              </xdr:cNvPr>
              <xdr:cNvSpPr/>
            </xdr:nvSpPr>
            <xdr:spPr>
              <a:xfrm>
                <a:off x="9465659" y="7772820"/>
                <a:ext cx="282953" cy="327914"/>
              </a:xfrm>
              <a:prstGeom prst="rect">
                <a:avLst/>
              </a:prstGeom>
              <a:solidFill>
                <a:srgbClr val="C4A79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grpSp>
        <xdr:pic>
          <xdr:nvPicPr>
            <xdr:cNvPr id="58" name="Graphic 57" descr="Coffee Beans with solid fill">
              <a:extLst>
                <a:ext uri="{FF2B5EF4-FFF2-40B4-BE49-F238E27FC236}">
                  <a16:creationId xmlns:a16="http://schemas.microsoft.com/office/drawing/2014/main" id="{4156A617-E1E1-B29D-C1F2-7434CF95800F}"/>
                </a:ext>
              </a:extLst>
            </xdr:cNvPr>
            <xdr:cNvPicPr>
              <a:picLocks noChangeAspect="1"/>
            </xdr:cNvPicPr>
          </xdr:nvPicPr>
          <xdr:blipFill rotWithShape="1">
            <a:blip xmlns:r="http://schemas.openxmlformats.org/officeDocument/2006/relationships" r:embed="rId3">
              <a:extLst>
                <a:ext uri="{96DAC541-7B7A-43D3-8B79-37D633B846F1}">
                  <asvg:svgBlip xmlns:asvg="http://schemas.microsoft.com/office/drawing/2016/SVG/main" r:embed="rId4"/>
                </a:ext>
              </a:extLst>
            </a:blip>
            <a:srcRect l="7425" t="18518" r="53566" b="38195"/>
            <a:stretch>
              <a:fillRect/>
            </a:stretch>
          </xdr:blipFill>
          <xdr:spPr>
            <a:xfrm>
              <a:off x="9841463" y="7679976"/>
              <a:ext cx="256397" cy="283770"/>
            </a:xfrm>
            <a:prstGeom prst="rect">
              <a:avLst/>
            </a:prstGeom>
          </xdr:spPr>
        </xdr:pic>
      </xdr:grpSp>
    </xdr:grpSp>
    <xdr:clientData/>
  </xdr:twoCellAnchor>
  <xdr:twoCellAnchor>
    <xdr:from>
      <xdr:col>12</xdr:col>
      <xdr:colOff>242918</xdr:colOff>
      <xdr:row>30</xdr:row>
      <xdr:rowOff>19356</xdr:rowOff>
    </xdr:from>
    <xdr:to>
      <xdr:col>14</xdr:col>
      <xdr:colOff>8035</xdr:colOff>
      <xdr:row>37</xdr:row>
      <xdr:rowOff>87489</xdr:rowOff>
    </xdr:to>
    <xdr:grpSp>
      <xdr:nvGrpSpPr>
        <xdr:cNvPr id="175" name="Group 174">
          <a:extLst>
            <a:ext uri="{FF2B5EF4-FFF2-40B4-BE49-F238E27FC236}">
              <a16:creationId xmlns:a16="http://schemas.microsoft.com/office/drawing/2014/main" id="{78142F08-E211-8C17-84BA-0BF82661FA93}"/>
            </a:ext>
          </a:extLst>
        </xdr:cNvPr>
        <xdr:cNvGrpSpPr/>
      </xdr:nvGrpSpPr>
      <xdr:grpSpPr>
        <a:xfrm>
          <a:off x="7527973" y="5462213"/>
          <a:ext cx="979293" cy="1338133"/>
          <a:chOff x="7447889" y="5573023"/>
          <a:chExt cx="982200" cy="1364591"/>
        </a:xfrm>
      </xdr:grpSpPr>
      <xdr:sp macro="" textlink="PivotTable!W5">
        <xdr:nvSpPr>
          <xdr:cNvPr id="50" name="TextBox 49">
            <a:extLst>
              <a:ext uri="{FF2B5EF4-FFF2-40B4-BE49-F238E27FC236}">
                <a16:creationId xmlns:a16="http://schemas.microsoft.com/office/drawing/2014/main" id="{E72DD512-5808-1520-0293-F086AEC95010}"/>
              </a:ext>
            </a:extLst>
          </xdr:cNvPr>
          <xdr:cNvSpPr txBox="1"/>
        </xdr:nvSpPr>
        <xdr:spPr>
          <a:xfrm>
            <a:off x="7447889" y="6640877"/>
            <a:ext cx="982200" cy="2967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7323119-0747-479E-9ED7-33D5E3699699}" type="TxLink">
              <a:rPr lang="en-US" sz="1400" b="0" i="0" u="none" strike="noStrike">
                <a:solidFill>
                  <a:srgbClr val="E1BB9F"/>
                </a:solidFill>
                <a:latin typeface="Calibri"/>
                <a:ea typeface="Calibri"/>
                <a:cs typeface="Calibri"/>
              </a:rPr>
              <a:pPr algn="ctr"/>
              <a:t> $7,030 </a:t>
            </a:fld>
            <a:endParaRPr lang="en-ID" sz="1600" b="0">
              <a:solidFill>
                <a:srgbClr val="E1BB9F"/>
              </a:solidFill>
              <a:latin typeface="Aptos Display" panose="020B0004020202020204" pitchFamily="34" charset="0"/>
              <a:ea typeface="Cambria" panose="02040503050406030204" pitchFamily="18" charset="0"/>
            </a:endParaRPr>
          </a:p>
        </xdr:txBody>
      </xdr:sp>
      <xdr:sp macro="" textlink="">
        <xdr:nvSpPr>
          <xdr:cNvPr id="54" name="TextBox 53">
            <a:extLst>
              <a:ext uri="{FF2B5EF4-FFF2-40B4-BE49-F238E27FC236}">
                <a16:creationId xmlns:a16="http://schemas.microsoft.com/office/drawing/2014/main" id="{ECC1F161-EEF5-6C9C-3A1F-5E1F436BB481}"/>
              </a:ext>
            </a:extLst>
          </xdr:cNvPr>
          <xdr:cNvSpPr txBox="1"/>
        </xdr:nvSpPr>
        <xdr:spPr>
          <a:xfrm>
            <a:off x="7597849" y="5573023"/>
            <a:ext cx="682279" cy="2936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200" b="0">
                <a:solidFill>
                  <a:srgbClr val="956643"/>
                </a:solidFill>
                <a:latin typeface="Aptos Display" panose="020B0004020202020204" pitchFamily="34" charset="0"/>
                <a:ea typeface="Cambria" panose="02040503050406030204" pitchFamily="18" charset="0"/>
              </a:rPr>
              <a:t>0.5</a:t>
            </a:r>
            <a:r>
              <a:rPr lang="en-ID" sz="1200" b="0" baseline="0">
                <a:solidFill>
                  <a:srgbClr val="956643"/>
                </a:solidFill>
                <a:latin typeface="Aptos Display" panose="020B0004020202020204" pitchFamily="34" charset="0"/>
                <a:ea typeface="Cambria" panose="02040503050406030204" pitchFamily="18" charset="0"/>
              </a:rPr>
              <a:t> Kg</a:t>
            </a:r>
            <a:endParaRPr lang="en-ID" sz="1400" b="0">
              <a:solidFill>
                <a:srgbClr val="956643"/>
              </a:solidFill>
              <a:latin typeface="Aptos Display" panose="020B0004020202020204" pitchFamily="34" charset="0"/>
              <a:ea typeface="Cambria" panose="02040503050406030204" pitchFamily="18" charset="0"/>
            </a:endParaRPr>
          </a:p>
        </xdr:txBody>
      </xdr:sp>
      <xdr:grpSp>
        <xdr:nvGrpSpPr>
          <xdr:cNvPr id="70" name="Group 69">
            <a:extLst>
              <a:ext uri="{FF2B5EF4-FFF2-40B4-BE49-F238E27FC236}">
                <a16:creationId xmlns:a16="http://schemas.microsoft.com/office/drawing/2014/main" id="{DCE568CA-9026-81D0-82DF-780DB1FD822C}"/>
              </a:ext>
            </a:extLst>
          </xdr:cNvPr>
          <xdr:cNvGrpSpPr/>
        </xdr:nvGrpSpPr>
        <xdr:grpSpPr>
          <a:xfrm>
            <a:off x="7528038" y="5837072"/>
            <a:ext cx="821902" cy="835221"/>
            <a:chOff x="9528847" y="7391711"/>
            <a:chExt cx="913896" cy="899984"/>
          </a:xfrm>
        </xdr:grpSpPr>
        <xdr:grpSp>
          <xdr:nvGrpSpPr>
            <xdr:cNvPr id="71" name="Group 70">
              <a:extLst>
                <a:ext uri="{FF2B5EF4-FFF2-40B4-BE49-F238E27FC236}">
                  <a16:creationId xmlns:a16="http://schemas.microsoft.com/office/drawing/2014/main" id="{793B264B-355A-D3A8-C3D0-0B5AA1F28C2F}"/>
                </a:ext>
              </a:extLst>
            </xdr:cNvPr>
            <xdr:cNvGrpSpPr/>
          </xdr:nvGrpSpPr>
          <xdr:grpSpPr>
            <a:xfrm>
              <a:off x="9528847" y="7391711"/>
              <a:ext cx="913896" cy="899984"/>
              <a:chOff x="9138810" y="7455924"/>
              <a:chExt cx="913896" cy="899984"/>
            </a:xfrm>
          </xdr:grpSpPr>
          <xdr:pic>
            <xdr:nvPicPr>
              <xdr:cNvPr id="73" name="Graphic 72" descr="Seeds with solid fill">
                <a:extLst>
                  <a:ext uri="{FF2B5EF4-FFF2-40B4-BE49-F238E27FC236}">
                    <a16:creationId xmlns:a16="http://schemas.microsoft.com/office/drawing/2014/main" id="{F0CEA023-B912-B7A1-352F-4B8142BAAE4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9138810" y="7455924"/>
                <a:ext cx="913896" cy="899984"/>
              </a:xfrm>
              <a:prstGeom prst="rect">
                <a:avLst/>
              </a:prstGeom>
            </xdr:spPr>
          </xdr:pic>
          <xdr:sp macro="" textlink="">
            <xdr:nvSpPr>
              <xdr:cNvPr id="74" name="Rectangle 73">
                <a:extLst>
                  <a:ext uri="{FF2B5EF4-FFF2-40B4-BE49-F238E27FC236}">
                    <a16:creationId xmlns:a16="http://schemas.microsoft.com/office/drawing/2014/main" id="{E487D68E-6A90-0032-B2F1-FE82A2FDFE92}"/>
                  </a:ext>
                </a:extLst>
              </xdr:cNvPr>
              <xdr:cNvSpPr/>
            </xdr:nvSpPr>
            <xdr:spPr>
              <a:xfrm>
                <a:off x="9465659" y="7772820"/>
                <a:ext cx="282953" cy="327914"/>
              </a:xfrm>
              <a:prstGeom prst="rect">
                <a:avLst/>
              </a:prstGeom>
              <a:solidFill>
                <a:srgbClr val="C4A79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grpSp>
        <xdr:pic>
          <xdr:nvPicPr>
            <xdr:cNvPr id="72" name="Graphic 71" descr="Coffee Beans with solid fill">
              <a:extLst>
                <a:ext uri="{FF2B5EF4-FFF2-40B4-BE49-F238E27FC236}">
                  <a16:creationId xmlns:a16="http://schemas.microsoft.com/office/drawing/2014/main" id="{4F0218EF-B65D-4BFD-CE7F-4C516FFE5CE5}"/>
                </a:ext>
              </a:extLst>
            </xdr:cNvPr>
            <xdr:cNvPicPr>
              <a:picLocks noChangeAspect="1"/>
            </xdr:cNvPicPr>
          </xdr:nvPicPr>
          <xdr:blipFill rotWithShape="1">
            <a:blip xmlns:r="http://schemas.openxmlformats.org/officeDocument/2006/relationships" r:embed="rId3">
              <a:extLst>
                <a:ext uri="{96DAC541-7B7A-43D3-8B79-37D633B846F1}">
                  <asvg:svgBlip xmlns:asvg="http://schemas.microsoft.com/office/drawing/2016/SVG/main" r:embed="rId4"/>
                </a:ext>
              </a:extLst>
            </a:blip>
            <a:srcRect l="7425" t="18518" r="53566" b="38195"/>
            <a:stretch>
              <a:fillRect/>
            </a:stretch>
          </xdr:blipFill>
          <xdr:spPr>
            <a:xfrm>
              <a:off x="9841463" y="7679976"/>
              <a:ext cx="256397" cy="283770"/>
            </a:xfrm>
            <a:prstGeom prst="rect">
              <a:avLst/>
            </a:prstGeom>
          </xdr:spPr>
        </xdr:pic>
      </xdr:grpSp>
    </xdr:grpSp>
    <xdr:clientData/>
  </xdr:twoCellAnchor>
  <xdr:twoCellAnchor>
    <xdr:from>
      <xdr:col>13</xdr:col>
      <xdr:colOff>332661</xdr:colOff>
      <xdr:row>30</xdr:row>
      <xdr:rowOff>19356</xdr:rowOff>
    </xdr:from>
    <xdr:to>
      <xdr:col>15</xdr:col>
      <xdr:colOff>96100</xdr:colOff>
      <xdr:row>38</xdr:row>
      <xdr:rowOff>11008</xdr:rowOff>
    </xdr:to>
    <xdr:grpSp>
      <xdr:nvGrpSpPr>
        <xdr:cNvPr id="176" name="Group 175">
          <a:extLst>
            <a:ext uri="{FF2B5EF4-FFF2-40B4-BE49-F238E27FC236}">
              <a16:creationId xmlns:a16="http://schemas.microsoft.com/office/drawing/2014/main" id="{B0212FB4-C300-D3FE-30E9-946F936A203C}"/>
            </a:ext>
          </a:extLst>
        </xdr:cNvPr>
        <xdr:cNvGrpSpPr/>
      </xdr:nvGrpSpPr>
      <xdr:grpSpPr>
        <a:xfrm>
          <a:off x="8224804" y="5462213"/>
          <a:ext cx="977615" cy="1443081"/>
          <a:chOff x="8170537" y="5581967"/>
          <a:chExt cx="980522" cy="1473319"/>
        </a:xfrm>
      </xdr:grpSpPr>
      <xdr:sp macro="" textlink="PivotTable!W6">
        <xdr:nvSpPr>
          <xdr:cNvPr id="51" name="TextBox 50">
            <a:extLst>
              <a:ext uri="{FF2B5EF4-FFF2-40B4-BE49-F238E27FC236}">
                <a16:creationId xmlns:a16="http://schemas.microsoft.com/office/drawing/2014/main" id="{72607D6C-B72C-364B-43F3-ECE1423BA0E4}"/>
              </a:ext>
            </a:extLst>
          </xdr:cNvPr>
          <xdr:cNvSpPr txBox="1"/>
        </xdr:nvSpPr>
        <xdr:spPr>
          <a:xfrm>
            <a:off x="8170537" y="6755210"/>
            <a:ext cx="980522" cy="3000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629AD86-D74E-41CB-9D36-2FB18133D9BE}" type="TxLink">
              <a:rPr lang="en-US" sz="1400" b="0" i="0" u="none" strike="noStrike">
                <a:solidFill>
                  <a:srgbClr val="E1BB9F"/>
                </a:solidFill>
                <a:latin typeface="Calibri"/>
                <a:ea typeface="Calibri"/>
                <a:cs typeface="Calibri"/>
              </a:rPr>
              <a:pPr algn="ctr"/>
              <a:t> $11,011 </a:t>
            </a:fld>
            <a:endParaRPr lang="en-ID" sz="1600" b="0">
              <a:solidFill>
                <a:srgbClr val="E1BB9F"/>
              </a:solidFill>
              <a:latin typeface="Aptos Display" panose="020B0004020202020204" pitchFamily="34" charset="0"/>
              <a:ea typeface="Cambria" panose="02040503050406030204" pitchFamily="18" charset="0"/>
            </a:endParaRPr>
          </a:p>
        </xdr:txBody>
      </xdr:sp>
      <xdr:sp macro="" textlink="">
        <xdr:nvSpPr>
          <xdr:cNvPr id="55" name="TextBox 54">
            <a:extLst>
              <a:ext uri="{FF2B5EF4-FFF2-40B4-BE49-F238E27FC236}">
                <a16:creationId xmlns:a16="http://schemas.microsoft.com/office/drawing/2014/main" id="{522EC675-6C39-BF6A-0740-A812F50B4E30}"/>
              </a:ext>
            </a:extLst>
          </xdr:cNvPr>
          <xdr:cNvSpPr txBox="1"/>
        </xdr:nvSpPr>
        <xdr:spPr>
          <a:xfrm>
            <a:off x="8319472" y="5581967"/>
            <a:ext cx="682278" cy="2936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200" b="0">
                <a:solidFill>
                  <a:srgbClr val="956643"/>
                </a:solidFill>
                <a:latin typeface="Aptos Display" panose="020B0004020202020204" pitchFamily="34" charset="0"/>
                <a:ea typeface="Cambria" panose="02040503050406030204" pitchFamily="18" charset="0"/>
              </a:rPr>
              <a:t>1.0 Kg</a:t>
            </a:r>
            <a:endParaRPr lang="en-ID" sz="1400" b="0">
              <a:solidFill>
                <a:srgbClr val="956643"/>
              </a:solidFill>
              <a:latin typeface="Aptos Display" panose="020B0004020202020204" pitchFamily="34" charset="0"/>
              <a:ea typeface="Cambria" panose="02040503050406030204" pitchFamily="18" charset="0"/>
            </a:endParaRPr>
          </a:p>
        </xdr:txBody>
      </xdr:sp>
      <xdr:grpSp>
        <xdr:nvGrpSpPr>
          <xdr:cNvPr id="75" name="Group 74">
            <a:extLst>
              <a:ext uri="{FF2B5EF4-FFF2-40B4-BE49-F238E27FC236}">
                <a16:creationId xmlns:a16="http://schemas.microsoft.com/office/drawing/2014/main" id="{3367A318-66E1-8162-622B-2F5448C521E4}"/>
              </a:ext>
            </a:extLst>
          </xdr:cNvPr>
          <xdr:cNvGrpSpPr/>
        </xdr:nvGrpSpPr>
        <xdr:grpSpPr>
          <a:xfrm>
            <a:off x="8204059" y="5852060"/>
            <a:ext cx="913105" cy="926661"/>
            <a:chOff x="9528847" y="7391711"/>
            <a:chExt cx="913896" cy="899984"/>
          </a:xfrm>
        </xdr:grpSpPr>
        <xdr:grpSp>
          <xdr:nvGrpSpPr>
            <xdr:cNvPr id="76" name="Group 75">
              <a:extLst>
                <a:ext uri="{FF2B5EF4-FFF2-40B4-BE49-F238E27FC236}">
                  <a16:creationId xmlns:a16="http://schemas.microsoft.com/office/drawing/2014/main" id="{3C47EF32-D92C-C383-7195-02B0285DC0F7}"/>
                </a:ext>
              </a:extLst>
            </xdr:cNvPr>
            <xdr:cNvGrpSpPr/>
          </xdr:nvGrpSpPr>
          <xdr:grpSpPr>
            <a:xfrm>
              <a:off x="9528847" y="7391711"/>
              <a:ext cx="913896" cy="899984"/>
              <a:chOff x="9138810" y="7455924"/>
              <a:chExt cx="913896" cy="899984"/>
            </a:xfrm>
          </xdr:grpSpPr>
          <xdr:pic>
            <xdr:nvPicPr>
              <xdr:cNvPr id="78" name="Graphic 77" descr="Seeds with solid fill">
                <a:extLst>
                  <a:ext uri="{FF2B5EF4-FFF2-40B4-BE49-F238E27FC236}">
                    <a16:creationId xmlns:a16="http://schemas.microsoft.com/office/drawing/2014/main" id="{D12BB57F-7C1B-00BA-5340-914522184DC4}"/>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9138810" y="7455924"/>
                <a:ext cx="913896" cy="899984"/>
              </a:xfrm>
              <a:prstGeom prst="rect">
                <a:avLst/>
              </a:prstGeom>
            </xdr:spPr>
          </xdr:pic>
          <xdr:sp macro="" textlink="">
            <xdr:nvSpPr>
              <xdr:cNvPr id="79" name="Rectangle 78">
                <a:extLst>
                  <a:ext uri="{FF2B5EF4-FFF2-40B4-BE49-F238E27FC236}">
                    <a16:creationId xmlns:a16="http://schemas.microsoft.com/office/drawing/2014/main" id="{DB57A684-1187-61BE-E7C0-735C2085C904}"/>
                  </a:ext>
                </a:extLst>
              </xdr:cNvPr>
              <xdr:cNvSpPr/>
            </xdr:nvSpPr>
            <xdr:spPr>
              <a:xfrm>
                <a:off x="9465659" y="7772820"/>
                <a:ext cx="282953" cy="327914"/>
              </a:xfrm>
              <a:prstGeom prst="rect">
                <a:avLst/>
              </a:prstGeom>
              <a:solidFill>
                <a:srgbClr val="C4A79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grpSp>
        <xdr:pic>
          <xdr:nvPicPr>
            <xdr:cNvPr id="77" name="Graphic 76" descr="Coffee Beans with solid fill">
              <a:extLst>
                <a:ext uri="{FF2B5EF4-FFF2-40B4-BE49-F238E27FC236}">
                  <a16:creationId xmlns:a16="http://schemas.microsoft.com/office/drawing/2014/main" id="{893659B6-0AF9-1D70-C538-E3E46E68EAEE}"/>
                </a:ext>
              </a:extLst>
            </xdr:cNvPr>
            <xdr:cNvPicPr>
              <a:picLocks noChangeAspect="1"/>
            </xdr:cNvPicPr>
          </xdr:nvPicPr>
          <xdr:blipFill rotWithShape="1">
            <a:blip xmlns:r="http://schemas.openxmlformats.org/officeDocument/2006/relationships" r:embed="rId3">
              <a:extLst>
                <a:ext uri="{96DAC541-7B7A-43D3-8B79-37D633B846F1}">
                  <asvg:svgBlip xmlns:asvg="http://schemas.microsoft.com/office/drawing/2016/SVG/main" r:embed="rId4"/>
                </a:ext>
              </a:extLst>
            </a:blip>
            <a:srcRect l="7425" t="18518" r="53566" b="38195"/>
            <a:stretch>
              <a:fillRect/>
            </a:stretch>
          </xdr:blipFill>
          <xdr:spPr>
            <a:xfrm>
              <a:off x="9841463" y="7679976"/>
              <a:ext cx="256397" cy="283770"/>
            </a:xfrm>
            <a:prstGeom prst="rect">
              <a:avLst/>
            </a:prstGeom>
          </xdr:spPr>
        </xdr:pic>
      </xdr:grpSp>
    </xdr:grpSp>
    <xdr:clientData/>
  </xdr:twoCellAnchor>
  <xdr:twoCellAnchor>
    <xdr:from>
      <xdr:col>14</xdr:col>
      <xdr:colOff>420724</xdr:colOff>
      <xdr:row>30</xdr:row>
      <xdr:rowOff>19355</xdr:rowOff>
    </xdr:from>
    <xdr:to>
      <xdr:col>16</xdr:col>
      <xdr:colOff>207364</xdr:colOff>
      <xdr:row>38</xdr:row>
      <xdr:rowOff>144463</xdr:rowOff>
    </xdr:to>
    <xdr:grpSp>
      <xdr:nvGrpSpPr>
        <xdr:cNvPr id="188" name="Group 187">
          <a:extLst>
            <a:ext uri="{FF2B5EF4-FFF2-40B4-BE49-F238E27FC236}">
              <a16:creationId xmlns:a16="http://schemas.microsoft.com/office/drawing/2014/main" id="{BA82EA00-30FD-ED12-2CC4-E37AF023DB29}"/>
            </a:ext>
          </a:extLst>
        </xdr:cNvPr>
        <xdr:cNvGrpSpPr/>
      </xdr:nvGrpSpPr>
      <xdr:grpSpPr>
        <a:xfrm>
          <a:off x="8919955" y="5462212"/>
          <a:ext cx="1000816" cy="1576537"/>
          <a:chOff x="8963458" y="5525996"/>
          <a:chExt cx="1007031" cy="1593545"/>
        </a:xfrm>
      </xdr:grpSpPr>
      <xdr:sp macro="" textlink="PivotTable!W7">
        <xdr:nvSpPr>
          <xdr:cNvPr id="52" name="TextBox 51">
            <a:extLst>
              <a:ext uri="{FF2B5EF4-FFF2-40B4-BE49-F238E27FC236}">
                <a16:creationId xmlns:a16="http://schemas.microsoft.com/office/drawing/2014/main" id="{016E04E0-3F0E-033B-2533-4A5880ED6398}"/>
              </a:ext>
            </a:extLst>
          </xdr:cNvPr>
          <xdr:cNvSpPr txBox="1"/>
        </xdr:nvSpPr>
        <xdr:spPr>
          <a:xfrm>
            <a:off x="8975052" y="6825098"/>
            <a:ext cx="983847" cy="294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1906251-34F5-4EA2-82C3-5CAE3FC5E45A}" type="TxLink">
              <a:rPr lang="en-US" sz="1400" b="1" i="0" u="none" strike="noStrike">
                <a:solidFill>
                  <a:srgbClr val="E1BB9F"/>
                </a:solidFill>
                <a:latin typeface="Calibri"/>
                <a:ea typeface="Calibri"/>
                <a:cs typeface="Calibri"/>
              </a:rPr>
              <a:pPr algn="ctr"/>
              <a:t> $23,786 </a:t>
            </a:fld>
            <a:endParaRPr lang="en-ID" sz="1600" b="1">
              <a:solidFill>
                <a:srgbClr val="E1BB9F"/>
              </a:solidFill>
              <a:latin typeface="Aptos Display" panose="020B0004020202020204" pitchFamily="34" charset="0"/>
              <a:ea typeface="Cambria" panose="02040503050406030204" pitchFamily="18" charset="0"/>
            </a:endParaRPr>
          </a:p>
        </xdr:txBody>
      </xdr:sp>
      <xdr:sp macro="" textlink="">
        <xdr:nvSpPr>
          <xdr:cNvPr id="56" name="TextBox 55">
            <a:extLst>
              <a:ext uri="{FF2B5EF4-FFF2-40B4-BE49-F238E27FC236}">
                <a16:creationId xmlns:a16="http://schemas.microsoft.com/office/drawing/2014/main" id="{322B163B-DFEC-4FF9-B8F2-B1D473090CDE}"/>
              </a:ext>
            </a:extLst>
          </xdr:cNvPr>
          <xdr:cNvSpPr txBox="1"/>
        </xdr:nvSpPr>
        <xdr:spPr>
          <a:xfrm>
            <a:off x="9124806" y="5525996"/>
            <a:ext cx="684340" cy="2931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200" b="0">
                <a:solidFill>
                  <a:srgbClr val="956643"/>
                </a:solidFill>
                <a:latin typeface="Aptos Display" panose="020B0004020202020204" pitchFamily="34" charset="0"/>
                <a:ea typeface="Cambria" panose="02040503050406030204" pitchFamily="18" charset="0"/>
              </a:rPr>
              <a:t>2.5 Kg</a:t>
            </a:r>
            <a:endParaRPr lang="en-ID" sz="1400" b="0">
              <a:solidFill>
                <a:srgbClr val="956643"/>
              </a:solidFill>
              <a:latin typeface="Aptos Display" panose="020B0004020202020204" pitchFamily="34" charset="0"/>
              <a:ea typeface="Cambria" panose="02040503050406030204" pitchFamily="18" charset="0"/>
            </a:endParaRPr>
          </a:p>
        </xdr:txBody>
      </xdr:sp>
      <xdr:grpSp>
        <xdr:nvGrpSpPr>
          <xdr:cNvPr id="81" name="Group 80">
            <a:extLst>
              <a:ext uri="{FF2B5EF4-FFF2-40B4-BE49-F238E27FC236}">
                <a16:creationId xmlns:a16="http://schemas.microsoft.com/office/drawing/2014/main" id="{5F7D1B27-6751-A272-80B4-D32C429976AD}"/>
              </a:ext>
            </a:extLst>
          </xdr:cNvPr>
          <xdr:cNvGrpSpPr/>
        </xdr:nvGrpSpPr>
        <xdr:grpSpPr>
          <a:xfrm>
            <a:off x="8963458" y="5818303"/>
            <a:ext cx="1007031" cy="1007638"/>
            <a:chOff x="9138810" y="7455924"/>
            <a:chExt cx="913896" cy="899984"/>
          </a:xfrm>
        </xdr:grpSpPr>
        <xdr:pic>
          <xdr:nvPicPr>
            <xdr:cNvPr id="83" name="Graphic 82" descr="Seeds with solid fill">
              <a:extLst>
                <a:ext uri="{FF2B5EF4-FFF2-40B4-BE49-F238E27FC236}">
                  <a16:creationId xmlns:a16="http://schemas.microsoft.com/office/drawing/2014/main" id="{C9A687E8-796C-FB7F-A7E1-11FB10F557EA}"/>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9138810" y="7455924"/>
              <a:ext cx="913896" cy="899984"/>
            </a:xfrm>
            <a:prstGeom prst="rect">
              <a:avLst/>
            </a:prstGeom>
          </xdr:spPr>
        </xdr:pic>
        <xdr:sp macro="" textlink="">
          <xdr:nvSpPr>
            <xdr:cNvPr id="84" name="Rectangle 83">
              <a:extLst>
                <a:ext uri="{FF2B5EF4-FFF2-40B4-BE49-F238E27FC236}">
                  <a16:creationId xmlns:a16="http://schemas.microsoft.com/office/drawing/2014/main" id="{A5B624EB-06FA-6462-1000-C01D43CDFB47}"/>
                </a:ext>
              </a:extLst>
            </xdr:cNvPr>
            <xdr:cNvSpPr/>
          </xdr:nvSpPr>
          <xdr:spPr>
            <a:xfrm>
              <a:off x="9465659" y="7772820"/>
              <a:ext cx="282953" cy="327914"/>
            </a:xfrm>
            <a:prstGeom prst="rect">
              <a:avLst/>
            </a:prstGeom>
            <a:solidFill>
              <a:srgbClr val="C4A79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grpSp>
      <xdr:pic>
        <xdr:nvPicPr>
          <xdr:cNvPr id="82" name="Graphic 81" descr="Coffee Beans with solid fill">
            <a:extLst>
              <a:ext uri="{FF2B5EF4-FFF2-40B4-BE49-F238E27FC236}">
                <a16:creationId xmlns:a16="http://schemas.microsoft.com/office/drawing/2014/main" id="{A153990E-F28B-DFD1-FB4C-97281410B9DC}"/>
              </a:ext>
            </a:extLst>
          </xdr:cNvPr>
          <xdr:cNvPicPr>
            <a:picLocks noChangeAspect="1"/>
          </xdr:cNvPicPr>
        </xdr:nvPicPr>
        <xdr:blipFill rotWithShape="1">
          <a:blip xmlns:r="http://schemas.openxmlformats.org/officeDocument/2006/relationships" r:embed="rId3">
            <a:extLst>
              <a:ext uri="{96DAC541-7B7A-43D3-8B79-37D633B846F1}">
                <asvg:svgBlip xmlns:asvg="http://schemas.microsoft.com/office/drawing/2016/SVG/main" r:embed="rId4"/>
              </a:ext>
            </a:extLst>
          </a:blip>
          <a:srcRect l="7425" t="18518" r="53566" b="38195"/>
          <a:stretch>
            <a:fillRect/>
          </a:stretch>
        </xdr:blipFill>
        <xdr:spPr>
          <a:xfrm>
            <a:off x="9308573" y="6140717"/>
            <a:ext cx="281389" cy="317252"/>
          </a:xfrm>
          <a:prstGeom prst="rect">
            <a:avLst/>
          </a:prstGeom>
        </xdr:spPr>
      </xdr:pic>
    </xdr:grpSp>
    <xdr:clientData/>
  </xdr:twoCellAnchor>
  <xdr:twoCellAnchor>
    <xdr:from>
      <xdr:col>4</xdr:col>
      <xdr:colOff>416189</xdr:colOff>
      <xdr:row>10</xdr:row>
      <xdr:rowOff>9897</xdr:rowOff>
    </xdr:from>
    <xdr:to>
      <xdr:col>7</xdr:col>
      <xdr:colOff>152402</xdr:colOff>
      <xdr:row>12</xdr:row>
      <xdr:rowOff>22357</xdr:rowOff>
    </xdr:to>
    <xdr:sp macro="" textlink="">
      <xdr:nvSpPr>
        <xdr:cNvPr id="85" name="TextBox 84">
          <a:extLst>
            <a:ext uri="{FF2B5EF4-FFF2-40B4-BE49-F238E27FC236}">
              <a16:creationId xmlns:a16="http://schemas.microsoft.com/office/drawing/2014/main" id="{A2F3B532-637E-1289-CC47-2FA2249EB297}"/>
            </a:ext>
          </a:extLst>
        </xdr:cNvPr>
        <xdr:cNvSpPr txBox="1"/>
      </xdr:nvSpPr>
      <xdr:spPr>
        <a:xfrm>
          <a:off x="2843300" y="1844341"/>
          <a:ext cx="1556546" cy="3793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1400" b="0">
              <a:solidFill>
                <a:srgbClr val="D9A883"/>
              </a:solidFill>
              <a:latin typeface="Aptos Display" panose="020B0004020202020204" pitchFamily="34" charset="0"/>
              <a:ea typeface="Cambria" panose="02040503050406030204" pitchFamily="18" charset="0"/>
            </a:rPr>
            <a:t>Total</a:t>
          </a:r>
          <a:r>
            <a:rPr lang="en-ID" sz="1400" b="0" baseline="0">
              <a:solidFill>
                <a:srgbClr val="D9A883"/>
              </a:solidFill>
              <a:latin typeface="Aptos Display" panose="020B0004020202020204" pitchFamily="34" charset="0"/>
              <a:ea typeface="Cambria" panose="02040503050406030204" pitchFamily="18" charset="0"/>
            </a:rPr>
            <a:t> Sales</a:t>
          </a:r>
          <a:endParaRPr lang="en-ID" sz="1400" b="0">
            <a:solidFill>
              <a:srgbClr val="D9A883"/>
            </a:solidFill>
            <a:latin typeface="Aptos Display" panose="020B0004020202020204" pitchFamily="34" charset="0"/>
            <a:ea typeface="Cambria" panose="02040503050406030204" pitchFamily="18" charset="0"/>
          </a:endParaRPr>
        </a:p>
      </xdr:txBody>
    </xdr:sp>
    <xdr:clientData/>
  </xdr:twoCellAnchor>
  <xdr:twoCellAnchor editAs="oneCell">
    <xdr:from>
      <xdr:col>15</xdr:col>
      <xdr:colOff>308920</xdr:colOff>
      <xdr:row>7</xdr:row>
      <xdr:rowOff>148314</xdr:rowOff>
    </xdr:from>
    <xdr:to>
      <xdr:col>16</xdr:col>
      <xdr:colOff>365884</xdr:colOff>
      <xdr:row>11</xdr:row>
      <xdr:rowOff>76295</xdr:rowOff>
    </xdr:to>
    <xdr:pic>
      <xdr:nvPicPr>
        <xdr:cNvPr id="87" name="Graphic 86" descr="Coffee Beans with solid fill">
          <a:extLst>
            <a:ext uri="{FF2B5EF4-FFF2-40B4-BE49-F238E27FC236}">
              <a16:creationId xmlns:a16="http://schemas.microsoft.com/office/drawing/2014/main" id="{EA92F903-D5F2-D870-D48B-1AE18C83BE22}"/>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9410587" y="1432425"/>
          <a:ext cx="663741" cy="661759"/>
        </a:xfrm>
        <a:prstGeom prst="rect">
          <a:avLst/>
        </a:prstGeom>
      </xdr:spPr>
    </xdr:pic>
    <xdr:clientData/>
  </xdr:twoCellAnchor>
  <xdr:twoCellAnchor editAs="oneCell">
    <xdr:from>
      <xdr:col>19</xdr:col>
      <xdr:colOff>467501</xdr:colOff>
      <xdr:row>7</xdr:row>
      <xdr:rowOff>150524</xdr:rowOff>
    </xdr:from>
    <xdr:to>
      <xdr:col>20</xdr:col>
      <xdr:colOff>524465</xdr:colOff>
      <xdr:row>11</xdr:row>
      <xdr:rowOff>74085</xdr:rowOff>
    </xdr:to>
    <xdr:pic>
      <xdr:nvPicPr>
        <xdr:cNvPr id="89" name="Graphic 88" descr="Latte Cup with solid fill">
          <a:extLst>
            <a:ext uri="{FF2B5EF4-FFF2-40B4-BE49-F238E27FC236}">
              <a16:creationId xmlns:a16="http://schemas.microsoft.com/office/drawing/2014/main" id="{9AB44DA2-3B96-94B4-5D6F-1D90C483D957}"/>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11996279" y="1434635"/>
          <a:ext cx="663742" cy="657339"/>
        </a:xfrm>
        <a:prstGeom prst="rect">
          <a:avLst/>
        </a:prstGeom>
      </xdr:spPr>
    </xdr:pic>
    <xdr:clientData/>
  </xdr:twoCellAnchor>
  <xdr:twoCellAnchor editAs="oneCell">
    <xdr:from>
      <xdr:col>7</xdr:col>
      <xdr:colOff>209730</xdr:colOff>
      <xdr:row>7</xdr:row>
      <xdr:rowOff>150524</xdr:rowOff>
    </xdr:from>
    <xdr:to>
      <xdr:col>8</xdr:col>
      <xdr:colOff>266444</xdr:colOff>
      <xdr:row>11</xdr:row>
      <xdr:rowOff>74086</xdr:rowOff>
    </xdr:to>
    <xdr:pic>
      <xdr:nvPicPr>
        <xdr:cNvPr id="93" name="Graphic 92" descr="Money with solid fill">
          <a:extLst>
            <a:ext uri="{FF2B5EF4-FFF2-40B4-BE49-F238E27FC236}">
              <a16:creationId xmlns:a16="http://schemas.microsoft.com/office/drawing/2014/main" id="{93171125-95A0-ACE8-13EB-110EE422082B}"/>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4457174" y="1434635"/>
          <a:ext cx="663492" cy="657340"/>
        </a:xfrm>
        <a:prstGeom prst="rect">
          <a:avLst/>
        </a:prstGeom>
      </xdr:spPr>
    </xdr:pic>
    <xdr:clientData/>
  </xdr:twoCellAnchor>
  <xdr:twoCellAnchor editAs="oneCell">
    <xdr:from>
      <xdr:col>11</xdr:col>
      <xdr:colOff>256758</xdr:colOff>
      <xdr:row>7</xdr:row>
      <xdr:rowOff>150524</xdr:rowOff>
    </xdr:from>
    <xdr:to>
      <xdr:col>12</xdr:col>
      <xdr:colOff>313472</xdr:colOff>
      <xdr:row>11</xdr:row>
      <xdr:rowOff>74085</xdr:rowOff>
    </xdr:to>
    <xdr:pic>
      <xdr:nvPicPr>
        <xdr:cNvPr id="95" name="Graphic 94" descr="Coins with solid fill">
          <a:extLst>
            <a:ext uri="{FF2B5EF4-FFF2-40B4-BE49-F238E27FC236}">
              <a16:creationId xmlns:a16="http://schemas.microsoft.com/office/drawing/2014/main" id="{8122FEFE-691E-5038-02D8-67F0C6111C94}"/>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6931314" y="1434635"/>
          <a:ext cx="663491" cy="657339"/>
        </a:xfrm>
        <a:prstGeom prst="rect">
          <a:avLst/>
        </a:prstGeom>
      </xdr:spPr>
    </xdr:pic>
    <xdr:clientData/>
  </xdr:twoCellAnchor>
  <xdr:twoCellAnchor editAs="oneCell">
    <xdr:from>
      <xdr:col>17</xdr:col>
      <xdr:colOff>96323</xdr:colOff>
      <xdr:row>1</xdr:row>
      <xdr:rowOff>74082</xdr:rowOff>
    </xdr:from>
    <xdr:to>
      <xdr:col>21</xdr:col>
      <xdr:colOff>128455</xdr:colOff>
      <xdr:row>6</xdr:row>
      <xdr:rowOff>162051</xdr:rowOff>
    </xdr:to>
    <mc:AlternateContent xmlns:mc="http://schemas.openxmlformats.org/markup-compatibility/2006">
      <mc:Choice xmlns:a14="http://schemas.microsoft.com/office/drawing/2010/main" Requires="a14">
        <xdr:graphicFrame macro="">
          <xdr:nvGraphicFramePr>
            <xdr:cNvPr id="102" name="Years (Order Date)">
              <a:extLst>
                <a:ext uri="{FF2B5EF4-FFF2-40B4-BE49-F238E27FC236}">
                  <a16:creationId xmlns:a16="http://schemas.microsoft.com/office/drawing/2014/main" id="{EC6F04E4-0228-495B-AF1F-F56A825CA83B}"/>
                </a:ext>
              </a:extLst>
            </xdr:cNvPr>
            <xdr:cNvGraphicFramePr/>
          </xdr:nvGraphicFramePr>
          <xdr:xfrm>
            <a:off x="0" y="0"/>
            <a:ext cx="0" cy="0"/>
          </xdr:xfrm>
          <a:graphic>
            <a:graphicData uri="http://schemas.microsoft.com/office/drawing/2010/slicer">
              <sle:slicer xmlns:sle="http://schemas.microsoft.com/office/drawing/2010/slicer" name="Years (Order Date)"/>
            </a:graphicData>
          </a:graphic>
        </xdr:graphicFrame>
      </mc:Choice>
      <mc:Fallback>
        <xdr:sp macro="" textlink="">
          <xdr:nvSpPr>
            <xdr:cNvPr id="0" name=""/>
            <xdr:cNvSpPr>
              <a:spLocks noTextEdit="1"/>
            </xdr:cNvSpPr>
          </xdr:nvSpPr>
          <xdr:spPr>
            <a:xfrm>
              <a:off x="10416818" y="255511"/>
              <a:ext cx="2460483" cy="995111"/>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8</xdr:col>
      <xdr:colOff>367630</xdr:colOff>
      <xdr:row>1</xdr:row>
      <xdr:rowOff>74082</xdr:rowOff>
    </xdr:from>
    <xdr:to>
      <xdr:col>12</xdr:col>
      <xdr:colOff>551446</xdr:colOff>
      <xdr:row>6</xdr:row>
      <xdr:rowOff>157449</xdr:rowOff>
    </xdr:to>
    <mc:AlternateContent xmlns:mc="http://schemas.openxmlformats.org/markup-compatibility/2006">
      <mc:Choice xmlns:a14="http://schemas.microsoft.com/office/drawing/2010/main" Requires="a14">
        <xdr:graphicFrame macro="">
          <xdr:nvGraphicFramePr>
            <xdr:cNvPr id="103" name="Country">
              <a:extLst>
                <a:ext uri="{FF2B5EF4-FFF2-40B4-BE49-F238E27FC236}">
                  <a16:creationId xmlns:a16="http://schemas.microsoft.com/office/drawing/2014/main" id="{5C0E45E8-89CB-4611-942C-84003A804656}"/>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5224333" y="255511"/>
              <a:ext cx="2612168" cy="99050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13</xdr:col>
      <xdr:colOff>4346</xdr:colOff>
      <xdr:row>1</xdr:row>
      <xdr:rowOff>74082</xdr:rowOff>
    </xdr:from>
    <xdr:to>
      <xdr:col>17</xdr:col>
      <xdr:colOff>33489</xdr:colOff>
      <xdr:row>6</xdr:row>
      <xdr:rowOff>162051</xdr:rowOff>
    </xdr:to>
    <mc:AlternateContent xmlns:mc="http://schemas.openxmlformats.org/markup-compatibility/2006">
      <mc:Choice xmlns:a14="http://schemas.microsoft.com/office/drawing/2010/main" Requires="a14">
        <xdr:graphicFrame macro="">
          <xdr:nvGraphicFramePr>
            <xdr:cNvPr id="104" name="Coffee Type Name">
              <a:extLst>
                <a:ext uri="{FF2B5EF4-FFF2-40B4-BE49-F238E27FC236}">
                  <a16:creationId xmlns:a16="http://schemas.microsoft.com/office/drawing/2014/main" id="{F15DEBAB-3B2E-45AD-A49E-142AE18E42CE}"/>
                </a:ext>
              </a:extLst>
            </xdr:cNvPr>
            <xdr:cNvGraphicFramePr/>
          </xdr:nvGraphicFramePr>
          <xdr:xfrm>
            <a:off x="0" y="0"/>
            <a:ext cx="0" cy="0"/>
          </xdr:xfrm>
          <a:graphic>
            <a:graphicData uri="http://schemas.microsoft.com/office/drawing/2010/slicer">
              <sle:slicer xmlns:sle="http://schemas.microsoft.com/office/drawing/2010/slicer" name="Coffee Type Name"/>
            </a:graphicData>
          </a:graphic>
        </xdr:graphicFrame>
      </mc:Choice>
      <mc:Fallback>
        <xdr:sp macro="" textlink="">
          <xdr:nvSpPr>
            <xdr:cNvPr id="0" name=""/>
            <xdr:cNvSpPr>
              <a:spLocks noTextEdit="1"/>
            </xdr:cNvSpPr>
          </xdr:nvSpPr>
          <xdr:spPr>
            <a:xfrm>
              <a:off x="7896489" y="255511"/>
              <a:ext cx="2457495" cy="995111"/>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4</xdr:col>
      <xdr:colOff>481126</xdr:colOff>
      <xdr:row>13</xdr:row>
      <xdr:rowOff>92902</xdr:rowOff>
    </xdr:from>
    <xdr:to>
      <xdr:col>8</xdr:col>
      <xdr:colOff>447220</xdr:colOff>
      <xdr:row>14</xdr:row>
      <xdr:rowOff>127262</xdr:rowOff>
    </xdr:to>
    <xdr:sp macro="" textlink="">
      <xdr:nvSpPr>
        <xdr:cNvPr id="105" name="TextBox 104">
          <a:extLst>
            <a:ext uri="{FF2B5EF4-FFF2-40B4-BE49-F238E27FC236}">
              <a16:creationId xmlns:a16="http://schemas.microsoft.com/office/drawing/2014/main" id="{CA627230-9059-86DC-83FD-2D0FE04168A0}"/>
            </a:ext>
          </a:extLst>
        </xdr:cNvPr>
        <xdr:cNvSpPr txBox="1"/>
      </xdr:nvSpPr>
      <xdr:spPr>
        <a:xfrm>
          <a:off x="2908237" y="2477680"/>
          <a:ext cx="2393205" cy="217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1400" b="1">
              <a:solidFill>
                <a:srgbClr val="E1BB9F"/>
              </a:solidFill>
              <a:latin typeface="Aptos Display" panose="020B0004020202020204" pitchFamily="34" charset="0"/>
              <a:ea typeface="Cambria" panose="02040503050406030204" pitchFamily="18" charset="0"/>
              <a:cs typeface="+mn-cs"/>
            </a:rPr>
            <a:t>Annual</a:t>
          </a:r>
          <a:r>
            <a:rPr lang="en-ID" sz="1400" b="1">
              <a:solidFill>
                <a:srgbClr val="E1BB9F"/>
              </a:solidFill>
              <a:latin typeface="Aptos Display" panose="020B0004020202020204" pitchFamily="34" charset="0"/>
            </a:rPr>
            <a:t> Sales Profit Overview</a:t>
          </a:r>
          <a:endParaRPr lang="en-ID" sz="1400" b="1">
            <a:solidFill>
              <a:srgbClr val="E1BB9F"/>
            </a:solidFill>
            <a:latin typeface="Aptos Display" panose="020B0004020202020204" pitchFamily="34" charset="0"/>
            <a:ea typeface="Cambria" panose="02040503050406030204" pitchFamily="18" charset="0"/>
          </a:endParaRPr>
        </a:p>
      </xdr:txBody>
    </xdr:sp>
    <xdr:clientData/>
  </xdr:twoCellAnchor>
  <xdr:twoCellAnchor>
    <xdr:from>
      <xdr:col>4</xdr:col>
      <xdr:colOff>481126</xdr:colOff>
      <xdr:row>14</xdr:row>
      <xdr:rowOff>80034</xdr:rowOff>
    </xdr:from>
    <xdr:to>
      <xdr:col>9</xdr:col>
      <xdr:colOff>136776</xdr:colOff>
      <xdr:row>15</xdr:row>
      <xdr:rowOff>114394</xdr:rowOff>
    </xdr:to>
    <xdr:sp macro="" textlink="">
      <xdr:nvSpPr>
        <xdr:cNvPr id="106" name="TextBox 105">
          <a:extLst>
            <a:ext uri="{FF2B5EF4-FFF2-40B4-BE49-F238E27FC236}">
              <a16:creationId xmlns:a16="http://schemas.microsoft.com/office/drawing/2014/main" id="{F3F476FC-0B4E-15EB-FF54-ADD7F59FFDF3}"/>
            </a:ext>
          </a:extLst>
        </xdr:cNvPr>
        <xdr:cNvSpPr txBox="1"/>
      </xdr:nvSpPr>
      <xdr:spPr>
        <a:xfrm>
          <a:off x="2908237" y="2648256"/>
          <a:ext cx="2689539" cy="2178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D" sz="900">
              <a:solidFill>
                <a:srgbClr val="956643"/>
              </a:solidFill>
              <a:latin typeface="Aptos Display" panose="020B0004020202020204" pitchFamily="34" charset="0"/>
            </a:rPr>
            <a:t>Yearly profit performance based on sales results.</a:t>
          </a:r>
        </a:p>
      </xdr:txBody>
    </xdr:sp>
    <xdr:clientData/>
  </xdr:twoCellAnchor>
  <xdr:twoCellAnchor>
    <xdr:from>
      <xdr:col>9</xdr:col>
      <xdr:colOff>580705</xdr:colOff>
      <xdr:row>15</xdr:row>
      <xdr:rowOff>94061</xdr:rowOff>
    </xdr:from>
    <xdr:to>
      <xdr:col>11</xdr:col>
      <xdr:colOff>38378</xdr:colOff>
      <xdr:row>17</xdr:row>
      <xdr:rowOff>94214</xdr:rowOff>
    </xdr:to>
    <xdr:grpSp>
      <xdr:nvGrpSpPr>
        <xdr:cNvPr id="113" name="Group 112">
          <a:extLst>
            <a:ext uri="{FF2B5EF4-FFF2-40B4-BE49-F238E27FC236}">
              <a16:creationId xmlns:a16="http://schemas.microsoft.com/office/drawing/2014/main" id="{94820750-7944-603E-5BFB-9B0FD28B67CE}"/>
            </a:ext>
          </a:extLst>
        </xdr:cNvPr>
        <xdr:cNvGrpSpPr/>
      </xdr:nvGrpSpPr>
      <xdr:grpSpPr>
        <a:xfrm>
          <a:off x="6044496" y="2815490"/>
          <a:ext cx="671849" cy="363010"/>
          <a:chOff x="6043573" y="2888477"/>
          <a:chExt cx="671643" cy="373682"/>
        </a:xfrm>
      </xdr:grpSpPr>
      <xdr:grpSp>
        <xdr:nvGrpSpPr>
          <xdr:cNvPr id="112" name="Group 111">
            <a:extLst>
              <a:ext uri="{FF2B5EF4-FFF2-40B4-BE49-F238E27FC236}">
                <a16:creationId xmlns:a16="http://schemas.microsoft.com/office/drawing/2014/main" id="{B407DE73-B3A0-558E-D111-A5B112999BCA}"/>
              </a:ext>
            </a:extLst>
          </xdr:cNvPr>
          <xdr:cNvGrpSpPr/>
        </xdr:nvGrpSpPr>
        <xdr:grpSpPr>
          <a:xfrm>
            <a:off x="6043573" y="2888477"/>
            <a:ext cx="662305" cy="187951"/>
            <a:chOff x="5676281" y="2771232"/>
            <a:chExt cx="665418" cy="183801"/>
          </a:xfrm>
        </xdr:grpSpPr>
        <xdr:sp macro="" textlink="">
          <xdr:nvSpPr>
            <xdr:cNvPr id="107" name="Oval 106">
              <a:extLst>
                <a:ext uri="{FF2B5EF4-FFF2-40B4-BE49-F238E27FC236}">
                  <a16:creationId xmlns:a16="http://schemas.microsoft.com/office/drawing/2014/main" id="{11CC5050-E168-0035-58A0-E42D586E5338}"/>
                </a:ext>
              </a:extLst>
            </xdr:cNvPr>
            <xdr:cNvSpPr/>
          </xdr:nvSpPr>
          <xdr:spPr>
            <a:xfrm>
              <a:off x="5676281" y="2818791"/>
              <a:ext cx="91440" cy="88682"/>
            </a:xfrm>
            <a:prstGeom prst="ellipse">
              <a:avLst/>
            </a:prstGeom>
            <a:solidFill>
              <a:srgbClr val="E1BB9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ID" sz="1100"/>
            </a:p>
          </xdr:txBody>
        </xdr:sp>
        <xdr:sp macro="" textlink="">
          <xdr:nvSpPr>
            <xdr:cNvPr id="109" name="TextBox 108">
              <a:extLst>
                <a:ext uri="{FF2B5EF4-FFF2-40B4-BE49-F238E27FC236}">
                  <a16:creationId xmlns:a16="http://schemas.microsoft.com/office/drawing/2014/main" id="{4D31B0AF-F9F2-AB4A-5BA4-1A1410554612}"/>
                </a:ext>
              </a:extLst>
            </xdr:cNvPr>
            <xdr:cNvSpPr txBox="1"/>
          </xdr:nvSpPr>
          <xdr:spPr>
            <a:xfrm>
              <a:off x="5763040" y="2771232"/>
              <a:ext cx="578659" cy="183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D" sz="900" b="0">
                  <a:solidFill>
                    <a:srgbClr val="A98062"/>
                  </a:solidFill>
                  <a:latin typeface="Aptos Display" panose="020B0004020202020204" pitchFamily="34" charset="0"/>
                  <a:ea typeface="Cambria" panose="02040503050406030204" pitchFamily="18" charset="0"/>
                </a:rPr>
                <a:t>Sales</a:t>
              </a:r>
              <a:endParaRPr lang="en-ID" sz="1000" b="0">
                <a:solidFill>
                  <a:srgbClr val="A98062"/>
                </a:solidFill>
                <a:latin typeface="Aptos Display" panose="020B0004020202020204" pitchFamily="34" charset="0"/>
                <a:ea typeface="Cambria" panose="02040503050406030204" pitchFamily="18" charset="0"/>
              </a:endParaRPr>
            </a:p>
          </xdr:txBody>
        </xdr:sp>
      </xdr:grpSp>
      <xdr:grpSp>
        <xdr:nvGrpSpPr>
          <xdr:cNvPr id="111" name="Group 110">
            <a:extLst>
              <a:ext uri="{FF2B5EF4-FFF2-40B4-BE49-F238E27FC236}">
                <a16:creationId xmlns:a16="http://schemas.microsoft.com/office/drawing/2014/main" id="{2AFD2CE4-C4DB-96F0-9B8E-87CFC32D52C2}"/>
              </a:ext>
            </a:extLst>
          </xdr:cNvPr>
          <xdr:cNvGrpSpPr/>
        </xdr:nvGrpSpPr>
        <xdr:grpSpPr>
          <a:xfrm>
            <a:off x="6044610" y="3074207"/>
            <a:ext cx="670606" cy="187952"/>
            <a:chOff x="5676281" y="2899892"/>
            <a:chExt cx="673719" cy="183801"/>
          </a:xfrm>
        </xdr:grpSpPr>
        <xdr:sp macro="" textlink="">
          <xdr:nvSpPr>
            <xdr:cNvPr id="108" name="Oval 107">
              <a:extLst>
                <a:ext uri="{FF2B5EF4-FFF2-40B4-BE49-F238E27FC236}">
                  <a16:creationId xmlns:a16="http://schemas.microsoft.com/office/drawing/2014/main" id="{27FD9250-2C8A-CDA8-5BAD-086CA905FA72}"/>
                </a:ext>
              </a:extLst>
            </xdr:cNvPr>
            <xdr:cNvSpPr/>
          </xdr:nvSpPr>
          <xdr:spPr>
            <a:xfrm>
              <a:off x="5676281" y="2947451"/>
              <a:ext cx="91440" cy="88682"/>
            </a:xfrm>
            <a:prstGeom prst="ellipse">
              <a:avLst/>
            </a:prstGeom>
            <a:solidFill>
              <a:srgbClr val="62352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ID" sz="1100"/>
            </a:p>
          </xdr:txBody>
        </xdr:sp>
        <xdr:sp macro="" textlink="">
          <xdr:nvSpPr>
            <xdr:cNvPr id="110" name="TextBox 109">
              <a:extLst>
                <a:ext uri="{FF2B5EF4-FFF2-40B4-BE49-F238E27FC236}">
                  <a16:creationId xmlns:a16="http://schemas.microsoft.com/office/drawing/2014/main" id="{4A0AA22A-185D-A602-CDF2-76AB0481B71E}"/>
                </a:ext>
              </a:extLst>
            </xdr:cNvPr>
            <xdr:cNvSpPr txBox="1"/>
          </xdr:nvSpPr>
          <xdr:spPr>
            <a:xfrm>
              <a:off x="5771341" y="2899892"/>
              <a:ext cx="578659" cy="183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D" sz="900" b="0">
                  <a:solidFill>
                    <a:srgbClr val="A98062"/>
                  </a:solidFill>
                  <a:latin typeface="Aptos Display" panose="020B0004020202020204" pitchFamily="34" charset="0"/>
                  <a:ea typeface="Cambria" panose="02040503050406030204" pitchFamily="18" charset="0"/>
                </a:rPr>
                <a:t>Profit</a:t>
              </a:r>
              <a:endParaRPr lang="en-ID" sz="1000" b="0">
                <a:solidFill>
                  <a:srgbClr val="A98062"/>
                </a:solidFill>
                <a:latin typeface="Aptos Display" panose="020B0004020202020204" pitchFamily="34" charset="0"/>
                <a:ea typeface="Cambria" panose="02040503050406030204" pitchFamily="18" charset="0"/>
              </a:endParaRPr>
            </a:p>
          </xdr:txBody>
        </xdr:sp>
      </xdr:grpSp>
    </xdr:grpSp>
    <xdr:clientData/>
  </xdr:twoCellAnchor>
  <xdr:twoCellAnchor>
    <xdr:from>
      <xdr:col>7</xdr:col>
      <xdr:colOff>21346</xdr:colOff>
      <xdr:row>29</xdr:row>
      <xdr:rowOff>93393</xdr:rowOff>
    </xdr:from>
    <xdr:to>
      <xdr:col>8</xdr:col>
      <xdr:colOff>76448</xdr:colOff>
      <xdr:row>30</xdr:row>
      <xdr:rowOff>94577</xdr:rowOff>
    </xdr:to>
    <xdr:grpSp>
      <xdr:nvGrpSpPr>
        <xdr:cNvPr id="115" name="Group 114">
          <a:extLst>
            <a:ext uri="{FF2B5EF4-FFF2-40B4-BE49-F238E27FC236}">
              <a16:creationId xmlns:a16="http://schemas.microsoft.com/office/drawing/2014/main" id="{C7AF953C-13D6-A68A-95BE-440F83623DAE}"/>
            </a:ext>
          </a:extLst>
        </xdr:cNvPr>
        <xdr:cNvGrpSpPr/>
      </xdr:nvGrpSpPr>
      <xdr:grpSpPr>
        <a:xfrm>
          <a:off x="4270961" y="5354822"/>
          <a:ext cx="662190" cy="182612"/>
          <a:chOff x="5676281" y="2771232"/>
          <a:chExt cx="665418" cy="183801"/>
        </a:xfrm>
      </xdr:grpSpPr>
      <xdr:sp macro="" textlink="">
        <xdr:nvSpPr>
          <xdr:cNvPr id="119" name="Oval 118">
            <a:extLst>
              <a:ext uri="{FF2B5EF4-FFF2-40B4-BE49-F238E27FC236}">
                <a16:creationId xmlns:a16="http://schemas.microsoft.com/office/drawing/2014/main" id="{50BE5118-8EF9-32C3-8F3F-C1B19F6A678A}"/>
              </a:ext>
            </a:extLst>
          </xdr:cNvPr>
          <xdr:cNvSpPr/>
        </xdr:nvSpPr>
        <xdr:spPr>
          <a:xfrm>
            <a:off x="5676281" y="2818791"/>
            <a:ext cx="91440" cy="88682"/>
          </a:xfrm>
          <a:prstGeom prst="ellipse">
            <a:avLst/>
          </a:prstGeom>
          <a:solidFill>
            <a:srgbClr val="A9806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ID" sz="1100"/>
          </a:p>
        </xdr:txBody>
      </xdr:sp>
      <xdr:sp macro="" textlink="">
        <xdr:nvSpPr>
          <xdr:cNvPr id="120" name="TextBox 119">
            <a:extLst>
              <a:ext uri="{FF2B5EF4-FFF2-40B4-BE49-F238E27FC236}">
                <a16:creationId xmlns:a16="http://schemas.microsoft.com/office/drawing/2014/main" id="{A7E23B29-6A9C-BA6E-86DA-BD77C21C0685}"/>
              </a:ext>
            </a:extLst>
          </xdr:cNvPr>
          <xdr:cNvSpPr txBox="1"/>
        </xdr:nvSpPr>
        <xdr:spPr>
          <a:xfrm>
            <a:off x="5763040" y="2771232"/>
            <a:ext cx="578659" cy="183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D" sz="900" b="0">
                <a:solidFill>
                  <a:srgbClr val="A98062"/>
                </a:solidFill>
                <a:latin typeface="Aptos Display" panose="020B0004020202020204" pitchFamily="34" charset="0"/>
                <a:ea typeface="Cambria" panose="02040503050406030204" pitchFamily="18" charset="0"/>
              </a:rPr>
              <a:t>Liberica</a:t>
            </a:r>
            <a:endParaRPr lang="en-ID" sz="1000" b="0">
              <a:solidFill>
                <a:srgbClr val="A98062"/>
              </a:solidFill>
              <a:latin typeface="Aptos Display" panose="020B0004020202020204" pitchFamily="34" charset="0"/>
              <a:ea typeface="Cambria" panose="02040503050406030204" pitchFamily="18" charset="0"/>
            </a:endParaRPr>
          </a:p>
        </xdr:txBody>
      </xdr:sp>
    </xdr:grpSp>
    <xdr:clientData/>
  </xdr:twoCellAnchor>
  <xdr:twoCellAnchor>
    <xdr:from>
      <xdr:col>18</xdr:col>
      <xdr:colOff>505036</xdr:colOff>
      <xdr:row>16</xdr:row>
      <xdr:rowOff>13260</xdr:rowOff>
    </xdr:from>
    <xdr:to>
      <xdr:col>19</xdr:col>
      <xdr:colOff>568650</xdr:colOff>
      <xdr:row>17</xdr:row>
      <xdr:rowOff>14445</xdr:rowOff>
    </xdr:to>
    <xdr:grpSp>
      <xdr:nvGrpSpPr>
        <xdr:cNvPr id="116" name="Group 115">
          <a:extLst>
            <a:ext uri="{FF2B5EF4-FFF2-40B4-BE49-F238E27FC236}">
              <a16:creationId xmlns:a16="http://schemas.microsoft.com/office/drawing/2014/main" id="{73C269D8-6676-7E40-7B36-E96672894D54}"/>
            </a:ext>
          </a:extLst>
        </xdr:cNvPr>
        <xdr:cNvGrpSpPr/>
      </xdr:nvGrpSpPr>
      <xdr:grpSpPr>
        <a:xfrm>
          <a:off x="11432618" y="2916117"/>
          <a:ext cx="670702" cy="182614"/>
          <a:chOff x="5676281" y="2899892"/>
          <a:chExt cx="673719" cy="183801"/>
        </a:xfrm>
      </xdr:grpSpPr>
      <xdr:sp macro="" textlink="">
        <xdr:nvSpPr>
          <xdr:cNvPr id="117" name="Oval 116">
            <a:extLst>
              <a:ext uri="{FF2B5EF4-FFF2-40B4-BE49-F238E27FC236}">
                <a16:creationId xmlns:a16="http://schemas.microsoft.com/office/drawing/2014/main" id="{5846201F-890B-BEA9-0A7A-BE07E1CE9567}"/>
              </a:ext>
            </a:extLst>
          </xdr:cNvPr>
          <xdr:cNvSpPr/>
        </xdr:nvSpPr>
        <xdr:spPr>
          <a:xfrm>
            <a:off x="5676281" y="2947451"/>
            <a:ext cx="91440" cy="88682"/>
          </a:xfrm>
          <a:prstGeom prst="ellipse">
            <a:avLst/>
          </a:prstGeom>
          <a:solidFill>
            <a:srgbClr val="95664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ID" sz="1100"/>
          </a:p>
        </xdr:txBody>
      </xdr:sp>
      <xdr:sp macro="" textlink="">
        <xdr:nvSpPr>
          <xdr:cNvPr id="118" name="TextBox 117">
            <a:extLst>
              <a:ext uri="{FF2B5EF4-FFF2-40B4-BE49-F238E27FC236}">
                <a16:creationId xmlns:a16="http://schemas.microsoft.com/office/drawing/2014/main" id="{B27CA3F9-3218-1170-3803-864ECBCA6F36}"/>
              </a:ext>
            </a:extLst>
          </xdr:cNvPr>
          <xdr:cNvSpPr txBox="1"/>
        </xdr:nvSpPr>
        <xdr:spPr>
          <a:xfrm>
            <a:off x="5771341" y="2899892"/>
            <a:ext cx="578659" cy="183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D" sz="900" b="0">
                <a:solidFill>
                  <a:srgbClr val="A98062"/>
                </a:solidFill>
                <a:latin typeface="Aptos Display" panose="020B0004020202020204" pitchFamily="34" charset="0"/>
                <a:ea typeface="Cambria" panose="02040503050406030204" pitchFamily="18" charset="0"/>
              </a:rPr>
              <a:t>Medium</a:t>
            </a:r>
            <a:endParaRPr lang="en-ID" sz="1000" b="0">
              <a:solidFill>
                <a:srgbClr val="A98062"/>
              </a:solidFill>
              <a:latin typeface="Aptos Display" panose="020B0004020202020204" pitchFamily="34" charset="0"/>
              <a:ea typeface="Cambria" panose="02040503050406030204" pitchFamily="18" charset="0"/>
            </a:endParaRPr>
          </a:p>
        </xdr:txBody>
      </xdr:sp>
    </xdr:grpSp>
    <xdr:clientData/>
  </xdr:twoCellAnchor>
  <xdr:twoCellAnchor>
    <xdr:from>
      <xdr:col>17</xdr:col>
      <xdr:colOff>369803</xdr:colOff>
      <xdr:row>16</xdr:row>
      <xdr:rowOff>13261</xdr:rowOff>
    </xdr:from>
    <xdr:to>
      <xdr:col>18</xdr:col>
      <xdr:colOff>425058</xdr:colOff>
      <xdr:row>17</xdr:row>
      <xdr:rowOff>14445</xdr:rowOff>
    </xdr:to>
    <xdr:grpSp>
      <xdr:nvGrpSpPr>
        <xdr:cNvPr id="130" name="Group 129">
          <a:extLst>
            <a:ext uri="{FF2B5EF4-FFF2-40B4-BE49-F238E27FC236}">
              <a16:creationId xmlns:a16="http://schemas.microsoft.com/office/drawing/2014/main" id="{AD5D4A6B-1061-DB5C-C9DA-875A4717A063}"/>
            </a:ext>
          </a:extLst>
        </xdr:cNvPr>
        <xdr:cNvGrpSpPr/>
      </xdr:nvGrpSpPr>
      <xdr:grpSpPr>
        <a:xfrm>
          <a:off x="10690298" y="2916118"/>
          <a:ext cx="662342" cy="182613"/>
          <a:chOff x="5676281" y="2771232"/>
          <a:chExt cx="665418" cy="183801"/>
        </a:xfrm>
      </xdr:grpSpPr>
      <xdr:sp macro="" textlink="">
        <xdr:nvSpPr>
          <xdr:cNvPr id="134" name="Oval 133">
            <a:extLst>
              <a:ext uri="{FF2B5EF4-FFF2-40B4-BE49-F238E27FC236}">
                <a16:creationId xmlns:a16="http://schemas.microsoft.com/office/drawing/2014/main" id="{7C44D62C-A817-6502-2651-038E0A6F4F55}"/>
              </a:ext>
            </a:extLst>
          </xdr:cNvPr>
          <xdr:cNvSpPr/>
        </xdr:nvSpPr>
        <xdr:spPr>
          <a:xfrm>
            <a:off x="5676281" y="2818791"/>
            <a:ext cx="91440" cy="88682"/>
          </a:xfrm>
          <a:prstGeom prst="ellipse">
            <a:avLst/>
          </a:prstGeom>
          <a:solidFill>
            <a:srgbClr val="E1BB9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ID" sz="1100"/>
          </a:p>
        </xdr:txBody>
      </xdr:sp>
      <xdr:sp macro="" textlink="">
        <xdr:nvSpPr>
          <xdr:cNvPr id="135" name="TextBox 134">
            <a:extLst>
              <a:ext uri="{FF2B5EF4-FFF2-40B4-BE49-F238E27FC236}">
                <a16:creationId xmlns:a16="http://schemas.microsoft.com/office/drawing/2014/main" id="{F7B96398-1384-2DD2-3EAA-8B0E9BBF9CB0}"/>
              </a:ext>
            </a:extLst>
          </xdr:cNvPr>
          <xdr:cNvSpPr txBox="1"/>
        </xdr:nvSpPr>
        <xdr:spPr>
          <a:xfrm>
            <a:off x="5763040" y="2771232"/>
            <a:ext cx="578659" cy="183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D" sz="900" b="0">
                <a:solidFill>
                  <a:srgbClr val="A98062"/>
                </a:solidFill>
                <a:latin typeface="Aptos Display" panose="020B0004020202020204" pitchFamily="34" charset="0"/>
                <a:ea typeface="Cambria" panose="02040503050406030204" pitchFamily="18" charset="0"/>
              </a:rPr>
              <a:t>Light</a:t>
            </a:r>
            <a:endParaRPr lang="en-ID" sz="1000" b="0">
              <a:solidFill>
                <a:srgbClr val="A98062"/>
              </a:solidFill>
              <a:latin typeface="Aptos Display" panose="020B0004020202020204" pitchFamily="34" charset="0"/>
              <a:ea typeface="Cambria" panose="02040503050406030204" pitchFamily="18" charset="0"/>
            </a:endParaRPr>
          </a:p>
        </xdr:txBody>
      </xdr:sp>
    </xdr:grpSp>
    <xdr:clientData/>
  </xdr:twoCellAnchor>
  <xdr:twoCellAnchor>
    <xdr:from>
      <xdr:col>20</xdr:col>
      <xdr:colOff>41539</xdr:colOff>
      <xdr:row>16</xdr:row>
      <xdr:rowOff>13260</xdr:rowOff>
    </xdr:from>
    <xdr:to>
      <xdr:col>21</xdr:col>
      <xdr:colOff>100759</xdr:colOff>
      <xdr:row>17</xdr:row>
      <xdr:rowOff>14445</xdr:rowOff>
    </xdr:to>
    <xdr:grpSp>
      <xdr:nvGrpSpPr>
        <xdr:cNvPr id="131" name="Group 130">
          <a:extLst>
            <a:ext uri="{FF2B5EF4-FFF2-40B4-BE49-F238E27FC236}">
              <a16:creationId xmlns:a16="http://schemas.microsoft.com/office/drawing/2014/main" id="{168EC38B-1CAD-04D7-9380-02AC57AC797F}"/>
            </a:ext>
          </a:extLst>
        </xdr:cNvPr>
        <xdr:cNvGrpSpPr/>
      </xdr:nvGrpSpPr>
      <xdr:grpSpPr>
        <a:xfrm>
          <a:off x="12183297" y="2916117"/>
          <a:ext cx="666308" cy="182614"/>
          <a:chOff x="5676281" y="2899892"/>
          <a:chExt cx="673719" cy="183801"/>
        </a:xfrm>
      </xdr:grpSpPr>
      <xdr:sp macro="" textlink="">
        <xdr:nvSpPr>
          <xdr:cNvPr id="132" name="Oval 131">
            <a:extLst>
              <a:ext uri="{FF2B5EF4-FFF2-40B4-BE49-F238E27FC236}">
                <a16:creationId xmlns:a16="http://schemas.microsoft.com/office/drawing/2014/main" id="{2DD4B985-DEAC-1505-7069-41CC2FDBD5D3}"/>
              </a:ext>
            </a:extLst>
          </xdr:cNvPr>
          <xdr:cNvSpPr/>
        </xdr:nvSpPr>
        <xdr:spPr>
          <a:xfrm>
            <a:off x="5676281" y="2947451"/>
            <a:ext cx="91440" cy="88682"/>
          </a:xfrm>
          <a:prstGeom prst="ellipse">
            <a:avLst/>
          </a:prstGeom>
          <a:solidFill>
            <a:srgbClr val="62352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ID" sz="1100"/>
          </a:p>
        </xdr:txBody>
      </xdr:sp>
      <xdr:sp macro="" textlink="">
        <xdr:nvSpPr>
          <xdr:cNvPr id="133" name="TextBox 132">
            <a:extLst>
              <a:ext uri="{FF2B5EF4-FFF2-40B4-BE49-F238E27FC236}">
                <a16:creationId xmlns:a16="http://schemas.microsoft.com/office/drawing/2014/main" id="{5A37597E-BE8F-4FB0-E316-E79CEF075DD1}"/>
              </a:ext>
            </a:extLst>
          </xdr:cNvPr>
          <xdr:cNvSpPr txBox="1"/>
        </xdr:nvSpPr>
        <xdr:spPr>
          <a:xfrm>
            <a:off x="5771341" y="2899892"/>
            <a:ext cx="578659" cy="183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D" sz="900" b="0">
                <a:solidFill>
                  <a:srgbClr val="A98062"/>
                </a:solidFill>
                <a:latin typeface="Aptos Display" panose="020B0004020202020204" pitchFamily="34" charset="0"/>
                <a:ea typeface="Cambria" panose="02040503050406030204" pitchFamily="18" charset="0"/>
              </a:rPr>
              <a:t>Dark</a:t>
            </a:r>
            <a:endParaRPr lang="en-ID" sz="1000" b="0">
              <a:solidFill>
                <a:srgbClr val="A98062"/>
              </a:solidFill>
              <a:latin typeface="Aptos Display" panose="020B0004020202020204" pitchFamily="34" charset="0"/>
              <a:ea typeface="Cambria" panose="02040503050406030204" pitchFamily="18" charset="0"/>
            </a:endParaRPr>
          </a:p>
        </xdr:txBody>
      </xdr:sp>
    </xdr:grpSp>
    <xdr:clientData/>
  </xdr:twoCellAnchor>
  <xdr:twoCellAnchor>
    <xdr:from>
      <xdr:col>4</xdr:col>
      <xdr:colOff>481126</xdr:colOff>
      <xdr:row>27</xdr:row>
      <xdr:rowOff>18411</xdr:rowOff>
    </xdr:from>
    <xdr:to>
      <xdr:col>8</xdr:col>
      <xdr:colOff>447220</xdr:colOff>
      <xdr:row>28</xdr:row>
      <xdr:rowOff>50226</xdr:rowOff>
    </xdr:to>
    <xdr:sp macro="" textlink="">
      <xdr:nvSpPr>
        <xdr:cNvPr id="136" name="TextBox 135">
          <a:extLst>
            <a:ext uri="{FF2B5EF4-FFF2-40B4-BE49-F238E27FC236}">
              <a16:creationId xmlns:a16="http://schemas.microsoft.com/office/drawing/2014/main" id="{BFDCFB62-2BAC-F148-7158-A707C737305B}"/>
            </a:ext>
          </a:extLst>
        </xdr:cNvPr>
        <xdr:cNvSpPr txBox="1"/>
      </xdr:nvSpPr>
      <xdr:spPr>
        <a:xfrm>
          <a:off x="2908237" y="4971411"/>
          <a:ext cx="2393205" cy="2152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1400" b="1">
              <a:solidFill>
                <a:srgbClr val="E1BB9F"/>
              </a:solidFill>
              <a:latin typeface="Aptos Display" panose="020B0004020202020204" pitchFamily="34" charset="0"/>
              <a:ea typeface="Cambria" panose="02040503050406030204" pitchFamily="18" charset="0"/>
              <a:cs typeface="+mn-cs"/>
            </a:rPr>
            <a:t>Monthly</a:t>
          </a:r>
          <a:r>
            <a:rPr lang="en-ID" sz="1400" b="1" baseline="0">
              <a:solidFill>
                <a:srgbClr val="E1BB9F"/>
              </a:solidFill>
              <a:latin typeface="Aptos Display" panose="020B0004020202020204" pitchFamily="34" charset="0"/>
              <a:ea typeface="Cambria" panose="02040503050406030204" pitchFamily="18" charset="0"/>
              <a:cs typeface="+mn-cs"/>
            </a:rPr>
            <a:t> Sales Performance</a:t>
          </a:r>
          <a:endParaRPr lang="en-ID" sz="1400" b="1">
            <a:solidFill>
              <a:srgbClr val="E1BB9F"/>
            </a:solidFill>
            <a:latin typeface="Aptos Display" panose="020B0004020202020204" pitchFamily="34" charset="0"/>
            <a:ea typeface="Cambria" panose="02040503050406030204" pitchFamily="18" charset="0"/>
          </a:endParaRPr>
        </a:p>
      </xdr:txBody>
    </xdr:sp>
    <xdr:clientData/>
  </xdr:twoCellAnchor>
  <xdr:twoCellAnchor>
    <xdr:from>
      <xdr:col>4</xdr:col>
      <xdr:colOff>481126</xdr:colOff>
      <xdr:row>28</xdr:row>
      <xdr:rowOff>3526</xdr:rowOff>
    </xdr:from>
    <xdr:to>
      <xdr:col>9</xdr:col>
      <xdr:colOff>136776</xdr:colOff>
      <xdr:row>29</xdr:row>
      <xdr:rowOff>37358</xdr:rowOff>
    </xdr:to>
    <xdr:sp macro="" textlink="">
      <xdr:nvSpPr>
        <xdr:cNvPr id="137" name="TextBox 136">
          <a:extLst>
            <a:ext uri="{FF2B5EF4-FFF2-40B4-BE49-F238E27FC236}">
              <a16:creationId xmlns:a16="http://schemas.microsoft.com/office/drawing/2014/main" id="{3F4C6A34-ABB7-6BF5-C8AC-03EAECD6C55C}"/>
            </a:ext>
          </a:extLst>
        </xdr:cNvPr>
        <xdr:cNvSpPr txBox="1"/>
      </xdr:nvSpPr>
      <xdr:spPr>
        <a:xfrm>
          <a:off x="2908237" y="5139970"/>
          <a:ext cx="2689539" cy="217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D" sz="900">
              <a:solidFill>
                <a:srgbClr val="956643"/>
              </a:solidFill>
              <a:latin typeface="Aptos Display" panose="020B0004020202020204" pitchFamily="34" charset="0"/>
            </a:rPr>
            <a:t>Shows monthly sales performance by product.</a:t>
          </a:r>
        </a:p>
      </xdr:txBody>
    </xdr:sp>
    <xdr:clientData/>
  </xdr:twoCellAnchor>
  <xdr:twoCellAnchor>
    <xdr:from>
      <xdr:col>11</xdr:col>
      <xdr:colOff>452740</xdr:colOff>
      <xdr:row>13</xdr:row>
      <xdr:rowOff>92902</xdr:rowOff>
    </xdr:from>
    <xdr:to>
      <xdr:col>15</xdr:col>
      <xdr:colOff>418834</xdr:colOff>
      <xdr:row>14</xdr:row>
      <xdr:rowOff>127262</xdr:rowOff>
    </xdr:to>
    <xdr:sp macro="" textlink="">
      <xdr:nvSpPr>
        <xdr:cNvPr id="138" name="TextBox 137">
          <a:extLst>
            <a:ext uri="{FF2B5EF4-FFF2-40B4-BE49-F238E27FC236}">
              <a16:creationId xmlns:a16="http://schemas.microsoft.com/office/drawing/2014/main" id="{7F94DBB5-ADBE-24B7-0DDD-412B2811DBC7}"/>
            </a:ext>
          </a:extLst>
        </xdr:cNvPr>
        <xdr:cNvSpPr txBox="1"/>
      </xdr:nvSpPr>
      <xdr:spPr>
        <a:xfrm>
          <a:off x="7127296" y="2477680"/>
          <a:ext cx="2393205" cy="217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1400" b="1">
              <a:solidFill>
                <a:srgbClr val="E1BB9F"/>
              </a:solidFill>
              <a:latin typeface="Aptos Display" panose="020B0004020202020204" pitchFamily="34" charset="0"/>
              <a:ea typeface="Cambria" panose="02040503050406030204" pitchFamily="18" charset="0"/>
              <a:cs typeface="+mn-cs"/>
            </a:rPr>
            <a:t>Product Sales Breakdown</a:t>
          </a:r>
          <a:endParaRPr lang="en-ID" sz="1400" b="1">
            <a:solidFill>
              <a:srgbClr val="E1BB9F"/>
            </a:solidFill>
            <a:latin typeface="Aptos Display" panose="020B0004020202020204" pitchFamily="34" charset="0"/>
            <a:ea typeface="Cambria" panose="02040503050406030204" pitchFamily="18" charset="0"/>
          </a:endParaRPr>
        </a:p>
      </xdr:txBody>
    </xdr:sp>
    <xdr:clientData/>
  </xdr:twoCellAnchor>
  <xdr:twoCellAnchor>
    <xdr:from>
      <xdr:col>11</xdr:col>
      <xdr:colOff>452740</xdr:colOff>
      <xdr:row>14</xdr:row>
      <xdr:rowOff>80034</xdr:rowOff>
    </xdr:from>
    <xdr:to>
      <xdr:col>16</xdr:col>
      <xdr:colOff>112564</xdr:colOff>
      <xdr:row>15</xdr:row>
      <xdr:rowOff>114394</xdr:rowOff>
    </xdr:to>
    <xdr:sp macro="" textlink="">
      <xdr:nvSpPr>
        <xdr:cNvPr id="139" name="TextBox 138">
          <a:extLst>
            <a:ext uri="{FF2B5EF4-FFF2-40B4-BE49-F238E27FC236}">
              <a16:creationId xmlns:a16="http://schemas.microsoft.com/office/drawing/2014/main" id="{28321D73-3051-DD58-0584-0EAE1F38A01D}"/>
            </a:ext>
          </a:extLst>
        </xdr:cNvPr>
        <xdr:cNvSpPr txBox="1"/>
      </xdr:nvSpPr>
      <xdr:spPr>
        <a:xfrm>
          <a:off x="7127296" y="2648256"/>
          <a:ext cx="2693712" cy="2178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D" sz="900">
              <a:solidFill>
                <a:srgbClr val="956643"/>
              </a:solidFill>
              <a:latin typeface="Aptos Display" panose="020B0004020202020204" pitchFamily="34" charset="0"/>
            </a:rPr>
            <a:t>Displays sales distribution by product.</a:t>
          </a:r>
        </a:p>
      </xdr:txBody>
    </xdr:sp>
    <xdr:clientData/>
  </xdr:twoCellAnchor>
  <xdr:twoCellAnchor>
    <xdr:from>
      <xdr:col>17</xdr:col>
      <xdr:colOff>280323</xdr:colOff>
      <xdr:row>13</xdr:row>
      <xdr:rowOff>92902</xdr:rowOff>
    </xdr:from>
    <xdr:to>
      <xdr:col>21</xdr:col>
      <xdr:colOff>246417</xdr:colOff>
      <xdr:row>14</xdr:row>
      <xdr:rowOff>127262</xdr:rowOff>
    </xdr:to>
    <xdr:sp macro="" textlink="">
      <xdr:nvSpPr>
        <xdr:cNvPr id="140" name="TextBox 139">
          <a:extLst>
            <a:ext uri="{FF2B5EF4-FFF2-40B4-BE49-F238E27FC236}">
              <a16:creationId xmlns:a16="http://schemas.microsoft.com/office/drawing/2014/main" id="{11F1B841-456B-A76F-4C34-779A3AAAF6B1}"/>
            </a:ext>
          </a:extLst>
        </xdr:cNvPr>
        <xdr:cNvSpPr txBox="1"/>
      </xdr:nvSpPr>
      <xdr:spPr>
        <a:xfrm>
          <a:off x="10595545" y="2477680"/>
          <a:ext cx="2393205" cy="217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1400" b="1">
              <a:solidFill>
                <a:srgbClr val="E1BB9F"/>
              </a:solidFill>
              <a:latin typeface="Aptos Display" panose="020B0004020202020204" pitchFamily="34" charset="0"/>
              <a:ea typeface="Cambria" panose="02040503050406030204" pitchFamily="18" charset="0"/>
              <a:cs typeface="+mn-cs"/>
            </a:rPr>
            <a:t>Sales by Roast Type</a:t>
          </a:r>
          <a:endParaRPr lang="en-ID" sz="1400" b="1">
            <a:solidFill>
              <a:srgbClr val="E1BB9F"/>
            </a:solidFill>
            <a:latin typeface="Aptos Display" panose="020B0004020202020204" pitchFamily="34" charset="0"/>
            <a:ea typeface="Cambria" panose="02040503050406030204" pitchFamily="18" charset="0"/>
          </a:endParaRPr>
        </a:p>
      </xdr:txBody>
    </xdr:sp>
    <xdr:clientData/>
  </xdr:twoCellAnchor>
  <xdr:twoCellAnchor>
    <xdr:from>
      <xdr:col>17</xdr:col>
      <xdr:colOff>280323</xdr:colOff>
      <xdr:row>14</xdr:row>
      <xdr:rowOff>80034</xdr:rowOff>
    </xdr:from>
    <xdr:to>
      <xdr:col>21</xdr:col>
      <xdr:colOff>547235</xdr:colOff>
      <xdr:row>15</xdr:row>
      <xdr:rowOff>114394</xdr:rowOff>
    </xdr:to>
    <xdr:sp macro="" textlink="">
      <xdr:nvSpPr>
        <xdr:cNvPr id="141" name="TextBox 140">
          <a:extLst>
            <a:ext uri="{FF2B5EF4-FFF2-40B4-BE49-F238E27FC236}">
              <a16:creationId xmlns:a16="http://schemas.microsoft.com/office/drawing/2014/main" id="{B3486AA0-6152-6880-7C4E-51A84B9F6363}"/>
            </a:ext>
          </a:extLst>
        </xdr:cNvPr>
        <xdr:cNvSpPr txBox="1"/>
      </xdr:nvSpPr>
      <xdr:spPr>
        <a:xfrm>
          <a:off x="10595545" y="2648256"/>
          <a:ext cx="2694023" cy="2178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D" sz="900">
              <a:solidFill>
                <a:srgbClr val="956643"/>
              </a:solidFill>
              <a:latin typeface="Aptos Display" panose="020B0004020202020204" pitchFamily="34" charset="0"/>
            </a:rPr>
            <a:t>Sales distribution across roast types.</a:t>
          </a:r>
        </a:p>
      </xdr:txBody>
    </xdr:sp>
    <xdr:clientData/>
  </xdr:twoCellAnchor>
  <xdr:twoCellAnchor>
    <xdr:from>
      <xdr:col>8</xdr:col>
      <xdr:colOff>183803</xdr:colOff>
      <xdr:row>29</xdr:row>
      <xdr:rowOff>93392</xdr:rowOff>
    </xdr:from>
    <xdr:to>
      <xdr:col>9</xdr:col>
      <xdr:colOff>247417</xdr:colOff>
      <xdr:row>30</xdr:row>
      <xdr:rowOff>94578</xdr:rowOff>
    </xdr:to>
    <xdr:grpSp>
      <xdr:nvGrpSpPr>
        <xdr:cNvPr id="153" name="Group 152">
          <a:extLst>
            <a:ext uri="{FF2B5EF4-FFF2-40B4-BE49-F238E27FC236}">
              <a16:creationId xmlns:a16="http://schemas.microsoft.com/office/drawing/2014/main" id="{9951E7D5-236C-0416-E0E7-72F67CD55BDE}"/>
            </a:ext>
          </a:extLst>
        </xdr:cNvPr>
        <xdr:cNvGrpSpPr/>
      </xdr:nvGrpSpPr>
      <xdr:grpSpPr>
        <a:xfrm>
          <a:off x="5040506" y="5354821"/>
          <a:ext cx="670702" cy="182614"/>
          <a:chOff x="5676281" y="2899892"/>
          <a:chExt cx="673719" cy="183801"/>
        </a:xfrm>
      </xdr:grpSpPr>
      <xdr:sp macro="" textlink="">
        <xdr:nvSpPr>
          <xdr:cNvPr id="154" name="Oval 153">
            <a:extLst>
              <a:ext uri="{FF2B5EF4-FFF2-40B4-BE49-F238E27FC236}">
                <a16:creationId xmlns:a16="http://schemas.microsoft.com/office/drawing/2014/main" id="{9DCC198D-31BA-272B-F2DB-4845A3E90D05}"/>
              </a:ext>
            </a:extLst>
          </xdr:cNvPr>
          <xdr:cNvSpPr/>
        </xdr:nvSpPr>
        <xdr:spPr>
          <a:xfrm>
            <a:off x="5676281" y="2947451"/>
            <a:ext cx="91440" cy="88682"/>
          </a:xfrm>
          <a:prstGeom prst="ellipse">
            <a:avLst/>
          </a:prstGeom>
          <a:solidFill>
            <a:srgbClr val="95664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ID" sz="1100"/>
          </a:p>
        </xdr:txBody>
      </xdr:sp>
      <xdr:sp macro="" textlink="">
        <xdr:nvSpPr>
          <xdr:cNvPr id="155" name="TextBox 154">
            <a:extLst>
              <a:ext uri="{FF2B5EF4-FFF2-40B4-BE49-F238E27FC236}">
                <a16:creationId xmlns:a16="http://schemas.microsoft.com/office/drawing/2014/main" id="{A8619C4E-9BB1-B22C-DECB-B554F855AC0C}"/>
              </a:ext>
            </a:extLst>
          </xdr:cNvPr>
          <xdr:cNvSpPr txBox="1"/>
        </xdr:nvSpPr>
        <xdr:spPr>
          <a:xfrm>
            <a:off x="5771341" y="2899892"/>
            <a:ext cx="578659" cy="183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D" sz="900" b="0">
                <a:solidFill>
                  <a:srgbClr val="A98062"/>
                </a:solidFill>
                <a:latin typeface="Aptos Display" panose="020B0004020202020204" pitchFamily="34" charset="0"/>
                <a:ea typeface="Cambria" panose="02040503050406030204" pitchFamily="18" charset="0"/>
              </a:rPr>
              <a:t>Excelsa</a:t>
            </a:r>
            <a:endParaRPr lang="en-ID" sz="1000" b="0">
              <a:solidFill>
                <a:srgbClr val="A98062"/>
              </a:solidFill>
              <a:latin typeface="Aptos Display" panose="020B0004020202020204" pitchFamily="34" charset="0"/>
              <a:ea typeface="Cambria" panose="02040503050406030204" pitchFamily="18" charset="0"/>
            </a:endParaRPr>
          </a:p>
        </xdr:txBody>
      </xdr:sp>
    </xdr:grpSp>
    <xdr:clientData/>
  </xdr:twoCellAnchor>
  <xdr:twoCellAnchor>
    <xdr:from>
      <xdr:col>5</xdr:col>
      <xdr:colOff>469042</xdr:colOff>
      <xdr:row>29</xdr:row>
      <xdr:rowOff>93393</xdr:rowOff>
    </xdr:from>
    <xdr:to>
      <xdr:col>6</xdr:col>
      <xdr:colOff>524297</xdr:colOff>
      <xdr:row>30</xdr:row>
      <xdr:rowOff>94578</xdr:rowOff>
    </xdr:to>
    <xdr:grpSp>
      <xdr:nvGrpSpPr>
        <xdr:cNvPr id="156" name="Group 155">
          <a:extLst>
            <a:ext uri="{FF2B5EF4-FFF2-40B4-BE49-F238E27FC236}">
              <a16:creationId xmlns:a16="http://schemas.microsoft.com/office/drawing/2014/main" id="{497474EE-CD08-F6C3-E117-5AD24C2127AB}"/>
            </a:ext>
          </a:extLst>
        </xdr:cNvPr>
        <xdr:cNvGrpSpPr/>
      </xdr:nvGrpSpPr>
      <xdr:grpSpPr>
        <a:xfrm>
          <a:off x="3504482" y="5354822"/>
          <a:ext cx="662342" cy="182613"/>
          <a:chOff x="5676281" y="2771232"/>
          <a:chExt cx="665418" cy="183801"/>
        </a:xfrm>
      </xdr:grpSpPr>
      <xdr:sp macro="" textlink="">
        <xdr:nvSpPr>
          <xdr:cNvPr id="157" name="Oval 156">
            <a:extLst>
              <a:ext uri="{FF2B5EF4-FFF2-40B4-BE49-F238E27FC236}">
                <a16:creationId xmlns:a16="http://schemas.microsoft.com/office/drawing/2014/main" id="{0D0D2A8E-6B17-1B59-247B-FE3568C96F6B}"/>
              </a:ext>
            </a:extLst>
          </xdr:cNvPr>
          <xdr:cNvSpPr/>
        </xdr:nvSpPr>
        <xdr:spPr>
          <a:xfrm>
            <a:off x="5676281" y="2818791"/>
            <a:ext cx="91440" cy="88682"/>
          </a:xfrm>
          <a:prstGeom prst="ellipse">
            <a:avLst/>
          </a:prstGeom>
          <a:solidFill>
            <a:srgbClr val="E1BB9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ID" sz="1100"/>
          </a:p>
        </xdr:txBody>
      </xdr:sp>
      <xdr:sp macro="" textlink="">
        <xdr:nvSpPr>
          <xdr:cNvPr id="158" name="TextBox 157">
            <a:extLst>
              <a:ext uri="{FF2B5EF4-FFF2-40B4-BE49-F238E27FC236}">
                <a16:creationId xmlns:a16="http://schemas.microsoft.com/office/drawing/2014/main" id="{532227B5-A480-974B-DED9-EE1E1E0B982B}"/>
              </a:ext>
            </a:extLst>
          </xdr:cNvPr>
          <xdr:cNvSpPr txBox="1"/>
        </xdr:nvSpPr>
        <xdr:spPr>
          <a:xfrm>
            <a:off x="5763040" y="2771232"/>
            <a:ext cx="578659" cy="183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D" sz="900" b="0">
                <a:solidFill>
                  <a:srgbClr val="A98062"/>
                </a:solidFill>
                <a:latin typeface="Aptos Display" panose="020B0004020202020204" pitchFamily="34" charset="0"/>
                <a:ea typeface="Cambria" panose="02040503050406030204" pitchFamily="18" charset="0"/>
              </a:rPr>
              <a:t>Robusta</a:t>
            </a:r>
            <a:endParaRPr lang="en-ID" sz="1000" b="0">
              <a:solidFill>
                <a:srgbClr val="A98062"/>
              </a:solidFill>
              <a:latin typeface="Aptos Display" panose="020B0004020202020204" pitchFamily="34" charset="0"/>
              <a:ea typeface="Cambria" panose="02040503050406030204" pitchFamily="18" charset="0"/>
            </a:endParaRPr>
          </a:p>
        </xdr:txBody>
      </xdr:sp>
    </xdr:grpSp>
    <xdr:clientData/>
  </xdr:twoCellAnchor>
  <xdr:twoCellAnchor>
    <xdr:from>
      <xdr:col>9</xdr:col>
      <xdr:colOff>354771</xdr:colOff>
      <xdr:row>29</xdr:row>
      <xdr:rowOff>93392</xdr:rowOff>
    </xdr:from>
    <xdr:to>
      <xdr:col>10</xdr:col>
      <xdr:colOff>417713</xdr:colOff>
      <xdr:row>30</xdr:row>
      <xdr:rowOff>94578</xdr:rowOff>
    </xdr:to>
    <xdr:grpSp>
      <xdr:nvGrpSpPr>
        <xdr:cNvPr id="159" name="Group 158">
          <a:extLst>
            <a:ext uri="{FF2B5EF4-FFF2-40B4-BE49-F238E27FC236}">
              <a16:creationId xmlns:a16="http://schemas.microsoft.com/office/drawing/2014/main" id="{5FB2614D-D4DD-CA1D-04CB-16C25BCEFE84}"/>
            </a:ext>
          </a:extLst>
        </xdr:cNvPr>
        <xdr:cNvGrpSpPr/>
      </xdr:nvGrpSpPr>
      <xdr:grpSpPr>
        <a:xfrm>
          <a:off x="5818562" y="5354821"/>
          <a:ext cx="670030" cy="182614"/>
          <a:chOff x="5676281" y="2899892"/>
          <a:chExt cx="673719" cy="183801"/>
        </a:xfrm>
      </xdr:grpSpPr>
      <xdr:sp macro="" textlink="">
        <xdr:nvSpPr>
          <xdr:cNvPr id="160" name="Oval 159">
            <a:extLst>
              <a:ext uri="{FF2B5EF4-FFF2-40B4-BE49-F238E27FC236}">
                <a16:creationId xmlns:a16="http://schemas.microsoft.com/office/drawing/2014/main" id="{0604FF96-D5C6-B9BC-DEA4-CCA29E80AE6E}"/>
              </a:ext>
            </a:extLst>
          </xdr:cNvPr>
          <xdr:cNvSpPr/>
        </xdr:nvSpPr>
        <xdr:spPr>
          <a:xfrm>
            <a:off x="5676281" y="2947451"/>
            <a:ext cx="91440" cy="88682"/>
          </a:xfrm>
          <a:prstGeom prst="ellipse">
            <a:avLst/>
          </a:prstGeom>
          <a:solidFill>
            <a:srgbClr val="62352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ID" sz="1100"/>
          </a:p>
        </xdr:txBody>
      </xdr:sp>
      <xdr:sp macro="" textlink="">
        <xdr:nvSpPr>
          <xdr:cNvPr id="161" name="TextBox 160">
            <a:extLst>
              <a:ext uri="{FF2B5EF4-FFF2-40B4-BE49-F238E27FC236}">
                <a16:creationId xmlns:a16="http://schemas.microsoft.com/office/drawing/2014/main" id="{675F695B-F03C-8668-ABBA-74ED4D85095B}"/>
              </a:ext>
            </a:extLst>
          </xdr:cNvPr>
          <xdr:cNvSpPr txBox="1"/>
        </xdr:nvSpPr>
        <xdr:spPr>
          <a:xfrm>
            <a:off x="5771341" y="2899892"/>
            <a:ext cx="578659" cy="183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D" sz="900" b="0">
                <a:solidFill>
                  <a:srgbClr val="A98062"/>
                </a:solidFill>
                <a:latin typeface="Aptos Display" panose="020B0004020202020204" pitchFamily="34" charset="0"/>
                <a:ea typeface="Cambria" panose="02040503050406030204" pitchFamily="18" charset="0"/>
              </a:rPr>
              <a:t>Arabica</a:t>
            </a:r>
            <a:endParaRPr lang="en-ID" sz="1000" b="0">
              <a:solidFill>
                <a:srgbClr val="A98062"/>
              </a:solidFill>
              <a:latin typeface="Aptos Display" panose="020B0004020202020204" pitchFamily="34" charset="0"/>
              <a:ea typeface="Cambria" panose="02040503050406030204" pitchFamily="18" charset="0"/>
            </a:endParaRPr>
          </a:p>
        </xdr:txBody>
      </xdr:sp>
    </xdr:grpSp>
    <xdr:clientData/>
  </xdr:twoCellAnchor>
  <xdr:twoCellAnchor>
    <xdr:from>
      <xdr:col>11</xdr:col>
      <xdr:colOff>452740</xdr:colOff>
      <xdr:row>27</xdr:row>
      <xdr:rowOff>18411</xdr:rowOff>
    </xdr:from>
    <xdr:to>
      <xdr:col>15</xdr:col>
      <xdr:colOff>418834</xdr:colOff>
      <xdr:row>28</xdr:row>
      <xdr:rowOff>50226</xdr:rowOff>
    </xdr:to>
    <xdr:sp macro="" textlink="">
      <xdr:nvSpPr>
        <xdr:cNvPr id="162" name="TextBox 161">
          <a:extLst>
            <a:ext uri="{FF2B5EF4-FFF2-40B4-BE49-F238E27FC236}">
              <a16:creationId xmlns:a16="http://schemas.microsoft.com/office/drawing/2014/main" id="{17CD57BA-82B1-0DAF-9A76-0B1E67D0DA04}"/>
            </a:ext>
          </a:extLst>
        </xdr:cNvPr>
        <xdr:cNvSpPr txBox="1"/>
      </xdr:nvSpPr>
      <xdr:spPr>
        <a:xfrm>
          <a:off x="7127296" y="4971411"/>
          <a:ext cx="2393205" cy="2152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1400" b="1">
              <a:solidFill>
                <a:srgbClr val="E1BB9F"/>
              </a:solidFill>
              <a:latin typeface="Aptos Display" panose="020B0004020202020204" pitchFamily="34" charset="0"/>
              <a:ea typeface="Cambria" panose="02040503050406030204" pitchFamily="18" charset="0"/>
              <a:cs typeface="+mn-cs"/>
            </a:rPr>
            <a:t>Product</a:t>
          </a:r>
          <a:r>
            <a:rPr lang="en-ID" sz="1400" b="1" baseline="0">
              <a:solidFill>
                <a:srgbClr val="E1BB9F"/>
              </a:solidFill>
              <a:latin typeface="Aptos Display" panose="020B0004020202020204" pitchFamily="34" charset="0"/>
              <a:ea typeface="Cambria" panose="02040503050406030204" pitchFamily="18" charset="0"/>
              <a:cs typeface="+mn-cs"/>
            </a:rPr>
            <a:t> Size</a:t>
          </a:r>
          <a:r>
            <a:rPr lang="en-ID" sz="1400" b="1">
              <a:solidFill>
                <a:srgbClr val="E1BB9F"/>
              </a:solidFill>
              <a:latin typeface="Aptos Display" panose="020B0004020202020204" pitchFamily="34" charset="0"/>
              <a:ea typeface="Cambria" panose="02040503050406030204" pitchFamily="18" charset="0"/>
              <a:cs typeface="+mn-cs"/>
            </a:rPr>
            <a:t> Sales</a:t>
          </a:r>
          <a:endParaRPr lang="en-ID" sz="1400" b="1">
            <a:solidFill>
              <a:srgbClr val="E1BB9F"/>
            </a:solidFill>
            <a:latin typeface="Aptos Display" panose="020B0004020202020204" pitchFamily="34" charset="0"/>
            <a:ea typeface="Cambria" panose="02040503050406030204" pitchFamily="18" charset="0"/>
          </a:endParaRPr>
        </a:p>
      </xdr:txBody>
    </xdr:sp>
    <xdr:clientData/>
  </xdr:twoCellAnchor>
  <xdr:twoCellAnchor>
    <xdr:from>
      <xdr:col>11</xdr:col>
      <xdr:colOff>452740</xdr:colOff>
      <xdr:row>28</xdr:row>
      <xdr:rowOff>3526</xdr:rowOff>
    </xdr:from>
    <xdr:to>
      <xdr:col>16</xdr:col>
      <xdr:colOff>108390</xdr:colOff>
      <xdr:row>29</xdr:row>
      <xdr:rowOff>37358</xdr:rowOff>
    </xdr:to>
    <xdr:sp macro="" textlink="">
      <xdr:nvSpPr>
        <xdr:cNvPr id="163" name="TextBox 162">
          <a:extLst>
            <a:ext uri="{FF2B5EF4-FFF2-40B4-BE49-F238E27FC236}">
              <a16:creationId xmlns:a16="http://schemas.microsoft.com/office/drawing/2014/main" id="{B8E29A87-A52C-A905-883F-00631BAF1A1B}"/>
            </a:ext>
          </a:extLst>
        </xdr:cNvPr>
        <xdr:cNvSpPr txBox="1"/>
      </xdr:nvSpPr>
      <xdr:spPr>
        <a:xfrm>
          <a:off x="7127296" y="5139970"/>
          <a:ext cx="2689538" cy="217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D" sz="900">
              <a:solidFill>
                <a:srgbClr val="956643"/>
              </a:solidFill>
              <a:latin typeface="Aptos Display" panose="020B0004020202020204" pitchFamily="34" charset="0"/>
            </a:rPr>
            <a:t>Sales distribution across different product sizes.</a:t>
          </a:r>
        </a:p>
      </xdr:txBody>
    </xdr:sp>
    <xdr:clientData/>
  </xdr:twoCellAnchor>
  <xdr:twoCellAnchor>
    <xdr:from>
      <xdr:col>16</xdr:col>
      <xdr:colOff>448878</xdr:colOff>
      <xdr:row>27</xdr:row>
      <xdr:rowOff>18411</xdr:rowOff>
    </xdr:from>
    <xdr:to>
      <xdr:col>20</xdr:col>
      <xdr:colOff>414972</xdr:colOff>
      <xdr:row>28</xdr:row>
      <xdr:rowOff>50226</xdr:rowOff>
    </xdr:to>
    <xdr:sp macro="" textlink="">
      <xdr:nvSpPr>
        <xdr:cNvPr id="164" name="TextBox 163">
          <a:extLst>
            <a:ext uri="{FF2B5EF4-FFF2-40B4-BE49-F238E27FC236}">
              <a16:creationId xmlns:a16="http://schemas.microsoft.com/office/drawing/2014/main" id="{7BA32001-6A29-4B40-680A-996F05B35C96}"/>
            </a:ext>
          </a:extLst>
        </xdr:cNvPr>
        <xdr:cNvSpPr txBox="1"/>
      </xdr:nvSpPr>
      <xdr:spPr>
        <a:xfrm>
          <a:off x="10157322" y="4971411"/>
          <a:ext cx="2393206" cy="2152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1400" b="1">
              <a:solidFill>
                <a:srgbClr val="E1BB9F"/>
              </a:solidFill>
              <a:latin typeface="Aptos Display" panose="020B0004020202020204" pitchFamily="34" charset="0"/>
              <a:ea typeface="Cambria" panose="02040503050406030204" pitchFamily="18" charset="0"/>
              <a:cs typeface="+mn-cs"/>
            </a:rPr>
            <a:t>Loyalty Segment Sales</a:t>
          </a:r>
          <a:endParaRPr lang="en-ID" sz="1400" b="1">
            <a:solidFill>
              <a:srgbClr val="E1BB9F"/>
            </a:solidFill>
            <a:latin typeface="Aptos Display" panose="020B0004020202020204" pitchFamily="34" charset="0"/>
            <a:ea typeface="Cambria" panose="02040503050406030204" pitchFamily="18" charset="0"/>
          </a:endParaRPr>
        </a:p>
      </xdr:txBody>
    </xdr:sp>
    <xdr:clientData/>
  </xdr:twoCellAnchor>
  <xdr:twoCellAnchor>
    <xdr:from>
      <xdr:col>16</xdr:col>
      <xdr:colOff>448878</xdr:colOff>
      <xdr:row>28</xdr:row>
      <xdr:rowOff>3526</xdr:rowOff>
    </xdr:from>
    <xdr:to>
      <xdr:col>21</xdr:col>
      <xdr:colOff>107780</xdr:colOff>
      <xdr:row>29</xdr:row>
      <xdr:rowOff>37358</xdr:rowOff>
    </xdr:to>
    <xdr:sp macro="" textlink="">
      <xdr:nvSpPr>
        <xdr:cNvPr id="165" name="TextBox 164">
          <a:extLst>
            <a:ext uri="{FF2B5EF4-FFF2-40B4-BE49-F238E27FC236}">
              <a16:creationId xmlns:a16="http://schemas.microsoft.com/office/drawing/2014/main" id="{A24EE462-E29F-ED0A-D14E-AC9EA3C13B9E}"/>
            </a:ext>
          </a:extLst>
        </xdr:cNvPr>
        <xdr:cNvSpPr txBox="1"/>
      </xdr:nvSpPr>
      <xdr:spPr>
        <a:xfrm>
          <a:off x="10157322" y="5139970"/>
          <a:ext cx="2692791" cy="217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D" sz="900">
              <a:solidFill>
                <a:srgbClr val="956643"/>
              </a:solidFill>
              <a:latin typeface="Aptos Display" panose="020B0004020202020204" pitchFamily="34" charset="0"/>
            </a:rPr>
            <a:t>Overview of sales trends based on customer loyalty </a:t>
          </a:r>
        </a:p>
      </xdr:txBody>
    </xdr:sp>
    <xdr:clientData/>
  </xdr:twoCellAnchor>
  <xdr:twoCellAnchor>
    <xdr:from>
      <xdr:col>18</xdr:col>
      <xdr:colOff>513687</xdr:colOff>
      <xdr:row>29</xdr:row>
      <xdr:rowOff>140545</xdr:rowOff>
    </xdr:from>
    <xdr:to>
      <xdr:col>20</xdr:col>
      <xdr:colOff>600202</xdr:colOff>
      <xdr:row>38</xdr:row>
      <xdr:rowOff>68258</xdr:rowOff>
    </xdr:to>
    <xdr:grpSp>
      <xdr:nvGrpSpPr>
        <xdr:cNvPr id="173" name="Group 172">
          <a:extLst>
            <a:ext uri="{FF2B5EF4-FFF2-40B4-BE49-F238E27FC236}">
              <a16:creationId xmlns:a16="http://schemas.microsoft.com/office/drawing/2014/main" id="{632D7BCD-A919-A1C5-8AE5-B0CA862EA0EC}"/>
            </a:ext>
          </a:extLst>
        </xdr:cNvPr>
        <xdr:cNvGrpSpPr/>
      </xdr:nvGrpSpPr>
      <xdr:grpSpPr>
        <a:xfrm>
          <a:off x="11441269" y="5401974"/>
          <a:ext cx="1300691" cy="1560570"/>
          <a:chOff x="10082698" y="5446114"/>
          <a:chExt cx="1306218" cy="1568654"/>
        </a:xfrm>
      </xdr:grpSpPr>
      <xdr:graphicFrame macro="">
        <xdr:nvGraphicFramePr>
          <xdr:cNvPr id="47" name="Chart 46">
            <a:extLst>
              <a:ext uri="{FF2B5EF4-FFF2-40B4-BE49-F238E27FC236}">
                <a16:creationId xmlns:a16="http://schemas.microsoft.com/office/drawing/2014/main" id="{66430A28-8D81-4C45-A0A1-82EF9D719B16}"/>
              </a:ext>
            </a:extLst>
          </xdr:cNvPr>
          <xdr:cNvGraphicFramePr>
            <a:graphicFrameLocks/>
          </xdr:cNvGraphicFramePr>
        </xdr:nvGraphicFramePr>
        <xdr:xfrm>
          <a:off x="10082698" y="5679957"/>
          <a:ext cx="1306218" cy="1334811"/>
        </xdr:xfrm>
        <a:graphic>
          <a:graphicData uri="http://schemas.openxmlformats.org/drawingml/2006/chart">
            <c:chart xmlns:c="http://schemas.openxmlformats.org/drawingml/2006/chart" xmlns:r="http://schemas.openxmlformats.org/officeDocument/2006/relationships" r:id="rId20"/>
          </a:graphicData>
        </a:graphic>
      </xdr:graphicFrame>
      <xdr:grpSp>
        <xdr:nvGrpSpPr>
          <xdr:cNvPr id="166" name="Group 165">
            <a:extLst>
              <a:ext uri="{FF2B5EF4-FFF2-40B4-BE49-F238E27FC236}">
                <a16:creationId xmlns:a16="http://schemas.microsoft.com/office/drawing/2014/main" id="{8DF45F99-E9DA-0FEF-6A1E-DAB2A8D945C8}"/>
              </a:ext>
            </a:extLst>
          </xdr:cNvPr>
          <xdr:cNvGrpSpPr/>
        </xdr:nvGrpSpPr>
        <xdr:grpSpPr>
          <a:xfrm>
            <a:off x="10551278" y="5446114"/>
            <a:ext cx="673465" cy="183513"/>
            <a:chOff x="5676281" y="2899892"/>
            <a:chExt cx="673719" cy="183801"/>
          </a:xfrm>
        </xdr:grpSpPr>
        <xdr:sp macro="" textlink="">
          <xdr:nvSpPr>
            <xdr:cNvPr id="167" name="Oval 166">
              <a:extLst>
                <a:ext uri="{FF2B5EF4-FFF2-40B4-BE49-F238E27FC236}">
                  <a16:creationId xmlns:a16="http://schemas.microsoft.com/office/drawing/2014/main" id="{641232D2-0F0E-4708-B4E9-AE522A7AB7C0}"/>
                </a:ext>
              </a:extLst>
            </xdr:cNvPr>
            <xdr:cNvSpPr/>
          </xdr:nvSpPr>
          <xdr:spPr>
            <a:xfrm>
              <a:off x="5676281" y="2947451"/>
              <a:ext cx="91440" cy="88682"/>
            </a:xfrm>
            <a:prstGeom prst="ellipse">
              <a:avLst/>
            </a:prstGeom>
            <a:solidFill>
              <a:srgbClr val="95664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ID" sz="1100"/>
            </a:p>
          </xdr:txBody>
        </xdr:sp>
        <xdr:sp macro="" textlink="">
          <xdr:nvSpPr>
            <xdr:cNvPr id="168" name="TextBox 167">
              <a:extLst>
                <a:ext uri="{FF2B5EF4-FFF2-40B4-BE49-F238E27FC236}">
                  <a16:creationId xmlns:a16="http://schemas.microsoft.com/office/drawing/2014/main" id="{76647F07-3810-DA40-E7F0-E7D619B9C906}"/>
                </a:ext>
              </a:extLst>
            </xdr:cNvPr>
            <xdr:cNvSpPr txBox="1"/>
          </xdr:nvSpPr>
          <xdr:spPr>
            <a:xfrm>
              <a:off x="5771341" y="2899892"/>
              <a:ext cx="578659" cy="183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D" sz="900" b="0">
                  <a:solidFill>
                    <a:srgbClr val="A98062"/>
                  </a:solidFill>
                  <a:latin typeface="Aptos Display" panose="020B0004020202020204" pitchFamily="34" charset="0"/>
                  <a:ea typeface="Cambria" panose="02040503050406030204" pitchFamily="18" charset="0"/>
                </a:rPr>
                <a:t>No</a:t>
              </a:r>
              <a:endParaRPr lang="en-ID" sz="1000" b="0">
                <a:solidFill>
                  <a:srgbClr val="A98062"/>
                </a:solidFill>
                <a:latin typeface="Aptos Display" panose="020B0004020202020204" pitchFamily="34" charset="0"/>
                <a:ea typeface="Cambria" panose="02040503050406030204" pitchFamily="18" charset="0"/>
              </a:endParaRPr>
            </a:p>
          </xdr:txBody>
        </xdr:sp>
      </xdr:grpSp>
    </xdr:grpSp>
    <xdr:clientData/>
  </xdr:twoCellAnchor>
  <xdr:twoCellAnchor>
    <xdr:from>
      <xdr:col>16</xdr:col>
      <xdr:colOff>346884</xdr:colOff>
      <xdr:row>29</xdr:row>
      <xdr:rowOff>140546</xdr:rowOff>
    </xdr:from>
    <xdr:to>
      <xdr:col>18</xdr:col>
      <xdr:colOff>463461</xdr:colOff>
      <xdr:row>38</xdr:row>
      <xdr:rowOff>89866</xdr:rowOff>
    </xdr:to>
    <xdr:grpSp>
      <xdr:nvGrpSpPr>
        <xdr:cNvPr id="172" name="Group 171">
          <a:extLst>
            <a:ext uri="{FF2B5EF4-FFF2-40B4-BE49-F238E27FC236}">
              <a16:creationId xmlns:a16="http://schemas.microsoft.com/office/drawing/2014/main" id="{FB291CDA-5BCF-BB30-F1AA-07C277CFFC2B}"/>
            </a:ext>
          </a:extLst>
        </xdr:cNvPr>
        <xdr:cNvGrpSpPr/>
      </xdr:nvGrpSpPr>
      <xdr:grpSpPr>
        <a:xfrm>
          <a:off x="10060291" y="5401975"/>
          <a:ext cx="1330752" cy="1582177"/>
          <a:chOff x="11512826" y="5446114"/>
          <a:chExt cx="1336280" cy="1590261"/>
        </a:xfrm>
      </xdr:grpSpPr>
      <xdr:graphicFrame macro="">
        <xdr:nvGraphicFramePr>
          <xdr:cNvPr id="48" name="Chart 47">
            <a:extLst>
              <a:ext uri="{FF2B5EF4-FFF2-40B4-BE49-F238E27FC236}">
                <a16:creationId xmlns:a16="http://schemas.microsoft.com/office/drawing/2014/main" id="{9018E22A-8FA8-4AE8-9116-B8ECA4C51D82}"/>
              </a:ext>
            </a:extLst>
          </xdr:cNvPr>
          <xdr:cNvGraphicFramePr>
            <a:graphicFrameLocks/>
          </xdr:cNvGraphicFramePr>
        </xdr:nvGraphicFramePr>
        <xdr:xfrm>
          <a:off x="11512826" y="5673896"/>
          <a:ext cx="1336280" cy="1362479"/>
        </xdr:xfrm>
        <a:graphic>
          <a:graphicData uri="http://schemas.openxmlformats.org/drawingml/2006/chart">
            <c:chart xmlns:c="http://schemas.openxmlformats.org/drawingml/2006/chart" xmlns:r="http://schemas.openxmlformats.org/officeDocument/2006/relationships" r:id="rId21"/>
          </a:graphicData>
        </a:graphic>
      </xdr:graphicFrame>
      <xdr:grpSp>
        <xdr:nvGrpSpPr>
          <xdr:cNvPr id="169" name="Group 168">
            <a:extLst>
              <a:ext uri="{FF2B5EF4-FFF2-40B4-BE49-F238E27FC236}">
                <a16:creationId xmlns:a16="http://schemas.microsoft.com/office/drawing/2014/main" id="{14249B1E-634E-D36E-32AE-BC23291174C9}"/>
              </a:ext>
            </a:extLst>
          </xdr:cNvPr>
          <xdr:cNvGrpSpPr/>
        </xdr:nvGrpSpPr>
        <xdr:grpSpPr>
          <a:xfrm>
            <a:off x="12061404" y="5446114"/>
            <a:ext cx="672794" cy="183513"/>
            <a:chOff x="5676281" y="2899892"/>
            <a:chExt cx="673719" cy="183801"/>
          </a:xfrm>
        </xdr:grpSpPr>
        <xdr:sp macro="" textlink="">
          <xdr:nvSpPr>
            <xdr:cNvPr id="170" name="Oval 169">
              <a:extLst>
                <a:ext uri="{FF2B5EF4-FFF2-40B4-BE49-F238E27FC236}">
                  <a16:creationId xmlns:a16="http://schemas.microsoft.com/office/drawing/2014/main" id="{B65097FD-5AEC-B3EE-30D9-526E77088B61}"/>
                </a:ext>
              </a:extLst>
            </xdr:cNvPr>
            <xdr:cNvSpPr/>
          </xdr:nvSpPr>
          <xdr:spPr>
            <a:xfrm>
              <a:off x="5676281" y="2947451"/>
              <a:ext cx="91440" cy="88682"/>
            </a:xfrm>
            <a:prstGeom prst="ellipse">
              <a:avLst/>
            </a:prstGeom>
            <a:solidFill>
              <a:srgbClr val="62352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ID" sz="1100"/>
            </a:p>
          </xdr:txBody>
        </xdr:sp>
        <xdr:sp macro="" textlink="">
          <xdr:nvSpPr>
            <xdr:cNvPr id="171" name="TextBox 170">
              <a:extLst>
                <a:ext uri="{FF2B5EF4-FFF2-40B4-BE49-F238E27FC236}">
                  <a16:creationId xmlns:a16="http://schemas.microsoft.com/office/drawing/2014/main" id="{51D0615E-91B5-64E8-507F-17D7A840D649}"/>
                </a:ext>
              </a:extLst>
            </xdr:cNvPr>
            <xdr:cNvSpPr txBox="1"/>
          </xdr:nvSpPr>
          <xdr:spPr>
            <a:xfrm>
              <a:off x="5771341" y="2899892"/>
              <a:ext cx="578659" cy="183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D" sz="900" b="0">
                  <a:solidFill>
                    <a:srgbClr val="A98062"/>
                  </a:solidFill>
                  <a:latin typeface="Aptos Display" panose="020B0004020202020204" pitchFamily="34" charset="0"/>
                  <a:ea typeface="Cambria" panose="02040503050406030204" pitchFamily="18" charset="0"/>
                </a:rPr>
                <a:t>Yes</a:t>
              </a:r>
              <a:endParaRPr lang="en-ID" sz="1000" b="0">
                <a:solidFill>
                  <a:srgbClr val="A98062"/>
                </a:solidFill>
                <a:latin typeface="Aptos Display" panose="020B0004020202020204" pitchFamily="34" charset="0"/>
                <a:ea typeface="Cambria" panose="02040503050406030204" pitchFamily="18" charset="0"/>
              </a:endParaRPr>
            </a:p>
          </xdr:txBody>
        </xdr:sp>
      </xdr:grpSp>
    </xdr:grpSp>
    <xdr:clientData/>
  </xdr:twoCellAnchor>
  <xdr:twoCellAnchor>
    <xdr:from>
      <xdr:col>8</xdr:col>
      <xdr:colOff>367630</xdr:colOff>
      <xdr:row>0</xdr:row>
      <xdr:rowOff>131294</xdr:rowOff>
    </xdr:from>
    <xdr:to>
      <xdr:col>11</xdr:col>
      <xdr:colOff>36325</xdr:colOff>
      <xdr:row>2</xdr:row>
      <xdr:rowOff>76077</xdr:rowOff>
    </xdr:to>
    <xdr:sp macro="" textlink="">
      <xdr:nvSpPr>
        <xdr:cNvPr id="178" name="TextBox 177">
          <a:extLst>
            <a:ext uri="{FF2B5EF4-FFF2-40B4-BE49-F238E27FC236}">
              <a16:creationId xmlns:a16="http://schemas.microsoft.com/office/drawing/2014/main" id="{E68E8DFA-433B-8473-86A4-EBC3D600FFE3}"/>
            </a:ext>
          </a:extLst>
        </xdr:cNvPr>
        <xdr:cNvSpPr txBox="1"/>
      </xdr:nvSpPr>
      <xdr:spPr>
        <a:xfrm>
          <a:off x="5221852" y="131294"/>
          <a:ext cx="1489029" cy="3116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D" sz="2000" b="1">
              <a:solidFill>
                <a:srgbClr val="956643"/>
              </a:solidFill>
            </a:rPr>
            <a:t>Country</a:t>
          </a:r>
        </a:p>
      </xdr:txBody>
    </xdr:sp>
    <xdr:clientData/>
  </xdr:twoCellAnchor>
  <xdr:twoCellAnchor>
    <xdr:from>
      <xdr:col>13</xdr:col>
      <xdr:colOff>4346</xdr:colOff>
      <xdr:row>0</xdr:row>
      <xdr:rowOff>170982</xdr:rowOff>
    </xdr:from>
    <xdr:to>
      <xdr:col>15</xdr:col>
      <xdr:colOff>284229</xdr:colOff>
      <xdr:row>2</xdr:row>
      <xdr:rowOff>115765</xdr:rowOff>
    </xdr:to>
    <xdr:sp macro="" textlink="">
      <xdr:nvSpPr>
        <xdr:cNvPr id="179" name="TextBox 178">
          <a:extLst>
            <a:ext uri="{FF2B5EF4-FFF2-40B4-BE49-F238E27FC236}">
              <a16:creationId xmlns:a16="http://schemas.microsoft.com/office/drawing/2014/main" id="{FEF68936-8D38-74E7-5A78-C17C04D0DA80}"/>
            </a:ext>
          </a:extLst>
        </xdr:cNvPr>
        <xdr:cNvSpPr txBox="1"/>
      </xdr:nvSpPr>
      <xdr:spPr>
        <a:xfrm>
          <a:off x="7892457" y="170982"/>
          <a:ext cx="1493439" cy="3116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D" sz="2000" b="1">
              <a:solidFill>
                <a:srgbClr val="956643"/>
              </a:solidFill>
            </a:rPr>
            <a:t>Coffee</a:t>
          </a:r>
          <a:r>
            <a:rPr lang="en-ID" sz="2000" b="1" baseline="0">
              <a:solidFill>
                <a:srgbClr val="956643"/>
              </a:solidFill>
            </a:rPr>
            <a:t> Type</a:t>
          </a:r>
          <a:endParaRPr lang="en-ID" sz="2000" b="1">
            <a:solidFill>
              <a:srgbClr val="956643"/>
            </a:solidFill>
          </a:endParaRPr>
        </a:p>
      </xdr:txBody>
    </xdr:sp>
    <xdr:clientData/>
  </xdr:twoCellAnchor>
  <xdr:twoCellAnchor>
    <xdr:from>
      <xdr:col>17</xdr:col>
      <xdr:colOff>96323</xdr:colOff>
      <xdr:row>1</xdr:row>
      <xdr:rowOff>12231</xdr:rowOff>
    </xdr:from>
    <xdr:to>
      <xdr:col>19</xdr:col>
      <xdr:colOff>376206</xdr:colOff>
      <xdr:row>2</xdr:row>
      <xdr:rowOff>139577</xdr:rowOff>
    </xdr:to>
    <xdr:sp macro="" textlink="">
      <xdr:nvSpPr>
        <xdr:cNvPr id="180" name="TextBox 179">
          <a:extLst>
            <a:ext uri="{FF2B5EF4-FFF2-40B4-BE49-F238E27FC236}">
              <a16:creationId xmlns:a16="http://schemas.microsoft.com/office/drawing/2014/main" id="{605510F3-8F62-F03B-FD6D-440FFDC61D94}"/>
            </a:ext>
          </a:extLst>
        </xdr:cNvPr>
        <xdr:cNvSpPr txBox="1"/>
      </xdr:nvSpPr>
      <xdr:spPr>
        <a:xfrm>
          <a:off x="10411545" y="195675"/>
          <a:ext cx="1493439" cy="3107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D" sz="2000" b="1">
              <a:solidFill>
                <a:srgbClr val="956643"/>
              </a:solidFill>
            </a:rPr>
            <a:t>Year</a:t>
          </a:r>
        </a:p>
      </xdr:txBody>
    </xdr:sp>
    <xdr:clientData/>
  </xdr:twoCellAnchor>
  <xdr:twoCellAnchor>
    <xdr:from>
      <xdr:col>2</xdr:col>
      <xdr:colOff>85406</xdr:colOff>
      <xdr:row>0</xdr:row>
      <xdr:rowOff>145402</xdr:rowOff>
    </xdr:from>
    <xdr:to>
      <xdr:col>8</xdr:col>
      <xdr:colOff>312207</xdr:colOff>
      <xdr:row>3</xdr:row>
      <xdr:rowOff>148163</xdr:rowOff>
    </xdr:to>
    <xdr:sp macro="" textlink="">
      <xdr:nvSpPr>
        <xdr:cNvPr id="181" name="TextBox 180">
          <a:extLst>
            <a:ext uri="{FF2B5EF4-FFF2-40B4-BE49-F238E27FC236}">
              <a16:creationId xmlns:a16="http://schemas.microsoft.com/office/drawing/2014/main" id="{748E5058-9141-79B1-671C-C6D856CE4E1D}"/>
            </a:ext>
          </a:extLst>
        </xdr:cNvPr>
        <xdr:cNvSpPr txBox="1"/>
      </xdr:nvSpPr>
      <xdr:spPr>
        <a:xfrm>
          <a:off x="1302489" y="145402"/>
          <a:ext cx="3878051" cy="558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2800" b="1">
              <a:solidFill>
                <a:srgbClr val="C4A792"/>
              </a:solidFill>
            </a:rPr>
            <a:t>Coffee</a:t>
          </a:r>
          <a:r>
            <a:rPr lang="en-ID" sz="2800" b="1" baseline="0">
              <a:solidFill>
                <a:srgbClr val="C4A792"/>
              </a:solidFill>
            </a:rPr>
            <a:t> Sales Dashboard</a:t>
          </a:r>
          <a:endParaRPr lang="en-ID" sz="2800" b="1">
            <a:solidFill>
              <a:srgbClr val="C4A792"/>
            </a:solidFill>
          </a:endParaRPr>
        </a:p>
      </xdr:txBody>
    </xdr:sp>
    <xdr:clientData/>
  </xdr:twoCellAnchor>
  <xdr:twoCellAnchor>
    <xdr:from>
      <xdr:col>2</xdr:col>
      <xdr:colOff>85406</xdr:colOff>
      <xdr:row>3</xdr:row>
      <xdr:rowOff>58401</xdr:rowOff>
    </xdr:from>
    <xdr:to>
      <xdr:col>8</xdr:col>
      <xdr:colOff>97693</xdr:colOff>
      <xdr:row>5</xdr:row>
      <xdr:rowOff>7934</xdr:rowOff>
    </xdr:to>
    <xdr:sp macro="" textlink="">
      <xdr:nvSpPr>
        <xdr:cNvPr id="182" name="TextBox 181">
          <a:extLst>
            <a:ext uri="{FF2B5EF4-FFF2-40B4-BE49-F238E27FC236}">
              <a16:creationId xmlns:a16="http://schemas.microsoft.com/office/drawing/2014/main" id="{78AB14C9-1C2A-2AD8-2CC0-C0DDCC28DADC}"/>
            </a:ext>
          </a:extLst>
        </xdr:cNvPr>
        <xdr:cNvSpPr txBox="1"/>
      </xdr:nvSpPr>
      <xdr:spPr>
        <a:xfrm>
          <a:off x="1299582" y="602687"/>
          <a:ext cx="3654814" cy="3123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1400" b="0">
              <a:solidFill>
                <a:srgbClr val="D9A883"/>
              </a:solidFill>
              <a:latin typeface="Aptos Display" panose="020B0004020202020204" pitchFamily="34" charset="0"/>
              <a:ea typeface="Cambria" panose="02040503050406030204" pitchFamily="18" charset="0"/>
            </a:rPr>
            <a:t>Shows overall sales trends and top contributors</a:t>
          </a:r>
        </a:p>
      </xdr:txBody>
    </xdr:sp>
    <xdr:clientData/>
  </xdr:twoCellAnchor>
  <xdr:twoCellAnchor>
    <xdr:from>
      <xdr:col>0</xdr:col>
      <xdr:colOff>304738</xdr:colOff>
      <xdr:row>21</xdr:row>
      <xdr:rowOff>110134</xdr:rowOff>
    </xdr:from>
    <xdr:to>
      <xdr:col>4</xdr:col>
      <xdr:colOff>270832</xdr:colOff>
      <xdr:row>22</xdr:row>
      <xdr:rowOff>141948</xdr:rowOff>
    </xdr:to>
    <xdr:sp macro="" textlink="">
      <xdr:nvSpPr>
        <xdr:cNvPr id="183" name="TextBox 182">
          <a:extLst>
            <a:ext uri="{FF2B5EF4-FFF2-40B4-BE49-F238E27FC236}">
              <a16:creationId xmlns:a16="http://schemas.microsoft.com/office/drawing/2014/main" id="{3378AFD7-A3B6-B481-8D0E-2EC7F03761D7}"/>
            </a:ext>
          </a:extLst>
        </xdr:cNvPr>
        <xdr:cNvSpPr txBox="1"/>
      </xdr:nvSpPr>
      <xdr:spPr>
        <a:xfrm>
          <a:off x="304738" y="3962467"/>
          <a:ext cx="2393205" cy="2152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1400" b="1">
              <a:solidFill>
                <a:srgbClr val="E1BB9F"/>
              </a:solidFill>
              <a:latin typeface="Aptos Display" panose="020B0004020202020204" pitchFamily="34" charset="0"/>
              <a:ea typeface="Cambria" panose="02040503050406030204" pitchFamily="18" charset="0"/>
              <a:cs typeface="+mn-cs"/>
            </a:rPr>
            <a:t>Top 10 City by Sales</a:t>
          </a:r>
          <a:endParaRPr lang="en-ID" sz="1400" b="1">
            <a:solidFill>
              <a:srgbClr val="E1BB9F"/>
            </a:solidFill>
            <a:latin typeface="Aptos Display" panose="020B0004020202020204" pitchFamily="34" charset="0"/>
            <a:ea typeface="Cambria" panose="02040503050406030204" pitchFamily="18" charset="0"/>
          </a:endParaRPr>
        </a:p>
      </xdr:txBody>
    </xdr:sp>
    <xdr:clientData/>
  </xdr:twoCellAnchor>
  <xdr:twoCellAnchor>
    <xdr:from>
      <xdr:col>0</xdr:col>
      <xdr:colOff>304738</xdr:colOff>
      <xdr:row>22</xdr:row>
      <xdr:rowOff>95248</xdr:rowOff>
    </xdr:from>
    <xdr:to>
      <xdr:col>4</xdr:col>
      <xdr:colOff>176390</xdr:colOff>
      <xdr:row>25</xdr:row>
      <xdr:rowOff>7057</xdr:rowOff>
    </xdr:to>
    <xdr:sp macro="" textlink="">
      <xdr:nvSpPr>
        <xdr:cNvPr id="184" name="TextBox 183">
          <a:extLst>
            <a:ext uri="{FF2B5EF4-FFF2-40B4-BE49-F238E27FC236}">
              <a16:creationId xmlns:a16="http://schemas.microsoft.com/office/drawing/2014/main" id="{64C17E10-6D85-5FAC-1B76-4EC6DB6604A0}"/>
            </a:ext>
          </a:extLst>
        </xdr:cNvPr>
        <xdr:cNvSpPr txBox="1"/>
      </xdr:nvSpPr>
      <xdr:spPr>
        <a:xfrm>
          <a:off x="304738" y="4131026"/>
          <a:ext cx="2298763" cy="4621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D" sz="900">
              <a:solidFill>
                <a:srgbClr val="956643"/>
              </a:solidFill>
              <a:latin typeface="Aptos Display" panose="020B0004020202020204" pitchFamily="34" charset="0"/>
            </a:rPr>
            <a:t>Highlights the top 10 city with the highest sales performance.</a:t>
          </a:r>
        </a:p>
      </xdr:txBody>
    </xdr:sp>
    <xdr:clientData/>
  </xdr:twoCellAnchor>
  <xdr:twoCellAnchor>
    <xdr:from>
      <xdr:col>0</xdr:col>
      <xdr:colOff>326060</xdr:colOff>
      <xdr:row>7</xdr:row>
      <xdr:rowOff>131223</xdr:rowOff>
    </xdr:from>
    <xdr:to>
      <xdr:col>4</xdr:col>
      <xdr:colOff>292154</xdr:colOff>
      <xdr:row>8</xdr:row>
      <xdr:rowOff>163037</xdr:rowOff>
    </xdr:to>
    <xdr:sp macro="" textlink="">
      <xdr:nvSpPr>
        <xdr:cNvPr id="185" name="TextBox 184">
          <a:extLst>
            <a:ext uri="{FF2B5EF4-FFF2-40B4-BE49-F238E27FC236}">
              <a16:creationId xmlns:a16="http://schemas.microsoft.com/office/drawing/2014/main" id="{7FD3D1DE-AFFD-F75C-0105-9603F57CB006}"/>
            </a:ext>
          </a:extLst>
        </xdr:cNvPr>
        <xdr:cNvSpPr txBox="1"/>
      </xdr:nvSpPr>
      <xdr:spPr>
        <a:xfrm>
          <a:off x="326060" y="1401223"/>
          <a:ext cx="2394446" cy="2132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1400" b="1">
              <a:solidFill>
                <a:srgbClr val="E1BB9F"/>
              </a:solidFill>
              <a:latin typeface="Aptos Display" panose="020B0004020202020204" pitchFamily="34" charset="0"/>
              <a:ea typeface="Cambria" panose="02040503050406030204" pitchFamily="18" charset="0"/>
              <a:cs typeface="+mn-cs"/>
            </a:rPr>
            <a:t>Sales by Country</a:t>
          </a:r>
          <a:endParaRPr lang="en-ID" sz="1400" b="1">
            <a:solidFill>
              <a:srgbClr val="E1BB9F"/>
            </a:solidFill>
            <a:latin typeface="Aptos Display" panose="020B0004020202020204" pitchFamily="34" charset="0"/>
            <a:ea typeface="Cambria" panose="02040503050406030204" pitchFamily="18" charset="0"/>
          </a:endParaRPr>
        </a:p>
      </xdr:txBody>
    </xdr:sp>
    <xdr:clientData/>
  </xdr:twoCellAnchor>
  <xdr:twoCellAnchor>
    <xdr:from>
      <xdr:col>0</xdr:col>
      <xdr:colOff>326060</xdr:colOff>
      <xdr:row>8</xdr:row>
      <xdr:rowOff>131223</xdr:rowOff>
    </xdr:from>
    <xdr:to>
      <xdr:col>4</xdr:col>
      <xdr:colOff>292154</xdr:colOff>
      <xdr:row>9</xdr:row>
      <xdr:rowOff>163039</xdr:rowOff>
    </xdr:to>
    <xdr:sp macro="" textlink="">
      <xdr:nvSpPr>
        <xdr:cNvPr id="186" name="TextBox 185">
          <a:extLst>
            <a:ext uri="{FF2B5EF4-FFF2-40B4-BE49-F238E27FC236}">
              <a16:creationId xmlns:a16="http://schemas.microsoft.com/office/drawing/2014/main" id="{0E32D941-C49B-1F38-6878-C035232D292E}"/>
            </a:ext>
          </a:extLst>
        </xdr:cNvPr>
        <xdr:cNvSpPr txBox="1"/>
      </xdr:nvSpPr>
      <xdr:spPr>
        <a:xfrm>
          <a:off x="326060" y="1582652"/>
          <a:ext cx="2394446" cy="213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900" b="0">
              <a:solidFill>
                <a:srgbClr val="956643"/>
              </a:solidFill>
              <a:latin typeface="Aptos Display" panose="020B0004020202020204" pitchFamily="34" charset="0"/>
              <a:ea typeface="Cambria" panose="02040503050406030204" pitchFamily="18" charset="0"/>
              <a:cs typeface="+mn-cs"/>
            </a:rPr>
            <a:t>Shows sales performance across countries.</a:t>
          </a:r>
          <a:endParaRPr lang="en-ID" sz="900" b="0">
            <a:solidFill>
              <a:srgbClr val="956643"/>
            </a:solidFill>
            <a:latin typeface="Aptos Display" panose="020B0004020202020204" pitchFamily="34" charset="0"/>
            <a:ea typeface="Cambria" panose="02040503050406030204" pitchFamily="18" charset="0"/>
          </a:endParaRPr>
        </a:p>
      </xdr:txBody>
    </xdr:sp>
    <xdr:clientData/>
  </xdr:twoCellAnchor>
  <xdr:twoCellAnchor>
    <xdr:from>
      <xdr:col>0</xdr:col>
      <xdr:colOff>326060</xdr:colOff>
      <xdr:row>9</xdr:row>
      <xdr:rowOff>148874</xdr:rowOff>
    </xdr:from>
    <xdr:to>
      <xdr:col>2</xdr:col>
      <xdr:colOff>390769</xdr:colOff>
      <xdr:row>13</xdr:row>
      <xdr:rowOff>87433</xdr:rowOff>
    </xdr:to>
    <xdr:sp macro="" textlink="">
      <xdr:nvSpPr>
        <xdr:cNvPr id="190" name="TextBox 189">
          <a:extLst>
            <a:ext uri="{FF2B5EF4-FFF2-40B4-BE49-F238E27FC236}">
              <a16:creationId xmlns:a16="http://schemas.microsoft.com/office/drawing/2014/main" id="{E7062C86-25E8-21D0-A315-23C79E7A6FED}"/>
            </a:ext>
          </a:extLst>
        </xdr:cNvPr>
        <xdr:cNvSpPr txBox="1"/>
      </xdr:nvSpPr>
      <xdr:spPr>
        <a:xfrm>
          <a:off x="326060" y="1781731"/>
          <a:ext cx="1278885" cy="6642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1400" b="1">
              <a:solidFill>
                <a:srgbClr val="A98062"/>
              </a:solidFill>
              <a:latin typeface="Aptos Display" panose="020B0004020202020204" pitchFamily="34" charset="0"/>
              <a:ea typeface="Cambria" panose="02040503050406030204" pitchFamily="18" charset="0"/>
              <a:cs typeface="+mn-cs"/>
            </a:rPr>
            <a:t>US</a:t>
          </a:r>
          <a:r>
            <a:rPr lang="en-ID" sz="1000" b="0">
              <a:solidFill>
                <a:srgbClr val="A98062"/>
              </a:solidFill>
              <a:latin typeface="Aptos Display" panose="020B0004020202020204" pitchFamily="34" charset="0"/>
              <a:ea typeface="Cambria" panose="02040503050406030204" pitchFamily="18" charset="0"/>
              <a:cs typeface="+mn-cs"/>
            </a:rPr>
            <a:t> consistently leads each year with total sales:</a:t>
          </a:r>
          <a:endParaRPr lang="en-ID" sz="1000" b="0">
            <a:solidFill>
              <a:srgbClr val="A98062"/>
            </a:solidFill>
            <a:latin typeface="Aptos Display" panose="020B0004020202020204" pitchFamily="34" charset="0"/>
            <a:ea typeface="Cambria" panose="02040503050406030204" pitchFamily="18" charset="0"/>
          </a:endParaRPr>
        </a:p>
      </xdr:txBody>
    </xdr:sp>
    <xdr:clientData/>
  </xdr:twoCellAnchor>
  <xdr:twoCellAnchor>
    <xdr:from>
      <xdr:col>2</xdr:col>
      <xdr:colOff>304176</xdr:colOff>
      <xdr:row>9</xdr:row>
      <xdr:rowOff>137909</xdr:rowOff>
    </xdr:from>
    <xdr:to>
      <xdr:col>4</xdr:col>
      <xdr:colOff>111650</xdr:colOff>
      <xdr:row>13</xdr:row>
      <xdr:rowOff>98398</xdr:rowOff>
    </xdr:to>
    <xdr:sp macro="" textlink="PivotTable!AA4">
      <xdr:nvSpPr>
        <xdr:cNvPr id="191" name="TextBox 190">
          <a:extLst>
            <a:ext uri="{FF2B5EF4-FFF2-40B4-BE49-F238E27FC236}">
              <a16:creationId xmlns:a16="http://schemas.microsoft.com/office/drawing/2014/main" id="{7F2C3AAA-8FCC-5FB5-31DC-1D8ABA3DD255}"/>
            </a:ext>
          </a:extLst>
        </xdr:cNvPr>
        <xdr:cNvSpPr txBox="1"/>
      </xdr:nvSpPr>
      <xdr:spPr>
        <a:xfrm>
          <a:off x="1518352" y="1770766"/>
          <a:ext cx="1021650" cy="6862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2495931E-BAB6-4C91-ABBB-1B8F836C6EDA}" type="TxLink">
            <a:rPr lang="en-US" sz="3200" b="1" i="0" u="none" strike="noStrike">
              <a:solidFill>
                <a:srgbClr val="E1BB9F"/>
              </a:solidFill>
              <a:latin typeface="Aptos Display" panose="020B0004020202020204" pitchFamily="34" charset="0"/>
              <a:ea typeface="Calibri"/>
              <a:cs typeface="Calibri"/>
            </a:rPr>
            <a:pPr marL="0" indent="0" algn="l"/>
            <a:t>79%</a:t>
          </a:fld>
          <a:endParaRPr lang="en-ID" sz="3200" b="1" i="0" u="none" strike="noStrike">
            <a:solidFill>
              <a:srgbClr val="E1BB9F"/>
            </a:solidFill>
            <a:latin typeface="Aptos Display" panose="020B0004020202020204" pitchFamily="34" charset="0"/>
            <a:ea typeface="Calibri"/>
            <a:cs typeface="Calibri"/>
          </a:endParaRPr>
        </a:p>
      </xdr:txBody>
    </xdr:sp>
    <xdr:clientData/>
  </xdr:twoCellAnchor>
  <xdr:twoCellAnchor>
    <xdr:from>
      <xdr:col>2</xdr:col>
      <xdr:colOff>85406</xdr:colOff>
      <xdr:row>4</xdr:row>
      <xdr:rowOff>103380</xdr:rowOff>
    </xdr:from>
    <xdr:to>
      <xdr:col>8</xdr:col>
      <xdr:colOff>18468</xdr:colOff>
      <xdr:row>6</xdr:row>
      <xdr:rowOff>52913</xdr:rowOff>
    </xdr:to>
    <xdr:sp macro="" textlink="">
      <xdr:nvSpPr>
        <xdr:cNvPr id="192" name="TextBox 191">
          <a:extLst>
            <a:ext uri="{FF2B5EF4-FFF2-40B4-BE49-F238E27FC236}">
              <a16:creationId xmlns:a16="http://schemas.microsoft.com/office/drawing/2014/main" id="{C5AE4A27-2AF9-9D9B-C709-DFAFC668E1B9}"/>
            </a:ext>
          </a:extLst>
        </xdr:cNvPr>
        <xdr:cNvSpPr txBox="1"/>
      </xdr:nvSpPr>
      <xdr:spPr>
        <a:xfrm>
          <a:off x="1302489" y="844213"/>
          <a:ext cx="3584312" cy="319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1200" b="0">
              <a:solidFill>
                <a:srgbClr val="C4A792"/>
              </a:solidFill>
              <a:latin typeface="Aptos Display" panose="020B0004020202020204" pitchFamily="34" charset="0"/>
              <a:ea typeface="Cambria" panose="02040503050406030204" pitchFamily="18" charset="0"/>
            </a:rPr>
            <a:t>Period: 2019-2022</a:t>
          </a:r>
        </a:p>
      </xdr:txBody>
    </xdr:sp>
    <xdr:clientData/>
  </xdr:twoCellAnchor>
</xdr:wsDr>
</file>

<file path=xl/drawings/drawing2.xml><?xml version="1.0" encoding="utf-8"?>
<c:userShapes xmlns:c="http://schemas.openxmlformats.org/drawingml/2006/chart">
  <cdr:relSizeAnchor xmlns:cdr="http://schemas.openxmlformats.org/drawingml/2006/chartDrawing">
    <cdr:from>
      <cdr:x>0.20408</cdr:x>
      <cdr:y>0.38036</cdr:y>
    </cdr:from>
    <cdr:to>
      <cdr:x>0.75116</cdr:x>
      <cdr:y>0.64005</cdr:y>
    </cdr:to>
    <cdr:sp macro="" textlink="PivotTable!$AG$8">
      <cdr:nvSpPr>
        <cdr:cNvPr id="2" name="TextBox 1">
          <a:extLst xmlns:a="http://schemas.openxmlformats.org/drawingml/2006/main">
            <a:ext uri="{FF2B5EF4-FFF2-40B4-BE49-F238E27FC236}">
              <a16:creationId xmlns:a16="http://schemas.microsoft.com/office/drawing/2014/main" id="{B67E5E2E-79A1-EBEB-8828-EE440E0BC2FB}"/>
            </a:ext>
          </a:extLst>
        </cdr:cNvPr>
        <cdr:cNvSpPr txBox="1"/>
      </cdr:nvSpPr>
      <cdr:spPr>
        <a:xfrm xmlns:a="http://schemas.openxmlformats.org/drawingml/2006/main">
          <a:off x="266770" y="514696"/>
          <a:ext cx="715146" cy="351407"/>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453EEF54-D2C3-45E9-8839-F7231C219995}" type="TxLink">
            <a:rPr lang="en-US" sz="2000" b="1" i="0" u="none" strike="noStrike" kern="1200">
              <a:solidFill>
                <a:srgbClr val="956643"/>
              </a:solidFill>
              <a:latin typeface="Aptos Display" panose="020B0004020202020204" pitchFamily="34" charset="0"/>
              <a:ea typeface="Calibri"/>
              <a:cs typeface="Calibri"/>
            </a:rPr>
            <a:pPr algn="ctr"/>
            <a:t>54%</a:t>
          </a:fld>
          <a:endParaRPr lang="en-ID" sz="2000" b="1" kern="1200">
            <a:solidFill>
              <a:srgbClr val="956643"/>
            </a:solidFill>
            <a:latin typeface="Aptos Display" panose="020B0004020202020204" pitchFamily="34" charset="0"/>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0.27255</cdr:x>
      <cdr:y>0.37713</cdr:y>
    </cdr:from>
    <cdr:to>
      <cdr:x>0.80714</cdr:x>
      <cdr:y>0.59143</cdr:y>
    </cdr:to>
    <cdr:sp macro="" textlink="PivotTable!$AG$9">
      <cdr:nvSpPr>
        <cdr:cNvPr id="3" name="TextBox 2">
          <a:extLst xmlns:a="http://schemas.openxmlformats.org/drawingml/2006/main">
            <a:ext uri="{FF2B5EF4-FFF2-40B4-BE49-F238E27FC236}">
              <a16:creationId xmlns:a16="http://schemas.microsoft.com/office/drawing/2014/main" id="{B6937A61-4915-D07F-6384-C988A1084ECF}"/>
            </a:ext>
          </a:extLst>
        </cdr:cNvPr>
        <cdr:cNvSpPr txBox="1"/>
      </cdr:nvSpPr>
      <cdr:spPr>
        <a:xfrm xmlns:a="http://schemas.openxmlformats.org/drawingml/2006/main">
          <a:off x="364598" y="520756"/>
          <a:ext cx="715146" cy="295923"/>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marL="0" indent="0" algn="ctr"/>
          <a:fld id="{DC85F520-8D1B-4932-8A41-97114D708EA1}" type="TxLink">
            <a:rPr lang="en-US" sz="2000" b="1" i="0" u="none" strike="noStrike" kern="1200">
              <a:solidFill>
                <a:srgbClr val="623528"/>
              </a:solidFill>
              <a:latin typeface="Aptos Display" panose="020B0004020202020204" pitchFamily="34" charset="0"/>
              <a:ea typeface="Calibri"/>
              <a:cs typeface="Calibri"/>
            </a:rPr>
            <a:pPr marL="0" indent="0" algn="ctr"/>
            <a:t>46%</a:t>
          </a:fld>
          <a:endParaRPr lang="en-ID" sz="2000" b="1" i="0" u="none" strike="noStrike" kern="1200">
            <a:solidFill>
              <a:srgbClr val="623528"/>
            </a:solidFill>
            <a:latin typeface="Aptos Display" panose="020B0004020202020204" pitchFamily="34" charset="0"/>
            <a:ea typeface="Calibri"/>
            <a:cs typeface="Calibri"/>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nifah arrasyidah" refreshedDate="45881.431941319446" createdVersion="8" refreshedVersion="8" minRefreshableVersion="3" recordCount="1000" xr:uid="{E7290A48-55FA-4E74-ADF4-2882FEB88322}">
  <cacheSource type="worksheet">
    <worksheetSource name="Orders"/>
  </cacheSource>
  <cacheFields count="20">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9"/>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acheField>
    <cacheField name="Email" numFmtId="0">
      <sharedItems/>
    </cacheField>
    <cacheField name="Country" numFmtId="0">
      <sharedItems count="3">
        <s v="United States"/>
        <s v="Ireland"/>
        <s v="United Kingdom"/>
      </sharedItems>
    </cacheField>
    <cacheField name="City" numFmtId="0">
      <sharedItems count="375">
        <s v="Paterson"/>
        <s v="San Antonio"/>
        <s v="Cill Airne"/>
        <s v="Scranton"/>
        <s v="Dayton"/>
        <s v="Kill"/>
        <s v="Los Angeles"/>
        <s v="San Jose"/>
        <s v="Richmond"/>
        <s v="Migrate"/>
        <s v="Saint Louis"/>
        <s v="Philadelphia"/>
        <s v="Portland"/>
        <s v="Houston"/>
        <s v="Caherconlish"/>
        <s v="New York City"/>
        <s v="Grand Rapids"/>
        <s v="Punta Gorda"/>
        <s v="Vancouver"/>
        <s v="Englewood"/>
        <s v="Petaluma"/>
        <s v="Tralee"/>
        <s v="Clonskeagh"/>
        <s v="Rathwire"/>
        <s v="Aurora"/>
        <s v="Grand Forks"/>
        <s v="Upton"/>
        <s v="Charleston"/>
        <s v="Little Rock"/>
        <s v="Denver"/>
        <s v="Minneapolis"/>
        <s v="Tucson"/>
        <s v="New Orleans"/>
        <s v="Hartford"/>
        <s v="Ogden"/>
        <s v="Boston"/>
        <s v="Rochester"/>
        <s v="Bronx"/>
        <s v="Birmingham"/>
        <s v="San Bernardino"/>
        <s v="Norfolk"/>
        <s v="Washington"/>
        <s v="Fort Lauderdale"/>
        <s v="Crumlin"/>
        <s v="Kinloch"/>
        <s v="Toledo"/>
        <s v="Trenton"/>
        <s v="Tampa"/>
        <s v="Pensacola"/>
        <s v="Zephyrhills"/>
        <s v="Saint Paul"/>
        <s v="Fort Wayne"/>
        <s v="Wootton"/>
        <s v="Naples"/>
        <s v="Chicago"/>
        <s v="Newark"/>
        <s v="Vienna"/>
        <s v="Fort Worth"/>
        <s v="Burbank"/>
        <s v="Kingsport"/>
        <s v="Liverpool"/>
        <s v="Columbus"/>
        <s v="Newmarket on Fergus"/>
        <s v="Charlotte"/>
        <s v="Springfield"/>
        <s v="Listowel"/>
        <s v="Moycullen"/>
        <s v="Midland"/>
        <s v="Dallas"/>
        <s v="Dulles"/>
        <s v="Oakland"/>
        <s v="Colorado Springs"/>
        <s v="Adare"/>
        <s v="Buffalo"/>
        <s v="Fresno"/>
        <s v="Beaumont"/>
        <s v="Reno"/>
        <s v="Kansas City"/>
        <s v="Corona"/>
        <s v="Austin"/>
        <s v="Normanton"/>
        <s v="Charlesland"/>
        <s v="Confey"/>
        <s v="Stockton"/>
        <s v="Edgeworthstown"/>
        <s v="Leixlip"/>
        <s v="Tuscaloosa"/>
        <s v="El Paso"/>
        <s v="Port Washington"/>
        <s v="Cherryville"/>
        <s v="Huntington"/>
        <s v="Killorglin"/>
        <s v="Anchorage"/>
        <s v="Nashville"/>
        <s v="Stamford"/>
        <s v="Newport News"/>
        <s v="Drumcondra"/>
        <s v="Fargo"/>
        <s v="Evansville"/>
        <s v="Huntsville"/>
        <s v="Santa Ana"/>
        <s v="Oklahoma City"/>
        <s v="Bailieborough"/>
        <s v="Honolulu"/>
        <s v="Ballivor"/>
        <s v="Portumna"/>
        <s v="Orange"/>
        <s v="Carson City"/>
        <s v="Provo"/>
        <s v="Boca Raton"/>
        <s v="Roanoke"/>
        <s v="Des Moines"/>
        <s v="Norwalk"/>
        <s v="Arlington"/>
        <s v="Ashford"/>
        <s v="Chattanooga"/>
        <s v="Greensboro"/>
        <s v="Alexandria"/>
        <s v="Castlebridge"/>
        <s v="Racine"/>
        <s v="Clearwater"/>
        <s v="Castlebellingham"/>
        <s v="Craigavon"/>
        <s v="Eadestown"/>
        <s v="Montgomery"/>
        <s v="Sparks"/>
        <s v="Macon"/>
        <s v="Whittier"/>
        <s v="Johnson City"/>
        <s v="Portarlington"/>
        <s v="Brooklyn"/>
        <s v="Charlottesville"/>
        <s v="Garland"/>
        <s v="Lansing"/>
        <s v="Tulsa"/>
        <s v="Detroit"/>
        <s v="Nenagh"/>
        <s v="Mesa"/>
        <s v="Warren"/>
        <s v="Memphis"/>
        <s v="Albany"/>
        <s v="Spartanburg"/>
        <s v="Staten Island"/>
        <s v="Lubbock"/>
        <s v="Fermoy"/>
        <s v="Whitwell"/>
        <s v="Balally"/>
        <s v="Salt Lake City"/>
        <s v="Pasadena"/>
        <s v="Kinsale"/>
        <s v="Lees Summit"/>
        <s v="Irvine"/>
        <s v="Hicksville"/>
        <s v="Shawnee Mission"/>
        <s v="Edinburgh"/>
        <s v="Sacramento"/>
        <s v="Wilkes Barre"/>
        <s v="Ballinroad"/>
        <s v="D煤n Laoghaire"/>
        <s v="Cincinnati"/>
        <s v="Cheyenne"/>
        <s v="Atlanta"/>
        <s v="Duluth"/>
        <s v="Baton Rouge"/>
        <s v="Newbiggin"/>
        <s v="Kilkenny"/>
        <s v="Milwaukee"/>
        <s v="Phoenix"/>
        <s v="Jamaica"/>
        <s v="Champaign"/>
        <s v="Swindon"/>
        <s v="Pompano Beach"/>
        <s v="Sheffield"/>
        <s v="Erie"/>
        <s v="Tacoma"/>
        <s v="Kinsealy-Drinan"/>
        <s v="Newton"/>
        <s v="Denton"/>
        <s v="Tullamore"/>
        <s v="Raleigh"/>
        <s v="Shankill"/>
        <s v="Castleblayney"/>
        <s v="Columbia"/>
        <s v="Boulder"/>
        <s v="Norton"/>
        <s v="Louisville"/>
        <s v="Canton"/>
        <s v="Kinlough"/>
        <s v="Lynchburg"/>
        <s v="Danbury"/>
        <s v="Miami Beach"/>
        <s v="Corpus Christi"/>
        <s v="Baltimore"/>
        <s v="Lexington"/>
        <s v="Eaton"/>
        <s v="Lincoln"/>
        <s v="West Hartford"/>
        <s v="Belfast"/>
        <s v="Las Vegas"/>
        <s v="Akron"/>
        <s v="West Palm Beach"/>
        <s v="Sandyford"/>
        <s v="Dublin"/>
        <s v="Knoxville"/>
        <s v="San Francisco"/>
        <s v="Boynton Beach"/>
        <s v="Church End"/>
        <s v="Indianapolis"/>
        <s v="Seattle"/>
        <s v="Dunmanway"/>
        <s v="Topeka"/>
        <s v="Tyler"/>
        <s v="Shreveport"/>
        <s v="Boise"/>
        <s v="Fort Pierce"/>
        <s v="Round Rock"/>
        <s v="Reston"/>
        <s v="Charlton"/>
        <s v="Miami"/>
        <s v="Anaheim"/>
        <s v="Odessa"/>
        <s v="Castleknock"/>
        <s v="Irving"/>
        <s v="Tullyallen"/>
        <s v="Sutton"/>
        <s v="Harrisburg"/>
        <s v="New Haven"/>
        <s v="Lawrenceville"/>
        <s v="Asheville"/>
        <s v="Preston"/>
        <s v="Whitegate"/>
        <s v="Chico"/>
        <s v="Balrothery"/>
        <s v="New Brunswick"/>
        <s v="Valleymount"/>
        <s v="Lafayette"/>
        <s v="San Diego"/>
        <s v="Alhambra"/>
        <s v="Madison"/>
        <s v="Longwood"/>
        <s v="Jackson"/>
        <s v="Kildare"/>
        <s v="Bethlehem"/>
        <s v="Watergrasshill"/>
        <s v="Monasterevin"/>
        <s v="Longford"/>
        <s v="Ballylinan"/>
        <s v="Ballyboden"/>
        <s v="Bagenalstown"/>
        <s v="Ashbourne"/>
        <s v="Bristol"/>
        <s v="Farranacoush"/>
        <s v="East End"/>
        <s v="Saginaw"/>
        <s v="Saint Augustine"/>
        <s v="San Rafael"/>
        <s v="Flushing"/>
        <s v="Kissimmee"/>
        <s v="Seaton"/>
        <s v="Tr谩 Mh贸r"/>
        <s v="Coolock"/>
        <s v="Kinnegad"/>
        <s v="Milltown"/>
        <s v="Virginia"/>
        <s v="High Point"/>
        <s v="Cleveland"/>
        <s v="Ballymahon"/>
        <s v="Saint Cloud"/>
        <s v="Schenectady"/>
        <s v="Lakeland"/>
        <s v="Melbourne"/>
        <s v="Lucan"/>
        <s v="Camden"/>
        <s v="Waco"/>
        <s v="Winter Haven"/>
        <s v="Naperville"/>
        <s v="Boyle"/>
        <s v="Manorhamilton"/>
        <s v="Bantry"/>
        <s v="Amarillo"/>
        <s v="Daingean"/>
        <s v="Halton"/>
        <s v="London"/>
        <s v="Hyattsville"/>
        <s v="Ashley"/>
        <s v="Durham"/>
        <s v="Loughrea"/>
        <s v="Sterling"/>
        <s v="Decatur"/>
        <s v="Huntington Beach"/>
        <s v="Manchester"/>
        <s v="Pittsburgh"/>
        <s v="Middleton"/>
        <s v="Seminole"/>
        <s v="Merton"/>
        <s v="Ballybofey"/>
        <s v="Castlerea"/>
        <s v="Ballisodare"/>
        <s v="Ford"/>
        <s v="San Angelo"/>
        <s v="Thorpe"/>
        <s v="Carlton"/>
        <s v="Ballinteer"/>
        <s v="Cedar Rapids"/>
        <s v="Sunnyvale"/>
        <s v="Cluain Meala"/>
        <s v="Murfreesboro"/>
        <s v="Gorey"/>
        <s v="Florence"/>
        <s v="Syracuse"/>
        <s v="Bradenton"/>
        <s v="Allentown"/>
        <s v="Hampton"/>
        <s v="Wichita"/>
        <s v="Jacksonville"/>
        <s v="Tallaght"/>
        <s v="Yonkers"/>
        <s v="Bayside"/>
        <s v="Bakersfield"/>
        <s v="Dungarvan"/>
        <s v="Young America"/>
        <s v="Fort Smith"/>
        <s v="Navan"/>
        <s v="Long Beach"/>
        <s v="Lusk"/>
        <s v="Wilmington"/>
        <s v="Garden Grove"/>
        <s v="Orlando"/>
        <s v="Clones"/>
        <s v="Stradbally"/>
        <s v="Ballina"/>
        <s v="Glasnevin"/>
        <s v="Billings"/>
        <s v="Independence"/>
        <s v="Monroe"/>
        <s v="Littleton"/>
        <s v="Joliet"/>
        <s v="Malahide"/>
        <s v="Arklow"/>
        <s v="Olympia"/>
        <s v="Twyford"/>
        <s v="New Hyde Park"/>
        <s v="Mesquite"/>
        <s v="Monticello"/>
        <s v="Largo"/>
        <s v="Foxrock"/>
        <s v="Savannah"/>
        <s v="Albuquerque"/>
        <s v="Port Saint Lucie"/>
        <s v="Omaha"/>
        <s v="Salinas"/>
        <s v="Mobile"/>
        <s v="Hollywood"/>
        <s v="Greystones"/>
        <s v="Monaghan"/>
        <s v="Kirkton"/>
        <s v="Rockford"/>
        <s v="Mullagh"/>
        <s v="Cavan"/>
        <s v="Battle Creek"/>
        <s v="Ballymun"/>
        <s v="Fairbanks"/>
        <s v="Muskegon"/>
        <s v="Sallins"/>
        <s v="Castlemartyr"/>
        <s v="Hagerstown"/>
        <s v="Crossmolina"/>
        <s v="Booterstown"/>
        <s v="Gainesville"/>
        <s v="Rathnew"/>
        <s v="Silver Spring"/>
        <s v="Conroe"/>
        <s v="Bundoran"/>
        <s v="Daytona Beach"/>
        <s v="Wirral"/>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Profit" numFmtId="44">
      <sharedItems containsSemiMixedTypes="0" containsString="0" containsNumber="1" minValue="0.16109999999999997" maxValue="28.434899999999999"/>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st Type Name" numFmtId="0">
      <sharedItems count="3">
        <s v="Medium"/>
        <s v="Light"/>
        <s v="Dark"/>
      </sharedItems>
    </cacheField>
    <cacheField name="Customer Loyalty"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5273198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s v="Aloisia Allner"/>
    <s v="aallner0@lulu.com"/>
    <x v="0"/>
    <x v="0"/>
    <x v="0"/>
    <s v="M"/>
    <x v="0"/>
    <n v="9.9499999999999993"/>
    <n v="1.194"/>
    <n v="19.899999999999999"/>
    <x v="0"/>
    <x v="0"/>
    <x v="0"/>
  </r>
  <r>
    <s v="QEV-37451-860"/>
    <x v="0"/>
    <s v="17670-51384-MA"/>
    <s v="E-M-0.5"/>
    <n v="5"/>
    <s v="Aloisia Allner"/>
    <s v="pbote1@yelp.com"/>
    <x v="0"/>
    <x v="0"/>
    <x v="1"/>
    <s v="M"/>
    <x v="1"/>
    <n v="8.25"/>
    <n v="4.5374999999999996"/>
    <n v="41.25"/>
    <x v="1"/>
    <x v="0"/>
    <x v="0"/>
  </r>
  <r>
    <s v="FAA-43335-268"/>
    <x v="1"/>
    <s v="21125-22134-PX"/>
    <s v="A-L-1"/>
    <n v="1"/>
    <s v="Jami Redholes"/>
    <s v=""/>
    <x v="0"/>
    <x v="1"/>
    <x v="2"/>
    <s v="L"/>
    <x v="0"/>
    <n v="12.95"/>
    <n v="1.1655"/>
    <n v="12.95"/>
    <x v="2"/>
    <x v="1"/>
    <x v="0"/>
  </r>
  <r>
    <s v="KAC-83089-793"/>
    <x v="2"/>
    <s v="23806-46781-OU"/>
    <s v="E-M-1"/>
    <n v="2"/>
    <s v="Christoffer O' Shea"/>
    <s v=""/>
    <x v="1"/>
    <x v="2"/>
    <x v="1"/>
    <s v="M"/>
    <x v="0"/>
    <n v="13.75"/>
    <n v="3.0249999999999999"/>
    <n v="27.5"/>
    <x v="1"/>
    <x v="0"/>
    <x v="1"/>
  </r>
  <r>
    <s v="KAC-83089-793"/>
    <x v="2"/>
    <s v="23806-46781-OU"/>
    <s v="R-L-2.5"/>
    <n v="2"/>
    <s v="Christoffer O' Shea"/>
    <s v="gpetracci8@livejournal.com"/>
    <x v="1"/>
    <x v="2"/>
    <x v="0"/>
    <s v="L"/>
    <x v="2"/>
    <n v="27.484999999999996"/>
    <n v="3.2981999999999996"/>
    <n v="54.969999999999992"/>
    <x v="0"/>
    <x v="1"/>
    <x v="1"/>
  </r>
  <r>
    <s v="CVP-18956-553"/>
    <x v="3"/>
    <s v="86561-91660-RB"/>
    <s v="L-D-1"/>
    <n v="3"/>
    <s v="Beryle Cottier"/>
    <s v="fferbera@businesswire.com"/>
    <x v="0"/>
    <x v="3"/>
    <x v="3"/>
    <s v="D"/>
    <x v="0"/>
    <n v="12.95"/>
    <n v="5.0504999999999995"/>
    <n v="38.849999999999994"/>
    <x v="3"/>
    <x v="2"/>
    <x v="1"/>
  </r>
  <r>
    <s v="IPP-31994-879"/>
    <x v="4"/>
    <s v="65223-29612-CB"/>
    <s v="E-D-0.5"/>
    <n v="3"/>
    <s v="Shaylynn Lobe"/>
    <s v="rscholarc@nyu.edu"/>
    <x v="0"/>
    <x v="4"/>
    <x v="1"/>
    <s v="D"/>
    <x v="1"/>
    <n v="7.29"/>
    <n v="2.4057000000000004"/>
    <n v="21.87"/>
    <x v="1"/>
    <x v="2"/>
    <x v="0"/>
  </r>
  <r>
    <s v="SNZ-65340-705"/>
    <x v="5"/>
    <s v="21134-81676-FR"/>
    <s v="L-L-0.2"/>
    <n v="1"/>
    <s v="Melvin Wharfe"/>
    <s v="ptrobee@wunderground.com"/>
    <x v="1"/>
    <x v="5"/>
    <x v="3"/>
    <s v="L"/>
    <x v="3"/>
    <n v="4.7549999999999999"/>
    <n v="0.61814999999999998"/>
    <n v="4.7549999999999999"/>
    <x v="3"/>
    <x v="1"/>
    <x v="0"/>
  </r>
  <r>
    <s v="EZT-46571-659"/>
    <x v="6"/>
    <s v="03396-68805-ZC"/>
    <s v="R-M-0.5"/>
    <n v="3"/>
    <s v="Guthrey Petracci"/>
    <s v="malabasterg@hexun.com"/>
    <x v="0"/>
    <x v="6"/>
    <x v="0"/>
    <s v="M"/>
    <x v="1"/>
    <n v="5.97"/>
    <n v="1.0745999999999998"/>
    <n v="17.91"/>
    <x v="0"/>
    <x v="0"/>
    <x v="1"/>
  </r>
  <r>
    <s v="NWQ-70061-912"/>
    <x v="0"/>
    <s v="61021-27840-ZN"/>
    <s v="R-M-0.5"/>
    <n v="1"/>
    <s v="Rodger Raven"/>
    <s v="predfordi@ow.ly"/>
    <x v="0"/>
    <x v="6"/>
    <x v="0"/>
    <s v="M"/>
    <x v="1"/>
    <n v="5.97"/>
    <n v="0.35819999999999996"/>
    <n v="5.97"/>
    <x v="0"/>
    <x v="0"/>
    <x v="1"/>
  </r>
  <r>
    <s v="BKK-47233-845"/>
    <x v="7"/>
    <s v="76239-90137-UQ"/>
    <s v="A-D-1"/>
    <n v="4"/>
    <s v="Ferrell Ferber"/>
    <s v=""/>
    <x v="0"/>
    <x v="7"/>
    <x v="2"/>
    <s v="D"/>
    <x v="0"/>
    <n v="9.9499999999999993"/>
    <n v="3.5819999999999994"/>
    <n v="39.799999999999997"/>
    <x v="2"/>
    <x v="2"/>
    <x v="1"/>
  </r>
  <r>
    <s v="VQR-01002-970"/>
    <x v="8"/>
    <s v="49315-21985-BB"/>
    <s v="E-L-2.5"/>
    <n v="5"/>
    <s v="Duky Phizackerly"/>
    <s v="aantukm@kickstarter.com"/>
    <x v="0"/>
    <x v="7"/>
    <x v="1"/>
    <s v="L"/>
    <x v="2"/>
    <n v="34.154999999999994"/>
    <n v="18.785249999999998"/>
    <n v="170.77499999999998"/>
    <x v="1"/>
    <x v="1"/>
    <x v="0"/>
  </r>
  <r>
    <s v="SZW-48378-399"/>
    <x v="9"/>
    <s v="34136-36674-OM"/>
    <s v="R-M-1"/>
    <n v="5"/>
    <s v="Rosaleen Scholar"/>
    <s v="cblofeldo@amazon.co.uk"/>
    <x v="0"/>
    <x v="8"/>
    <x v="0"/>
    <s v="M"/>
    <x v="0"/>
    <n v="9.9499999999999993"/>
    <n v="2.9849999999999999"/>
    <n v="49.75"/>
    <x v="0"/>
    <x v="0"/>
    <x v="1"/>
  </r>
  <r>
    <s v="ITA-87418-783"/>
    <x v="10"/>
    <s v="39396-12890-PE"/>
    <s v="R-D-2.5"/>
    <n v="2"/>
    <s v="Terence Vanyutin"/>
    <s v="sshalesq@umich.edu"/>
    <x v="0"/>
    <x v="9"/>
    <x v="0"/>
    <s v="D"/>
    <x v="2"/>
    <n v="20.584999999999997"/>
    <n v="2.4701999999999997"/>
    <n v="41.169999999999995"/>
    <x v="0"/>
    <x v="2"/>
    <x v="1"/>
  </r>
  <r>
    <s v="GNZ-46006-527"/>
    <x v="11"/>
    <s v="95875-73336-RG"/>
    <s v="L-D-0.2"/>
    <n v="3"/>
    <s v="Patrice Trobe"/>
    <s v="tnewburys@usda.gov"/>
    <x v="0"/>
    <x v="10"/>
    <x v="3"/>
    <s v="D"/>
    <x v="3"/>
    <n v="3.8849999999999998"/>
    <n v="1.51515"/>
    <n v="11.654999999999999"/>
    <x v="3"/>
    <x v="2"/>
    <x v="0"/>
  </r>
  <r>
    <s v="FYQ-78248-319"/>
    <x v="12"/>
    <s v="25473-43727-BY"/>
    <s v="R-M-2.5"/>
    <n v="5"/>
    <s v="Llywellyn Oscroft"/>
    <s v=""/>
    <x v="0"/>
    <x v="11"/>
    <x v="0"/>
    <s v="M"/>
    <x v="2"/>
    <n v="22.884999999999998"/>
    <n v="6.865499999999999"/>
    <n v="114.42499999999998"/>
    <x v="0"/>
    <x v="0"/>
    <x v="1"/>
  </r>
  <r>
    <s v="VAU-44387-624"/>
    <x v="13"/>
    <s v="99643-51048-IQ"/>
    <s v="A-M-0.2"/>
    <n v="6"/>
    <s v="Minni Alabaster"/>
    <s v="nbasezziw@webeden.co.uk"/>
    <x v="0"/>
    <x v="12"/>
    <x v="2"/>
    <s v="M"/>
    <x v="3"/>
    <n v="3.375"/>
    <n v="1.8224999999999998"/>
    <n v="20.25"/>
    <x v="2"/>
    <x v="0"/>
    <x v="1"/>
  </r>
  <r>
    <s v="RDW-33155-159"/>
    <x v="14"/>
    <s v="62173-15287-CU"/>
    <s v="A-L-1"/>
    <n v="6"/>
    <s v="Rhianon Broxup"/>
    <s v="uwelberryy@ebay.co.uk"/>
    <x v="0"/>
    <x v="13"/>
    <x v="2"/>
    <s v="L"/>
    <x v="0"/>
    <n v="12.95"/>
    <n v="6.9930000000000003"/>
    <n v="77.699999999999989"/>
    <x v="2"/>
    <x v="1"/>
    <x v="1"/>
  </r>
  <r>
    <s v="TDZ-59011-211"/>
    <x v="15"/>
    <s v="57611-05522-ST"/>
    <s v="R-D-2.5"/>
    <n v="4"/>
    <s v="Pall Redford"/>
    <s v="zponting10@altervista.org"/>
    <x v="1"/>
    <x v="14"/>
    <x v="0"/>
    <s v="D"/>
    <x v="2"/>
    <n v="20.584999999999997"/>
    <n v="4.9403999999999995"/>
    <n v="82.339999999999989"/>
    <x v="0"/>
    <x v="2"/>
    <x v="0"/>
  </r>
  <r>
    <s v="IDU-25793-399"/>
    <x v="16"/>
    <s v="76664-37050-DT"/>
    <s v="A-M-0.2"/>
    <n v="5"/>
    <s v="Aurea Corradino"/>
    <s v="dde12@unesco.org"/>
    <x v="0"/>
    <x v="15"/>
    <x v="2"/>
    <s v="M"/>
    <x v="3"/>
    <n v="3.375"/>
    <n v="1.5187499999999998"/>
    <n v="16.875"/>
    <x v="2"/>
    <x v="0"/>
    <x v="0"/>
  </r>
  <r>
    <s v="IDU-25793-399"/>
    <x v="16"/>
    <s v="76664-37050-DT"/>
    <s v="E-D-0.2"/>
    <n v="4"/>
    <s v="Aurea Corradino"/>
    <s v=""/>
    <x v="0"/>
    <x v="15"/>
    <x v="1"/>
    <s v="D"/>
    <x v="3"/>
    <n v="3.645"/>
    <n v="1.6038000000000001"/>
    <n v="14.58"/>
    <x v="1"/>
    <x v="2"/>
    <x v="0"/>
  </r>
  <r>
    <s v="NUO-20013-488"/>
    <x v="16"/>
    <s v="03090-88267-BQ"/>
    <s v="A-D-0.2"/>
    <n v="6"/>
    <s v="Avrit Davidowsky"/>
    <s v="atolworthy16@toplist.cz"/>
    <x v="0"/>
    <x v="16"/>
    <x v="2"/>
    <s v="D"/>
    <x v="3"/>
    <n v="2.9849999999999999"/>
    <n v="1.6118999999999999"/>
    <n v="17.91"/>
    <x v="2"/>
    <x v="2"/>
    <x v="1"/>
  </r>
  <r>
    <s v="UQU-65630-479"/>
    <x v="17"/>
    <s v="37651-47492-NC"/>
    <s v="R-M-2.5"/>
    <n v="4"/>
    <s v="Annabel Antuk"/>
    <s v="obaudassi18@seesaa.net"/>
    <x v="0"/>
    <x v="17"/>
    <x v="0"/>
    <s v="M"/>
    <x v="2"/>
    <n v="22.884999999999998"/>
    <n v="5.4923999999999991"/>
    <n v="91.539999999999992"/>
    <x v="0"/>
    <x v="0"/>
    <x v="0"/>
  </r>
  <r>
    <s v="FEO-11834-332"/>
    <x v="18"/>
    <s v="95399-57205-HI"/>
    <s v="A-D-0.2"/>
    <n v="4"/>
    <s v="Iorgo Kleinert"/>
    <s v=""/>
    <x v="0"/>
    <x v="18"/>
    <x v="2"/>
    <s v="D"/>
    <x v="3"/>
    <n v="2.9849999999999999"/>
    <n v="1.0746"/>
    <n v="11.94"/>
    <x v="2"/>
    <x v="2"/>
    <x v="0"/>
  </r>
  <r>
    <s v="TKY-71558-096"/>
    <x v="19"/>
    <s v="24010-66714-HW"/>
    <s v="A-M-1"/>
    <n v="1"/>
    <s v="Chrisy Blofeld"/>
    <s v="rmcgilvary1c@tamu.edu"/>
    <x v="0"/>
    <x v="19"/>
    <x v="2"/>
    <s v="M"/>
    <x v="0"/>
    <n v="11.25"/>
    <n v="1.0125"/>
    <n v="11.25"/>
    <x v="2"/>
    <x v="0"/>
    <x v="1"/>
  </r>
  <r>
    <s v="OXY-65322-253"/>
    <x v="20"/>
    <s v="07591-92789-UA"/>
    <s v="E-M-0.2"/>
    <n v="3"/>
    <s v="Culley Farris"/>
    <s v="ibouldon1e@gizmodo.com"/>
    <x v="0"/>
    <x v="17"/>
    <x v="1"/>
    <s v="M"/>
    <x v="3"/>
    <n v="4.125"/>
    <n v="1.3612500000000001"/>
    <n v="12.375"/>
    <x v="1"/>
    <x v="0"/>
    <x v="0"/>
  </r>
  <r>
    <s v="EVP-43500-491"/>
    <x v="21"/>
    <s v="49231-44455-IC"/>
    <s v="A-M-0.5"/>
    <n v="4"/>
    <s v="Selene Shales"/>
    <s v="hmattioli1g@webmd.com"/>
    <x v="0"/>
    <x v="20"/>
    <x v="2"/>
    <s v="M"/>
    <x v="1"/>
    <n v="6.75"/>
    <n v="2.4299999999999997"/>
    <n v="27"/>
    <x v="2"/>
    <x v="0"/>
    <x v="0"/>
  </r>
  <r>
    <s v="WAG-26945-689"/>
    <x v="22"/>
    <s v="50124-88608-EO"/>
    <s v="A-M-0.2"/>
    <n v="5"/>
    <s v="Vivie Danneil"/>
    <s v="agillard1i@issuu.com"/>
    <x v="1"/>
    <x v="21"/>
    <x v="2"/>
    <s v="M"/>
    <x v="3"/>
    <n v="3.375"/>
    <n v="1.5187499999999998"/>
    <n v="16.875"/>
    <x v="2"/>
    <x v="0"/>
    <x v="1"/>
  </r>
  <r>
    <s v="CHE-78995-767"/>
    <x v="23"/>
    <s v="00888-74814-UZ"/>
    <s v="A-D-0.5"/>
    <n v="3"/>
    <s v="Theresita Newbury"/>
    <s v="tgrizard1k@odnoklassniki.ru"/>
    <x v="1"/>
    <x v="22"/>
    <x v="2"/>
    <s v="D"/>
    <x v="1"/>
    <n v="5.97"/>
    <n v="1.6118999999999999"/>
    <n v="17.91"/>
    <x v="2"/>
    <x v="2"/>
    <x v="1"/>
  </r>
  <r>
    <s v="RYZ-14633-602"/>
    <x v="21"/>
    <s v="14158-30713-OB"/>
    <s v="A-D-1"/>
    <n v="4"/>
    <s v="Mozelle Calcutt"/>
    <s v=""/>
    <x v="1"/>
    <x v="23"/>
    <x v="2"/>
    <s v="D"/>
    <x v="0"/>
    <n v="9.9499999999999993"/>
    <n v="3.5819999999999994"/>
    <n v="39.799999999999997"/>
    <x v="2"/>
    <x v="2"/>
    <x v="0"/>
  </r>
  <r>
    <s v="WOQ-36015-429"/>
    <x v="24"/>
    <s v="51427-89175-QJ"/>
    <s v="L-M-0.2"/>
    <n v="5"/>
    <s v="Adrian Swaine"/>
    <s v="ccottingham1o@wikipedia.org"/>
    <x v="0"/>
    <x v="24"/>
    <x v="3"/>
    <s v="M"/>
    <x v="3"/>
    <n v="4.3650000000000002"/>
    <n v="2.83725"/>
    <n v="21.825000000000003"/>
    <x v="3"/>
    <x v="0"/>
    <x v="1"/>
  </r>
  <r>
    <s v="WOQ-36015-429"/>
    <x v="24"/>
    <s v="51427-89175-QJ"/>
    <s v="A-D-0.5"/>
    <n v="6"/>
    <s v="Adrian Swaine"/>
    <s v=""/>
    <x v="0"/>
    <x v="24"/>
    <x v="2"/>
    <s v="D"/>
    <x v="1"/>
    <n v="5.97"/>
    <n v="3.2237999999999998"/>
    <n v="35.82"/>
    <x v="2"/>
    <x v="2"/>
    <x v="1"/>
  </r>
  <r>
    <s v="WOQ-36015-429"/>
    <x v="24"/>
    <s v="51427-89175-QJ"/>
    <s v="L-M-0.5"/>
    <n v="6"/>
    <s v="Adrian Swaine"/>
    <s v=""/>
    <x v="0"/>
    <x v="24"/>
    <x v="3"/>
    <s v="M"/>
    <x v="1"/>
    <n v="8.73"/>
    <n v="6.8094000000000001"/>
    <n v="52.38"/>
    <x v="3"/>
    <x v="0"/>
    <x v="1"/>
  </r>
  <r>
    <s v="SCT-60553-454"/>
    <x v="25"/>
    <s v="39123-12846-YJ"/>
    <s v="L-L-0.2"/>
    <n v="5"/>
    <s v="Gallard Gatheral"/>
    <s v="bumpleby1u@soundcloud.com"/>
    <x v="0"/>
    <x v="25"/>
    <x v="3"/>
    <s v="L"/>
    <x v="3"/>
    <n v="4.7549999999999999"/>
    <n v="3.0907499999999999"/>
    <n v="23.774999999999999"/>
    <x v="3"/>
    <x v="1"/>
    <x v="1"/>
  </r>
  <r>
    <s v="GFK-52063-244"/>
    <x v="26"/>
    <s v="44981-99666-XB"/>
    <s v="L-L-0.5"/>
    <n v="6"/>
    <s v="Una Welberry"/>
    <s v="hgoulter1w@abc.net.au"/>
    <x v="2"/>
    <x v="26"/>
    <x v="3"/>
    <s v="L"/>
    <x v="1"/>
    <n v="9.51"/>
    <n v="7.4177999999999997"/>
    <n v="57.06"/>
    <x v="3"/>
    <x v="1"/>
    <x v="0"/>
  </r>
  <r>
    <s v="AMM-79521-378"/>
    <x v="27"/>
    <s v="24825-51803-CQ"/>
    <s v="A-D-0.5"/>
    <n v="6"/>
    <s v="Faber Eilhart"/>
    <s v="slist1y@mapquest.com"/>
    <x v="0"/>
    <x v="27"/>
    <x v="2"/>
    <s v="D"/>
    <x v="1"/>
    <n v="5.97"/>
    <n v="3.2237999999999998"/>
    <n v="35.82"/>
    <x v="2"/>
    <x v="2"/>
    <x v="1"/>
  </r>
  <r>
    <s v="QUQ-90580-772"/>
    <x v="28"/>
    <s v="77634-13918-GJ"/>
    <s v="L-M-0.2"/>
    <n v="2"/>
    <s v="Zorina Ponting"/>
    <s v=""/>
    <x v="0"/>
    <x v="28"/>
    <x v="3"/>
    <s v="M"/>
    <x v="3"/>
    <n v="4.3650000000000002"/>
    <n v="1.1349"/>
    <n v="8.73"/>
    <x v="3"/>
    <x v="0"/>
    <x v="1"/>
  </r>
  <r>
    <s v="LGD-24408-274"/>
    <x v="29"/>
    <s v="13694-25001-LX"/>
    <s v="L-L-0.5"/>
    <n v="3"/>
    <s v="Silvio Strase"/>
    <s v="jrangall22@newsvine.com"/>
    <x v="0"/>
    <x v="29"/>
    <x v="3"/>
    <s v="L"/>
    <x v="1"/>
    <n v="9.51"/>
    <n v="3.7088999999999999"/>
    <n v="28.53"/>
    <x v="3"/>
    <x v="1"/>
    <x v="1"/>
  </r>
  <r>
    <s v="HCT-95608-959"/>
    <x v="30"/>
    <s v="08523-01791-TI"/>
    <s v="R-M-2.5"/>
    <n v="5"/>
    <s v="Dorie de la Tremoille"/>
    <s v=""/>
    <x v="0"/>
    <x v="30"/>
    <x v="0"/>
    <s v="M"/>
    <x v="2"/>
    <n v="22.884999999999998"/>
    <n v="6.865499999999999"/>
    <n v="114.42499999999998"/>
    <x v="0"/>
    <x v="0"/>
    <x v="1"/>
  </r>
  <r>
    <s v="OFX-99147-470"/>
    <x v="31"/>
    <s v="49860-68865-AB"/>
    <s v="R-M-1"/>
    <n v="6"/>
    <s v="Hy Zanetto"/>
    <s v="lmizzi26@rakuten.co.jp"/>
    <x v="0"/>
    <x v="31"/>
    <x v="0"/>
    <s v="M"/>
    <x v="0"/>
    <n v="9.9499999999999993"/>
    <n v="3.5819999999999999"/>
    <n v="59.699999999999996"/>
    <x v="0"/>
    <x v="0"/>
    <x v="0"/>
  </r>
  <r>
    <s v="LUO-37559-016"/>
    <x v="32"/>
    <s v="21240-83132-SP"/>
    <s v="L-M-1"/>
    <n v="3"/>
    <s v="Jessica McNess"/>
    <s v="aarnow28@arizona.edu"/>
    <x v="0"/>
    <x v="32"/>
    <x v="3"/>
    <s v="M"/>
    <x v="0"/>
    <n v="14.55"/>
    <n v="5.6745000000000001"/>
    <n v="43.650000000000006"/>
    <x v="3"/>
    <x v="0"/>
    <x v="1"/>
  </r>
  <r>
    <s v="XWC-20610-167"/>
    <x v="33"/>
    <s v="08350-81623-TF"/>
    <s v="E-D-0.2"/>
    <n v="2"/>
    <s v="Lorenzo Yeoland"/>
    <s v="bnaulls2a@tiny.cc"/>
    <x v="0"/>
    <x v="33"/>
    <x v="1"/>
    <s v="D"/>
    <x v="3"/>
    <n v="3.645"/>
    <n v="0.80190000000000006"/>
    <n v="7.29"/>
    <x v="1"/>
    <x v="2"/>
    <x v="0"/>
  </r>
  <r>
    <s v="GPU-79113-136"/>
    <x v="34"/>
    <s v="73284-01385-SJ"/>
    <s v="R-D-0.2"/>
    <n v="3"/>
    <s v="Abigail Tolworthy"/>
    <s v="zsherewood2c@apache.org"/>
    <x v="0"/>
    <x v="34"/>
    <x v="0"/>
    <s v="D"/>
    <x v="3"/>
    <n v="2.6849999999999996"/>
    <n v="0.4832999999999999"/>
    <n v="8.0549999999999997"/>
    <x v="0"/>
    <x v="2"/>
    <x v="0"/>
  </r>
  <r>
    <s v="ULR-52653-960"/>
    <x v="35"/>
    <s v="04152-34436-IE"/>
    <s v="L-L-2.5"/>
    <n v="2"/>
    <s v="Maurie Bartol"/>
    <s v="bmcamish2e@tripadvisor.com"/>
    <x v="0"/>
    <x v="35"/>
    <x v="3"/>
    <s v="L"/>
    <x v="2"/>
    <n v="36.454999999999998"/>
    <n v="9.4782999999999991"/>
    <n v="72.91"/>
    <x v="3"/>
    <x v="1"/>
    <x v="1"/>
  </r>
  <r>
    <s v="HPI-42308-142"/>
    <x v="36"/>
    <s v="06631-86965-XP"/>
    <s v="E-M-0.5"/>
    <n v="2"/>
    <s v="Olag Baudassi"/>
    <s v="egrise2g@cargocollective.com"/>
    <x v="0"/>
    <x v="36"/>
    <x v="1"/>
    <s v="M"/>
    <x v="1"/>
    <n v="8.25"/>
    <n v="1.8149999999999999"/>
    <n v="16.5"/>
    <x v="1"/>
    <x v="0"/>
    <x v="0"/>
  </r>
  <r>
    <s v="XHI-30227-581"/>
    <x v="37"/>
    <s v="54619-08558-ZU"/>
    <s v="L-D-2.5"/>
    <n v="6"/>
    <s v="Petey Kingsbury"/>
    <s v=""/>
    <x v="0"/>
    <x v="37"/>
    <x v="3"/>
    <s v="D"/>
    <x v="2"/>
    <n v="29.784999999999997"/>
    <n v="23.232299999999999"/>
    <n v="178.70999999999998"/>
    <x v="3"/>
    <x v="2"/>
    <x v="1"/>
  </r>
  <r>
    <s v="DJH-05202-380"/>
    <x v="38"/>
    <s v="85589-17020-CX"/>
    <s v="E-M-2.5"/>
    <n v="2"/>
    <s v="Donna Baskeyfied"/>
    <s v=""/>
    <x v="0"/>
    <x v="38"/>
    <x v="1"/>
    <s v="M"/>
    <x v="2"/>
    <n v="31.624999999999996"/>
    <n v="6.9574999999999996"/>
    <n v="63.249999999999993"/>
    <x v="1"/>
    <x v="0"/>
    <x v="0"/>
  </r>
  <r>
    <s v="VMW-26889-781"/>
    <x v="39"/>
    <s v="36078-91009-WU"/>
    <s v="A-L-0.2"/>
    <n v="2"/>
    <s v="Arda Curley"/>
    <s v=""/>
    <x v="0"/>
    <x v="39"/>
    <x v="2"/>
    <s v="L"/>
    <x v="3"/>
    <n v="3.8849999999999998"/>
    <n v="0.69929999999999992"/>
    <n v="7.77"/>
    <x v="2"/>
    <x v="1"/>
    <x v="0"/>
  </r>
  <r>
    <s v="DBU-81099-586"/>
    <x v="40"/>
    <s v="15770-27099-GX"/>
    <s v="A-D-2.5"/>
    <n v="4"/>
    <s v="Raynor McGilvary"/>
    <s v="vkirdsch2o@google.fr"/>
    <x v="0"/>
    <x v="40"/>
    <x v="2"/>
    <s v="D"/>
    <x v="2"/>
    <n v="22.884999999999998"/>
    <n v="8.2385999999999981"/>
    <n v="91.539999999999992"/>
    <x v="2"/>
    <x v="2"/>
    <x v="1"/>
  </r>
  <r>
    <s v="PQA-54820-810"/>
    <x v="41"/>
    <s v="91460-04823-BX"/>
    <s v="A-L-1"/>
    <n v="3"/>
    <s v="Isis Pikett"/>
    <s v=""/>
    <x v="0"/>
    <x v="41"/>
    <x v="2"/>
    <s v="L"/>
    <x v="0"/>
    <n v="12.95"/>
    <n v="3.4965000000000002"/>
    <n v="38.849999999999994"/>
    <x v="2"/>
    <x v="1"/>
    <x v="1"/>
  </r>
  <r>
    <s v="XKB-41924-202"/>
    <x v="42"/>
    <s v="45089-52817-WN"/>
    <s v="L-D-0.5"/>
    <n v="2"/>
    <s v="Inger Bouldon"/>
    <s v=""/>
    <x v="0"/>
    <x v="42"/>
    <x v="3"/>
    <s v="D"/>
    <x v="1"/>
    <n v="7.77"/>
    <n v="2.0202"/>
    <n v="15.54"/>
    <x v="3"/>
    <x v="2"/>
    <x v="1"/>
  </r>
  <r>
    <s v="DWZ-69106-473"/>
    <x v="43"/>
    <s v="76447-50326-IC"/>
    <s v="L-L-2.5"/>
    <n v="4"/>
    <s v="Karry Flanders"/>
    <s v="daizikovitz2u@answers.com"/>
    <x v="1"/>
    <x v="43"/>
    <x v="3"/>
    <s v="L"/>
    <x v="2"/>
    <n v="36.454999999999998"/>
    <n v="18.956599999999998"/>
    <n v="145.82"/>
    <x v="3"/>
    <x v="1"/>
    <x v="0"/>
  </r>
  <r>
    <s v="YHV-68700-050"/>
    <x v="44"/>
    <s v="26333-67911-OL"/>
    <s v="R-M-0.5"/>
    <n v="5"/>
    <s v="Hartley Mattioli"/>
    <s v="epriddis2w@nationalgeographic.com"/>
    <x v="2"/>
    <x v="44"/>
    <x v="0"/>
    <s v="M"/>
    <x v="1"/>
    <n v="5.97"/>
    <n v="1.7909999999999999"/>
    <n v="29.849999999999998"/>
    <x v="0"/>
    <x v="0"/>
    <x v="1"/>
  </r>
  <r>
    <s v="YHV-68700-050"/>
    <x v="44"/>
    <s v="26333-67911-OL"/>
    <s v="L-L-2.5"/>
    <n v="2"/>
    <s v="Hartley Mattioli"/>
    <s v="qveel2x@jugem.jp"/>
    <x v="2"/>
    <x v="44"/>
    <x v="3"/>
    <s v="L"/>
    <x v="2"/>
    <n v="36.454999999999998"/>
    <n v="9.4782999999999991"/>
    <n v="72.91"/>
    <x v="3"/>
    <x v="1"/>
    <x v="1"/>
  </r>
  <r>
    <s v="KRB-88066-642"/>
    <x v="45"/>
    <s v="22107-86640-SB"/>
    <s v="L-M-1"/>
    <n v="5"/>
    <s v="Archambault Gillard"/>
    <s v=""/>
    <x v="0"/>
    <x v="45"/>
    <x v="3"/>
    <s v="M"/>
    <x v="0"/>
    <n v="14.55"/>
    <n v="9.4575000000000014"/>
    <n v="72.75"/>
    <x v="3"/>
    <x v="0"/>
    <x v="1"/>
  </r>
  <r>
    <s v="LQU-08404-173"/>
    <x v="46"/>
    <s v="09960-34242-LZ"/>
    <s v="L-L-1"/>
    <n v="3"/>
    <s v="Salomo Cushworth"/>
    <s v="mredgrave32@cargocollective.com"/>
    <x v="0"/>
    <x v="46"/>
    <x v="3"/>
    <s v="L"/>
    <x v="0"/>
    <n v="15.85"/>
    <n v="6.1815000000000007"/>
    <n v="47.55"/>
    <x v="3"/>
    <x v="1"/>
    <x v="1"/>
  </r>
  <r>
    <s v="CWK-60159-881"/>
    <x v="47"/>
    <s v="04671-85591-RT"/>
    <s v="E-D-0.2"/>
    <n v="3"/>
    <s v="Theda Grizard"/>
    <s v="scritchlow34@un.org"/>
    <x v="0"/>
    <x v="47"/>
    <x v="1"/>
    <s v="D"/>
    <x v="3"/>
    <n v="3.645"/>
    <n v="1.2028500000000002"/>
    <n v="10.935"/>
    <x v="1"/>
    <x v="2"/>
    <x v="0"/>
  </r>
  <r>
    <s v="EEG-74197-843"/>
    <x v="48"/>
    <s v="25729-68859-UA"/>
    <s v="E-L-1"/>
    <n v="4"/>
    <s v="Rozele Relton"/>
    <s v=""/>
    <x v="0"/>
    <x v="48"/>
    <x v="1"/>
    <s v="L"/>
    <x v="0"/>
    <n v="14.85"/>
    <n v="6.5339999999999998"/>
    <n v="59.4"/>
    <x v="1"/>
    <x v="1"/>
    <x v="1"/>
  </r>
  <r>
    <s v="UCZ-59708-525"/>
    <x v="49"/>
    <s v="05501-86351-NX"/>
    <s v="L-D-2.5"/>
    <n v="3"/>
    <s v="Willa Rolling"/>
    <s v="gstandley38@dion.ne.jp"/>
    <x v="0"/>
    <x v="49"/>
    <x v="3"/>
    <s v="D"/>
    <x v="2"/>
    <n v="29.784999999999997"/>
    <n v="11.616149999999999"/>
    <n v="89.35499999999999"/>
    <x v="3"/>
    <x v="2"/>
    <x v="0"/>
  </r>
  <r>
    <s v="HUB-47311-849"/>
    <x v="50"/>
    <s v="04521-04300-OK"/>
    <s v="L-M-0.5"/>
    <n v="3"/>
    <s v="Stanislaus Gilroy"/>
    <s v="myallop3a@fema.gov"/>
    <x v="0"/>
    <x v="50"/>
    <x v="3"/>
    <s v="M"/>
    <x v="1"/>
    <n v="8.73"/>
    <n v="3.4047000000000001"/>
    <n v="26.19"/>
    <x v="3"/>
    <x v="0"/>
    <x v="0"/>
  </r>
  <r>
    <s v="WYM-17686-694"/>
    <x v="51"/>
    <s v="58689-55264-VK"/>
    <s v="A-D-2.5"/>
    <n v="5"/>
    <s v="Correy Cottingham"/>
    <s v="ehows3c@devhub.com"/>
    <x v="0"/>
    <x v="51"/>
    <x v="2"/>
    <s v="D"/>
    <x v="2"/>
    <n v="22.884999999999998"/>
    <n v="10.298249999999998"/>
    <n v="114.42499999999998"/>
    <x v="2"/>
    <x v="2"/>
    <x v="1"/>
  </r>
  <r>
    <s v="ZYQ-15797-695"/>
    <x v="52"/>
    <s v="79436-73011-MM"/>
    <s v="R-D-0.5"/>
    <n v="5"/>
    <s v="Pammi Endacott"/>
    <s v="mludwell3e@blogger.com"/>
    <x v="2"/>
    <x v="52"/>
    <x v="0"/>
    <s v="D"/>
    <x v="1"/>
    <n v="5.3699999999999992"/>
    <n v="1.6109999999999998"/>
    <n v="26.849999999999994"/>
    <x v="0"/>
    <x v="2"/>
    <x v="0"/>
  </r>
  <r>
    <s v="EEJ-16185-108"/>
    <x v="53"/>
    <s v="65552-60476-KY"/>
    <s v="L-L-0.2"/>
    <n v="5"/>
    <s v="Nona Linklater"/>
    <s v="srodliff3g@ted.com"/>
    <x v="0"/>
    <x v="53"/>
    <x v="3"/>
    <s v="L"/>
    <x v="3"/>
    <n v="4.7549999999999999"/>
    <n v="3.0907499999999999"/>
    <n v="23.774999999999999"/>
    <x v="3"/>
    <x v="1"/>
    <x v="0"/>
  </r>
  <r>
    <s v="RWR-77888-800"/>
    <x v="54"/>
    <s v="69904-02729-YS"/>
    <s v="A-M-0.5"/>
    <n v="1"/>
    <s v="Annadiane Dykes"/>
    <s v="hsynnot3i@about.com"/>
    <x v="0"/>
    <x v="54"/>
    <x v="2"/>
    <s v="M"/>
    <x v="1"/>
    <n v="6.75"/>
    <n v="0.60749999999999993"/>
    <n v="6.75"/>
    <x v="2"/>
    <x v="0"/>
    <x v="1"/>
  </r>
  <r>
    <s v="LHN-75209-742"/>
    <x v="55"/>
    <s v="01433-04270-AX"/>
    <s v="R-M-0.5"/>
    <n v="6"/>
    <s v="Felecia Dodgson"/>
    <s v="twoofinden3k@businesswire.com"/>
    <x v="0"/>
    <x v="55"/>
    <x v="0"/>
    <s v="M"/>
    <x v="1"/>
    <n v="5.97"/>
    <n v="2.1491999999999996"/>
    <n v="35.82"/>
    <x v="0"/>
    <x v="0"/>
    <x v="0"/>
  </r>
  <r>
    <s v="TIR-71396-998"/>
    <x v="56"/>
    <s v="14204-14186-LA"/>
    <s v="R-D-2.5"/>
    <n v="4"/>
    <s v="Angelia Cockrem"/>
    <s v=""/>
    <x v="0"/>
    <x v="56"/>
    <x v="0"/>
    <s v="D"/>
    <x v="2"/>
    <n v="20.584999999999997"/>
    <n v="4.9403999999999995"/>
    <n v="82.339999999999989"/>
    <x v="0"/>
    <x v="2"/>
    <x v="0"/>
  </r>
  <r>
    <s v="RXF-37618-213"/>
    <x v="57"/>
    <s v="32948-34398-HC"/>
    <s v="R-L-0.5"/>
    <n v="1"/>
    <s v="Belvia Umpleby"/>
    <s v="orobins3o@salon.com"/>
    <x v="0"/>
    <x v="57"/>
    <x v="0"/>
    <s v="L"/>
    <x v="1"/>
    <n v="7.169999999999999"/>
    <n v="0.43019999999999992"/>
    <n v="7.169999999999999"/>
    <x v="0"/>
    <x v="1"/>
    <x v="0"/>
  </r>
  <r>
    <s v="ANM-16388-634"/>
    <x v="58"/>
    <s v="77343-52608-FF"/>
    <s v="L-L-0.2"/>
    <n v="2"/>
    <s v="Nat Saleway"/>
    <s v=""/>
    <x v="0"/>
    <x v="58"/>
    <x v="3"/>
    <s v="L"/>
    <x v="3"/>
    <n v="4.7549999999999999"/>
    <n v="1.2363"/>
    <n v="9.51"/>
    <x v="3"/>
    <x v="1"/>
    <x v="1"/>
  </r>
  <r>
    <s v="WYL-29300-070"/>
    <x v="59"/>
    <s v="42770-36274-QA"/>
    <s v="R-M-0.2"/>
    <n v="1"/>
    <s v="Hayward Goulter"/>
    <s v="lkeenleyside3s@topsy.com"/>
    <x v="0"/>
    <x v="59"/>
    <x v="0"/>
    <s v="M"/>
    <x v="3"/>
    <n v="2.9849999999999999"/>
    <n v="0.17909999999999998"/>
    <n v="2.9849999999999999"/>
    <x v="0"/>
    <x v="0"/>
    <x v="1"/>
  </r>
  <r>
    <s v="JHW-74554-805"/>
    <x v="60"/>
    <s v="14103-58987-ZU"/>
    <s v="R-M-1"/>
    <n v="6"/>
    <s v="Gay Rizzello"/>
    <s v=""/>
    <x v="2"/>
    <x v="60"/>
    <x v="0"/>
    <s v="M"/>
    <x v="0"/>
    <n v="9.9499999999999993"/>
    <n v="3.5819999999999999"/>
    <n v="59.699999999999996"/>
    <x v="0"/>
    <x v="0"/>
    <x v="0"/>
  </r>
  <r>
    <s v="KYS-27063-603"/>
    <x v="61"/>
    <s v="69958-32065-SW"/>
    <s v="E-L-2.5"/>
    <n v="4"/>
    <s v="Shannon List"/>
    <s v="vkundt3w@bigcartel.com"/>
    <x v="0"/>
    <x v="61"/>
    <x v="1"/>
    <s v="L"/>
    <x v="2"/>
    <n v="34.154999999999994"/>
    <n v="15.028199999999998"/>
    <n v="136.61999999999998"/>
    <x v="1"/>
    <x v="1"/>
    <x v="1"/>
  </r>
  <r>
    <s v="GAZ-58626-277"/>
    <x v="62"/>
    <s v="69533-84907-FA"/>
    <s v="L-L-0.2"/>
    <n v="2"/>
    <s v="Shirlene Edmondson"/>
    <s v=""/>
    <x v="1"/>
    <x v="62"/>
    <x v="3"/>
    <s v="L"/>
    <x v="3"/>
    <n v="4.7549999999999999"/>
    <n v="1.2363"/>
    <n v="9.51"/>
    <x v="3"/>
    <x v="1"/>
    <x v="1"/>
  </r>
  <r>
    <s v="RPJ-37787-335"/>
    <x v="63"/>
    <s v="76005-95461-CI"/>
    <s v="A-M-2.5"/>
    <n v="3"/>
    <s v="Aurlie McCarl"/>
    <s v="wkeyse40@apple.com"/>
    <x v="0"/>
    <x v="32"/>
    <x v="2"/>
    <s v="M"/>
    <x v="2"/>
    <n v="25.874999999999996"/>
    <n v="6.9862499999999983"/>
    <n v="77.624999999999986"/>
    <x v="2"/>
    <x v="0"/>
    <x v="1"/>
  </r>
  <r>
    <s v="LEF-83057-763"/>
    <x v="64"/>
    <s v="15395-90855-VB"/>
    <s v="L-M-0.2"/>
    <n v="5"/>
    <s v="Alikee Carryer"/>
    <s v="lfrancisco42@fema.gov"/>
    <x v="0"/>
    <x v="63"/>
    <x v="3"/>
    <s v="M"/>
    <x v="3"/>
    <n v="4.3650000000000002"/>
    <n v="2.83725"/>
    <n v="21.825000000000003"/>
    <x v="3"/>
    <x v="0"/>
    <x v="0"/>
  </r>
  <r>
    <s v="RPW-36123-215"/>
    <x v="65"/>
    <s v="80640-45811-LB"/>
    <s v="E-L-0.5"/>
    <n v="2"/>
    <s v="Jennifer Rangall"/>
    <s v="gskingle44@clickbank.net"/>
    <x v="0"/>
    <x v="64"/>
    <x v="1"/>
    <s v="L"/>
    <x v="1"/>
    <n v="8.91"/>
    <n v="1.9601999999999999"/>
    <n v="17.82"/>
    <x v="1"/>
    <x v="1"/>
    <x v="0"/>
  </r>
  <r>
    <s v="WLL-59044-117"/>
    <x v="66"/>
    <s v="28476-04082-GR"/>
    <s v="R-D-1"/>
    <n v="6"/>
    <s v="Kipper Boorn"/>
    <s v="jbalsillie46@princeton.edu"/>
    <x v="1"/>
    <x v="65"/>
    <x v="0"/>
    <s v="D"/>
    <x v="0"/>
    <n v="8.9499999999999993"/>
    <n v="3.2219999999999995"/>
    <n v="53.699999999999996"/>
    <x v="0"/>
    <x v="2"/>
    <x v="0"/>
  </r>
  <r>
    <s v="AWT-22827-563"/>
    <x v="67"/>
    <s v="12018-75670-EU"/>
    <s v="R-L-0.2"/>
    <n v="1"/>
    <s v="Melania Beadle"/>
    <s v="bleffek48@ning.com"/>
    <x v="1"/>
    <x v="66"/>
    <x v="0"/>
    <s v="L"/>
    <x v="3"/>
    <n v="3.5849999999999995"/>
    <n v="0.21509999999999996"/>
    <n v="3.5849999999999995"/>
    <x v="0"/>
    <x v="1"/>
    <x v="0"/>
  </r>
  <r>
    <s v="QLM-07145-668"/>
    <x v="68"/>
    <s v="86437-17399-FK"/>
    <s v="E-D-0.2"/>
    <n v="2"/>
    <s v="Colene Elgey"/>
    <s v="jpray4a@youtube.com"/>
    <x v="0"/>
    <x v="67"/>
    <x v="1"/>
    <s v="D"/>
    <x v="3"/>
    <n v="3.645"/>
    <n v="0.80190000000000006"/>
    <n v="7.29"/>
    <x v="1"/>
    <x v="2"/>
    <x v="1"/>
  </r>
  <r>
    <s v="HVQ-64398-930"/>
    <x v="69"/>
    <s v="62979-53167-ML"/>
    <s v="A-M-0.5"/>
    <n v="6"/>
    <s v="Lothaire Mizzi"/>
    <s v="fkeinrat4c@dailymail.co.uk"/>
    <x v="0"/>
    <x v="68"/>
    <x v="2"/>
    <s v="M"/>
    <x v="1"/>
    <n v="6.75"/>
    <n v="3.6449999999999996"/>
    <n v="40.5"/>
    <x v="2"/>
    <x v="0"/>
    <x v="0"/>
  </r>
  <r>
    <s v="WRT-40778-247"/>
    <x v="70"/>
    <s v="54810-81899-HL"/>
    <s v="R-L-1"/>
    <n v="4"/>
    <s v="Cletis Giacomazzo"/>
    <s v=""/>
    <x v="0"/>
    <x v="69"/>
    <x v="0"/>
    <s v="L"/>
    <x v="0"/>
    <n v="11.95"/>
    <n v="2.8679999999999999"/>
    <n v="47.8"/>
    <x v="0"/>
    <x v="1"/>
    <x v="1"/>
  </r>
  <r>
    <s v="SUB-13006-125"/>
    <x v="71"/>
    <s v="26103-41504-IB"/>
    <s v="A-L-0.5"/>
    <n v="5"/>
    <s v="Ami Arnow"/>
    <s v="kswede4g@addthis.com"/>
    <x v="0"/>
    <x v="70"/>
    <x v="2"/>
    <s v="L"/>
    <x v="1"/>
    <n v="7.77"/>
    <n v="3.4964999999999997"/>
    <n v="38.849999999999994"/>
    <x v="2"/>
    <x v="1"/>
    <x v="0"/>
  </r>
  <r>
    <s v="CQM-49696-263"/>
    <x v="72"/>
    <s v="76534-45229-SG"/>
    <s v="L-L-2.5"/>
    <n v="3"/>
    <s v="Sheppard Yann"/>
    <s v="dtift4i@netvibes.com"/>
    <x v="0"/>
    <x v="71"/>
    <x v="3"/>
    <s v="L"/>
    <x v="2"/>
    <n v="36.454999999999998"/>
    <n v="14.217449999999999"/>
    <n v="109.36499999999999"/>
    <x v="3"/>
    <x v="1"/>
    <x v="0"/>
  </r>
  <r>
    <s v="KXN-85094-246"/>
    <x v="73"/>
    <s v="81744-27332-RR"/>
    <s v="L-M-2.5"/>
    <n v="3"/>
    <s v="Bunny Naulls"/>
    <s v="cfeye4k@google.co.jp"/>
    <x v="1"/>
    <x v="72"/>
    <x v="3"/>
    <s v="M"/>
    <x v="2"/>
    <n v="33.464999999999996"/>
    <n v="13.051349999999999"/>
    <n v="100.39499999999998"/>
    <x v="3"/>
    <x v="0"/>
    <x v="0"/>
  </r>
  <r>
    <s v="XOQ-12405-419"/>
    <x v="74"/>
    <s v="91513-75657-PH"/>
    <s v="R-D-2.5"/>
    <n v="4"/>
    <s v="Hally Lorait"/>
    <s v=""/>
    <x v="0"/>
    <x v="73"/>
    <x v="0"/>
    <s v="D"/>
    <x v="2"/>
    <n v="20.584999999999997"/>
    <n v="4.9403999999999995"/>
    <n v="82.339999999999989"/>
    <x v="0"/>
    <x v="2"/>
    <x v="0"/>
  </r>
  <r>
    <s v="HYF-10254-369"/>
    <x v="75"/>
    <s v="30373-66619-CB"/>
    <s v="L-L-0.5"/>
    <n v="1"/>
    <s v="Zaccaria Sherewood"/>
    <s v=""/>
    <x v="0"/>
    <x v="74"/>
    <x v="3"/>
    <s v="L"/>
    <x v="1"/>
    <n v="9.51"/>
    <n v="1.2363"/>
    <n v="9.51"/>
    <x v="3"/>
    <x v="1"/>
    <x v="1"/>
  </r>
  <r>
    <s v="XXJ-47000-307"/>
    <x v="76"/>
    <s v="31582-23562-FM"/>
    <s v="A-L-2.5"/>
    <n v="3"/>
    <s v="Jeffrey Dufaire"/>
    <s v="searley4q@youku.com"/>
    <x v="0"/>
    <x v="57"/>
    <x v="2"/>
    <s v="L"/>
    <x v="2"/>
    <n v="29.784999999999997"/>
    <n v="8.0419499999999982"/>
    <n v="89.35499999999999"/>
    <x v="2"/>
    <x v="1"/>
    <x v="1"/>
  </r>
  <r>
    <s v="XXJ-47000-307"/>
    <x v="76"/>
    <s v="31582-23562-FM"/>
    <s v="A-D-0.2"/>
    <n v="4"/>
    <s v="Jeffrey Dufaire"/>
    <s v="mchamberlayne4r@bigcartel.com"/>
    <x v="0"/>
    <x v="57"/>
    <x v="2"/>
    <s v="D"/>
    <x v="3"/>
    <n v="2.9849999999999999"/>
    <n v="1.0746"/>
    <n v="11.94"/>
    <x v="2"/>
    <x v="2"/>
    <x v="1"/>
  </r>
  <r>
    <s v="ZDK-82166-357"/>
    <x v="77"/>
    <s v="81431-12577-VD"/>
    <s v="A-M-1"/>
    <n v="3"/>
    <s v="Beitris Keaveney"/>
    <s v=""/>
    <x v="0"/>
    <x v="75"/>
    <x v="2"/>
    <s v="M"/>
    <x v="0"/>
    <n v="11.25"/>
    <n v="3.0374999999999996"/>
    <n v="33.75"/>
    <x v="2"/>
    <x v="0"/>
    <x v="1"/>
  </r>
  <r>
    <s v="IHN-19982-362"/>
    <x v="78"/>
    <s v="68894-91205-MP"/>
    <s v="R-L-1"/>
    <n v="3"/>
    <s v="Elna Grise"/>
    <s v="othynne4w@auda.org.au"/>
    <x v="0"/>
    <x v="76"/>
    <x v="0"/>
    <s v="L"/>
    <x v="0"/>
    <n v="11.95"/>
    <n v="2.1509999999999998"/>
    <n v="35.849999999999994"/>
    <x v="0"/>
    <x v="1"/>
    <x v="1"/>
  </r>
  <r>
    <s v="VMT-10030-889"/>
    <x v="79"/>
    <s v="87602-55754-VN"/>
    <s v="A-L-1"/>
    <n v="6"/>
    <s v="Torie Gottelier"/>
    <s v="kmelloi4y@imdb.com"/>
    <x v="0"/>
    <x v="77"/>
    <x v="2"/>
    <s v="L"/>
    <x v="0"/>
    <n v="12.95"/>
    <n v="6.9930000000000003"/>
    <n v="77.699999999999989"/>
    <x v="2"/>
    <x v="1"/>
    <x v="1"/>
  </r>
  <r>
    <s v="NHL-11063-100"/>
    <x v="80"/>
    <s v="39181-35745-WH"/>
    <s v="A-L-1"/>
    <n v="4"/>
    <s v="Loydie Langlais"/>
    <s v="amussen50@51.la"/>
    <x v="1"/>
    <x v="43"/>
    <x v="2"/>
    <s v="L"/>
    <x v="0"/>
    <n v="12.95"/>
    <n v="4.6619999999999999"/>
    <n v="51.8"/>
    <x v="2"/>
    <x v="1"/>
    <x v="0"/>
  </r>
  <r>
    <s v="ROV-87448-086"/>
    <x v="81"/>
    <s v="30381-64762-NG"/>
    <s v="A-M-2.5"/>
    <n v="4"/>
    <s v="Adham Greenhead"/>
    <s v="amundford52@nbcnews.com"/>
    <x v="0"/>
    <x v="78"/>
    <x v="2"/>
    <s v="M"/>
    <x v="2"/>
    <n v="25.874999999999996"/>
    <n v="9.3149999999999977"/>
    <n v="103.49999999999999"/>
    <x v="2"/>
    <x v="0"/>
    <x v="1"/>
  </r>
  <r>
    <s v="DGY-35773-612"/>
    <x v="82"/>
    <s v="17503-27693-ZH"/>
    <s v="E-L-1"/>
    <n v="3"/>
    <s v="Hamish MacSherry"/>
    <s v="iblazewicz54@thetimes.co.uk"/>
    <x v="0"/>
    <x v="79"/>
    <x v="1"/>
    <s v="L"/>
    <x v="0"/>
    <n v="14.85"/>
    <n v="4.9005000000000001"/>
    <n v="44.55"/>
    <x v="1"/>
    <x v="1"/>
    <x v="0"/>
  </r>
  <r>
    <s v="YWH-50638-556"/>
    <x v="83"/>
    <s v="89442-35633-HJ"/>
    <s v="E-L-0.5"/>
    <n v="4"/>
    <s v="Else Langcaster"/>
    <s v="mmeriet56@noaa.gov"/>
    <x v="2"/>
    <x v="80"/>
    <x v="1"/>
    <s v="L"/>
    <x v="1"/>
    <n v="8.91"/>
    <n v="3.9203999999999999"/>
    <n v="35.64"/>
    <x v="1"/>
    <x v="1"/>
    <x v="0"/>
  </r>
  <r>
    <s v="ISL-11200-600"/>
    <x v="84"/>
    <s v="13654-85265-IL"/>
    <s v="A-D-0.2"/>
    <n v="6"/>
    <s v="Rudy Farquharson"/>
    <s v="akitchingham58@com.com"/>
    <x v="1"/>
    <x v="81"/>
    <x v="2"/>
    <s v="D"/>
    <x v="3"/>
    <n v="2.9849999999999999"/>
    <n v="1.6118999999999999"/>
    <n v="17.91"/>
    <x v="2"/>
    <x v="2"/>
    <x v="0"/>
  </r>
  <r>
    <s v="LBZ-75997-047"/>
    <x v="85"/>
    <s v="40946-22090-FP"/>
    <s v="A-M-2.5"/>
    <n v="6"/>
    <s v="Norene Magauran"/>
    <s v="mprinn5a@usa.gov"/>
    <x v="0"/>
    <x v="74"/>
    <x v="2"/>
    <s v="M"/>
    <x v="2"/>
    <n v="25.874999999999996"/>
    <n v="13.972499999999997"/>
    <n v="155.24999999999997"/>
    <x v="2"/>
    <x v="0"/>
    <x v="1"/>
  </r>
  <r>
    <s v="EUH-08089-954"/>
    <x v="86"/>
    <s v="29050-93691-TS"/>
    <s v="A-D-0.2"/>
    <n v="2"/>
    <s v="Vicki Kirdsch"/>
    <s v="ppetrushanko5c@blinklist.com"/>
    <x v="0"/>
    <x v="10"/>
    <x v="2"/>
    <s v="D"/>
    <x v="3"/>
    <n v="2.9849999999999999"/>
    <n v="0.5373"/>
    <n v="5.97"/>
    <x v="2"/>
    <x v="2"/>
    <x v="1"/>
  </r>
  <r>
    <s v="BLD-12227-251"/>
    <x v="87"/>
    <s v="64395-74865-WF"/>
    <s v="A-M-0.5"/>
    <n v="2"/>
    <s v="Ilysa Whapple"/>
    <s v="elaird5e@bing.com"/>
    <x v="0"/>
    <x v="74"/>
    <x v="2"/>
    <s v="M"/>
    <x v="1"/>
    <n v="6.75"/>
    <n v="1.2149999999999999"/>
    <n v="13.5"/>
    <x v="2"/>
    <x v="0"/>
    <x v="1"/>
  </r>
  <r>
    <s v="OPY-30711-853"/>
    <x v="25"/>
    <s v="81861-66046-SU"/>
    <s v="A-D-0.2"/>
    <n v="1"/>
    <s v="Ruy Cancellieri"/>
    <s v="ncuttler5g@parallels.com"/>
    <x v="1"/>
    <x v="82"/>
    <x v="2"/>
    <s v="D"/>
    <x v="3"/>
    <n v="2.9849999999999999"/>
    <n v="0.26865"/>
    <n v="2.9849999999999999"/>
    <x v="2"/>
    <x v="2"/>
    <x v="1"/>
  </r>
  <r>
    <s v="DBC-44122-300"/>
    <x v="88"/>
    <s v="13366-78506-KP"/>
    <s v="L-M-0.2"/>
    <n v="3"/>
    <s v="Aube Follett"/>
    <s v="jmunnings5i@springer.com"/>
    <x v="0"/>
    <x v="61"/>
    <x v="3"/>
    <s v="M"/>
    <x v="3"/>
    <n v="4.3650000000000002"/>
    <n v="1.70235"/>
    <n v="13.095000000000001"/>
    <x v="3"/>
    <x v="0"/>
    <x v="0"/>
  </r>
  <r>
    <s v="FJQ-60035-234"/>
    <x v="89"/>
    <s v="08847-29858-HN"/>
    <s v="A-L-0.2"/>
    <n v="2"/>
    <s v="Rudiger Di Bartolomeo"/>
    <s v="idunwoody5k@sourceforge.net"/>
    <x v="0"/>
    <x v="83"/>
    <x v="2"/>
    <s v="L"/>
    <x v="3"/>
    <n v="3.8849999999999998"/>
    <n v="0.69929999999999992"/>
    <n v="7.77"/>
    <x v="2"/>
    <x v="1"/>
    <x v="0"/>
  </r>
  <r>
    <s v="HSF-66926-425"/>
    <x v="90"/>
    <s v="00539-42510-RY"/>
    <s v="L-D-2.5"/>
    <n v="5"/>
    <s v="Nickey Youles"/>
    <s v="tfelip5m@typepad.com"/>
    <x v="1"/>
    <x v="84"/>
    <x v="3"/>
    <s v="D"/>
    <x v="2"/>
    <n v="29.784999999999997"/>
    <n v="19.360250000000001"/>
    <n v="148.92499999999998"/>
    <x v="3"/>
    <x v="2"/>
    <x v="0"/>
  </r>
  <r>
    <s v="LQG-41416-375"/>
    <x v="91"/>
    <s v="45190-08727-NV"/>
    <s v="L-D-1"/>
    <n v="3"/>
    <s v="Dyanna Aizikovitz"/>
    <s v=""/>
    <x v="1"/>
    <x v="85"/>
    <x v="3"/>
    <s v="D"/>
    <x v="0"/>
    <n v="12.95"/>
    <n v="5.0504999999999995"/>
    <n v="38.849999999999994"/>
    <x v="3"/>
    <x v="2"/>
    <x v="0"/>
  </r>
  <r>
    <s v="VZO-97265-841"/>
    <x v="92"/>
    <s v="87049-37901-FU"/>
    <s v="R-M-0.2"/>
    <n v="4"/>
    <s v="Bram Revel"/>
    <s v="npoolman5q@howstuffworks.com"/>
    <x v="0"/>
    <x v="36"/>
    <x v="0"/>
    <s v="M"/>
    <x v="3"/>
    <n v="2.9849999999999999"/>
    <n v="0.71639999999999993"/>
    <n v="11.94"/>
    <x v="0"/>
    <x v="0"/>
    <x v="1"/>
  </r>
  <r>
    <s v="MOR-12987-399"/>
    <x v="93"/>
    <s v="34015-31593-JC"/>
    <s v="L-M-1"/>
    <n v="6"/>
    <s v="Emiline Priddis"/>
    <s v="chalfhide5s@google.ru"/>
    <x v="0"/>
    <x v="86"/>
    <x v="3"/>
    <s v="M"/>
    <x v="0"/>
    <n v="14.55"/>
    <n v="11.349"/>
    <n v="87.300000000000011"/>
    <x v="3"/>
    <x v="0"/>
    <x v="1"/>
  </r>
  <r>
    <s v="UOA-23786-489"/>
    <x v="94"/>
    <s v="90305-50099-SV"/>
    <s v="A-M-0.5"/>
    <n v="6"/>
    <s v="Queenie Veel"/>
    <s v="aattwater5u@wikia.com"/>
    <x v="0"/>
    <x v="13"/>
    <x v="2"/>
    <s v="M"/>
    <x v="1"/>
    <n v="6.75"/>
    <n v="3.6449999999999996"/>
    <n v="40.5"/>
    <x v="2"/>
    <x v="0"/>
    <x v="0"/>
  </r>
  <r>
    <s v="AJL-52941-018"/>
    <x v="95"/>
    <s v="55871-61935-MF"/>
    <s v="E-D-1"/>
    <n v="2"/>
    <s v="Lind Conyers"/>
    <s v="dcamilletti5w@businesswire.com"/>
    <x v="0"/>
    <x v="87"/>
    <x v="1"/>
    <s v="D"/>
    <x v="0"/>
    <n v="12.15"/>
    <n v="2.673"/>
    <n v="24.3"/>
    <x v="1"/>
    <x v="2"/>
    <x v="1"/>
  </r>
  <r>
    <s v="XSZ-84273-421"/>
    <x v="96"/>
    <s v="15405-60469-TM"/>
    <s v="R-M-0.5"/>
    <n v="3"/>
    <s v="Pen Wye"/>
    <s v="mhame5y@newsvine.com"/>
    <x v="0"/>
    <x v="71"/>
    <x v="0"/>
    <s v="M"/>
    <x v="1"/>
    <n v="5.97"/>
    <n v="1.0745999999999998"/>
    <n v="17.91"/>
    <x v="0"/>
    <x v="0"/>
    <x v="0"/>
  </r>
  <r>
    <s v="NUN-48214-216"/>
    <x v="97"/>
    <s v="06953-94794-FB"/>
    <s v="A-M-0.5"/>
    <n v="4"/>
    <s v="Isahella Hagland"/>
    <s v="asnowding60@comsenz.com"/>
    <x v="0"/>
    <x v="51"/>
    <x v="2"/>
    <s v="M"/>
    <x v="1"/>
    <n v="6.75"/>
    <n v="2.4299999999999997"/>
    <n v="27"/>
    <x v="2"/>
    <x v="0"/>
    <x v="1"/>
  </r>
  <r>
    <s v="AKV-93064-769"/>
    <x v="98"/>
    <s v="22305-40299-CY"/>
    <s v="L-D-0.5"/>
    <n v="1"/>
    <s v="Terry Sheryn"/>
    <s v="rfurman62@t.co"/>
    <x v="0"/>
    <x v="88"/>
    <x v="3"/>
    <s v="D"/>
    <x v="1"/>
    <n v="7.77"/>
    <n v="1.0101"/>
    <n v="7.77"/>
    <x v="3"/>
    <x v="2"/>
    <x v="0"/>
  </r>
  <r>
    <s v="BRB-40903-533"/>
    <x v="99"/>
    <s v="09020-56774-GU"/>
    <s v="E-L-0.2"/>
    <n v="3"/>
    <s v="Marie-jeanne Redgrave"/>
    <s v="mpercifull64@netlog.com"/>
    <x v="0"/>
    <x v="64"/>
    <x v="1"/>
    <s v="L"/>
    <x v="3"/>
    <n v="4.4550000000000001"/>
    <n v="1.4701499999999998"/>
    <n v="13.365"/>
    <x v="1"/>
    <x v="1"/>
    <x v="0"/>
  </r>
  <r>
    <s v="GPR-19973-483"/>
    <x v="100"/>
    <s v="92926-08470-YS"/>
    <s v="R-D-0.5"/>
    <n v="5"/>
    <s v="Betty Fominov"/>
    <s v="wedinborough66@github.io"/>
    <x v="0"/>
    <x v="48"/>
    <x v="0"/>
    <s v="D"/>
    <x v="1"/>
    <n v="5.3699999999999992"/>
    <n v="1.6109999999999998"/>
    <n v="26.849999999999994"/>
    <x v="0"/>
    <x v="2"/>
    <x v="1"/>
  </r>
  <r>
    <s v="XIY-43041-882"/>
    <x v="101"/>
    <s v="07250-63194-JO"/>
    <s v="A-M-1"/>
    <n v="1"/>
    <s v="Shawnee Critchlow"/>
    <s v="kbromehead68@un.org"/>
    <x v="0"/>
    <x v="8"/>
    <x v="2"/>
    <s v="M"/>
    <x v="0"/>
    <n v="11.25"/>
    <n v="1.0125"/>
    <n v="11.25"/>
    <x v="2"/>
    <x v="0"/>
    <x v="1"/>
  </r>
  <r>
    <s v="YGY-98425-969"/>
    <x v="102"/>
    <s v="63787-96257-TQ"/>
    <s v="L-M-1"/>
    <n v="1"/>
    <s v="Merrel Steptow"/>
    <s v="ahutchens6a@amazonaws.com"/>
    <x v="1"/>
    <x v="89"/>
    <x v="3"/>
    <s v="M"/>
    <x v="0"/>
    <n v="14.55"/>
    <n v="1.8915000000000002"/>
    <n v="14.55"/>
    <x v="3"/>
    <x v="0"/>
    <x v="1"/>
  </r>
  <r>
    <s v="MSB-08397-648"/>
    <x v="103"/>
    <s v="49530-25460-RW"/>
    <s v="R-L-0.2"/>
    <n v="4"/>
    <s v="Carmina Hubbuck"/>
    <s v="bmathon6c@barnesandnoble.com"/>
    <x v="0"/>
    <x v="90"/>
    <x v="0"/>
    <s v="L"/>
    <x v="3"/>
    <n v="3.5849999999999995"/>
    <n v="0.86039999999999983"/>
    <n v="14.339999999999998"/>
    <x v="0"/>
    <x v="1"/>
    <x v="1"/>
  </r>
  <r>
    <s v="WDR-06028-345"/>
    <x v="104"/>
    <s v="66508-21373-OQ"/>
    <s v="L-L-1"/>
    <n v="1"/>
    <s v="Ingeberg Mulliner"/>
    <s v="pcutchie6e@globo.com"/>
    <x v="2"/>
    <x v="38"/>
    <x v="3"/>
    <s v="L"/>
    <x v="0"/>
    <n v="15.85"/>
    <n v="2.0605000000000002"/>
    <n v="15.85"/>
    <x v="3"/>
    <x v="1"/>
    <x v="1"/>
  </r>
  <r>
    <s v="MXM-42948-061"/>
    <x v="105"/>
    <s v="20203-03950-FY"/>
    <s v="L-L-0.2"/>
    <n v="4"/>
    <s v="Geneva Standley"/>
    <s v="cgheraldi6g@opera.com"/>
    <x v="1"/>
    <x v="91"/>
    <x v="3"/>
    <s v="L"/>
    <x v="3"/>
    <n v="4.7549999999999999"/>
    <n v="2.4725999999999999"/>
    <n v="19.02"/>
    <x v="3"/>
    <x v="1"/>
    <x v="0"/>
  </r>
  <r>
    <s v="MGQ-98961-173"/>
    <x v="11"/>
    <s v="83895-90735-XH"/>
    <s v="L-L-0.5"/>
    <n v="4"/>
    <s v="Brook Drage"/>
    <s v="tsutty6i@google.es"/>
    <x v="0"/>
    <x v="4"/>
    <x v="3"/>
    <s v="L"/>
    <x v="1"/>
    <n v="9.51"/>
    <n v="4.9451999999999998"/>
    <n v="38.04"/>
    <x v="3"/>
    <x v="1"/>
    <x v="1"/>
  </r>
  <r>
    <s v="RFH-64349-897"/>
    <x v="106"/>
    <s v="61954-61462-RJ"/>
    <s v="E-D-0.5"/>
    <n v="3"/>
    <s v="Muffin Yallop"/>
    <s v="charce6k@cafepress.com"/>
    <x v="0"/>
    <x v="92"/>
    <x v="1"/>
    <s v="D"/>
    <x v="1"/>
    <n v="7.29"/>
    <n v="2.4057000000000004"/>
    <n v="21.87"/>
    <x v="1"/>
    <x v="2"/>
    <x v="0"/>
  </r>
  <r>
    <s v="TKL-20738-660"/>
    <x v="107"/>
    <s v="47939-53158-LS"/>
    <s v="E-M-0.2"/>
    <n v="1"/>
    <s v="Cordi Switsur"/>
    <s v="fdrysdale6m@symantec.com"/>
    <x v="0"/>
    <x v="93"/>
    <x v="1"/>
    <s v="M"/>
    <x v="3"/>
    <n v="4.125"/>
    <n v="0.45374999999999999"/>
    <n v="4.125"/>
    <x v="1"/>
    <x v="0"/>
    <x v="1"/>
  </r>
  <r>
    <s v="TKL-20738-660"/>
    <x v="107"/>
    <s v="47939-53158-LS"/>
    <s v="A-L-0.2"/>
    <n v="1"/>
    <s v="Cordi Switsur"/>
    <s v="dmagowan6n@fc2.com"/>
    <x v="0"/>
    <x v="93"/>
    <x v="2"/>
    <s v="L"/>
    <x v="3"/>
    <n v="3.8849999999999998"/>
    <n v="0.34964999999999996"/>
    <n v="3.8849999999999998"/>
    <x v="2"/>
    <x v="1"/>
    <x v="1"/>
  </r>
  <r>
    <s v="TKL-20738-660"/>
    <x v="107"/>
    <s v="47939-53158-LS"/>
    <s v="E-M-1"/>
    <n v="5"/>
    <s v="Cordi Switsur"/>
    <s v=""/>
    <x v="0"/>
    <x v="93"/>
    <x v="1"/>
    <s v="M"/>
    <x v="0"/>
    <n v="13.75"/>
    <n v="7.5625"/>
    <n v="68.75"/>
    <x v="1"/>
    <x v="0"/>
    <x v="1"/>
  </r>
  <r>
    <s v="GOW-03198-575"/>
    <x v="108"/>
    <s v="61513-27752-FA"/>
    <s v="A-D-0.5"/>
    <n v="4"/>
    <s v="Mahala Ludwell"/>
    <s v="eyurkov6s@hud.gov"/>
    <x v="0"/>
    <x v="29"/>
    <x v="2"/>
    <s v="D"/>
    <x v="1"/>
    <n v="5.97"/>
    <n v="2.1492"/>
    <n v="23.88"/>
    <x v="2"/>
    <x v="2"/>
    <x v="0"/>
  </r>
  <r>
    <s v="QJB-90477-635"/>
    <x v="109"/>
    <s v="89714-19856-WX"/>
    <s v="L-L-2.5"/>
    <n v="4"/>
    <s v="Doll Beauchamp"/>
    <s v="gbentjens6u@netlog.com"/>
    <x v="0"/>
    <x v="94"/>
    <x v="3"/>
    <s v="L"/>
    <x v="2"/>
    <n v="36.454999999999998"/>
    <n v="18.956599999999998"/>
    <n v="145.82"/>
    <x v="3"/>
    <x v="1"/>
    <x v="1"/>
  </r>
  <r>
    <s v="MWP-46239-785"/>
    <x v="110"/>
    <s v="87979-56781-YV"/>
    <s v="L-M-0.2"/>
    <n v="5"/>
    <s v="Stanford Rodliff"/>
    <s v="lentwistle6w@omniture.com"/>
    <x v="0"/>
    <x v="95"/>
    <x v="3"/>
    <s v="M"/>
    <x v="3"/>
    <n v="4.3650000000000002"/>
    <n v="2.83725"/>
    <n v="21.825000000000003"/>
    <x v="3"/>
    <x v="0"/>
    <x v="0"/>
  </r>
  <r>
    <s v="QDV-03406-248"/>
    <x v="111"/>
    <s v="74126-88836-KA"/>
    <s v="L-M-0.5"/>
    <n v="3"/>
    <s v="Stevana Woodham"/>
    <s v="macott6y@pagesperso-orange.fr"/>
    <x v="1"/>
    <x v="96"/>
    <x v="3"/>
    <s v="M"/>
    <x v="1"/>
    <n v="8.73"/>
    <n v="3.4047000000000001"/>
    <n v="26.19"/>
    <x v="3"/>
    <x v="0"/>
    <x v="0"/>
  </r>
  <r>
    <s v="GPH-40635-105"/>
    <x v="112"/>
    <s v="37397-05992-VO"/>
    <s v="A-M-1"/>
    <n v="1"/>
    <s v="Hewet Synnot"/>
    <s v=""/>
    <x v="0"/>
    <x v="92"/>
    <x v="2"/>
    <s v="M"/>
    <x v="0"/>
    <n v="11.25"/>
    <n v="1.0125"/>
    <n v="11.25"/>
    <x v="2"/>
    <x v="0"/>
    <x v="1"/>
  </r>
  <r>
    <s v="JOM-80930-071"/>
    <x v="113"/>
    <s v="54904-18397-UD"/>
    <s v="L-D-1"/>
    <n v="6"/>
    <s v="Raleigh Lepere"/>
    <s v="rmclae72@dailymotion.com"/>
    <x v="1"/>
    <x v="75"/>
    <x v="3"/>
    <s v="D"/>
    <x v="0"/>
    <n v="12.95"/>
    <n v="10.100999999999999"/>
    <n v="77.699999999999989"/>
    <x v="3"/>
    <x v="2"/>
    <x v="1"/>
  </r>
  <r>
    <s v="OIL-26493-755"/>
    <x v="114"/>
    <s v="19017-95853-EK"/>
    <s v="A-M-0.5"/>
    <n v="1"/>
    <s v="Timofei Woofinden"/>
    <s v="zkiffe74@cyberchimps.com"/>
    <x v="0"/>
    <x v="97"/>
    <x v="2"/>
    <s v="M"/>
    <x v="1"/>
    <n v="6.75"/>
    <n v="0.60749999999999993"/>
    <n v="6.75"/>
    <x v="2"/>
    <x v="0"/>
    <x v="1"/>
  </r>
  <r>
    <s v="CYV-13426-645"/>
    <x v="115"/>
    <s v="88593-59934-VU"/>
    <s v="E-D-1"/>
    <n v="1"/>
    <s v="Evelina Dacca"/>
    <s v="ccromwell76@desdev.cn"/>
    <x v="0"/>
    <x v="98"/>
    <x v="1"/>
    <s v="D"/>
    <x v="0"/>
    <n v="12.15"/>
    <n v="1.3365"/>
    <n v="12.15"/>
    <x v="1"/>
    <x v="2"/>
    <x v="0"/>
  </r>
  <r>
    <s v="WRP-39846-614"/>
    <x v="49"/>
    <s v="47493-68564-YM"/>
    <s v="A-L-2.5"/>
    <n v="5"/>
    <s v="Bidget Tremellier"/>
    <s v="ttaffarello78@sciencedaily.com"/>
    <x v="1"/>
    <x v="89"/>
    <x v="2"/>
    <s v="L"/>
    <x v="2"/>
    <n v="29.784999999999997"/>
    <n v="13.403249999999998"/>
    <n v="148.92499999999998"/>
    <x v="2"/>
    <x v="1"/>
    <x v="0"/>
  </r>
  <r>
    <s v="VDZ-76673-968"/>
    <x v="116"/>
    <s v="82246-82543-DW"/>
    <s v="E-D-0.5"/>
    <n v="2"/>
    <s v="Bobinette Hindsberg"/>
    <s v="jkopke7a@auda.org.au"/>
    <x v="0"/>
    <x v="63"/>
    <x v="1"/>
    <s v="D"/>
    <x v="1"/>
    <n v="7.29"/>
    <n v="1.6038000000000001"/>
    <n v="14.58"/>
    <x v="1"/>
    <x v="2"/>
    <x v="0"/>
  </r>
  <r>
    <s v="VTV-03546-175"/>
    <x v="117"/>
    <s v="03384-62101-IY"/>
    <s v="A-L-2.5"/>
    <n v="5"/>
    <s v="Osbert Robins"/>
    <s v=""/>
    <x v="0"/>
    <x v="99"/>
    <x v="2"/>
    <s v="L"/>
    <x v="2"/>
    <n v="29.784999999999997"/>
    <n v="13.403249999999998"/>
    <n v="148.92499999999998"/>
    <x v="2"/>
    <x v="1"/>
    <x v="0"/>
  </r>
  <r>
    <s v="GHR-72274-715"/>
    <x v="118"/>
    <s v="86881-41559-OR"/>
    <s v="L-D-1"/>
    <n v="1"/>
    <s v="Othello Syseland"/>
    <s v="mseawright7e@nbcnews.com"/>
    <x v="0"/>
    <x v="100"/>
    <x v="3"/>
    <s v="D"/>
    <x v="0"/>
    <n v="12.95"/>
    <n v="1.6835"/>
    <n v="12.95"/>
    <x v="3"/>
    <x v="2"/>
    <x v="1"/>
  </r>
  <r>
    <s v="ZGK-97262-313"/>
    <x v="119"/>
    <s v="02536-18494-AQ"/>
    <s v="E-M-2.5"/>
    <n v="3"/>
    <s v="Ewell Hanby"/>
    <s v=""/>
    <x v="0"/>
    <x v="41"/>
    <x v="1"/>
    <s v="M"/>
    <x v="2"/>
    <n v="31.624999999999996"/>
    <n v="10.436249999999999"/>
    <n v="94.874999999999986"/>
    <x v="1"/>
    <x v="0"/>
    <x v="0"/>
  </r>
  <r>
    <s v="ZFS-30776-804"/>
    <x v="120"/>
    <s v="58638-01029-CB"/>
    <s v="A-L-0.5"/>
    <n v="5"/>
    <s v="Blancha McAmish"/>
    <s v="lrushmer65@europa.eu"/>
    <x v="0"/>
    <x v="101"/>
    <x v="2"/>
    <s v="L"/>
    <x v="1"/>
    <n v="7.77"/>
    <n v="3.4964999999999997"/>
    <n v="38.849999999999994"/>
    <x v="2"/>
    <x v="1"/>
    <x v="0"/>
  </r>
  <r>
    <s v="QUU-91729-492"/>
    <x v="121"/>
    <s v="90312-11148-LA"/>
    <s v="A-D-0.2"/>
    <n v="4"/>
    <s v="Lowell Keenleyside"/>
    <s v="zcarlson7k@bigcartel.com"/>
    <x v="0"/>
    <x v="10"/>
    <x v="2"/>
    <s v="D"/>
    <x v="3"/>
    <n v="2.9849999999999999"/>
    <n v="1.0746"/>
    <n v="11.94"/>
    <x v="2"/>
    <x v="2"/>
    <x v="1"/>
  </r>
  <r>
    <s v="PVI-72795-960"/>
    <x v="122"/>
    <s v="68239-74809-TF"/>
    <s v="E-L-2.5"/>
    <n v="3"/>
    <s v="Elonore Joliffe"/>
    <s v="dhedlestone7m@craigslist.org"/>
    <x v="1"/>
    <x v="102"/>
    <x v="1"/>
    <s v="L"/>
    <x v="2"/>
    <n v="34.154999999999994"/>
    <n v="11.271149999999999"/>
    <n v="102.46499999999997"/>
    <x v="1"/>
    <x v="1"/>
    <x v="1"/>
  </r>
  <r>
    <s v="PPP-78935-365"/>
    <x v="123"/>
    <s v="91074-60023-IP"/>
    <s v="E-D-1"/>
    <n v="4"/>
    <s v="Abraham Coleman"/>
    <s v="dbury7o@tinyurl.com"/>
    <x v="0"/>
    <x v="103"/>
    <x v="1"/>
    <s v="D"/>
    <x v="0"/>
    <n v="12.15"/>
    <n v="5.3460000000000001"/>
    <n v="48.6"/>
    <x v="1"/>
    <x v="2"/>
    <x v="1"/>
  </r>
  <r>
    <s v="JUO-34131-517"/>
    <x v="124"/>
    <s v="07972-83748-JI"/>
    <s v="L-D-1"/>
    <n v="6"/>
    <s v="Rivy Farington"/>
    <s v="epalfrey7q@devhub.com"/>
    <x v="0"/>
    <x v="78"/>
    <x v="3"/>
    <s v="D"/>
    <x v="0"/>
    <n v="12.95"/>
    <n v="10.100999999999999"/>
    <n v="77.699999999999989"/>
    <x v="3"/>
    <x v="2"/>
    <x v="0"/>
  </r>
  <r>
    <s v="ZJE-89333-489"/>
    <x v="125"/>
    <s v="08694-57330-XR"/>
    <s v="L-D-2.5"/>
    <n v="1"/>
    <s v="Vallie Kundt"/>
    <s v=""/>
    <x v="1"/>
    <x v="104"/>
    <x v="3"/>
    <s v="D"/>
    <x v="2"/>
    <n v="29.784999999999997"/>
    <n v="3.8720499999999998"/>
    <n v="29.784999999999997"/>
    <x v="3"/>
    <x v="2"/>
    <x v="0"/>
  </r>
  <r>
    <s v="LOO-35324-159"/>
    <x v="126"/>
    <s v="68412-11126-YJ"/>
    <s v="A-L-0.2"/>
    <n v="4"/>
    <s v="Boyd Bett"/>
    <s v="fcrumpe7u@ftc.gov"/>
    <x v="0"/>
    <x v="41"/>
    <x v="2"/>
    <s v="L"/>
    <x v="3"/>
    <n v="3.8849999999999998"/>
    <n v="1.3985999999999998"/>
    <n v="15.54"/>
    <x v="2"/>
    <x v="1"/>
    <x v="0"/>
  </r>
  <r>
    <s v="JBQ-93412-846"/>
    <x v="127"/>
    <s v="69037-66822-DW"/>
    <s v="E-L-2.5"/>
    <n v="4"/>
    <s v="Julio Armytage"/>
    <s v=""/>
    <x v="1"/>
    <x v="105"/>
    <x v="1"/>
    <s v="L"/>
    <x v="2"/>
    <n v="34.154999999999994"/>
    <n v="15.028199999999998"/>
    <n v="136.61999999999998"/>
    <x v="1"/>
    <x v="1"/>
    <x v="0"/>
  </r>
  <r>
    <s v="EHX-66333-637"/>
    <x v="128"/>
    <s v="01297-94364-XH"/>
    <s v="L-M-0.5"/>
    <n v="2"/>
    <s v="Deana Staite"/>
    <s v="bmergue7y@umn.edu"/>
    <x v="0"/>
    <x v="13"/>
    <x v="3"/>
    <s v="M"/>
    <x v="1"/>
    <n v="8.73"/>
    <n v="2.2698"/>
    <n v="17.46"/>
    <x v="3"/>
    <x v="0"/>
    <x v="1"/>
  </r>
  <r>
    <s v="WXG-25759-236"/>
    <x v="103"/>
    <s v="39919-06540-ZI"/>
    <s v="E-L-2.5"/>
    <n v="2"/>
    <s v="Winn Keyse"/>
    <s v=""/>
    <x v="0"/>
    <x v="106"/>
    <x v="1"/>
    <s v="L"/>
    <x v="2"/>
    <n v="34.154999999999994"/>
    <n v="7.5140999999999991"/>
    <n v="68.309999999999988"/>
    <x v="1"/>
    <x v="1"/>
    <x v="0"/>
  </r>
  <r>
    <s v="QNA-31113-984"/>
    <x v="129"/>
    <s v="60512-78550-WS"/>
    <s v="L-M-0.2"/>
    <n v="4"/>
    <s v="Osmund Clausen-Thue"/>
    <s v="dduke82@vkontakte.ru"/>
    <x v="0"/>
    <x v="87"/>
    <x v="3"/>
    <s v="M"/>
    <x v="3"/>
    <n v="4.3650000000000002"/>
    <n v="2.2698"/>
    <n v="17.46"/>
    <x v="3"/>
    <x v="0"/>
    <x v="1"/>
  </r>
  <r>
    <s v="ZWI-52029-159"/>
    <x v="130"/>
    <s v="40172-12000-AU"/>
    <s v="L-M-1"/>
    <n v="3"/>
    <s v="Leonore Francisco"/>
    <s v="ihussey84@mapy.cz"/>
    <x v="0"/>
    <x v="107"/>
    <x v="3"/>
    <s v="M"/>
    <x v="0"/>
    <n v="14.55"/>
    <n v="5.6745000000000001"/>
    <n v="43.650000000000006"/>
    <x v="3"/>
    <x v="0"/>
    <x v="1"/>
  </r>
  <r>
    <s v="ZWI-52029-159"/>
    <x v="130"/>
    <s v="40172-12000-AU"/>
    <s v="E-M-1"/>
    <n v="2"/>
    <s v="Leonore Francisco"/>
    <s v="cpinkerton85@upenn.edu"/>
    <x v="0"/>
    <x v="107"/>
    <x v="1"/>
    <s v="M"/>
    <x v="0"/>
    <n v="13.75"/>
    <n v="3.0249999999999999"/>
    <n v="27.5"/>
    <x v="1"/>
    <x v="0"/>
    <x v="1"/>
  </r>
  <r>
    <s v="DFS-49954-707"/>
    <x v="131"/>
    <s v="39019-13649-CL"/>
    <s v="E-D-0.2"/>
    <n v="5"/>
    <s v="Giacobo Skingle"/>
    <s v="dvizor88@furl.net"/>
    <x v="0"/>
    <x v="108"/>
    <x v="1"/>
    <s v="D"/>
    <x v="3"/>
    <n v="3.645"/>
    <n v="2.00475"/>
    <n v="18.225000000000001"/>
    <x v="1"/>
    <x v="2"/>
    <x v="0"/>
  </r>
  <r>
    <s v="VYP-89830-878"/>
    <x v="132"/>
    <s v="12715-05198-QU"/>
    <s v="A-M-2.5"/>
    <n v="2"/>
    <s v="Gerard Pirdy"/>
    <s v="klestrange8a@lulu.com"/>
    <x v="0"/>
    <x v="109"/>
    <x v="2"/>
    <s v="M"/>
    <x v="2"/>
    <n v="25.874999999999996"/>
    <n v="4.6574999999999989"/>
    <n v="51.749999999999993"/>
    <x v="2"/>
    <x v="0"/>
    <x v="0"/>
  </r>
  <r>
    <s v="AMT-40418-362"/>
    <x v="133"/>
    <s v="04513-76520-QO"/>
    <s v="L-D-1"/>
    <n v="1"/>
    <s v="Jacinthe Balsillie"/>
    <s v="ade8c@1und1.de"/>
    <x v="0"/>
    <x v="110"/>
    <x v="3"/>
    <s v="D"/>
    <x v="0"/>
    <n v="12.95"/>
    <n v="1.6835"/>
    <n v="12.95"/>
    <x v="3"/>
    <x v="2"/>
    <x v="0"/>
  </r>
  <r>
    <s v="NFQ-23241-793"/>
    <x v="134"/>
    <s v="88446-59251-SQ"/>
    <s v="A-M-1"/>
    <n v="3"/>
    <s v="Quinton Fouracres"/>
    <s v="pstonner8e@moonfruit.com"/>
    <x v="0"/>
    <x v="111"/>
    <x v="2"/>
    <s v="M"/>
    <x v="0"/>
    <n v="11.25"/>
    <n v="3.0374999999999996"/>
    <n v="33.75"/>
    <x v="2"/>
    <x v="0"/>
    <x v="0"/>
  </r>
  <r>
    <s v="JQK-64922-985"/>
    <x v="113"/>
    <s v="23779-10274-KN"/>
    <s v="R-M-2.5"/>
    <n v="3"/>
    <s v="Bettina Leffek"/>
    <s v="rwhife8g@360.cn"/>
    <x v="0"/>
    <x v="103"/>
    <x v="0"/>
    <s v="M"/>
    <x v="2"/>
    <n v="22.884999999999998"/>
    <n v="4.1192999999999991"/>
    <n v="68.655000000000001"/>
    <x v="0"/>
    <x v="0"/>
    <x v="0"/>
  </r>
  <r>
    <s v="YET-17732-678"/>
    <x v="135"/>
    <s v="57235-92842-DK"/>
    <s v="R-D-0.2"/>
    <n v="1"/>
    <s v="Hetti Penson"/>
    <s v="jbagot8i@mac.com"/>
    <x v="0"/>
    <x v="42"/>
    <x v="0"/>
    <s v="D"/>
    <x v="3"/>
    <n v="2.6849999999999996"/>
    <n v="0.16109999999999997"/>
    <n v="2.6849999999999996"/>
    <x v="0"/>
    <x v="2"/>
    <x v="1"/>
  </r>
  <r>
    <s v="NKW-24945-846"/>
    <x v="35"/>
    <s v="75977-30364-AY"/>
    <s v="A-D-2.5"/>
    <n v="5"/>
    <s v="Jocko Pray"/>
    <s v="cfluin8k@flickr.com"/>
    <x v="0"/>
    <x v="11"/>
    <x v="2"/>
    <s v="D"/>
    <x v="2"/>
    <n v="22.884999999999998"/>
    <n v="10.298249999999998"/>
    <n v="114.42499999999998"/>
    <x v="2"/>
    <x v="2"/>
    <x v="1"/>
  </r>
  <r>
    <s v="VKA-82720-513"/>
    <x v="136"/>
    <s v="12299-30914-NG"/>
    <s v="A-M-2.5"/>
    <n v="6"/>
    <s v="Grete Holborn"/>
    <s v="pbrydell8m@bloglovin.com"/>
    <x v="0"/>
    <x v="112"/>
    <x v="2"/>
    <s v="M"/>
    <x v="2"/>
    <n v="25.874999999999996"/>
    <n v="13.972499999999997"/>
    <n v="155.24999999999997"/>
    <x v="2"/>
    <x v="0"/>
    <x v="0"/>
  </r>
  <r>
    <s v="THA-60599-417"/>
    <x v="137"/>
    <s v="59971-35626-YJ"/>
    <s v="A-M-2.5"/>
    <n v="3"/>
    <s v="Fielding Keinrat"/>
    <s v="nleethem8o@mac.com"/>
    <x v="0"/>
    <x v="113"/>
    <x v="2"/>
    <s v="M"/>
    <x v="2"/>
    <n v="25.874999999999996"/>
    <n v="6.9862499999999983"/>
    <n v="77.624999999999986"/>
    <x v="2"/>
    <x v="0"/>
    <x v="0"/>
  </r>
  <r>
    <s v="MEK-39769-035"/>
    <x v="138"/>
    <s v="15380-76513-PS"/>
    <s v="R-D-2.5"/>
    <n v="3"/>
    <s v="Paulo Yea"/>
    <s v=""/>
    <x v="1"/>
    <x v="114"/>
    <x v="0"/>
    <s v="D"/>
    <x v="2"/>
    <n v="20.584999999999997"/>
    <n v="3.7052999999999994"/>
    <n v="61.754999999999995"/>
    <x v="0"/>
    <x v="2"/>
    <x v="1"/>
  </r>
  <r>
    <s v="JAF-18294-750"/>
    <x v="139"/>
    <s v="73564-98204-EY"/>
    <s v="R-D-2.5"/>
    <n v="6"/>
    <s v="Say Risborough"/>
    <s v="nlush8s@dedecms.com"/>
    <x v="0"/>
    <x v="115"/>
    <x v="0"/>
    <s v="D"/>
    <x v="2"/>
    <n v="20.584999999999997"/>
    <n v="7.4105999999999987"/>
    <n v="123.50999999999999"/>
    <x v="0"/>
    <x v="2"/>
    <x v="0"/>
  </r>
  <r>
    <s v="TME-59627-221"/>
    <x v="140"/>
    <s v="72282-40594-RX"/>
    <s v="L-L-2.5"/>
    <n v="6"/>
    <s v="Alexa Sizey"/>
    <s v="tbennison8u@google.cn"/>
    <x v="0"/>
    <x v="12"/>
    <x v="3"/>
    <s v="L"/>
    <x v="2"/>
    <n v="36.454999999999998"/>
    <n v="28.434899999999999"/>
    <n v="218.73"/>
    <x v="3"/>
    <x v="1"/>
    <x v="1"/>
  </r>
  <r>
    <s v="UDG-65353-824"/>
    <x v="141"/>
    <s v="17514-94165-RJ"/>
    <s v="E-M-0.5"/>
    <n v="4"/>
    <s v="Kari Swede"/>
    <s v="fcusick8w@hatena.ne.jp"/>
    <x v="0"/>
    <x v="101"/>
    <x v="1"/>
    <s v="M"/>
    <x v="1"/>
    <n v="8.25"/>
    <n v="3.63"/>
    <n v="33"/>
    <x v="1"/>
    <x v="0"/>
    <x v="1"/>
  </r>
  <r>
    <s v="ENQ-42923-176"/>
    <x v="142"/>
    <s v="56248-75861-JX"/>
    <s v="A-L-0.5"/>
    <n v="3"/>
    <s v="Leontine Rubrow"/>
    <s v="sjeyness8y@biglobe.ne.jp"/>
    <x v="0"/>
    <x v="41"/>
    <x v="2"/>
    <s v="L"/>
    <x v="1"/>
    <n v="7.77"/>
    <n v="2.0978999999999997"/>
    <n v="23.31"/>
    <x v="2"/>
    <x v="1"/>
    <x v="1"/>
  </r>
  <r>
    <s v="CBT-55781-720"/>
    <x v="143"/>
    <s v="97855-54761-IS"/>
    <s v="E-D-0.5"/>
    <n v="3"/>
    <s v="Dottie Tift"/>
    <s v=""/>
    <x v="0"/>
    <x v="116"/>
    <x v="1"/>
    <s v="D"/>
    <x v="1"/>
    <n v="7.29"/>
    <n v="2.4057000000000004"/>
    <n v="21.87"/>
    <x v="1"/>
    <x v="2"/>
    <x v="0"/>
  </r>
  <r>
    <s v="NEU-86533-016"/>
    <x v="144"/>
    <s v="96544-91644-IT"/>
    <s v="R-D-0.2"/>
    <n v="6"/>
    <s v="Gerardo Schonfeld"/>
    <s v=""/>
    <x v="0"/>
    <x v="117"/>
    <x v="0"/>
    <s v="D"/>
    <x v="3"/>
    <n v="2.6849999999999996"/>
    <n v="0.96659999999999979"/>
    <n v="16.11"/>
    <x v="0"/>
    <x v="2"/>
    <x v="1"/>
  </r>
  <r>
    <s v="BYU-58154-603"/>
    <x v="145"/>
    <s v="51971-70393-QM"/>
    <s v="E-D-0.5"/>
    <n v="4"/>
    <s v="Claiborne Feye"/>
    <s v=""/>
    <x v="1"/>
    <x v="118"/>
    <x v="1"/>
    <s v="D"/>
    <x v="1"/>
    <n v="7.29"/>
    <n v="3.2076000000000002"/>
    <n v="29.16"/>
    <x v="1"/>
    <x v="2"/>
    <x v="1"/>
  </r>
  <r>
    <s v="EHJ-05910-257"/>
    <x v="146"/>
    <s v="06812-11924-IK"/>
    <s v="R-D-1"/>
    <n v="6"/>
    <s v="Mina Elstone"/>
    <s v="fdrogan96@gnu.org"/>
    <x v="0"/>
    <x v="119"/>
    <x v="0"/>
    <s v="D"/>
    <x v="0"/>
    <n v="8.9499999999999993"/>
    <n v="3.2219999999999995"/>
    <n v="53.699999999999996"/>
    <x v="0"/>
    <x v="2"/>
    <x v="0"/>
  </r>
  <r>
    <s v="EIL-44855-309"/>
    <x v="147"/>
    <s v="59741-90220-OW"/>
    <s v="R-D-0.5"/>
    <n v="5"/>
    <s v="Sherman Mewrcik"/>
    <s v="qparsons98@blogtalkradio.com"/>
    <x v="0"/>
    <x v="120"/>
    <x v="0"/>
    <s v="D"/>
    <x v="1"/>
    <n v="5.3699999999999992"/>
    <n v="1.6109999999999998"/>
    <n v="26.849999999999994"/>
    <x v="0"/>
    <x v="2"/>
    <x v="0"/>
  </r>
  <r>
    <s v="HCA-87224-420"/>
    <x v="148"/>
    <s v="62682-27930-PD"/>
    <s v="E-M-0.5"/>
    <n v="5"/>
    <s v="Tamarah Fero"/>
    <s v=""/>
    <x v="0"/>
    <x v="119"/>
    <x v="1"/>
    <s v="M"/>
    <x v="1"/>
    <n v="8.25"/>
    <n v="4.5374999999999996"/>
    <n v="41.25"/>
    <x v="1"/>
    <x v="0"/>
    <x v="0"/>
  </r>
  <r>
    <s v="ABO-29054-365"/>
    <x v="149"/>
    <s v="00256-19905-YG"/>
    <s v="A-M-0.5"/>
    <n v="6"/>
    <s v="Stanislaus Valsler"/>
    <s v="tomoylan9c@liveinternet.ru"/>
    <x v="1"/>
    <x v="118"/>
    <x v="2"/>
    <s v="M"/>
    <x v="1"/>
    <n v="6.75"/>
    <n v="3.6449999999999996"/>
    <n v="40.5"/>
    <x v="2"/>
    <x v="0"/>
    <x v="1"/>
  </r>
  <r>
    <s v="TKN-58485-031"/>
    <x v="150"/>
    <s v="38890-22576-UI"/>
    <s v="R-D-1"/>
    <n v="2"/>
    <s v="Felita Dauney"/>
    <s v="wfetherston9e@constantcontact.com"/>
    <x v="1"/>
    <x v="121"/>
    <x v="0"/>
    <s v="D"/>
    <x v="0"/>
    <n v="8.9499999999999993"/>
    <n v="1.0739999999999998"/>
    <n v="17.899999999999999"/>
    <x v="0"/>
    <x v="2"/>
    <x v="1"/>
  </r>
  <r>
    <s v="RCK-04069-371"/>
    <x v="151"/>
    <s v="94573-61802-PH"/>
    <s v="E-L-2.5"/>
    <n v="2"/>
    <s v="Serena Earley"/>
    <s v="wgiorgioni9g@wikipedia.org"/>
    <x v="2"/>
    <x v="122"/>
    <x v="1"/>
    <s v="L"/>
    <x v="2"/>
    <n v="34.154999999999994"/>
    <n v="7.5140999999999991"/>
    <n v="68.309999999999988"/>
    <x v="1"/>
    <x v="1"/>
    <x v="1"/>
  </r>
  <r>
    <s v="IRJ-67095-738"/>
    <x v="13"/>
    <s v="86447-02699-UT"/>
    <s v="E-M-2.5"/>
    <n v="2"/>
    <s v="Minny Chamberlayne"/>
    <s v="cfranseco9i@phoca.cz"/>
    <x v="0"/>
    <x v="47"/>
    <x v="1"/>
    <s v="M"/>
    <x v="2"/>
    <n v="31.624999999999996"/>
    <n v="6.9574999999999996"/>
    <n v="63.249999999999993"/>
    <x v="1"/>
    <x v="0"/>
    <x v="0"/>
  </r>
  <r>
    <s v="VEA-31961-977"/>
    <x v="79"/>
    <s v="51432-27169-KN"/>
    <s v="E-D-0.5"/>
    <n v="3"/>
    <s v="Bartholemy Flaherty"/>
    <s v=""/>
    <x v="1"/>
    <x v="123"/>
    <x v="1"/>
    <s v="D"/>
    <x v="1"/>
    <n v="7.29"/>
    <n v="2.4057000000000004"/>
    <n v="21.87"/>
    <x v="1"/>
    <x v="2"/>
    <x v="1"/>
  </r>
  <r>
    <s v="BAF-42286-205"/>
    <x v="152"/>
    <s v="43074-00987-PB"/>
    <s v="R-M-2.5"/>
    <n v="4"/>
    <s v="Oran Colbeck"/>
    <s v="rworg9m@arstechnica.com"/>
    <x v="0"/>
    <x v="124"/>
    <x v="0"/>
    <s v="M"/>
    <x v="2"/>
    <n v="22.884999999999998"/>
    <n v="5.4923999999999991"/>
    <n v="91.539999999999992"/>
    <x v="0"/>
    <x v="0"/>
    <x v="1"/>
  </r>
  <r>
    <s v="WOR-52762-511"/>
    <x v="153"/>
    <s v="04739-85772-QT"/>
    <s v="E-L-2.5"/>
    <n v="6"/>
    <s v="Elysee Sketch"/>
    <s v="skeynd9o@narod.ru"/>
    <x v="0"/>
    <x v="125"/>
    <x v="1"/>
    <s v="L"/>
    <x v="2"/>
    <n v="34.154999999999994"/>
    <n v="22.542299999999997"/>
    <n v="204.92999999999995"/>
    <x v="1"/>
    <x v="1"/>
    <x v="0"/>
  </r>
  <r>
    <s v="ZWK-03995-815"/>
    <x v="154"/>
    <s v="28279-78469-YW"/>
    <s v="E-M-2.5"/>
    <n v="2"/>
    <s v="Ethelda Hobbing"/>
    <s v="jawdry9q@utexas.edu"/>
    <x v="0"/>
    <x v="126"/>
    <x v="1"/>
    <s v="M"/>
    <x v="2"/>
    <n v="31.624999999999996"/>
    <n v="6.9574999999999996"/>
    <n v="63.249999999999993"/>
    <x v="1"/>
    <x v="0"/>
    <x v="0"/>
  </r>
  <r>
    <s v="CKF-43291-846"/>
    <x v="155"/>
    <s v="91829-99544-DS"/>
    <s v="E-L-2.5"/>
    <n v="1"/>
    <s v="Odille Thynne"/>
    <s v="sbaulcombe9s@dropbox.com"/>
    <x v="0"/>
    <x v="127"/>
    <x v="1"/>
    <s v="L"/>
    <x v="2"/>
    <n v="34.154999999999994"/>
    <n v="3.7570499999999996"/>
    <n v="34.154999999999994"/>
    <x v="1"/>
    <x v="1"/>
    <x v="0"/>
  </r>
  <r>
    <s v="RMW-74160-339"/>
    <x v="156"/>
    <s v="38978-59582-JP"/>
    <s v="R-L-2.5"/>
    <n v="4"/>
    <s v="Emlynne Heining"/>
    <s v="jcaldicott9u@usda.gov"/>
    <x v="0"/>
    <x v="128"/>
    <x v="0"/>
    <s v="L"/>
    <x v="2"/>
    <n v="27.484999999999996"/>
    <n v="6.5963999999999992"/>
    <n v="109.93999999999998"/>
    <x v="0"/>
    <x v="1"/>
    <x v="0"/>
  </r>
  <r>
    <s v="FMT-94584-786"/>
    <x v="22"/>
    <s v="86504-96610-BH"/>
    <s v="A-L-1"/>
    <n v="2"/>
    <s v="Katerina Melloi"/>
    <s v="wromao9w@chronoengine.com"/>
    <x v="0"/>
    <x v="36"/>
    <x v="2"/>
    <s v="L"/>
    <x v="0"/>
    <n v="12.95"/>
    <n v="2.331"/>
    <n v="25.9"/>
    <x v="2"/>
    <x v="1"/>
    <x v="1"/>
  </r>
  <r>
    <s v="NWT-78222-575"/>
    <x v="157"/>
    <s v="75986-98864-EZ"/>
    <s v="A-D-0.2"/>
    <n v="1"/>
    <s v="Tiffany Scardafield"/>
    <s v="tcotmore9y@amazonaws.com"/>
    <x v="1"/>
    <x v="129"/>
    <x v="2"/>
    <s v="D"/>
    <x v="3"/>
    <n v="2.9849999999999999"/>
    <n v="0.26865"/>
    <n v="2.9849999999999999"/>
    <x v="2"/>
    <x v="2"/>
    <x v="1"/>
  </r>
  <r>
    <s v="EOI-02511-919"/>
    <x v="158"/>
    <s v="66776-88682-RG"/>
    <s v="E-L-0.2"/>
    <n v="5"/>
    <s v="Abrahan Mussen"/>
    <s v="ncorpsa0@gmpg.org"/>
    <x v="0"/>
    <x v="130"/>
    <x v="1"/>
    <s v="L"/>
    <x v="3"/>
    <n v="4.4550000000000001"/>
    <n v="2.45025"/>
    <n v="22.274999999999999"/>
    <x v="1"/>
    <x v="1"/>
    <x v="1"/>
  </r>
  <r>
    <s v="EOI-02511-919"/>
    <x v="158"/>
    <s v="66776-88682-RG"/>
    <s v="A-D-0.5"/>
    <n v="5"/>
    <s v="Abrahan Mussen"/>
    <s v="cruburya1@geocities.jp"/>
    <x v="0"/>
    <x v="130"/>
    <x v="2"/>
    <s v="D"/>
    <x v="1"/>
    <n v="5.97"/>
    <n v="2.6865000000000001"/>
    <n v="29.849999999999998"/>
    <x v="2"/>
    <x v="2"/>
    <x v="1"/>
  </r>
  <r>
    <s v="UCT-03935-589"/>
    <x v="78"/>
    <s v="85851-78384-DM"/>
    <s v="R-D-0.5"/>
    <n v="6"/>
    <s v="Anny Mundford"/>
    <s v="ptoffula4@posterous.com"/>
    <x v="0"/>
    <x v="131"/>
    <x v="0"/>
    <s v="D"/>
    <x v="1"/>
    <n v="5.3699999999999992"/>
    <n v="1.9331999999999996"/>
    <n v="32.22"/>
    <x v="0"/>
    <x v="2"/>
    <x v="1"/>
  </r>
  <r>
    <s v="SBI-60013-494"/>
    <x v="159"/>
    <s v="55232-81621-BX"/>
    <s v="E-M-0.2"/>
    <n v="2"/>
    <s v="Tory Walas"/>
    <s v=""/>
    <x v="0"/>
    <x v="132"/>
    <x v="1"/>
    <s v="M"/>
    <x v="3"/>
    <n v="4.125"/>
    <n v="0.90749999999999997"/>
    <n v="8.25"/>
    <x v="1"/>
    <x v="0"/>
    <x v="1"/>
  </r>
  <r>
    <s v="QRA-73277-814"/>
    <x v="160"/>
    <s v="80310-92912-JA"/>
    <s v="A-L-0.5"/>
    <n v="4"/>
    <s v="Isa Blazewicz"/>
    <s v="lflaoniera8@wordpress.org"/>
    <x v="0"/>
    <x v="30"/>
    <x v="2"/>
    <s v="L"/>
    <x v="1"/>
    <n v="7.77"/>
    <n v="2.7971999999999997"/>
    <n v="31.08"/>
    <x v="2"/>
    <x v="1"/>
    <x v="1"/>
  </r>
  <r>
    <s v="EQE-31648-909"/>
    <x v="161"/>
    <s v="19821-05175-WZ"/>
    <s v="E-D-0.5"/>
    <n v="5"/>
    <s v="Angie Rizzetti"/>
    <s v="ccatchesideaa@macromedia.com"/>
    <x v="0"/>
    <x v="133"/>
    <x v="1"/>
    <s v="D"/>
    <x v="1"/>
    <n v="7.29"/>
    <n v="4.0095000000000001"/>
    <n v="36.450000000000003"/>
    <x v="1"/>
    <x v="2"/>
    <x v="0"/>
  </r>
  <r>
    <s v="QOO-24615-950"/>
    <x v="162"/>
    <s v="01338-83217-GV"/>
    <s v="R-M-2.5"/>
    <n v="3"/>
    <s v="Mord Meriet"/>
    <s v="tfarraac@behance.net"/>
    <x v="0"/>
    <x v="25"/>
    <x v="0"/>
    <s v="M"/>
    <x v="2"/>
    <n v="22.884999999999998"/>
    <n v="4.1192999999999991"/>
    <n v="68.655000000000001"/>
    <x v="0"/>
    <x v="0"/>
    <x v="1"/>
  </r>
  <r>
    <s v="WDV-73864-037"/>
    <x v="70"/>
    <s v="66044-25298-TA"/>
    <s v="L-M-0.5"/>
    <n v="5"/>
    <s v="Lawrence Pratt"/>
    <s v="gbamfieldae@yellowpages.com"/>
    <x v="0"/>
    <x v="92"/>
    <x v="3"/>
    <s v="M"/>
    <x v="1"/>
    <n v="8.73"/>
    <n v="5.6745000000000001"/>
    <n v="43.650000000000006"/>
    <x v="3"/>
    <x v="0"/>
    <x v="0"/>
  </r>
  <r>
    <s v="PKR-88575-066"/>
    <x v="163"/>
    <s v="28728-47861-TZ"/>
    <s v="E-L-0.2"/>
    <n v="1"/>
    <s v="Astrix Kitchingham"/>
    <s v="jdeag@xrea.com"/>
    <x v="0"/>
    <x v="101"/>
    <x v="1"/>
    <s v="L"/>
    <x v="3"/>
    <n v="4.4550000000000001"/>
    <n v="0.49004999999999999"/>
    <n v="4.4550000000000001"/>
    <x v="1"/>
    <x v="1"/>
    <x v="0"/>
  </r>
  <r>
    <s v="BWR-85735-955"/>
    <x v="153"/>
    <s v="32638-38620-AX"/>
    <s v="L-M-1"/>
    <n v="3"/>
    <s v="Burnard Bartholin"/>
    <s v="jrudeforthai@wunderground.com"/>
    <x v="0"/>
    <x v="134"/>
    <x v="3"/>
    <s v="M"/>
    <x v="0"/>
    <n v="14.55"/>
    <n v="5.6745000000000001"/>
    <n v="43.650000000000006"/>
    <x v="3"/>
    <x v="0"/>
    <x v="0"/>
  </r>
  <r>
    <s v="YFX-64795-136"/>
    <x v="164"/>
    <s v="83163-65741-IH"/>
    <s v="L-M-2.5"/>
    <n v="1"/>
    <s v="Madelene Prinn"/>
    <s v="fmartiak@stumbleupon.com"/>
    <x v="0"/>
    <x v="135"/>
    <x v="3"/>
    <s v="M"/>
    <x v="2"/>
    <n v="33.464999999999996"/>
    <n v="4.3504499999999995"/>
    <n v="33.464999999999996"/>
    <x v="3"/>
    <x v="0"/>
    <x v="0"/>
  </r>
  <r>
    <s v="DDO-71442-967"/>
    <x v="165"/>
    <s v="89422-58281-FD"/>
    <s v="L-D-0.2"/>
    <n v="5"/>
    <s v="Alisun Baudino"/>
    <s v="ewindressam@marketwatch.com"/>
    <x v="0"/>
    <x v="41"/>
    <x v="3"/>
    <s v="D"/>
    <x v="3"/>
    <n v="3.8849999999999998"/>
    <n v="2.5252499999999998"/>
    <n v="19.424999999999997"/>
    <x v="3"/>
    <x v="2"/>
    <x v="0"/>
  </r>
  <r>
    <s v="ILQ-11027-588"/>
    <x v="166"/>
    <s v="76293-30918-DQ"/>
    <s v="E-D-1"/>
    <n v="6"/>
    <s v="Philipa Petrushanko"/>
    <s v=""/>
    <x v="1"/>
    <x v="136"/>
    <x v="1"/>
    <s v="D"/>
    <x v="0"/>
    <n v="12.15"/>
    <n v="8.0190000000000001"/>
    <n v="72.900000000000006"/>
    <x v="1"/>
    <x v="2"/>
    <x v="0"/>
  </r>
  <r>
    <s v="KRZ-13868-122"/>
    <x v="167"/>
    <s v="86779-84838-EJ"/>
    <s v="E-L-1"/>
    <n v="3"/>
    <s v="Kimberli Mustchin"/>
    <s v=""/>
    <x v="0"/>
    <x v="137"/>
    <x v="1"/>
    <s v="L"/>
    <x v="0"/>
    <n v="14.85"/>
    <n v="4.9005000000000001"/>
    <n v="44.55"/>
    <x v="1"/>
    <x v="1"/>
    <x v="1"/>
  </r>
  <r>
    <s v="VRM-93594-914"/>
    <x v="168"/>
    <s v="66806-41795-MX"/>
    <s v="E-D-0.5"/>
    <n v="5"/>
    <s v="Emlynne Laird"/>
    <s v="msarvaras@artisteer.com"/>
    <x v="0"/>
    <x v="138"/>
    <x v="1"/>
    <s v="D"/>
    <x v="1"/>
    <n v="7.29"/>
    <n v="4.0095000000000001"/>
    <n v="36.450000000000003"/>
    <x v="1"/>
    <x v="2"/>
    <x v="1"/>
  </r>
  <r>
    <s v="HXL-22497-359"/>
    <x v="169"/>
    <s v="64875-71224-UI"/>
    <s v="A-L-1"/>
    <n v="3"/>
    <s v="Marlena Howsden"/>
    <s v="sdivinyau@ask.com"/>
    <x v="0"/>
    <x v="139"/>
    <x v="2"/>
    <s v="L"/>
    <x v="0"/>
    <n v="12.95"/>
    <n v="3.4965000000000002"/>
    <n v="38.849999999999994"/>
    <x v="2"/>
    <x v="1"/>
    <x v="1"/>
  </r>
  <r>
    <s v="NOP-21394-646"/>
    <x v="170"/>
    <s v="16982-35708-BZ"/>
    <s v="E-L-0.5"/>
    <n v="6"/>
    <s v="Nealson Cuttler"/>
    <s v="aiddisonaw@usa.gov"/>
    <x v="0"/>
    <x v="41"/>
    <x v="1"/>
    <s v="L"/>
    <x v="1"/>
    <n v="8.91"/>
    <n v="5.8805999999999994"/>
    <n v="53.46"/>
    <x v="1"/>
    <x v="1"/>
    <x v="1"/>
  </r>
  <r>
    <s v="NOP-21394-646"/>
    <x v="170"/>
    <s v="16982-35708-BZ"/>
    <s v="L-D-2.5"/>
    <n v="2"/>
    <s v="Nealson Cuttler"/>
    <s v="dsprossonax@wunderground.com"/>
    <x v="0"/>
    <x v="41"/>
    <x v="3"/>
    <s v="D"/>
    <x v="2"/>
    <n v="29.784999999999997"/>
    <n v="7.7440999999999995"/>
    <n v="59.569999999999993"/>
    <x v="3"/>
    <x v="2"/>
    <x v="1"/>
  </r>
  <r>
    <s v="NOP-21394-646"/>
    <x v="170"/>
    <s v="16982-35708-BZ"/>
    <s v="L-D-2.5"/>
    <n v="3"/>
    <s v="Nealson Cuttler"/>
    <s v="rlongfielday@bluehost.com"/>
    <x v="0"/>
    <x v="41"/>
    <x v="3"/>
    <s v="D"/>
    <x v="2"/>
    <n v="29.784999999999997"/>
    <n v="11.616149999999999"/>
    <n v="89.35499999999999"/>
    <x v="3"/>
    <x v="2"/>
    <x v="1"/>
  </r>
  <r>
    <s v="NOP-21394-646"/>
    <x v="170"/>
    <s v="16982-35708-BZ"/>
    <s v="L-L-0.5"/>
    <n v="4"/>
    <s v="Nealson Cuttler"/>
    <s v="gkislingburyaz@samsung.com"/>
    <x v="0"/>
    <x v="41"/>
    <x v="3"/>
    <s v="L"/>
    <x v="1"/>
    <n v="9.51"/>
    <n v="4.9451999999999998"/>
    <n v="38.04"/>
    <x v="3"/>
    <x v="1"/>
    <x v="1"/>
  </r>
  <r>
    <s v="NOP-21394-646"/>
    <x v="170"/>
    <s v="16982-35708-BZ"/>
    <s v="E-M-1"/>
    <n v="3"/>
    <s v="Nealson Cuttler"/>
    <s v="xgibbonsb0@artisteer.com"/>
    <x v="0"/>
    <x v="41"/>
    <x v="1"/>
    <s v="M"/>
    <x v="0"/>
    <n v="13.75"/>
    <n v="4.5374999999999996"/>
    <n v="41.25"/>
    <x v="1"/>
    <x v="0"/>
    <x v="1"/>
  </r>
  <r>
    <s v="FTV-77095-168"/>
    <x v="171"/>
    <s v="66708-26678-QK"/>
    <s v="L-L-0.5"/>
    <n v="6"/>
    <s v="Adriana Lazarus"/>
    <s v="gcroysdaleb6@nih.gov"/>
    <x v="0"/>
    <x v="34"/>
    <x v="3"/>
    <s v="L"/>
    <x v="1"/>
    <n v="9.51"/>
    <n v="7.4177999999999997"/>
    <n v="57.06"/>
    <x v="3"/>
    <x v="1"/>
    <x v="1"/>
  </r>
  <r>
    <s v="BOR-02906-411"/>
    <x v="172"/>
    <s v="08743-09057-OO"/>
    <s v="L-D-2.5"/>
    <n v="6"/>
    <s v="Tallie felip"/>
    <s v="tcraggsb8@house.gov"/>
    <x v="0"/>
    <x v="140"/>
    <x v="3"/>
    <s v="D"/>
    <x v="2"/>
    <n v="29.784999999999997"/>
    <n v="23.232299999999999"/>
    <n v="178.70999999999998"/>
    <x v="3"/>
    <x v="2"/>
    <x v="0"/>
  </r>
  <r>
    <s v="WMP-68847-770"/>
    <x v="173"/>
    <s v="37490-01572-JW"/>
    <s v="L-L-0.2"/>
    <n v="1"/>
    <s v="Vanna Le - Count"/>
    <s v="arizonba@xing.com"/>
    <x v="0"/>
    <x v="141"/>
    <x v="3"/>
    <s v="L"/>
    <x v="3"/>
    <n v="4.7549999999999999"/>
    <n v="0.61814999999999998"/>
    <n v="4.7549999999999999"/>
    <x v="3"/>
    <x v="1"/>
    <x v="1"/>
  </r>
  <r>
    <s v="TMO-22785-872"/>
    <x v="174"/>
    <s v="01811-60350-CU"/>
    <s v="E-M-1"/>
    <n v="6"/>
    <s v="Sarette Ducarel"/>
    <s v="fmiellbc@spiegel.de"/>
    <x v="0"/>
    <x v="142"/>
    <x v="1"/>
    <s v="M"/>
    <x v="0"/>
    <n v="13.75"/>
    <n v="9.0749999999999993"/>
    <n v="82.5"/>
    <x v="1"/>
    <x v="0"/>
    <x v="1"/>
  </r>
  <r>
    <s v="TJG-73587-353"/>
    <x v="175"/>
    <s v="24766-58139-GT"/>
    <s v="R-D-0.2"/>
    <n v="3"/>
    <s v="Kendra Glison"/>
    <s v=""/>
    <x v="0"/>
    <x v="41"/>
    <x v="0"/>
    <s v="D"/>
    <x v="3"/>
    <n v="2.6849999999999996"/>
    <n v="0.4832999999999999"/>
    <n v="8.0549999999999997"/>
    <x v="0"/>
    <x v="2"/>
    <x v="0"/>
  </r>
  <r>
    <s v="OOU-61343-455"/>
    <x v="176"/>
    <s v="90123-70970-NY"/>
    <s v="A-M-1"/>
    <n v="2"/>
    <s v="Nertie Poolman"/>
    <s v=""/>
    <x v="0"/>
    <x v="63"/>
    <x v="2"/>
    <s v="M"/>
    <x v="0"/>
    <n v="11.25"/>
    <n v="2.0249999999999999"/>
    <n v="22.5"/>
    <x v="2"/>
    <x v="0"/>
    <x v="1"/>
  </r>
  <r>
    <s v="RMA-08327-369"/>
    <x v="142"/>
    <s v="93809-05424-MG"/>
    <s v="A-M-0.5"/>
    <n v="6"/>
    <s v="Orbadiah Duny"/>
    <s v=""/>
    <x v="0"/>
    <x v="143"/>
    <x v="2"/>
    <s v="M"/>
    <x v="1"/>
    <n v="6.75"/>
    <n v="3.6449999999999996"/>
    <n v="40.5"/>
    <x v="2"/>
    <x v="0"/>
    <x v="0"/>
  </r>
  <r>
    <s v="SFB-97929-779"/>
    <x v="177"/>
    <s v="85425-33494-HQ"/>
    <s v="E-D-0.5"/>
    <n v="4"/>
    <s v="Constance Halfhide"/>
    <s v=""/>
    <x v="1"/>
    <x v="144"/>
    <x v="1"/>
    <s v="D"/>
    <x v="1"/>
    <n v="7.29"/>
    <n v="3.2076000000000002"/>
    <n v="29.16"/>
    <x v="1"/>
    <x v="2"/>
    <x v="0"/>
  </r>
  <r>
    <s v="AUP-10128-606"/>
    <x v="178"/>
    <s v="54387-64897-XC"/>
    <s v="A-M-0.5"/>
    <n v="1"/>
    <s v="Fransisco Malecky"/>
    <s v="bmcgilvrabm@so-net.ne.jp"/>
    <x v="2"/>
    <x v="145"/>
    <x v="2"/>
    <s v="M"/>
    <x v="1"/>
    <n v="6.75"/>
    <n v="0.60749999999999993"/>
    <n v="6.75"/>
    <x v="2"/>
    <x v="0"/>
    <x v="1"/>
  </r>
  <r>
    <s v="YTW-40242-005"/>
    <x v="179"/>
    <s v="01035-70465-UO"/>
    <s v="L-D-1"/>
    <n v="4"/>
    <s v="Anselma Attwater"/>
    <s v="amckellerbo@ning.com"/>
    <x v="0"/>
    <x v="131"/>
    <x v="3"/>
    <s v="D"/>
    <x v="0"/>
    <n v="12.95"/>
    <n v="6.734"/>
    <n v="51.8"/>
    <x v="3"/>
    <x v="2"/>
    <x v="0"/>
  </r>
  <r>
    <s v="PRP-53390-819"/>
    <x v="180"/>
    <s v="84260-39432-ML"/>
    <s v="E-L-0.5"/>
    <n v="6"/>
    <s v="Minette Whellans"/>
    <s v=""/>
    <x v="0"/>
    <x v="15"/>
    <x v="1"/>
    <s v="L"/>
    <x v="1"/>
    <n v="8.91"/>
    <n v="5.8805999999999994"/>
    <n v="53.46"/>
    <x v="1"/>
    <x v="1"/>
    <x v="1"/>
  </r>
  <r>
    <s v="GSJ-01065-125"/>
    <x v="181"/>
    <s v="69779-40609-RS"/>
    <s v="E-D-0.2"/>
    <n v="4"/>
    <s v="Dael Camilletti"/>
    <s v="ydombrellbs@dedecms.com"/>
    <x v="0"/>
    <x v="110"/>
    <x v="1"/>
    <s v="D"/>
    <x v="3"/>
    <n v="3.645"/>
    <n v="1.6038000000000001"/>
    <n v="14.58"/>
    <x v="1"/>
    <x v="2"/>
    <x v="0"/>
  </r>
  <r>
    <s v="YQU-65147-580"/>
    <x v="182"/>
    <s v="80247-70000-HT"/>
    <s v="R-D-2.5"/>
    <n v="1"/>
    <s v="Emiline Galgey"/>
    <s v="mdarrigoebu@hud.gov"/>
    <x v="0"/>
    <x v="15"/>
    <x v="0"/>
    <s v="D"/>
    <x v="2"/>
    <n v="20.584999999999997"/>
    <n v="1.2350999999999999"/>
    <n v="20.584999999999997"/>
    <x v="0"/>
    <x v="2"/>
    <x v="1"/>
  </r>
  <r>
    <s v="QPM-95832-683"/>
    <x v="183"/>
    <s v="35058-04550-VC"/>
    <s v="L-L-1"/>
    <n v="2"/>
    <s v="Murdock Hame"/>
    <s v="mackrillbw@bandcamp.com"/>
    <x v="1"/>
    <x v="146"/>
    <x v="3"/>
    <s v="L"/>
    <x v="0"/>
    <n v="15.85"/>
    <n v="4.1210000000000004"/>
    <n v="31.7"/>
    <x v="3"/>
    <x v="1"/>
    <x v="1"/>
  </r>
  <r>
    <s v="BNQ-88920-567"/>
    <x v="184"/>
    <s v="27226-53717-SY"/>
    <s v="L-D-0.2"/>
    <n v="6"/>
    <s v="Ilka Gurnee"/>
    <s v="mkippenby@dion.ne.jp"/>
    <x v="0"/>
    <x v="147"/>
    <x v="3"/>
    <s v="D"/>
    <x v="3"/>
    <n v="3.8849999999999998"/>
    <n v="3.0303"/>
    <n v="23.31"/>
    <x v="3"/>
    <x v="2"/>
    <x v="1"/>
  </r>
  <r>
    <s v="PUX-47906-110"/>
    <x v="185"/>
    <s v="02002-98725-CH"/>
    <s v="L-M-1"/>
    <n v="4"/>
    <s v="Alfy Snowding"/>
    <s v=""/>
    <x v="0"/>
    <x v="45"/>
    <x v="3"/>
    <s v="M"/>
    <x v="0"/>
    <n v="14.55"/>
    <n v="7.5660000000000007"/>
    <n v="58.2"/>
    <x v="3"/>
    <x v="0"/>
    <x v="0"/>
  </r>
  <r>
    <s v="COL-72079-610"/>
    <x v="186"/>
    <s v="38487-01549-MV"/>
    <s v="E-L-0.5"/>
    <n v="4"/>
    <s v="Godfry Poinsett"/>
    <s v=""/>
    <x v="0"/>
    <x v="148"/>
    <x v="1"/>
    <s v="L"/>
    <x v="1"/>
    <n v="8.91"/>
    <n v="3.9203999999999999"/>
    <n v="35.64"/>
    <x v="1"/>
    <x v="1"/>
    <x v="1"/>
  </r>
  <r>
    <s v="LBC-45686-819"/>
    <x v="187"/>
    <s v="98573-41811-EQ"/>
    <s v="A-M-1"/>
    <n v="5"/>
    <s v="Rem Furman"/>
    <s v="orylandc4@deviantart.com"/>
    <x v="1"/>
    <x v="149"/>
    <x v="2"/>
    <s v="M"/>
    <x v="0"/>
    <n v="11.25"/>
    <n v="5.0625"/>
    <n v="56.25"/>
    <x v="2"/>
    <x v="0"/>
    <x v="0"/>
  </r>
  <r>
    <s v="BLQ-03709-265"/>
    <x v="148"/>
    <s v="72463-75685-MV"/>
    <s v="R-L-0.2"/>
    <n v="3"/>
    <s v="Charis Crosier"/>
    <s v="blottringtonc6@redcross.org"/>
    <x v="0"/>
    <x v="150"/>
    <x v="0"/>
    <s v="L"/>
    <x v="3"/>
    <n v="3.5849999999999995"/>
    <n v="0.64529999999999987"/>
    <n v="10.754999999999999"/>
    <x v="0"/>
    <x v="1"/>
    <x v="1"/>
  </r>
  <r>
    <s v="BLQ-03709-265"/>
    <x v="148"/>
    <s v="72463-75685-MV"/>
    <s v="R-M-0.2"/>
    <n v="5"/>
    <s v="Charis Crosier"/>
    <s v="craglessc7@webmd.com"/>
    <x v="0"/>
    <x v="150"/>
    <x v="0"/>
    <s v="M"/>
    <x v="3"/>
    <n v="2.9849999999999999"/>
    <n v="0.89549999999999996"/>
    <n v="14.924999999999999"/>
    <x v="0"/>
    <x v="0"/>
    <x v="1"/>
  </r>
  <r>
    <s v="VFZ-91673-181"/>
    <x v="188"/>
    <s v="10225-91535-AI"/>
    <s v="A-L-1"/>
    <n v="6"/>
    <s v="Lenka Rushmer"/>
    <s v="kheadsca@jalbum.net"/>
    <x v="0"/>
    <x v="151"/>
    <x v="2"/>
    <s v="L"/>
    <x v="0"/>
    <n v="12.95"/>
    <n v="6.9930000000000003"/>
    <n v="77.699999999999989"/>
    <x v="2"/>
    <x v="1"/>
    <x v="0"/>
  </r>
  <r>
    <s v="WKD-81956-870"/>
    <x v="189"/>
    <s v="48090-06534-HI"/>
    <s v="L-D-0.5"/>
    <n v="3"/>
    <s v="Waneta Edinborough"/>
    <s v="rjacquemardcc@acquirethisname.com"/>
    <x v="0"/>
    <x v="152"/>
    <x v="3"/>
    <s v="D"/>
    <x v="1"/>
    <n v="7.77"/>
    <n v="3.0303"/>
    <n v="23.31"/>
    <x v="3"/>
    <x v="2"/>
    <x v="1"/>
  </r>
  <r>
    <s v="TNI-91067-006"/>
    <x v="190"/>
    <s v="80444-58185-FX"/>
    <s v="E-L-1"/>
    <n v="4"/>
    <s v="Bobbe Piggott"/>
    <s v="wcholomince@about.com"/>
    <x v="0"/>
    <x v="41"/>
    <x v="1"/>
    <s v="L"/>
    <x v="0"/>
    <n v="14.85"/>
    <n v="6.5339999999999998"/>
    <n v="59.4"/>
    <x v="1"/>
    <x v="1"/>
    <x v="0"/>
  </r>
  <r>
    <s v="IZA-61469-812"/>
    <x v="191"/>
    <s v="13561-92774-WP"/>
    <s v="L-D-2.5"/>
    <n v="4"/>
    <s v="Ketty Bromehead"/>
    <s v="pdurbancg@symantec.com"/>
    <x v="0"/>
    <x v="15"/>
    <x v="3"/>
    <s v="D"/>
    <x v="2"/>
    <n v="29.784999999999997"/>
    <n v="15.488199999999999"/>
    <n v="119.13999999999999"/>
    <x v="3"/>
    <x v="2"/>
    <x v="0"/>
  </r>
  <r>
    <s v="PSS-22466-862"/>
    <x v="192"/>
    <s v="11550-78378-GE"/>
    <s v="R-L-0.2"/>
    <n v="4"/>
    <s v="Elsbeth Westerman"/>
    <s v="spamphilonci@mlb.com"/>
    <x v="1"/>
    <x v="62"/>
    <x v="0"/>
    <s v="L"/>
    <x v="3"/>
    <n v="3.5849999999999995"/>
    <n v="0.86039999999999983"/>
    <n v="14.339999999999998"/>
    <x v="0"/>
    <x v="1"/>
    <x v="1"/>
  </r>
  <r>
    <s v="REH-56504-397"/>
    <x v="193"/>
    <s v="90961-35603-RP"/>
    <s v="A-M-2.5"/>
    <n v="5"/>
    <s v="Anabelle Hutchens"/>
    <s v="msesonck@census.gov"/>
    <x v="0"/>
    <x v="153"/>
    <x v="2"/>
    <s v="M"/>
    <x v="2"/>
    <n v="25.874999999999996"/>
    <n v="11.643749999999997"/>
    <n v="129.37499999999997"/>
    <x v="2"/>
    <x v="0"/>
    <x v="1"/>
  </r>
  <r>
    <s v="ALA-62598-016"/>
    <x v="194"/>
    <s v="57145-03803-ZL"/>
    <s v="R-D-0.2"/>
    <n v="6"/>
    <s v="Noak Wyvill"/>
    <s v="rcawleycm@yellowbook.com"/>
    <x v="2"/>
    <x v="154"/>
    <x v="0"/>
    <s v="D"/>
    <x v="3"/>
    <n v="2.6849999999999996"/>
    <n v="0.96659999999999979"/>
    <n v="16.11"/>
    <x v="0"/>
    <x v="2"/>
    <x v="0"/>
  </r>
  <r>
    <s v="EYE-70374-835"/>
    <x v="195"/>
    <s v="89115-11966-VF"/>
    <s v="R-L-0.2"/>
    <n v="5"/>
    <s v="Beltran Mathon"/>
    <s v="aadamidesco@bizjournals.com"/>
    <x v="0"/>
    <x v="155"/>
    <x v="0"/>
    <s v="L"/>
    <x v="3"/>
    <n v="3.5849999999999995"/>
    <n v="1.0754999999999999"/>
    <n v="17.924999999999997"/>
    <x v="0"/>
    <x v="1"/>
    <x v="1"/>
  </r>
  <r>
    <s v="CCZ-19589-212"/>
    <x v="196"/>
    <s v="05754-41702-FG"/>
    <s v="L-M-0.2"/>
    <n v="2"/>
    <s v="Kristos Streight"/>
    <s v="rwillowaycq@admin.ch"/>
    <x v="0"/>
    <x v="156"/>
    <x v="3"/>
    <s v="M"/>
    <x v="3"/>
    <n v="4.3650000000000002"/>
    <n v="1.1349"/>
    <n v="8.73"/>
    <x v="3"/>
    <x v="0"/>
    <x v="1"/>
  </r>
  <r>
    <s v="BPT-83989-157"/>
    <x v="197"/>
    <s v="84269-49816-ML"/>
    <s v="A-M-2.5"/>
    <n v="2"/>
    <s v="Portie Cutchie"/>
    <s v="abilbrookcs@booking.com"/>
    <x v="0"/>
    <x v="116"/>
    <x v="2"/>
    <s v="M"/>
    <x v="2"/>
    <n v="25.874999999999996"/>
    <n v="4.6574999999999989"/>
    <n v="51.749999999999993"/>
    <x v="2"/>
    <x v="0"/>
    <x v="1"/>
  </r>
  <r>
    <s v="YFH-87456-208"/>
    <x v="198"/>
    <s v="23600-98432-ME"/>
    <s v="L-M-0.2"/>
    <n v="2"/>
    <s v="Sinclare Edsell"/>
    <s v="bdailecu@vistaprint.com"/>
    <x v="0"/>
    <x v="55"/>
    <x v="3"/>
    <s v="M"/>
    <x v="3"/>
    <n v="4.3650000000000002"/>
    <n v="1.1349"/>
    <n v="8.73"/>
    <x v="3"/>
    <x v="0"/>
    <x v="0"/>
  </r>
  <r>
    <s v="JLN-14700-924"/>
    <x v="199"/>
    <s v="79058-02767-CP"/>
    <s v="L-L-0.2"/>
    <n v="5"/>
    <s v="Conny Gheraldi"/>
    <s v="abrentnallcw@biglobe.ne.jp"/>
    <x v="2"/>
    <x v="44"/>
    <x v="3"/>
    <s v="L"/>
    <x v="3"/>
    <n v="4.7549999999999999"/>
    <n v="3.0907499999999999"/>
    <n v="23.774999999999999"/>
    <x v="3"/>
    <x v="1"/>
    <x v="1"/>
  </r>
  <r>
    <s v="JVW-22582-137"/>
    <x v="200"/>
    <s v="89208-74646-UK"/>
    <s v="E-M-0.2"/>
    <n v="5"/>
    <s v="Beryle Kenwell"/>
    <s v="dkornelcy@cyberchimps.com"/>
    <x v="0"/>
    <x v="103"/>
    <x v="1"/>
    <s v="M"/>
    <x v="3"/>
    <n v="4.125"/>
    <n v="2.2687499999999998"/>
    <n v="20.625"/>
    <x v="1"/>
    <x v="0"/>
    <x v="1"/>
  </r>
  <r>
    <s v="LAA-41879-001"/>
    <x v="201"/>
    <s v="11408-81032-UR"/>
    <s v="L-L-2.5"/>
    <n v="1"/>
    <s v="Tomas Sutty"/>
    <s v="jmccaulld0@parallels.com"/>
    <x v="0"/>
    <x v="15"/>
    <x v="3"/>
    <s v="L"/>
    <x v="2"/>
    <n v="36.454999999999998"/>
    <n v="4.7391499999999995"/>
    <n v="36.454999999999998"/>
    <x v="3"/>
    <x v="1"/>
    <x v="1"/>
  </r>
  <r>
    <s v="BRV-64870-915"/>
    <x v="202"/>
    <s v="32070-55528-UG"/>
    <s v="L-L-2.5"/>
    <n v="5"/>
    <s v="Samuele Ales0"/>
    <s v="ahutchinsond2@imgur.com"/>
    <x v="1"/>
    <x v="157"/>
    <x v="3"/>
    <s v="L"/>
    <x v="2"/>
    <n v="36.454999999999998"/>
    <n v="23.695749999999997"/>
    <n v="182.27499999999998"/>
    <x v="3"/>
    <x v="1"/>
    <x v="1"/>
  </r>
  <r>
    <s v="RGJ-12544-083"/>
    <x v="203"/>
    <s v="48873-84433-PN"/>
    <s v="L-D-2.5"/>
    <n v="3"/>
    <s v="Carlie Harce"/>
    <s v="rdriversd4@hexun.com"/>
    <x v="1"/>
    <x v="158"/>
    <x v="3"/>
    <s v="D"/>
    <x v="2"/>
    <n v="29.784999999999997"/>
    <n v="11.616149999999999"/>
    <n v="89.35499999999999"/>
    <x v="3"/>
    <x v="2"/>
    <x v="1"/>
  </r>
  <r>
    <s v="JJX-83339-346"/>
    <x v="204"/>
    <s v="32928-18158-OW"/>
    <s v="R-L-0.2"/>
    <n v="1"/>
    <s v="Craggy Bril"/>
    <s v="gsmallcombed6@ucla.edu"/>
    <x v="0"/>
    <x v="159"/>
    <x v="0"/>
    <s v="L"/>
    <x v="3"/>
    <n v="3.5849999999999995"/>
    <n v="0.21509999999999996"/>
    <n v="3.5849999999999995"/>
    <x v="0"/>
    <x v="1"/>
    <x v="0"/>
  </r>
  <r>
    <s v="BIU-21970-705"/>
    <x v="205"/>
    <s v="89711-56688-GG"/>
    <s v="R-M-2.5"/>
    <n v="2"/>
    <s v="Friederike Drysdale"/>
    <s v="gdimitrioud8@chronoengine.com"/>
    <x v="0"/>
    <x v="67"/>
    <x v="0"/>
    <s v="M"/>
    <x v="2"/>
    <n v="22.884999999999998"/>
    <n v="2.7461999999999995"/>
    <n v="45.769999999999996"/>
    <x v="0"/>
    <x v="0"/>
    <x v="0"/>
  </r>
  <r>
    <s v="ELJ-87741-745"/>
    <x v="206"/>
    <s v="48389-71976-JB"/>
    <s v="E-L-1"/>
    <n v="4"/>
    <s v="Devon Magowan"/>
    <s v="abrashda@plala.or.jp"/>
    <x v="0"/>
    <x v="160"/>
    <x v="1"/>
    <s v="L"/>
    <x v="0"/>
    <n v="14.85"/>
    <n v="6.5339999999999998"/>
    <n v="59.4"/>
    <x v="1"/>
    <x v="1"/>
    <x v="1"/>
  </r>
  <r>
    <s v="SGI-48226-857"/>
    <x v="207"/>
    <s v="84033-80762-EQ"/>
    <s v="A-M-2.5"/>
    <n v="6"/>
    <s v="Codi Littrell"/>
    <s v="wmcinerneydc@wordpress.com"/>
    <x v="0"/>
    <x v="161"/>
    <x v="2"/>
    <s v="M"/>
    <x v="2"/>
    <n v="25.874999999999996"/>
    <n v="13.972499999999997"/>
    <n v="155.24999999999997"/>
    <x v="2"/>
    <x v="0"/>
    <x v="0"/>
  </r>
  <r>
    <s v="AHV-66988-037"/>
    <x v="208"/>
    <s v="12743-00952-KO"/>
    <s v="R-M-2.5"/>
    <n v="2"/>
    <s v="Christel Speak"/>
    <s v="skeetsde@answers.com"/>
    <x v="0"/>
    <x v="162"/>
    <x v="0"/>
    <s v="M"/>
    <x v="2"/>
    <n v="22.884999999999998"/>
    <n v="2.7461999999999995"/>
    <n v="45.769999999999996"/>
    <x v="0"/>
    <x v="0"/>
    <x v="1"/>
  </r>
  <r>
    <s v="ISK-42066-094"/>
    <x v="209"/>
    <s v="41505-42181-EF"/>
    <s v="E-D-1"/>
    <n v="3"/>
    <s v="Sibella Rushbrooke"/>
    <s v="kcakedg@huffingtonpost.com"/>
    <x v="0"/>
    <x v="155"/>
    <x v="1"/>
    <s v="D"/>
    <x v="0"/>
    <n v="12.15"/>
    <n v="4.0095000000000001"/>
    <n v="36.450000000000003"/>
    <x v="1"/>
    <x v="2"/>
    <x v="0"/>
  </r>
  <r>
    <s v="FTC-35822-530"/>
    <x v="210"/>
    <s v="14307-87663-KB"/>
    <s v="E-D-0.5"/>
    <n v="4"/>
    <s v="Tammie Drynan"/>
    <s v="fkienleindi@trellian.com"/>
    <x v="0"/>
    <x v="47"/>
    <x v="1"/>
    <s v="D"/>
    <x v="1"/>
    <n v="7.29"/>
    <n v="3.2076000000000002"/>
    <n v="29.16"/>
    <x v="1"/>
    <x v="2"/>
    <x v="0"/>
  </r>
  <r>
    <s v="VSS-56247-688"/>
    <x v="211"/>
    <s v="08360-19442-GB"/>
    <s v="L-M-2.5"/>
    <n v="4"/>
    <s v="Effie Yurkov"/>
    <s v="bsemkinsdk@unc.edu"/>
    <x v="0"/>
    <x v="103"/>
    <x v="3"/>
    <s v="M"/>
    <x v="2"/>
    <n v="33.464999999999996"/>
    <n v="17.401799999999998"/>
    <n v="133.85999999999999"/>
    <x v="3"/>
    <x v="0"/>
    <x v="1"/>
  </r>
  <r>
    <s v="HVW-25584-144"/>
    <x v="212"/>
    <s v="93405-51204-UW"/>
    <s v="L-L-0.2"/>
    <n v="5"/>
    <s v="Lexie Mallan"/>
    <s v="bgiannazzidm@apple.com"/>
    <x v="0"/>
    <x v="163"/>
    <x v="3"/>
    <s v="L"/>
    <x v="3"/>
    <n v="4.7549999999999999"/>
    <n v="3.0907499999999999"/>
    <n v="23.774999999999999"/>
    <x v="3"/>
    <x v="1"/>
    <x v="0"/>
  </r>
  <r>
    <s v="MUY-15309-209"/>
    <x v="213"/>
    <s v="97152-03355-IW"/>
    <s v="L-D-1"/>
    <n v="3"/>
    <s v="Georgena Bentjens"/>
    <s v="ulethbrigdo@hc360.com"/>
    <x v="2"/>
    <x v="164"/>
    <x v="3"/>
    <s v="D"/>
    <x v="0"/>
    <n v="12.95"/>
    <n v="5.0504999999999995"/>
    <n v="38.849999999999994"/>
    <x v="3"/>
    <x v="2"/>
    <x v="1"/>
  </r>
  <r>
    <s v="VAJ-44572-469"/>
    <x v="63"/>
    <s v="79216-73157-TE"/>
    <s v="R-L-0.2"/>
    <n v="6"/>
    <s v="Delmar Beasant"/>
    <s v="fjecockdq@unicef.org"/>
    <x v="1"/>
    <x v="165"/>
    <x v="0"/>
    <s v="L"/>
    <x v="3"/>
    <n v="3.5849999999999995"/>
    <n v="1.2905999999999997"/>
    <n v="21.509999999999998"/>
    <x v="0"/>
    <x v="1"/>
    <x v="0"/>
  </r>
  <r>
    <s v="YJU-84377-606"/>
    <x v="214"/>
    <s v="20259-47723-AC"/>
    <s v="A-D-1"/>
    <n v="1"/>
    <s v="Lyn Entwistle"/>
    <s v="hpallisterds@ning.com"/>
    <x v="0"/>
    <x v="30"/>
    <x v="2"/>
    <s v="D"/>
    <x v="0"/>
    <n v="9.9499999999999993"/>
    <n v="0.89549999999999985"/>
    <n v="9.9499999999999993"/>
    <x v="2"/>
    <x v="2"/>
    <x v="0"/>
  </r>
  <r>
    <s v="VNC-93921-469"/>
    <x v="215"/>
    <s v="04666-71569-RI"/>
    <s v="L-L-1"/>
    <n v="1"/>
    <s v="Zacharias Kiffe"/>
    <s v="wstearleye1@census.gov"/>
    <x v="0"/>
    <x v="166"/>
    <x v="3"/>
    <s v="L"/>
    <x v="0"/>
    <n v="15.85"/>
    <n v="2.0605000000000002"/>
    <n v="15.85"/>
    <x v="3"/>
    <x v="1"/>
    <x v="0"/>
  </r>
  <r>
    <s v="OGB-91614-810"/>
    <x v="216"/>
    <s v="08909-77713-CG"/>
    <s v="R-M-0.2"/>
    <n v="1"/>
    <s v="Mercedes Acott"/>
    <s v=""/>
    <x v="0"/>
    <x v="63"/>
    <x v="0"/>
    <s v="M"/>
    <x v="3"/>
    <n v="2.9849999999999999"/>
    <n v="0.17909999999999998"/>
    <n v="2.9849999999999999"/>
    <x v="0"/>
    <x v="0"/>
    <x v="0"/>
  </r>
  <r>
    <s v="BQI-61647-496"/>
    <x v="217"/>
    <s v="84340-73931-VV"/>
    <s v="E-M-1"/>
    <n v="5"/>
    <s v="Connor Heaviside"/>
    <s v="eshearsbydy@g.co"/>
    <x v="0"/>
    <x v="167"/>
    <x v="1"/>
    <s v="M"/>
    <x v="0"/>
    <n v="13.75"/>
    <n v="7.5625"/>
    <n v="68.75"/>
    <x v="1"/>
    <x v="0"/>
    <x v="0"/>
  </r>
  <r>
    <s v="IOM-51636-823"/>
    <x v="218"/>
    <s v="04609-95151-XH"/>
    <s v="A-D-1"/>
    <n v="3"/>
    <s v="Devy Bulbrook"/>
    <s v="nerswelle0@mlb.com"/>
    <x v="0"/>
    <x v="168"/>
    <x v="2"/>
    <s v="D"/>
    <x v="0"/>
    <n v="9.9499999999999993"/>
    <n v="2.6864999999999997"/>
    <n v="29.849999999999998"/>
    <x v="2"/>
    <x v="2"/>
    <x v="1"/>
  </r>
  <r>
    <s v="GGD-38107-641"/>
    <x v="219"/>
    <s v="99562-88650-YF"/>
    <s v="L-M-1"/>
    <n v="4"/>
    <s v="Leia Kernan"/>
    <s v="dwincere2@marriott.com"/>
    <x v="0"/>
    <x v="169"/>
    <x v="3"/>
    <s v="M"/>
    <x v="0"/>
    <n v="14.55"/>
    <n v="7.5660000000000007"/>
    <n v="58.2"/>
    <x v="3"/>
    <x v="0"/>
    <x v="1"/>
  </r>
  <r>
    <s v="LTO-95975-728"/>
    <x v="220"/>
    <s v="46560-73885-PJ"/>
    <s v="R-L-0.5"/>
    <n v="4"/>
    <s v="Rosaline McLae"/>
    <s v="hperrise4@studiopress.com"/>
    <x v="2"/>
    <x v="170"/>
    <x v="0"/>
    <s v="L"/>
    <x v="1"/>
    <n v="7.169999999999999"/>
    <n v="1.7207999999999997"/>
    <n v="28.679999999999996"/>
    <x v="0"/>
    <x v="1"/>
    <x v="1"/>
  </r>
  <r>
    <s v="IGM-84664-265"/>
    <x v="114"/>
    <s v="80179-44620-WN"/>
    <s v="R-L-0.5"/>
    <n v="3"/>
    <s v="Cleve Blowfelde"/>
    <s v="ckide6@narod.ru"/>
    <x v="0"/>
    <x v="31"/>
    <x v="0"/>
    <s v="L"/>
    <x v="1"/>
    <n v="7.169999999999999"/>
    <n v="1.2905999999999997"/>
    <n v="21.509999999999998"/>
    <x v="0"/>
    <x v="1"/>
    <x v="1"/>
  </r>
  <r>
    <s v="SKO-45740-621"/>
    <x v="221"/>
    <s v="04666-71569-RI"/>
    <s v="L-M-0.5"/>
    <n v="2"/>
    <s v="Zacharias Kiffe"/>
    <s v="cbakeupe8@globo.com"/>
    <x v="0"/>
    <x v="166"/>
    <x v="3"/>
    <s v="M"/>
    <x v="1"/>
    <n v="8.73"/>
    <n v="2.2698"/>
    <n v="17.46"/>
    <x v="3"/>
    <x v="0"/>
    <x v="0"/>
  </r>
  <r>
    <s v="FOJ-02234-063"/>
    <x v="222"/>
    <s v="59081-87231-VP"/>
    <s v="E-D-2.5"/>
    <n v="1"/>
    <s v="Denyse O'Calleran"/>
    <s v="pwitheringtonea@networkadvertising.org"/>
    <x v="0"/>
    <x v="171"/>
    <x v="1"/>
    <s v="D"/>
    <x v="2"/>
    <n v="27.945"/>
    <n v="3.07395"/>
    <n v="27.945"/>
    <x v="1"/>
    <x v="2"/>
    <x v="0"/>
  </r>
  <r>
    <s v="MSJ-11909-468"/>
    <x v="188"/>
    <s v="07878-45872-CC"/>
    <s v="E-D-2.5"/>
    <n v="5"/>
    <s v="Cobby Cromwell"/>
    <s v=""/>
    <x v="0"/>
    <x v="127"/>
    <x v="1"/>
    <s v="D"/>
    <x v="2"/>
    <n v="27.945"/>
    <n v="15.36975"/>
    <n v="139.72499999999999"/>
    <x v="1"/>
    <x v="2"/>
    <x v="1"/>
  </r>
  <r>
    <s v="DKB-78053-329"/>
    <x v="223"/>
    <s v="12444-05174-OO"/>
    <s v="R-M-0.2"/>
    <n v="2"/>
    <s v="Irv Hay"/>
    <s v="kimortsee@alexa.com"/>
    <x v="2"/>
    <x v="172"/>
    <x v="0"/>
    <s v="M"/>
    <x v="3"/>
    <n v="2.9849999999999999"/>
    <n v="0.35819999999999996"/>
    <n v="5.97"/>
    <x v="0"/>
    <x v="0"/>
    <x v="1"/>
  </r>
  <r>
    <s v="DFZ-45083-941"/>
    <x v="224"/>
    <s v="34665-62561-AU"/>
    <s v="R-L-2.5"/>
    <n v="1"/>
    <s v="Tani Taffarello"/>
    <s v="marmisteadeg@blogtalkradio.com"/>
    <x v="0"/>
    <x v="10"/>
    <x v="0"/>
    <s v="L"/>
    <x v="2"/>
    <n v="27.484999999999996"/>
    <n v="1.6490999999999998"/>
    <n v="27.484999999999996"/>
    <x v="0"/>
    <x v="1"/>
    <x v="0"/>
  </r>
  <r>
    <s v="OTA-40969-710"/>
    <x v="83"/>
    <s v="77877-11993-QH"/>
    <s v="R-L-1"/>
    <n v="5"/>
    <s v="Monique Canty"/>
    <s v="vupstoneei@google.pl"/>
    <x v="0"/>
    <x v="173"/>
    <x v="0"/>
    <s v="L"/>
    <x v="0"/>
    <n v="11.95"/>
    <n v="3.585"/>
    <n v="59.75"/>
    <x v="0"/>
    <x v="1"/>
    <x v="0"/>
  </r>
  <r>
    <s v="GRH-45571-667"/>
    <x v="104"/>
    <s v="32291-18308-YZ"/>
    <s v="E-M-1"/>
    <n v="3"/>
    <s v="Javier Kopke"/>
    <s v=""/>
    <x v="0"/>
    <x v="174"/>
    <x v="1"/>
    <s v="M"/>
    <x v="0"/>
    <n v="13.75"/>
    <n v="4.5374999999999996"/>
    <n v="41.25"/>
    <x v="1"/>
    <x v="0"/>
    <x v="1"/>
  </r>
  <r>
    <s v="NXV-05302-067"/>
    <x v="225"/>
    <s v="25754-33191-ZI"/>
    <s v="L-M-2.5"/>
    <n v="4"/>
    <s v="Mar McIver"/>
    <s v="wspeechlyem@amazon.com"/>
    <x v="0"/>
    <x v="8"/>
    <x v="3"/>
    <s v="M"/>
    <x v="2"/>
    <n v="33.464999999999996"/>
    <n v="17.401799999999998"/>
    <n v="133.85999999999999"/>
    <x v="3"/>
    <x v="0"/>
    <x v="1"/>
  </r>
  <r>
    <s v="VZH-86274-142"/>
    <x v="226"/>
    <s v="53120-45532-KL"/>
    <s v="R-L-1"/>
    <n v="5"/>
    <s v="Arabella Fransewich"/>
    <s v="lpennaccieo@statcounter.com"/>
    <x v="1"/>
    <x v="175"/>
    <x v="0"/>
    <s v="L"/>
    <x v="0"/>
    <n v="11.95"/>
    <n v="3.585"/>
    <n v="59.75"/>
    <x v="0"/>
    <x v="1"/>
    <x v="0"/>
  </r>
  <r>
    <s v="KIX-93248-135"/>
    <x v="227"/>
    <s v="36605-83052-WB"/>
    <s v="A-D-0.5"/>
    <n v="1"/>
    <s v="Violette Hellmore"/>
    <s v="dfrieseq@cargocollective.com"/>
    <x v="0"/>
    <x v="28"/>
    <x v="2"/>
    <s v="D"/>
    <x v="1"/>
    <n v="5.97"/>
    <n v="0.5373"/>
    <n v="5.97"/>
    <x v="2"/>
    <x v="2"/>
    <x v="0"/>
  </r>
  <r>
    <s v="AXR-10962-010"/>
    <x v="180"/>
    <s v="53683-35977-KI"/>
    <s v="E-D-1"/>
    <n v="2"/>
    <s v="Myles Seawright"/>
    <s v="nnasebyes@umich.edu"/>
    <x v="2"/>
    <x v="176"/>
    <x v="1"/>
    <s v="D"/>
    <x v="0"/>
    <n v="12.15"/>
    <n v="2.673"/>
    <n v="24.3"/>
    <x v="1"/>
    <x v="2"/>
    <x v="1"/>
  </r>
  <r>
    <s v="IHS-71573-008"/>
    <x v="228"/>
    <s v="07972-83134-NM"/>
    <s v="E-D-0.2"/>
    <n v="6"/>
    <s v="Silvana Northeast"/>
    <s v="koculleneu@ca.gov"/>
    <x v="0"/>
    <x v="125"/>
    <x v="1"/>
    <s v="D"/>
    <x v="3"/>
    <n v="3.645"/>
    <n v="2.4057000000000004"/>
    <n v="21.87"/>
    <x v="1"/>
    <x v="2"/>
    <x v="0"/>
  </r>
  <r>
    <s v="QTR-19001-114"/>
    <x v="229"/>
    <s v="01035-70465-UO"/>
    <s v="A-D-1"/>
    <n v="2"/>
    <s v="Anselma Attwater"/>
    <s v="abrashda@plala.or.jp"/>
    <x v="0"/>
    <x v="131"/>
    <x v="2"/>
    <s v="D"/>
    <x v="0"/>
    <n v="9.9499999999999993"/>
    <n v="1.7909999999999997"/>
    <n v="19.899999999999999"/>
    <x v="2"/>
    <x v="2"/>
    <x v="0"/>
  </r>
  <r>
    <s v="WBK-62297-910"/>
    <x v="230"/>
    <s v="25514-23938-IQ"/>
    <s v="A-D-0.2"/>
    <n v="2"/>
    <s v="Monica Fearon"/>
    <s v="agallyoney@engadget.com"/>
    <x v="0"/>
    <x v="177"/>
    <x v="2"/>
    <s v="D"/>
    <x v="3"/>
    <n v="2.9849999999999999"/>
    <n v="0.5373"/>
    <n v="5.97"/>
    <x v="2"/>
    <x v="2"/>
    <x v="1"/>
  </r>
  <r>
    <s v="OGY-19377-175"/>
    <x v="231"/>
    <s v="49084-44492-OJ"/>
    <s v="E-D-0.5"/>
    <n v="1"/>
    <s v="Barney Chisnell"/>
    <s v="koslerf0@gmpg.org"/>
    <x v="1"/>
    <x v="178"/>
    <x v="1"/>
    <s v="D"/>
    <x v="1"/>
    <n v="7.29"/>
    <n v="0.80190000000000006"/>
    <n v="7.29"/>
    <x v="1"/>
    <x v="2"/>
    <x v="0"/>
  </r>
  <r>
    <s v="ESR-66651-814"/>
    <x v="80"/>
    <s v="76624-72205-CK"/>
    <s v="A-D-0.2"/>
    <n v="4"/>
    <s v="Jasper Sisneros"/>
    <s v="zpellettf2@dailymotion.com"/>
    <x v="0"/>
    <x v="179"/>
    <x v="2"/>
    <s v="D"/>
    <x v="3"/>
    <n v="2.9849999999999999"/>
    <n v="1.0746"/>
    <n v="11.94"/>
    <x v="2"/>
    <x v="2"/>
    <x v="0"/>
  </r>
  <r>
    <s v="CPX-46916-770"/>
    <x v="232"/>
    <s v="12729-50170-JE"/>
    <s v="R-L-1"/>
    <n v="6"/>
    <s v="Zachariah Carlson"/>
    <s v="hfromantf4@ucsd.edu"/>
    <x v="1"/>
    <x v="180"/>
    <x v="0"/>
    <s v="L"/>
    <x v="0"/>
    <n v="11.95"/>
    <n v="4.3019999999999996"/>
    <n v="71.699999999999989"/>
    <x v="0"/>
    <x v="1"/>
    <x v="0"/>
  </r>
  <r>
    <s v="MDC-03318-645"/>
    <x v="233"/>
    <s v="43974-44760-QI"/>
    <s v="A-L-0.2"/>
    <n v="2"/>
    <s v="Warner Maddox"/>
    <s v=""/>
    <x v="0"/>
    <x v="15"/>
    <x v="2"/>
    <s v="L"/>
    <x v="3"/>
    <n v="3.8849999999999998"/>
    <n v="0.69929999999999992"/>
    <n v="7.77"/>
    <x v="2"/>
    <x v="1"/>
    <x v="1"/>
  </r>
  <r>
    <s v="SFF-86059-407"/>
    <x v="234"/>
    <s v="30585-48726-BK"/>
    <s v="A-M-2.5"/>
    <n v="1"/>
    <s v="Donnie Hedlestone"/>
    <s v="bmundenf8@elpais.com"/>
    <x v="0"/>
    <x v="94"/>
    <x v="2"/>
    <s v="M"/>
    <x v="2"/>
    <n v="25.874999999999996"/>
    <n v="2.3287499999999994"/>
    <n v="25.874999999999996"/>
    <x v="2"/>
    <x v="0"/>
    <x v="1"/>
  </r>
  <r>
    <s v="SCL-94540-788"/>
    <x v="235"/>
    <s v="16123-07017-TY"/>
    <s v="E-L-2.5"/>
    <n v="6"/>
    <s v="Teddi Crowthe"/>
    <s v="nbrakespearfa@rediff.com"/>
    <x v="0"/>
    <x v="45"/>
    <x v="1"/>
    <s v="L"/>
    <x v="2"/>
    <n v="34.154999999999994"/>
    <n v="22.542299999999997"/>
    <n v="204.92999999999995"/>
    <x v="1"/>
    <x v="1"/>
    <x v="1"/>
  </r>
  <r>
    <s v="HVU-21634-076"/>
    <x v="236"/>
    <s v="27723-45097-MH"/>
    <s v="R-L-2.5"/>
    <n v="4"/>
    <s v="Dorelia Bury"/>
    <s v="galbertsfc@etsy.com"/>
    <x v="1"/>
    <x v="181"/>
    <x v="0"/>
    <s v="L"/>
    <x v="2"/>
    <n v="27.484999999999996"/>
    <n v="6.5963999999999992"/>
    <n v="109.93999999999998"/>
    <x v="0"/>
    <x v="1"/>
    <x v="0"/>
  </r>
  <r>
    <s v="XUS-73326-418"/>
    <x v="237"/>
    <s v="37078-56703-AF"/>
    <s v="E-L-1"/>
    <n v="6"/>
    <s v="Gussy Broadbear"/>
    <s v=""/>
    <x v="0"/>
    <x v="182"/>
    <x v="1"/>
    <s v="L"/>
    <x v="0"/>
    <n v="14.85"/>
    <n v="9.8010000000000002"/>
    <n v="89.1"/>
    <x v="1"/>
    <x v="1"/>
    <x v="1"/>
  </r>
  <r>
    <s v="XWD-18933-006"/>
    <x v="238"/>
    <s v="79420-11075-MY"/>
    <s v="A-L-0.2"/>
    <n v="2"/>
    <s v="Emlynne Palfrey"/>
    <s v="craisbeckfg@webnode.com"/>
    <x v="0"/>
    <x v="51"/>
    <x v="2"/>
    <s v="L"/>
    <x v="3"/>
    <n v="3.8849999999999998"/>
    <n v="0.69929999999999992"/>
    <n v="7.77"/>
    <x v="2"/>
    <x v="1"/>
    <x v="0"/>
  </r>
  <r>
    <s v="HPD-65272-772"/>
    <x v="52"/>
    <s v="57504-13456-UO"/>
    <s v="L-M-2.5"/>
    <n v="1"/>
    <s v="Parsifal Metrick"/>
    <s v=""/>
    <x v="0"/>
    <x v="10"/>
    <x v="3"/>
    <s v="M"/>
    <x v="2"/>
    <n v="33.464999999999996"/>
    <n v="4.3504499999999995"/>
    <n v="33.464999999999996"/>
    <x v="3"/>
    <x v="0"/>
    <x v="0"/>
  </r>
  <r>
    <s v="JEG-93140-224"/>
    <x v="146"/>
    <s v="53751-57560-CN"/>
    <s v="E-M-0.5"/>
    <n v="5"/>
    <s v="Christopher Grieveson"/>
    <s v=""/>
    <x v="0"/>
    <x v="12"/>
    <x v="1"/>
    <s v="M"/>
    <x v="1"/>
    <n v="8.25"/>
    <n v="4.5374999999999996"/>
    <n v="41.25"/>
    <x v="1"/>
    <x v="0"/>
    <x v="0"/>
  </r>
  <r>
    <s v="NNH-62058-950"/>
    <x v="239"/>
    <s v="96112-42558-EA"/>
    <s v="E-L-1"/>
    <n v="4"/>
    <s v="Karlan Karby"/>
    <s v="bgrecefm@naver.com"/>
    <x v="0"/>
    <x v="183"/>
    <x v="1"/>
    <s v="L"/>
    <x v="0"/>
    <n v="14.85"/>
    <n v="6.5339999999999998"/>
    <n v="59.4"/>
    <x v="1"/>
    <x v="1"/>
    <x v="0"/>
  </r>
  <r>
    <s v="LTD-71429-845"/>
    <x v="240"/>
    <s v="03157-23165-UB"/>
    <s v="A-L-0.5"/>
    <n v="1"/>
    <s v="Flory Crumpe"/>
    <s v="athysfo@cdc.gov"/>
    <x v="2"/>
    <x v="184"/>
    <x v="2"/>
    <s v="L"/>
    <x v="1"/>
    <n v="7.77"/>
    <n v="0.69929999999999992"/>
    <n v="7.77"/>
    <x v="2"/>
    <x v="1"/>
    <x v="1"/>
  </r>
  <r>
    <s v="MPV-26985-215"/>
    <x v="241"/>
    <s v="51466-52850-AG"/>
    <s v="R-D-0.5"/>
    <n v="1"/>
    <s v="Amity Chatto"/>
    <s v="akelstonfq@sakura.ne.jp"/>
    <x v="2"/>
    <x v="172"/>
    <x v="0"/>
    <s v="D"/>
    <x v="1"/>
    <n v="5.3699999999999992"/>
    <n v="0.32219999999999993"/>
    <n v="5.3699999999999992"/>
    <x v="0"/>
    <x v="2"/>
    <x v="0"/>
  </r>
  <r>
    <s v="IYO-10245-081"/>
    <x v="242"/>
    <s v="57145-31023-FK"/>
    <s v="E-M-2.5"/>
    <n v="3"/>
    <s v="Nanine McCarthy"/>
    <s v="cmottramfs@harvard.edu"/>
    <x v="0"/>
    <x v="185"/>
    <x v="1"/>
    <s v="M"/>
    <x v="2"/>
    <n v="31.624999999999996"/>
    <n v="10.436249999999999"/>
    <n v="94.874999999999986"/>
    <x v="1"/>
    <x v="0"/>
    <x v="1"/>
  </r>
  <r>
    <s v="BYZ-39669-954"/>
    <x v="243"/>
    <s v="66408-53777-VE"/>
    <s v="L-L-2.5"/>
    <n v="1"/>
    <s v="Lyndsey Megany"/>
    <s v="dsangwinfu@weebly.com"/>
    <x v="0"/>
    <x v="73"/>
    <x v="3"/>
    <s v="L"/>
    <x v="2"/>
    <n v="36.454999999999998"/>
    <n v="4.7391499999999995"/>
    <n v="36.454999999999998"/>
    <x v="3"/>
    <x v="1"/>
    <x v="1"/>
  </r>
  <r>
    <s v="EFB-72860-209"/>
    <x v="244"/>
    <s v="53035-99701-WG"/>
    <s v="A-M-0.2"/>
    <n v="4"/>
    <s v="Byram Mergue"/>
    <s v=""/>
    <x v="0"/>
    <x v="186"/>
    <x v="2"/>
    <s v="M"/>
    <x v="3"/>
    <n v="3.375"/>
    <n v="1.2149999999999999"/>
    <n v="13.5"/>
    <x v="2"/>
    <x v="0"/>
    <x v="0"/>
  </r>
  <r>
    <s v="GMM-72397-378"/>
    <x v="245"/>
    <s v="45899-92796-EI"/>
    <s v="R-L-0.2"/>
    <n v="4"/>
    <s v="Kerr Patise"/>
    <s v="mharbyfy@163.com"/>
    <x v="0"/>
    <x v="35"/>
    <x v="0"/>
    <s v="L"/>
    <x v="3"/>
    <n v="3.5849999999999995"/>
    <n v="0.86039999999999983"/>
    <n v="14.339999999999998"/>
    <x v="0"/>
    <x v="1"/>
    <x v="1"/>
  </r>
  <r>
    <s v="LYP-52345-883"/>
    <x v="246"/>
    <s v="17649-28133-PY"/>
    <s v="E-M-0.5"/>
    <n v="1"/>
    <s v="Mathew Goulter"/>
    <s v="pormerodg0@redcross.org"/>
    <x v="1"/>
    <x v="187"/>
    <x v="1"/>
    <s v="M"/>
    <x v="1"/>
    <n v="8.25"/>
    <n v="0.90749999999999997"/>
    <n v="8.25"/>
    <x v="1"/>
    <x v="0"/>
    <x v="0"/>
  </r>
  <r>
    <s v="DFK-35846-692"/>
    <x v="247"/>
    <s v="49612-33852-CN"/>
    <s v="R-D-0.2"/>
    <n v="5"/>
    <s v="Marris Grcic"/>
    <s v="tzanettig2@gravatar.com"/>
    <x v="0"/>
    <x v="188"/>
    <x v="0"/>
    <s v="D"/>
    <x v="3"/>
    <n v="2.6849999999999996"/>
    <n v="0.80549999999999988"/>
    <n v="13.424999999999997"/>
    <x v="0"/>
    <x v="2"/>
    <x v="0"/>
  </r>
  <r>
    <s v="XAH-93337-609"/>
    <x v="248"/>
    <s v="66976-43829-YG"/>
    <s v="A-D-1"/>
    <n v="5"/>
    <s v="Domeniga Duke"/>
    <s v="rkirtleyg4@hatena.ne.jp"/>
    <x v="0"/>
    <x v="6"/>
    <x v="2"/>
    <s v="D"/>
    <x v="0"/>
    <n v="9.9499999999999993"/>
    <n v="4.4774999999999991"/>
    <n v="49.75"/>
    <x v="2"/>
    <x v="2"/>
    <x v="1"/>
  </r>
  <r>
    <s v="QKA-72582-644"/>
    <x v="249"/>
    <s v="64852-04619-XZ"/>
    <s v="E-M-0.5"/>
    <n v="2"/>
    <s v="Violante Skouling"/>
    <s v="rdonetg6@oakley.com"/>
    <x v="1"/>
    <x v="96"/>
    <x v="1"/>
    <s v="M"/>
    <x v="1"/>
    <n v="8.25"/>
    <n v="1.8149999999999999"/>
    <n v="16.5"/>
    <x v="1"/>
    <x v="0"/>
    <x v="1"/>
  </r>
  <r>
    <s v="ZDK-84567-102"/>
    <x v="250"/>
    <s v="58690-31815-VY"/>
    <s v="A-D-0.5"/>
    <n v="3"/>
    <s v="Isidore Hussey"/>
    <s v="rreadieg8@guardian.co.uk"/>
    <x v="0"/>
    <x v="38"/>
    <x v="2"/>
    <s v="D"/>
    <x v="1"/>
    <n v="5.97"/>
    <n v="1.6118999999999999"/>
    <n v="17.91"/>
    <x v="2"/>
    <x v="2"/>
    <x v="1"/>
  </r>
  <r>
    <s v="WAV-38301-984"/>
    <x v="251"/>
    <s v="62863-81239-DT"/>
    <s v="A-D-0.5"/>
    <n v="5"/>
    <s v="Cassie Pinkerton"/>
    <s v=""/>
    <x v="0"/>
    <x v="117"/>
    <x v="2"/>
    <s v="D"/>
    <x v="1"/>
    <n v="5.97"/>
    <n v="2.6865000000000001"/>
    <n v="29.849999999999998"/>
    <x v="2"/>
    <x v="2"/>
    <x v="1"/>
  </r>
  <r>
    <s v="KZR-33023-209"/>
    <x v="177"/>
    <s v="21177-40725-CF"/>
    <s v="E-L-1"/>
    <n v="3"/>
    <s v="Micki Fero"/>
    <s v="vstansburygc@unblog.fr"/>
    <x v="0"/>
    <x v="189"/>
    <x v="1"/>
    <s v="L"/>
    <x v="0"/>
    <n v="14.85"/>
    <n v="4.9005000000000001"/>
    <n v="44.55"/>
    <x v="1"/>
    <x v="1"/>
    <x v="1"/>
  </r>
  <r>
    <s v="ULM-49433-003"/>
    <x v="252"/>
    <s v="99421-80253-UI"/>
    <s v="E-M-1"/>
    <n v="2"/>
    <s v="Cybill Graddell"/>
    <s v="jshentonge@google.com.hk"/>
    <x v="0"/>
    <x v="140"/>
    <x v="1"/>
    <s v="M"/>
    <x v="0"/>
    <n v="13.75"/>
    <n v="3.0249999999999999"/>
    <n v="27.5"/>
    <x v="1"/>
    <x v="0"/>
    <x v="1"/>
  </r>
  <r>
    <s v="SIB-83254-136"/>
    <x v="253"/>
    <s v="45315-50206-DK"/>
    <s v="R-M-0.5"/>
    <n v="6"/>
    <s v="Dorian Vizor"/>
    <s v=""/>
    <x v="0"/>
    <x v="53"/>
    <x v="0"/>
    <s v="M"/>
    <x v="1"/>
    <n v="5.97"/>
    <n v="2.1491999999999996"/>
    <n v="35.82"/>
    <x v="0"/>
    <x v="0"/>
    <x v="0"/>
  </r>
  <r>
    <s v="NOK-50349-551"/>
    <x v="254"/>
    <s v="09595-95726-OV"/>
    <s v="R-D-0.5"/>
    <n v="3"/>
    <s v="Eddi Sedgebeer"/>
    <s v="gstarcksgi@abc.net.au"/>
    <x v="0"/>
    <x v="190"/>
    <x v="0"/>
    <s v="D"/>
    <x v="1"/>
    <n v="5.3699999999999992"/>
    <n v="0.96659999999999979"/>
    <n v="16.11"/>
    <x v="0"/>
    <x v="2"/>
    <x v="0"/>
  </r>
  <r>
    <s v="YIS-96268-844"/>
    <x v="227"/>
    <s v="60221-67036-TD"/>
    <s v="E-L-0.2"/>
    <n v="6"/>
    <s v="Ken Lestrange"/>
    <s v="kscholardgk@sbwire.com"/>
    <x v="0"/>
    <x v="161"/>
    <x v="1"/>
    <s v="L"/>
    <x v="3"/>
    <n v="4.4550000000000001"/>
    <n v="2.9402999999999997"/>
    <n v="26.73"/>
    <x v="1"/>
    <x v="1"/>
    <x v="0"/>
  </r>
  <r>
    <s v="CXI-04933-855"/>
    <x v="110"/>
    <s v="62923-29397-KX"/>
    <s v="E-L-2.5"/>
    <n v="6"/>
    <s v="Lacee Tanti"/>
    <s v="khammettgm@dmoz.org"/>
    <x v="0"/>
    <x v="191"/>
    <x v="1"/>
    <s v="L"/>
    <x v="2"/>
    <n v="34.154999999999994"/>
    <n v="22.542299999999997"/>
    <n v="204.92999999999995"/>
    <x v="1"/>
    <x v="1"/>
    <x v="0"/>
  </r>
  <r>
    <s v="IZU-90429-382"/>
    <x v="182"/>
    <s v="33011-52383-BA"/>
    <s v="A-L-1"/>
    <n v="3"/>
    <s v="Arel De Lasci"/>
    <s v="plauritzengo@photobucket.com"/>
    <x v="0"/>
    <x v="103"/>
    <x v="2"/>
    <s v="L"/>
    <x v="0"/>
    <n v="12.95"/>
    <n v="3.4965000000000002"/>
    <n v="38.849999999999994"/>
    <x v="2"/>
    <x v="1"/>
    <x v="0"/>
  </r>
  <r>
    <s v="WIT-40912-783"/>
    <x v="255"/>
    <s v="86768-91598-FA"/>
    <s v="L-D-0.2"/>
    <n v="4"/>
    <s v="Trescha Jedrachowicz"/>
    <s v="erolingq@google.fr"/>
    <x v="0"/>
    <x v="79"/>
    <x v="3"/>
    <s v="D"/>
    <x v="3"/>
    <n v="3.8849999999999998"/>
    <n v="2.0202"/>
    <n v="15.54"/>
    <x v="3"/>
    <x v="2"/>
    <x v="0"/>
  </r>
  <r>
    <s v="PSD-57291-590"/>
    <x v="256"/>
    <s v="37191-12203-MX"/>
    <s v="A-M-0.5"/>
    <n v="1"/>
    <s v="Perkin Stonner"/>
    <s v=""/>
    <x v="0"/>
    <x v="192"/>
    <x v="2"/>
    <s v="M"/>
    <x v="1"/>
    <n v="6.75"/>
    <n v="0.60749999999999993"/>
    <n v="6.75"/>
    <x v="2"/>
    <x v="0"/>
    <x v="1"/>
  </r>
  <r>
    <s v="GOI-41472-677"/>
    <x v="3"/>
    <s v="16545-76328-JY"/>
    <s v="E-D-2.5"/>
    <n v="4"/>
    <s v="Darrin Tingly"/>
    <s v="bpeattiegu@imgur.com"/>
    <x v="0"/>
    <x v="193"/>
    <x v="1"/>
    <s v="D"/>
    <x v="2"/>
    <n v="27.945"/>
    <n v="12.2958"/>
    <n v="111.78"/>
    <x v="1"/>
    <x v="2"/>
    <x v="0"/>
  </r>
  <r>
    <s v="KTX-17944-494"/>
    <x v="257"/>
    <s v="74330-29286-RO"/>
    <s v="A-L-0.2"/>
    <n v="1"/>
    <s v="Claudetta Rushe"/>
    <s v="scouronneh3@mozilla.org"/>
    <x v="0"/>
    <x v="63"/>
    <x v="2"/>
    <s v="L"/>
    <x v="3"/>
    <n v="3.8849999999999998"/>
    <n v="0.34964999999999996"/>
    <n v="3.8849999999999998"/>
    <x v="2"/>
    <x v="1"/>
    <x v="0"/>
  </r>
  <r>
    <s v="RDM-99811-230"/>
    <x v="258"/>
    <s v="22349-47389-GY"/>
    <s v="L-M-0.2"/>
    <n v="5"/>
    <s v="Benn Checci"/>
    <s v="acleyburngy@lycos.com"/>
    <x v="2"/>
    <x v="194"/>
    <x v="3"/>
    <s v="M"/>
    <x v="3"/>
    <n v="4.3650000000000002"/>
    <n v="2.83725"/>
    <n v="21.825000000000003"/>
    <x v="3"/>
    <x v="0"/>
    <x v="1"/>
  </r>
  <r>
    <s v="JTU-55897-581"/>
    <x v="259"/>
    <s v="70290-38099-GB"/>
    <s v="R-M-0.2"/>
    <n v="5"/>
    <s v="Janifer Bagot"/>
    <s v=""/>
    <x v="0"/>
    <x v="195"/>
    <x v="0"/>
    <s v="M"/>
    <x v="3"/>
    <n v="2.9849999999999999"/>
    <n v="0.89549999999999996"/>
    <n v="14.924999999999999"/>
    <x v="0"/>
    <x v="0"/>
    <x v="1"/>
  </r>
  <r>
    <s v="CRK-07584-240"/>
    <x v="260"/>
    <s v="18741-72071-PP"/>
    <s v="A-M-1"/>
    <n v="3"/>
    <s v="Ermin Beeble"/>
    <s v=""/>
    <x v="0"/>
    <x v="159"/>
    <x v="2"/>
    <s v="M"/>
    <x v="0"/>
    <n v="11.25"/>
    <n v="3.0374999999999996"/>
    <n v="33.75"/>
    <x v="2"/>
    <x v="0"/>
    <x v="0"/>
  </r>
  <r>
    <s v="MKE-75518-399"/>
    <x v="261"/>
    <s v="62588-82624-II"/>
    <s v="A-M-1"/>
    <n v="3"/>
    <s v="Cos Fluin"/>
    <s v="lflippellih4@github.io"/>
    <x v="2"/>
    <x v="172"/>
    <x v="2"/>
    <s v="M"/>
    <x v="0"/>
    <n v="11.25"/>
    <n v="3.0374999999999996"/>
    <n v="33.75"/>
    <x v="2"/>
    <x v="0"/>
    <x v="1"/>
  </r>
  <r>
    <s v="AEL-51169-725"/>
    <x v="262"/>
    <s v="37430-29579-HD"/>
    <s v="L-M-0.2"/>
    <n v="6"/>
    <s v="Eveleen Bletsor"/>
    <s v="irenhardh6@i2i.jp"/>
    <x v="0"/>
    <x v="196"/>
    <x v="3"/>
    <s v="M"/>
    <x v="3"/>
    <n v="4.3650000000000002"/>
    <n v="3.4047000000000001"/>
    <n v="26.19"/>
    <x v="3"/>
    <x v="0"/>
    <x v="0"/>
  </r>
  <r>
    <s v="ZGM-83108-823"/>
    <x v="263"/>
    <s v="84132-22322-QT"/>
    <s v="E-L-1"/>
    <n v="1"/>
    <s v="Paola Brydell"/>
    <s v="jbush8@guardian.co.uk"/>
    <x v="1"/>
    <x v="65"/>
    <x v="1"/>
    <s v="L"/>
    <x v="0"/>
    <n v="14.85"/>
    <n v="1.6335"/>
    <n v="14.85"/>
    <x v="1"/>
    <x v="1"/>
    <x v="1"/>
  </r>
  <r>
    <s v="JBP-78754-392"/>
    <x v="212"/>
    <s v="74330-29286-RO"/>
    <s v="E-M-2.5"/>
    <n v="6"/>
    <s v="Claudetta Rushe"/>
    <s v="bbyrdha@4shared.com"/>
    <x v="0"/>
    <x v="63"/>
    <x v="1"/>
    <s v="M"/>
    <x v="2"/>
    <n v="31.624999999999996"/>
    <n v="20.872499999999999"/>
    <n v="189.74999999999997"/>
    <x v="1"/>
    <x v="0"/>
    <x v="0"/>
  </r>
  <r>
    <s v="RNH-54912-747"/>
    <x v="187"/>
    <s v="37445-17791-NQ"/>
    <s v="R-M-0.5"/>
    <n v="1"/>
    <s v="Natka Leethem"/>
    <s v="dchardinhc@nhs.uk"/>
    <x v="0"/>
    <x v="117"/>
    <x v="0"/>
    <s v="M"/>
    <x v="1"/>
    <n v="5.97"/>
    <n v="0.35819999999999996"/>
    <n v="5.97"/>
    <x v="0"/>
    <x v="0"/>
    <x v="0"/>
  </r>
  <r>
    <s v="JDS-33440-914"/>
    <x v="248"/>
    <s v="58511-10548-ZU"/>
    <s v="R-M-1"/>
    <n v="3"/>
    <s v="Ailene Nesfield"/>
    <s v="wbernthhe@miitbeian.gov.cn"/>
    <x v="2"/>
    <x v="197"/>
    <x v="0"/>
    <s v="M"/>
    <x v="0"/>
    <n v="9.9499999999999993"/>
    <n v="1.7909999999999999"/>
    <n v="29.849999999999998"/>
    <x v="0"/>
    <x v="0"/>
    <x v="0"/>
  </r>
  <r>
    <s v="SYX-48878-182"/>
    <x v="264"/>
    <s v="47725-34771-FJ"/>
    <s v="R-D-1"/>
    <n v="5"/>
    <s v="Stacy Pickworth"/>
    <s v="fbrighamhg@blog.com"/>
    <x v="0"/>
    <x v="198"/>
    <x v="0"/>
    <s v="D"/>
    <x v="0"/>
    <n v="8.9499999999999993"/>
    <n v="2.6849999999999996"/>
    <n v="44.75"/>
    <x v="0"/>
    <x v="2"/>
    <x v="1"/>
  </r>
  <r>
    <s v="ZGD-94763-868"/>
    <x v="265"/>
    <s v="53086-67334-KT"/>
    <s v="E-L-2.5"/>
    <n v="1"/>
    <s v="Melli Brockway"/>
    <s v="cmeirhi@cnet.com"/>
    <x v="0"/>
    <x v="111"/>
    <x v="1"/>
    <s v="L"/>
    <x v="2"/>
    <n v="34.154999999999994"/>
    <n v="3.7570499999999996"/>
    <n v="34.154999999999994"/>
    <x v="1"/>
    <x v="1"/>
    <x v="0"/>
  </r>
  <r>
    <s v="CZY-70361-485"/>
    <x v="266"/>
    <s v="83308-82257-UN"/>
    <s v="E-L-2.5"/>
    <n v="6"/>
    <s v="Nanny Lush"/>
    <s v="myoxenhk@google.com"/>
    <x v="1"/>
    <x v="104"/>
    <x v="1"/>
    <s v="L"/>
    <x v="2"/>
    <n v="34.154999999999994"/>
    <n v="22.542299999999997"/>
    <n v="204.92999999999995"/>
    <x v="1"/>
    <x v="1"/>
    <x v="1"/>
  </r>
  <r>
    <s v="RJR-12175-899"/>
    <x v="267"/>
    <s v="37274-08534-FM"/>
    <s v="E-D-0.5"/>
    <n v="3"/>
    <s v="Selma McMillian"/>
    <s v="luttermarehm@engadget.com"/>
    <x v="0"/>
    <x v="199"/>
    <x v="1"/>
    <s v="D"/>
    <x v="1"/>
    <n v="7.29"/>
    <n v="2.4057000000000004"/>
    <n v="21.87"/>
    <x v="1"/>
    <x v="2"/>
    <x v="1"/>
  </r>
  <r>
    <s v="ELB-07929-407"/>
    <x v="204"/>
    <s v="54004-04664-AA"/>
    <s v="A-M-2.5"/>
    <n v="2"/>
    <s v="Tess Bennison"/>
    <s v="cwinchcombeho@jiathis.com"/>
    <x v="0"/>
    <x v="200"/>
    <x v="2"/>
    <s v="M"/>
    <x v="2"/>
    <n v="25.874999999999996"/>
    <n v="4.6574999999999989"/>
    <n v="51.749999999999993"/>
    <x v="2"/>
    <x v="0"/>
    <x v="0"/>
  </r>
  <r>
    <s v="UJQ-54441-340"/>
    <x v="268"/>
    <s v="26822-19510-SD"/>
    <s v="E-M-0.2"/>
    <n v="2"/>
    <s v="Gabie Tweed"/>
    <s v=""/>
    <x v="0"/>
    <x v="74"/>
    <x v="1"/>
    <s v="M"/>
    <x v="3"/>
    <n v="4.125"/>
    <n v="0.90749999999999997"/>
    <n v="8.25"/>
    <x v="1"/>
    <x v="0"/>
    <x v="0"/>
  </r>
  <r>
    <s v="UJQ-54441-340"/>
    <x v="268"/>
    <s v="26822-19510-SD"/>
    <s v="A-L-0.2"/>
    <n v="5"/>
    <s v="Gabie Tweed"/>
    <s v="jcapeyhr@bravesites.com"/>
    <x v="0"/>
    <x v="74"/>
    <x v="2"/>
    <s v="L"/>
    <x v="3"/>
    <n v="3.8849999999999998"/>
    <n v="1.7482499999999999"/>
    <n v="19.424999999999997"/>
    <x v="2"/>
    <x v="1"/>
    <x v="0"/>
  </r>
  <r>
    <s v="OWY-43108-475"/>
    <x v="269"/>
    <s v="06432-73165-ML"/>
    <s v="A-M-0.2"/>
    <n v="6"/>
    <s v="Gaile Goggin"/>
    <s v="mbaistowhu@i2i.jp"/>
    <x v="1"/>
    <x v="201"/>
    <x v="2"/>
    <s v="M"/>
    <x v="3"/>
    <n v="3.375"/>
    <n v="1.8224999999999998"/>
    <n v="20.25"/>
    <x v="2"/>
    <x v="0"/>
    <x v="0"/>
  </r>
  <r>
    <s v="GNO-91911-159"/>
    <x v="145"/>
    <s v="96503-31833-CW"/>
    <s v="L-D-0.5"/>
    <n v="3"/>
    <s v="Skylar Jeyness"/>
    <s v=""/>
    <x v="1"/>
    <x v="202"/>
    <x v="3"/>
    <s v="D"/>
    <x v="1"/>
    <n v="7.77"/>
    <n v="3.0303"/>
    <n v="23.31"/>
    <x v="3"/>
    <x v="2"/>
    <x v="1"/>
  </r>
  <r>
    <s v="CNY-06284-066"/>
    <x v="270"/>
    <s v="63985-64148-MG"/>
    <s v="E-D-0.2"/>
    <n v="5"/>
    <s v="Donica Bonhome"/>
    <s v="drallinhy@howstuffworks.com"/>
    <x v="0"/>
    <x v="203"/>
    <x v="1"/>
    <s v="D"/>
    <x v="3"/>
    <n v="3.645"/>
    <n v="2.00475"/>
    <n v="18.225000000000001"/>
    <x v="1"/>
    <x v="2"/>
    <x v="0"/>
  </r>
  <r>
    <s v="OQS-46321-904"/>
    <x v="271"/>
    <s v="19597-91185-CM"/>
    <s v="E-M-1"/>
    <n v="1"/>
    <s v="Diena Peetermann"/>
    <s v="tmathonneti0@google.co.jp"/>
    <x v="0"/>
    <x v="153"/>
    <x v="1"/>
    <s v="M"/>
    <x v="0"/>
    <n v="13.75"/>
    <n v="1.5125"/>
    <n v="13.75"/>
    <x v="1"/>
    <x v="0"/>
    <x v="1"/>
  </r>
  <r>
    <s v="IBW-87442-480"/>
    <x v="272"/>
    <s v="79814-23626-JR"/>
    <s v="A-L-2.5"/>
    <n v="1"/>
    <s v="Trina Le Sarr"/>
    <s v="cstebbingsi2@drupal.org"/>
    <x v="0"/>
    <x v="204"/>
    <x v="2"/>
    <s v="L"/>
    <x v="2"/>
    <n v="29.784999999999997"/>
    <n v="2.6806499999999995"/>
    <n v="29.784999999999997"/>
    <x v="2"/>
    <x v="1"/>
    <x v="0"/>
  </r>
  <r>
    <s v="DGZ-82537-477"/>
    <x v="252"/>
    <s v="43439-94003-DW"/>
    <s v="R-D-1"/>
    <n v="5"/>
    <s v="Flynn Antony"/>
    <s v="rzywickii4@ifeng.com"/>
    <x v="0"/>
    <x v="38"/>
    <x v="0"/>
    <s v="D"/>
    <x v="0"/>
    <n v="8.9499999999999993"/>
    <n v="2.6849999999999996"/>
    <n v="44.75"/>
    <x v="0"/>
    <x v="2"/>
    <x v="1"/>
  </r>
  <r>
    <s v="LPS-39089-432"/>
    <x v="273"/>
    <s v="97655-45555-LI"/>
    <s v="R-D-1"/>
    <n v="5"/>
    <s v="Baudoin Alldridge"/>
    <s v="mmalloyi6@seattletimes.com"/>
    <x v="0"/>
    <x v="130"/>
    <x v="0"/>
    <s v="D"/>
    <x v="0"/>
    <n v="8.9499999999999993"/>
    <n v="2.6849999999999996"/>
    <n v="44.75"/>
    <x v="0"/>
    <x v="2"/>
    <x v="0"/>
  </r>
  <r>
    <s v="MQU-86100-929"/>
    <x v="274"/>
    <s v="64418-01720-VW"/>
    <s v="L-L-0.5"/>
    <n v="4"/>
    <s v="Homer Dulany"/>
    <s v="sjennaroyi8@purevolume.com"/>
    <x v="0"/>
    <x v="87"/>
    <x v="3"/>
    <s v="L"/>
    <x v="1"/>
    <n v="9.51"/>
    <n v="4.9451999999999998"/>
    <n v="38.04"/>
    <x v="3"/>
    <x v="1"/>
    <x v="0"/>
  </r>
  <r>
    <s v="XUR-14132-391"/>
    <x v="275"/>
    <s v="96836-09258-RI"/>
    <s v="R-D-0.5"/>
    <n v="4"/>
    <s v="Lisa Goodger"/>
    <s v=""/>
    <x v="0"/>
    <x v="155"/>
    <x v="0"/>
    <s v="D"/>
    <x v="1"/>
    <n v="5.3699999999999992"/>
    <n v="1.2887999999999997"/>
    <n v="21.479999999999997"/>
    <x v="0"/>
    <x v="2"/>
    <x v="0"/>
  </r>
  <r>
    <s v="OVI-27064-381"/>
    <x v="276"/>
    <s v="37274-08534-FM"/>
    <s v="R-D-0.5"/>
    <n v="3"/>
    <s v="Selma McMillian"/>
    <s v="achillhz@epa.gov"/>
    <x v="0"/>
    <x v="199"/>
    <x v="0"/>
    <s v="D"/>
    <x v="1"/>
    <n v="5.3699999999999992"/>
    <n v="0.96659999999999979"/>
    <n v="16.11"/>
    <x v="0"/>
    <x v="2"/>
    <x v="1"/>
  </r>
  <r>
    <s v="SHP-17012-870"/>
    <x v="277"/>
    <s v="69529-07533-CV"/>
    <s v="R-M-2.5"/>
    <n v="1"/>
    <s v="Corine Drewett"/>
    <s v="smosebyie@stanford.edu"/>
    <x v="0"/>
    <x v="205"/>
    <x v="0"/>
    <s v="M"/>
    <x v="2"/>
    <n v="22.884999999999998"/>
    <n v="1.3730999999999998"/>
    <n v="22.884999999999998"/>
    <x v="0"/>
    <x v="0"/>
    <x v="0"/>
  </r>
  <r>
    <s v="FDY-03414-903"/>
    <x v="278"/>
    <s v="94840-49457-UD"/>
    <s v="A-D-0.5"/>
    <n v="3"/>
    <s v="Quinn Parsons"/>
    <s v="isjostromig@pbs.org"/>
    <x v="0"/>
    <x v="6"/>
    <x v="2"/>
    <s v="D"/>
    <x v="1"/>
    <n v="5.97"/>
    <n v="1.6118999999999999"/>
    <n v="17.91"/>
    <x v="2"/>
    <x v="2"/>
    <x v="0"/>
  </r>
  <r>
    <s v="WXT-85291-143"/>
    <x v="279"/>
    <s v="81414-81273-DK"/>
    <s v="R-M-0.5"/>
    <n v="4"/>
    <s v="Vivyan Ceely"/>
    <s v="jbranchettii@bravesites.com"/>
    <x v="0"/>
    <x v="192"/>
    <x v="0"/>
    <s v="M"/>
    <x v="1"/>
    <n v="5.97"/>
    <n v="1.4327999999999999"/>
    <n v="23.88"/>
    <x v="0"/>
    <x v="0"/>
    <x v="0"/>
  </r>
  <r>
    <s v="QNP-18893-547"/>
    <x v="280"/>
    <s v="76930-61689-CH"/>
    <s v="R-L-1"/>
    <n v="5"/>
    <s v="Elonore Goodings"/>
    <s v="jmillettik@addtoany.com"/>
    <x v="0"/>
    <x v="147"/>
    <x v="0"/>
    <s v="L"/>
    <x v="0"/>
    <n v="11.95"/>
    <n v="3.585"/>
    <n v="59.75"/>
    <x v="0"/>
    <x v="1"/>
    <x v="1"/>
  </r>
  <r>
    <s v="DOH-92927-530"/>
    <x v="281"/>
    <s v="12839-56537-TQ"/>
    <s v="L-L-0.2"/>
    <n v="6"/>
    <s v="Clement Vasiliev"/>
    <s v="cweatherallim@toplist.cz"/>
    <x v="0"/>
    <x v="132"/>
    <x v="3"/>
    <s v="L"/>
    <x v="3"/>
    <n v="4.7549999999999999"/>
    <n v="3.7088999999999999"/>
    <n v="28.53"/>
    <x v="3"/>
    <x v="1"/>
    <x v="0"/>
  </r>
  <r>
    <s v="HGJ-82768-173"/>
    <x v="282"/>
    <s v="62741-01322-HU"/>
    <s v="A-M-1"/>
    <n v="4"/>
    <s v="Terencio O'Moylan"/>
    <s v="limasonio@discuz.net"/>
    <x v="2"/>
    <x v="206"/>
    <x v="2"/>
    <s v="M"/>
    <x v="0"/>
    <n v="11.25"/>
    <n v="4.05"/>
    <n v="45"/>
    <x v="2"/>
    <x v="0"/>
    <x v="1"/>
  </r>
  <r>
    <s v="YPT-95383-088"/>
    <x v="283"/>
    <s v="43439-94003-DW"/>
    <s v="E-D-2.5"/>
    <n v="2"/>
    <s v="Flynn Antony"/>
    <s v="cwassif@prweb.com"/>
    <x v="0"/>
    <x v="38"/>
    <x v="1"/>
    <s v="D"/>
    <x v="2"/>
    <n v="27.945"/>
    <n v="6.1478999999999999"/>
    <n v="55.89"/>
    <x v="1"/>
    <x v="2"/>
    <x v="1"/>
  </r>
  <r>
    <s v="OYH-16533-767"/>
    <x v="284"/>
    <s v="44932-34838-RM"/>
    <s v="E-L-1"/>
    <n v="4"/>
    <s v="Wyatan Fetherston"/>
    <s v=""/>
    <x v="0"/>
    <x v="15"/>
    <x v="1"/>
    <s v="L"/>
    <x v="0"/>
    <n v="14.85"/>
    <n v="6.5339999999999998"/>
    <n v="59.4"/>
    <x v="1"/>
    <x v="1"/>
    <x v="1"/>
  </r>
  <r>
    <s v="DWW-28642-549"/>
    <x v="285"/>
    <s v="91181-19412-RQ"/>
    <s v="E-D-0.2"/>
    <n v="2"/>
    <s v="Emmaline Rasmus"/>
    <s v="mmiddisiu@dmoz.org"/>
    <x v="0"/>
    <x v="35"/>
    <x v="1"/>
    <s v="D"/>
    <x v="3"/>
    <n v="3.645"/>
    <n v="0.80190000000000006"/>
    <n v="7.29"/>
    <x v="1"/>
    <x v="2"/>
    <x v="0"/>
  </r>
  <r>
    <s v="CGO-79583-871"/>
    <x v="286"/>
    <s v="37182-54930-XC"/>
    <s v="E-D-0.5"/>
    <n v="1"/>
    <s v="Wesley Giorgioni"/>
    <s v="agoldieiw@goo.gl"/>
    <x v="0"/>
    <x v="204"/>
    <x v="1"/>
    <s v="D"/>
    <x v="1"/>
    <n v="7.29"/>
    <n v="0.80190000000000006"/>
    <n v="7.29"/>
    <x v="1"/>
    <x v="2"/>
    <x v="0"/>
  </r>
  <r>
    <s v="TFY-52090-386"/>
    <x v="287"/>
    <s v="08613-17327-XT"/>
    <s v="E-L-0.5"/>
    <n v="2"/>
    <s v="Lucienne Scargle"/>
    <s v="lbenediktovichiy@wunderground.com"/>
    <x v="0"/>
    <x v="207"/>
    <x v="1"/>
    <s v="L"/>
    <x v="1"/>
    <n v="8.91"/>
    <n v="1.9601999999999999"/>
    <n v="17.82"/>
    <x v="1"/>
    <x v="1"/>
    <x v="1"/>
  </r>
  <r>
    <s v="TFY-52090-386"/>
    <x v="287"/>
    <s v="08613-17327-XT"/>
    <s v="L-D-0.5"/>
    <n v="5"/>
    <s v="Lucienne Scargle"/>
    <s v="tjacobovitziz@cbc.ca"/>
    <x v="0"/>
    <x v="207"/>
    <x v="3"/>
    <s v="D"/>
    <x v="1"/>
    <n v="7.77"/>
    <n v="5.0504999999999995"/>
    <n v="38.849999999999994"/>
    <x v="3"/>
    <x v="2"/>
    <x v="1"/>
  </r>
  <r>
    <s v="NYY-73968-094"/>
    <x v="288"/>
    <s v="70451-38048-AH"/>
    <s v="R-D-0.5"/>
    <n v="6"/>
    <s v="Noam Climance"/>
    <s v="dshortallj2@wikipedia.org"/>
    <x v="0"/>
    <x v="208"/>
    <x v="0"/>
    <s v="D"/>
    <x v="1"/>
    <n v="5.3699999999999992"/>
    <n v="1.9331999999999996"/>
    <n v="32.22"/>
    <x v="0"/>
    <x v="2"/>
    <x v="1"/>
  </r>
  <r>
    <s v="QEY-71761-460"/>
    <x v="250"/>
    <s v="35442-75769-PL"/>
    <s v="R-M-1"/>
    <n v="2"/>
    <s v="Catarina Donn"/>
    <s v="kgrinstedj4@google.com.br"/>
    <x v="1"/>
    <x v="209"/>
    <x v="0"/>
    <s v="M"/>
    <x v="0"/>
    <n v="9.9499999999999993"/>
    <n v="1.194"/>
    <n v="19.899999999999999"/>
    <x v="0"/>
    <x v="0"/>
    <x v="0"/>
  </r>
  <r>
    <s v="GKQ-82603-910"/>
    <x v="289"/>
    <s v="83737-56117-JE"/>
    <s v="R-L-1"/>
    <n v="5"/>
    <s v="Ameline Snazle"/>
    <s v=""/>
    <x v="0"/>
    <x v="124"/>
    <x v="0"/>
    <s v="L"/>
    <x v="0"/>
    <n v="11.95"/>
    <n v="3.585"/>
    <n v="59.75"/>
    <x v="0"/>
    <x v="1"/>
    <x v="1"/>
  </r>
  <r>
    <s v="IOB-32673-745"/>
    <x v="290"/>
    <s v="07095-81281-NJ"/>
    <s v="A-L-0.5"/>
    <n v="3"/>
    <s v="Rebeka Worg"/>
    <s v="aweinmannj8@shinystat.com"/>
    <x v="0"/>
    <x v="68"/>
    <x v="2"/>
    <s v="L"/>
    <x v="1"/>
    <n v="7.77"/>
    <n v="2.0978999999999997"/>
    <n v="23.31"/>
    <x v="2"/>
    <x v="1"/>
    <x v="0"/>
  </r>
  <r>
    <s v="YAU-98893-150"/>
    <x v="291"/>
    <s v="77043-48851-HG"/>
    <s v="L-M-1"/>
    <n v="3"/>
    <s v="Lewes Danes"/>
    <s v="rdeaconsonja@archive.org"/>
    <x v="0"/>
    <x v="210"/>
    <x v="3"/>
    <s v="M"/>
    <x v="0"/>
    <n v="14.55"/>
    <n v="5.6745000000000001"/>
    <n v="43.650000000000006"/>
    <x v="3"/>
    <x v="0"/>
    <x v="1"/>
  </r>
  <r>
    <s v="XNM-14163-951"/>
    <x v="292"/>
    <s v="78224-60622-KH"/>
    <s v="E-L-2.5"/>
    <n v="6"/>
    <s v="Shelli Keynd"/>
    <s v="jbluckjc@imageshack.us"/>
    <x v="0"/>
    <x v="211"/>
    <x v="1"/>
    <s v="L"/>
    <x v="2"/>
    <n v="34.154999999999994"/>
    <n v="22.542299999999997"/>
    <n v="204.92999999999995"/>
    <x v="1"/>
    <x v="1"/>
    <x v="1"/>
  </r>
  <r>
    <s v="JPB-45297-000"/>
    <x v="293"/>
    <s v="83105-86631-IU"/>
    <s v="R-L-0.2"/>
    <n v="4"/>
    <s v="Dell Daveridge"/>
    <s v="jdymokeje@prnewswire.com"/>
    <x v="0"/>
    <x v="6"/>
    <x v="0"/>
    <s v="L"/>
    <x v="3"/>
    <n v="3.5849999999999995"/>
    <n v="0.86039999999999983"/>
    <n v="14.339999999999998"/>
    <x v="0"/>
    <x v="1"/>
    <x v="1"/>
  </r>
  <r>
    <s v="MOU-74341-266"/>
    <x v="294"/>
    <s v="99358-65399-TC"/>
    <s v="A-D-0.5"/>
    <n v="4"/>
    <s v="Joshuah Awdry"/>
    <s v="bguddejg@dailymotion.com"/>
    <x v="0"/>
    <x v="212"/>
    <x v="2"/>
    <s v="D"/>
    <x v="1"/>
    <n v="5.97"/>
    <n v="2.1492"/>
    <n v="23.88"/>
    <x v="2"/>
    <x v="2"/>
    <x v="1"/>
  </r>
  <r>
    <s v="DHJ-87461-571"/>
    <x v="295"/>
    <s v="94525-76037-JP"/>
    <s v="A-M-1"/>
    <n v="2"/>
    <s v="Ethel Ryles"/>
    <s v="vdunningji@independent.co.uk"/>
    <x v="0"/>
    <x v="213"/>
    <x v="2"/>
    <s v="M"/>
    <x v="0"/>
    <n v="11.25"/>
    <n v="2.0249999999999999"/>
    <n v="22.5"/>
    <x v="2"/>
    <x v="0"/>
    <x v="1"/>
  </r>
  <r>
    <s v="DKM-97676-850"/>
    <x v="296"/>
    <s v="43439-94003-DW"/>
    <s v="E-D-0.5"/>
    <n v="5"/>
    <s v="Flynn Antony"/>
    <s v="mmiddisiu@dmoz.org"/>
    <x v="0"/>
    <x v="38"/>
    <x v="1"/>
    <s v="D"/>
    <x v="1"/>
    <n v="7.29"/>
    <n v="4.0095000000000001"/>
    <n v="36.450000000000003"/>
    <x v="1"/>
    <x v="2"/>
    <x v="1"/>
  </r>
  <r>
    <s v="UEB-09112-118"/>
    <x v="297"/>
    <s v="82718-93677-XO"/>
    <s v="A-M-0.5"/>
    <n v="4"/>
    <s v="Maitilde Boxill"/>
    <s v="bfallowesjm@purevolume.com"/>
    <x v="0"/>
    <x v="124"/>
    <x v="2"/>
    <s v="M"/>
    <x v="1"/>
    <n v="6.75"/>
    <n v="2.4299999999999997"/>
    <n v="27"/>
    <x v="2"/>
    <x v="0"/>
    <x v="0"/>
  </r>
  <r>
    <s v="ORZ-67699-748"/>
    <x v="298"/>
    <s v="44708-78241-DF"/>
    <s v="A-M-2.5"/>
    <n v="6"/>
    <s v="Jodee Caldicott"/>
    <s v="sdejo@newsvine.com"/>
    <x v="0"/>
    <x v="214"/>
    <x v="2"/>
    <s v="M"/>
    <x v="2"/>
    <n v="25.874999999999996"/>
    <n v="13.972499999999997"/>
    <n v="155.24999999999997"/>
    <x v="2"/>
    <x v="0"/>
    <x v="1"/>
  </r>
  <r>
    <s v="JXP-28398-485"/>
    <x v="299"/>
    <s v="23039-93032-FN"/>
    <s v="A-D-2.5"/>
    <n v="5"/>
    <s v="Marianna Vedmore"/>
    <s v="scountjq@nba.com"/>
    <x v="0"/>
    <x v="116"/>
    <x v="2"/>
    <s v="D"/>
    <x v="2"/>
    <n v="22.884999999999998"/>
    <n v="10.298249999999998"/>
    <n v="114.42499999999998"/>
    <x v="2"/>
    <x v="2"/>
    <x v="0"/>
  </r>
  <r>
    <s v="WWH-92259-198"/>
    <x v="300"/>
    <s v="35256-12529-FT"/>
    <s v="L-D-1"/>
    <n v="4"/>
    <s v="Willey Romao"/>
    <s v=""/>
    <x v="0"/>
    <x v="155"/>
    <x v="3"/>
    <s v="D"/>
    <x v="0"/>
    <n v="12.95"/>
    <n v="6.734"/>
    <n v="51.8"/>
    <x v="3"/>
    <x v="2"/>
    <x v="0"/>
  </r>
  <r>
    <s v="FLR-82914-153"/>
    <x v="301"/>
    <s v="86100-33488-WP"/>
    <s v="A-M-2.5"/>
    <n v="6"/>
    <s v="Enriqueta Ixor"/>
    <s v="aplluju@dagondesign.com"/>
    <x v="0"/>
    <x v="215"/>
    <x v="2"/>
    <s v="M"/>
    <x v="2"/>
    <n v="25.874999999999996"/>
    <n v="13.972499999999997"/>
    <n v="155.24999999999997"/>
    <x v="2"/>
    <x v="0"/>
    <x v="1"/>
  </r>
  <r>
    <s v="AMB-93600-000"/>
    <x v="302"/>
    <s v="64435-53100-WM"/>
    <s v="A-L-2.5"/>
    <n v="1"/>
    <s v="Tomasina Cotmore"/>
    <s v="sgreedyerjw@parallels.com"/>
    <x v="0"/>
    <x v="216"/>
    <x v="2"/>
    <s v="L"/>
    <x v="2"/>
    <n v="29.784999999999997"/>
    <n v="2.6806499999999995"/>
    <n v="29.784999999999997"/>
    <x v="2"/>
    <x v="1"/>
    <x v="1"/>
  </r>
  <r>
    <s v="FEP-36895-658"/>
    <x v="303"/>
    <s v="44699-43836-UH"/>
    <s v="R-L-0.2"/>
    <n v="6"/>
    <s v="Yuma Skipsey"/>
    <s v="dheafordjy@twitpic.com"/>
    <x v="2"/>
    <x v="217"/>
    <x v="0"/>
    <s v="L"/>
    <x v="3"/>
    <n v="3.5849999999999995"/>
    <n v="1.2905999999999997"/>
    <n v="21.509999999999998"/>
    <x v="0"/>
    <x v="1"/>
    <x v="1"/>
  </r>
  <r>
    <s v="RXW-91413-276"/>
    <x v="304"/>
    <s v="29588-35679-RG"/>
    <s v="R-D-2.5"/>
    <n v="2"/>
    <s v="Nicko Corps"/>
    <s v="rcrookshanksk0@unc.edu"/>
    <x v="0"/>
    <x v="182"/>
    <x v="0"/>
    <s v="D"/>
    <x v="2"/>
    <n v="20.584999999999997"/>
    <n v="2.4701999999999997"/>
    <n v="41.169999999999995"/>
    <x v="0"/>
    <x v="2"/>
    <x v="1"/>
  </r>
  <r>
    <s v="RXW-91413-276"/>
    <x v="304"/>
    <s v="29588-35679-RG"/>
    <s v="R-M-0.5"/>
    <n v="1"/>
    <s v="Nicko Corps"/>
    <s v="nleakek1@cmu.edu"/>
    <x v="0"/>
    <x v="182"/>
    <x v="0"/>
    <s v="M"/>
    <x v="1"/>
    <n v="5.97"/>
    <n v="0.35819999999999996"/>
    <n v="5.97"/>
    <x v="0"/>
    <x v="0"/>
    <x v="1"/>
  </r>
  <r>
    <s v="SDB-77492-188"/>
    <x v="305"/>
    <s v="64815-54078-HH"/>
    <s v="E-L-1"/>
    <n v="5"/>
    <s v="Feliks Babber"/>
    <s v=""/>
    <x v="0"/>
    <x v="167"/>
    <x v="1"/>
    <s v="L"/>
    <x v="0"/>
    <n v="14.85"/>
    <n v="8.1675000000000004"/>
    <n v="74.25"/>
    <x v="1"/>
    <x v="1"/>
    <x v="0"/>
  </r>
  <r>
    <s v="RZN-65182-395"/>
    <x v="196"/>
    <s v="59572-41990-XY"/>
    <s v="L-M-1"/>
    <n v="6"/>
    <s v="Kaja Loxton"/>
    <s v=""/>
    <x v="0"/>
    <x v="218"/>
    <x v="3"/>
    <s v="M"/>
    <x v="0"/>
    <n v="14.55"/>
    <n v="11.349"/>
    <n v="87.300000000000011"/>
    <x v="3"/>
    <x v="0"/>
    <x v="1"/>
  </r>
  <r>
    <s v="HDQ-86094-507"/>
    <x v="110"/>
    <s v="32481-61533-ZJ"/>
    <s v="E-D-1"/>
    <n v="6"/>
    <s v="Parker Tofful"/>
    <s v="rhuscroftk8@jimdo.com"/>
    <x v="0"/>
    <x v="74"/>
    <x v="1"/>
    <s v="D"/>
    <x v="0"/>
    <n v="12.15"/>
    <n v="8.0190000000000001"/>
    <n v="72.900000000000006"/>
    <x v="1"/>
    <x v="2"/>
    <x v="0"/>
  </r>
  <r>
    <s v="YXO-79631-417"/>
    <x v="24"/>
    <s v="31587-92570-HL"/>
    <s v="L-D-0.5"/>
    <n v="1"/>
    <s v="Casi Gwinnett"/>
    <s v="arudramka@prnewswire.com"/>
    <x v="0"/>
    <x v="219"/>
    <x v="3"/>
    <s v="D"/>
    <x v="1"/>
    <n v="7.77"/>
    <n v="1.0101"/>
    <n v="7.77"/>
    <x v="3"/>
    <x v="2"/>
    <x v="1"/>
  </r>
  <r>
    <s v="SNF-57032-096"/>
    <x v="306"/>
    <s v="93832-04799-ID"/>
    <s v="E-D-0.5"/>
    <n v="6"/>
    <s v="Saree Ellesworth"/>
    <s v="jmahakc@cyberchimps.com"/>
    <x v="0"/>
    <x v="95"/>
    <x v="1"/>
    <s v="D"/>
    <x v="1"/>
    <n v="7.29"/>
    <n v="4.8114000000000008"/>
    <n v="43.74"/>
    <x v="1"/>
    <x v="2"/>
    <x v="1"/>
  </r>
  <r>
    <s v="DGL-29648-995"/>
    <x v="307"/>
    <s v="59367-30821-ZQ"/>
    <s v="L-M-0.2"/>
    <n v="2"/>
    <s v="Silvio Iorizzi"/>
    <s v=""/>
    <x v="0"/>
    <x v="141"/>
    <x v="3"/>
    <s v="M"/>
    <x v="3"/>
    <n v="4.3650000000000002"/>
    <n v="1.1349"/>
    <n v="8.73"/>
    <x v="3"/>
    <x v="0"/>
    <x v="0"/>
  </r>
  <r>
    <s v="GPU-65651-504"/>
    <x v="308"/>
    <s v="83947-45528-ET"/>
    <s v="E-M-2.5"/>
    <n v="2"/>
    <s v="Leesa Flaonier"/>
    <s v="jtoyekg@pinterest.com"/>
    <x v="0"/>
    <x v="142"/>
    <x v="1"/>
    <s v="M"/>
    <x v="2"/>
    <n v="31.624999999999996"/>
    <n v="6.9574999999999996"/>
    <n v="63.249999999999993"/>
    <x v="1"/>
    <x v="0"/>
    <x v="1"/>
  </r>
  <r>
    <s v="OJU-34452-896"/>
    <x v="309"/>
    <s v="60799-92593-CX"/>
    <s v="E-L-0.5"/>
    <n v="1"/>
    <s v="Abba Pummell"/>
    <s v="nvigrasski@ezinearticles.com"/>
    <x v="0"/>
    <x v="198"/>
    <x v="1"/>
    <s v="L"/>
    <x v="1"/>
    <n v="8.91"/>
    <n v="0.98009999999999997"/>
    <n v="8.91"/>
    <x v="1"/>
    <x v="1"/>
    <x v="0"/>
  </r>
  <r>
    <s v="GZS-50547-887"/>
    <x v="310"/>
    <s v="61600-55136-UM"/>
    <s v="E-D-1"/>
    <n v="2"/>
    <s v="Corinna Catcheside"/>
    <s v="kcragellkk@google.com"/>
    <x v="0"/>
    <x v="147"/>
    <x v="1"/>
    <s v="D"/>
    <x v="0"/>
    <n v="12.15"/>
    <n v="2.673"/>
    <n v="24.3"/>
    <x v="1"/>
    <x v="2"/>
    <x v="0"/>
  </r>
  <r>
    <s v="ESR-54041-053"/>
    <x v="311"/>
    <s v="59771-90302-OF"/>
    <s v="A-L-0.5"/>
    <n v="6"/>
    <s v="Cortney Gibbonson"/>
    <s v="rlidgeykm@vimeo.com"/>
    <x v="0"/>
    <x v="208"/>
    <x v="2"/>
    <s v="L"/>
    <x v="1"/>
    <n v="7.77"/>
    <n v="4.1957999999999993"/>
    <n v="46.62"/>
    <x v="2"/>
    <x v="1"/>
    <x v="0"/>
  </r>
  <r>
    <s v="OGD-10781-526"/>
    <x v="132"/>
    <s v="16880-78077-FB"/>
    <s v="R-L-0.5"/>
    <n v="6"/>
    <s v="Terri Farra"/>
    <s v=""/>
    <x v="0"/>
    <x v="220"/>
    <x v="0"/>
    <s v="L"/>
    <x v="1"/>
    <n v="7.169999999999999"/>
    <n v="2.5811999999999995"/>
    <n v="43.019999999999996"/>
    <x v="0"/>
    <x v="1"/>
    <x v="1"/>
  </r>
  <r>
    <s v="FVH-29271-315"/>
    <x v="312"/>
    <s v="74415-50873-FC"/>
    <s v="A-D-0.5"/>
    <n v="3"/>
    <s v="Corney Curme"/>
    <s v="holliffkq@sciencedirect.com"/>
    <x v="1"/>
    <x v="221"/>
    <x v="2"/>
    <s v="D"/>
    <x v="1"/>
    <n v="5.97"/>
    <n v="1.6118999999999999"/>
    <n v="17.91"/>
    <x v="2"/>
    <x v="2"/>
    <x v="0"/>
  </r>
  <r>
    <s v="BNZ-20544-633"/>
    <x v="313"/>
    <s v="31798-95707-NR"/>
    <s v="L-L-0.5"/>
    <n v="4"/>
    <s v="Gothart Bamfield"/>
    <s v="feshmadeks@umn.edu"/>
    <x v="0"/>
    <x v="222"/>
    <x v="3"/>
    <s v="L"/>
    <x v="1"/>
    <n v="9.51"/>
    <n v="4.9451999999999998"/>
    <n v="38.04"/>
    <x v="3"/>
    <x v="1"/>
    <x v="0"/>
  </r>
  <r>
    <s v="FUX-85791-078"/>
    <x v="156"/>
    <s v="59122-08794-WT"/>
    <s v="A-M-0.2"/>
    <n v="2"/>
    <s v="Waylin Hollingdale"/>
    <s v=""/>
    <x v="0"/>
    <x v="4"/>
    <x v="2"/>
    <s v="M"/>
    <x v="3"/>
    <n v="3.375"/>
    <n v="0.60749999999999993"/>
    <n v="6.75"/>
    <x v="2"/>
    <x v="0"/>
    <x v="0"/>
  </r>
  <r>
    <s v="YXP-20078-116"/>
    <x v="314"/>
    <s v="37238-52421-JJ"/>
    <s v="R-M-0.5"/>
    <n v="1"/>
    <s v="Judd De Leek"/>
    <s v="bsterkekw@biblegateway.com"/>
    <x v="0"/>
    <x v="16"/>
    <x v="0"/>
    <s v="M"/>
    <x v="1"/>
    <n v="5.97"/>
    <n v="0.35819999999999996"/>
    <n v="5.97"/>
    <x v="0"/>
    <x v="0"/>
    <x v="0"/>
  </r>
  <r>
    <s v="VQV-59984-866"/>
    <x v="315"/>
    <s v="48854-01899-FN"/>
    <s v="R-D-0.2"/>
    <n v="3"/>
    <s v="Vanya Skullet"/>
    <s v="ptraiteky@huffingtonpost.com"/>
    <x v="1"/>
    <x v="146"/>
    <x v="0"/>
    <s v="D"/>
    <x v="3"/>
    <n v="2.6849999999999996"/>
    <n v="0.4832999999999999"/>
    <n v="8.0549999999999997"/>
    <x v="0"/>
    <x v="2"/>
    <x v="1"/>
  </r>
  <r>
    <s v="JEH-37276-048"/>
    <x v="316"/>
    <s v="80896-38819-DW"/>
    <s v="A-L-0.5"/>
    <n v="3"/>
    <s v="Jany Rudeforth"/>
    <s v="fsulmanl0@washington.edu"/>
    <x v="1"/>
    <x v="223"/>
    <x v="2"/>
    <s v="L"/>
    <x v="1"/>
    <n v="7.77"/>
    <n v="2.0978999999999997"/>
    <n v="23.31"/>
    <x v="2"/>
    <x v="1"/>
    <x v="0"/>
  </r>
  <r>
    <s v="VYD-28555-589"/>
    <x v="317"/>
    <s v="29814-01459-RC"/>
    <s v="R-L-0.5"/>
    <n v="6"/>
    <s v="Ashbey Tomaszewski"/>
    <s v="lnardonil2@hao123.com"/>
    <x v="2"/>
    <x v="224"/>
    <x v="0"/>
    <s v="L"/>
    <x v="1"/>
    <n v="7.169999999999999"/>
    <n v="2.5811999999999995"/>
    <n v="43.019999999999996"/>
    <x v="0"/>
    <x v="1"/>
    <x v="0"/>
  </r>
  <r>
    <s v="WUG-76466-650"/>
    <x v="318"/>
    <s v="43439-94003-DW"/>
    <s v="L-D-0.5"/>
    <n v="3"/>
    <s v="Flynn Antony"/>
    <s v="bfallowesjm@purevolume.com"/>
    <x v="0"/>
    <x v="38"/>
    <x v="3"/>
    <s v="D"/>
    <x v="1"/>
    <n v="7.77"/>
    <n v="3.0303"/>
    <n v="23.31"/>
    <x v="3"/>
    <x v="2"/>
    <x v="1"/>
  </r>
  <r>
    <s v="RJV-08261-583"/>
    <x v="182"/>
    <s v="48497-29281-FE"/>
    <s v="A-D-0.2"/>
    <n v="5"/>
    <s v="Pren Bess"/>
    <s v="sdanilchikl6@mit.edu"/>
    <x v="0"/>
    <x v="6"/>
    <x v="2"/>
    <s v="D"/>
    <x v="3"/>
    <n v="2.9849999999999999"/>
    <n v="1.3432500000000001"/>
    <n v="14.924999999999999"/>
    <x v="2"/>
    <x v="2"/>
    <x v="0"/>
  </r>
  <r>
    <s v="PMR-56062-609"/>
    <x v="319"/>
    <s v="43605-12616-YH"/>
    <s v="E-D-0.5"/>
    <n v="3"/>
    <s v="Elka Windress"/>
    <s v="bfolomkinl8@yolasite.com"/>
    <x v="0"/>
    <x v="192"/>
    <x v="1"/>
    <s v="D"/>
    <x v="1"/>
    <n v="7.29"/>
    <n v="2.4057000000000004"/>
    <n v="21.87"/>
    <x v="1"/>
    <x v="2"/>
    <x v="1"/>
  </r>
  <r>
    <s v="XLD-12920-505"/>
    <x v="320"/>
    <s v="21907-75962-VB"/>
    <s v="E-L-0.5"/>
    <n v="6"/>
    <s v="Marty Kidstoun"/>
    <s v="rdela@usa.gov"/>
    <x v="0"/>
    <x v="225"/>
    <x v="1"/>
    <s v="L"/>
    <x v="1"/>
    <n v="8.91"/>
    <n v="5.8805999999999994"/>
    <n v="53.46"/>
    <x v="1"/>
    <x v="1"/>
    <x v="0"/>
  </r>
  <r>
    <s v="UBW-50312-037"/>
    <x v="321"/>
    <s v="69503-12127-YD"/>
    <s v="A-L-2.5"/>
    <n v="4"/>
    <s v="Nickey Dimbleby"/>
    <s v=""/>
    <x v="0"/>
    <x v="68"/>
    <x v="2"/>
    <s v="L"/>
    <x v="2"/>
    <n v="29.784999999999997"/>
    <n v="10.722599999999998"/>
    <n v="119.13999999999999"/>
    <x v="2"/>
    <x v="1"/>
    <x v="1"/>
  </r>
  <r>
    <s v="QAW-05889-019"/>
    <x v="322"/>
    <s v="68810-07329-EU"/>
    <s v="L-M-0.5"/>
    <n v="5"/>
    <s v="Virgil Baumadier"/>
    <s v="mbrimilcombele@cnn.com"/>
    <x v="0"/>
    <x v="77"/>
    <x v="3"/>
    <s v="M"/>
    <x v="1"/>
    <n v="8.73"/>
    <n v="5.6745000000000001"/>
    <n v="43.650000000000006"/>
    <x v="3"/>
    <x v="0"/>
    <x v="0"/>
  </r>
  <r>
    <s v="EPT-12715-397"/>
    <x v="128"/>
    <s v="08478-75251-OG"/>
    <s v="A-D-0.2"/>
    <n v="6"/>
    <s v="Lenore Messenbird"/>
    <s v=""/>
    <x v="0"/>
    <x v="64"/>
    <x v="2"/>
    <s v="D"/>
    <x v="3"/>
    <n v="2.9849999999999999"/>
    <n v="1.6118999999999999"/>
    <n v="17.91"/>
    <x v="2"/>
    <x v="2"/>
    <x v="0"/>
  </r>
  <r>
    <s v="DHT-93810-053"/>
    <x v="323"/>
    <s v="17005-82030-EA"/>
    <s v="E-L-1"/>
    <n v="5"/>
    <s v="Shirleen Welds"/>
    <s v=""/>
    <x v="0"/>
    <x v="226"/>
    <x v="1"/>
    <s v="L"/>
    <x v="0"/>
    <n v="14.85"/>
    <n v="8.1675000000000004"/>
    <n v="74.25"/>
    <x v="1"/>
    <x v="1"/>
    <x v="0"/>
  </r>
  <r>
    <s v="DMY-96037-963"/>
    <x v="324"/>
    <s v="42179-95059-DO"/>
    <s v="L-D-0.2"/>
    <n v="3"/>
    <s v="Maisie Sarvar"/>
    <s v="jdeehanlk@about.me"/>
    <x v="0"/>
    <x v="227"/>
    <x v="3"/>
    <s v="D"/>
    <x v="3"/>
    <n v="3.8849999999999998"/>
    <n v="1.51515"/>
    <n v="11.654999999999999"/>
    <x v="3"/>
    <x v="2"/>
    <x v="0"/>
  </r>
  <r>
    <s v="MBM-55936-917"/>
    <x v="325"/>
    <s v="55989-39849-WO"/>
    <s v="L-D-0.5"/>
    <n v="3"/>
    <s v="Andrej Havick"/>
    <s v="dmatonlm@utexas.edu"/>
    <x v="0"/>
    <x v="228"/>
    <x v="3"/>
    <s v="D"/>
    <x v="1"/>
    <n v="7.77"/>
    <n v="3.0303"/>
    <n v="23.31"/>
    <x v="3"/>
    <x v="2"/>
    <x v="0"/>
  </r>
  <r>
    <s v="TPA-93614-840"/>
    <x v="326"/>
    <s v="28932-49296-TM"/>
    <s v="E-D-0.5"/>
    <n v="2"/>
    <s v="Sloan Diviny"/>
    <s v=""/>
    <x v="0"/>
    <x v="50"/>
    <x v="1"/>
    <s v="D"/>
    <x v="1"/>
    <n v="7.29"/>
    <n v="1.6038000000000001"/>
    <n v="14.58"/>
    <x v="1"/>
    <x v="2"/>
    <x v="0"/>
  </r>
  <r>
    <s v="WDM-77521-710"/>
    <x v="327"/>
    <s v="86144-10144-CB"/>
    <s v="A-M-0.5"/>
    <n v="2"/>
    <s v="Itch Norquoy"/>
    <s v="agregorattilq@vistaprint.com"/>
    <x v="0"/>
    <x v="30"/>
    <x v="2"/>
    <s v="M"/>
    <x v="1"/>
    <n v="6.75"/>
    <n v="1.2149999999999999"/>
    <n v="13.5"/>
    <x v="2"/>
    <x v="0"/>
    <x v="1"/>
  </r>
  <r>
    <s v="EIP-19142-462"/>
    <x v="328"/>
    <s v="60973-72562-DQ"/>
    <s v="E-L-1"/>
    <n v="6"/>
    <s v="Anson Iddison"/>
    <s v="gwhiteheadls@hp.com"/>
    <x v="0"/>
    <x v="100"/>
    <x v="1"/>
    <s v="L"/>
    <x v="0"/>
    <n v="14.85"/>
    <n v="9.8010000000000002"/>
    <n v="89.1"/>
    <x v="1"/>
    <x v="1"/>
    <x v="1"/>
  </r>
  <r>
    <s v="EIP-19142-462"/>
    <x v="328"/>
    <s v="60973-72562-DQ"/>
    <s v="A-L-0.2"/>
    <n v="1"/>
    <s v="Anson Iddison"/>
    <s v="hjodrellelt@samsung.com"/>
    <x v="0"/>
    <x v="100"/>
    <x v="2"/>
    <s v="L"/>
    <x v="3"/>
    <n v="3.8849999999999998"/>
    <n v="0.34964999999999996"/>
    <n v="3.8849999999999998"/>
    <x v="2"/>
    <x v="1"/>
    <x v="1"/>
  </r>
  <r>
    <s v="ZZL-76364-387"/>
    <x v="128"/>
    <s v="11263-86515-VU"/>
    <s v="R-L-2.5"/>
    <n v="4"/>
    <s v="Randal Longfield"/>
    <s v="knottramlw@odnoklassniki.ru"/>
    <x v="0"/>
    <x v="30"/>
    <x v="0"/>
    <s v="L"/>
    <x v="2"/>
    <n v="27.484999999999996"/>
    <n v="6.5963999999999992"/>
    <n v="109.93999999999998"/>
    <x v="0"/>
    <x v="1"/>
    <x v="1"/>
  </r>
  <r>
    <s v="GMF-18638-786"/>
    <x v="329"/>
    <s v="60004-62976-NI"/>
    <s v="L-D-0.5"/>
    <n v="6"/>
    <s v="Gregorius Kislingbury"/>
    <s v="smcshealy@photobucket.com"/>
    <x v="0"/>
    <x v="41"/>
    <x v="3"/>
    <s v="D"/>
    <x v="1"/>
    <n v="7.77"/>
    <n v="6.0606"/>
    <n v="46.62"/>
    <x v="3"/>
    <x v="2"/>
    <x v="0"/>
  </r>
  <r>
    <s v="TDJ-20844-787"/>
    <x v="330"/>
    <s v="77876-28498-HI"/>
    <s v="A-L-0.5"/>
    <n v="5"/>
    <s v="Xenos Gibbons"/>
    <s v="jgippesm0@cloudflare.com"/>
    <x v="0"/>
    <x v="39"/>
    <x v="2"/>
    <s v="L"/>
    <x v="1"/>
    <n v="7.77"/>
    <n v="3.4964999999999997"/>
    <n v="38.849999999999994"/>
    <x v="2"/>
    <x v="1"/>
    <x v="1"/>
  </r>
  <r>
    <s v="BWK-39400-446"/>
    <x v="331"/>
    <s v="61302-06948-EH"/>
    <s v="L-D-0.5"/>
    <n v="4"/>
    <s v="Fleur Parres"/>
    <s v="gtrengrovem2@elpais.com"/>
    <x v="0"/>
    <x v="36"/>
    <x v="3"/>
    <s v="D"/>
    <x v="1"/>
    <n v="7.77"/>
    <n v="4.0404"/>
    <n v="31.08"/>
    <x v="3"/>
    <x v="2"/>
    <x v="0"/>
  </r>
  <r>
    <s v="LCB-02099-995"/>
    <x v="332"/>
    <s v="06757-96251-UH"/>
    <s v="A-D-0.2"/>
    <n v="6"/>
    <s v="Gran Sibray"/>
    <s v=""/>
    <x v="0"/>
    <x v="18"/>
    <x v="2"/>
    <s v="D"/>
    <x v="3"/>
    <n v="2.9849999999999999"/>
    <n v="1.6118999999999999"/>
    <n v="17.91"/>
    <x v="2"/>
    <x v="2"/>
    <x v="0"/>
  </r>
  <r>
    <s v="UBA-43678-174"/>
    <x v="333"/>
    <s v="44530-75983-OD"/>
    <s v="E-D-2.5"/>
    <n v="6"/>
    <s v="Ingelbert Hotchkin"/>
    <s v="gruggenm6@nymag.com"/>
    <x v="2"/>
    <x v="229"/>
    <x v="1"/>
    <s v="D"/>
    <x v="2"/>
    <n v="27.945"/>
    <n v="18.4437"/>
    <n v="167.67000000000002"/>
    <x v="1"/>
    <x v="2"/>
    <x v="1"/>
  </r>
  <r>
    <s v="UDH-24280-432"/>
    <x v="334"/>
    <s v="44865-58249-RY"/>
    <s v="L-L-1"/>
    <n v="4"/>
    <s v="Neely Broadberrie"/>
    <s v="mfrightm8@harvard.edu"/>
    <x v="0"/>
    <x v="41"/>
    <x v="3"/>
    <s v="L"/>
    <x v="0"/>
    <n v="15.85"/>
    <n v="8.2420000000000009"/>
    <n v="63.4"/>
    <x v="3"/>
    <x v="1"/>
    <x v="1"/>
  </r>
  <r>
    <s v="IDQ-20193-502"/>
    <x v="335"/>
    <s v="36021-61205-DF"/>
    <s v="L-M-0.2"/>
    <n v="2"/>
    <s v="Rutger Pithcock"/>
    <s v="ckrzysztofiakma@skyrock.com"/>
    <x v="0"/>
    <x v="203"/>
    <x v="3"/>
    <s v="M"/>
    <x v="3"/>
    <n v="4.3650000000000002"/>
    <n v="1.1349"/>
    <n v="8.73"/>
    <x v="3"/>
    <x v="0"/>
    <x v="0"/>
  </r>
  <r>
    <s v="DJG-14442-608"/>
    <x v="336"/>
    <s v="75716-12782-SS"/>
    <s v="R-D-1"/>
    <n v="3"/>
    <s v="Gale Croysdale"/>
    <s v=""/>
    <x v="0"/>
    <x v="27"/>
    <x v="0"/>
    <s v="D"/>
    <x v="0"/>
    <n v="8.9499999999999993"/>
    <n v="1.6109999999999998"/>
    <n v="26.849999999999998"/>
    <x v="0"/>
    <x v="2"/>
    <x v="0"/>
  </r>
  <r>
    <s v="DWB-61381-370"/>
    <x v="337"/>
    <s v="11812-00461-KH"/>
    <s v="L-L-0.2"/>
    <n v="2"/>
    <s v="Benedetto Gozzett"/>
    <s v=""/>
    <x v="0"/>
    <x v="68"/>
    <x v="3"/>
    <s v="L"/>
    <x v="3"/>
    <n v="4.7549999999999999"/>
    <n v="1.2363"/>
    <n v="9.51"/>
    <x v="3"/>
    <x v="1"/>
    <x v="1"/>
  </r>
  <r>
    <s v="FRD-17347-990"/>
    <x v="80"/>
    <s v="46681-78850-ZW"/>
    <s v="A-D-1"/>
    <n v="4"/>
    <s v="Tania Craggs"/>
    <s v="amellandmg@pen.io"/>
    <x v="1"/>
    <x v="230"/>
    <x v="2"/>
    <s v="D"/>
    <x v="0"/>
    <n v="9.9499999999999993"/>
    <n v="3.5819999999999994"/>
    <n v="39.799999999999997"/>
    <x v="2"/>
    <x v="2"/>
    <x v="1"/>
  </r>
  <r>
    <s v="YPP-27450-525"/>
    <x v="338"/>
    <s v="01932-87052-KO"/>
    <s v="E-M-0.5"/>
    <n v="3"/>
    <s v="Leonie Cullrford"/>
    <s v="abalsdonemi@toplist.cz"/>
    <x v="0"/>
    <x v="231"/>
    <x v="1"/>
    <s v="M"/>
    <x v="1"/>
    <n v="8.25"/>
    <n v="2.7225000000000001"/>
    <n v="24.75"/>
    <x v="1"/>
    <x v="0"/>
    <x v="0"/>
  </r>
  <r>
    <s v="EFC-39577-424"/>
    <x v="339"/>
    <s v="16046-34805-ZF"/>
    <s v="E-M-1"/>
    <n v="5"/>
    <s v="Auguste Rizon"/>
    <s v="mglovermk@cnbc.com"/>
    <x v="0"/>
    <x v="28"/>
    <x v="1"/>
    <s v="M"/>
    <x v="0"/>
    <n v="13.75"/>
    <n v="7.5625"/>
    <n v="68.75"/>
    <x v="1"/>
    <x v="0"/>
    <x v="0"/>
  </r>
  <r>
    <s v="LAW-80062-016"/>
    <x v="340"/>
    <s v="34546-70516-LR"/>
    <s v="E-M-0.5"/>
    <n v="6"/>
    <s v="Lorin Guerrazzi"/>
    <s v="senefermm@blog.com"/>
    <x v="1"/>
    <x v="232"/>
    <x v="1"/>
    <s v="M"/>
    <x v="1"/>
    <n v="8.25"/>
    <n v="5.4450000000000003"/>
    <n v="49.5"/>
    <x v="1"/>
    <x v="0"/>
    <x v="1"/>
  </r>
  <r>
    <s v="WKL-27981-758"/>
    <x v="177"/>
    <s v="73699-93557-FZ"/>
    <s v="A-M-2.5"/>
    <n v="2"/>
    <s v="Felice Miell"/>
    <s v="mgundrymo@omniture.com"/>
    <x v="0"/>
    <x v="233"/>
    <x v="2"/>
    <s v="M"/>
    <x v="2"/>
    <n v="25.874999999999996"/>
    <n v="4.6574999999999989"/>
    <n v="51.749999999999993"/>
    <x v="2"/>
    <x v="0"/>
    <x v="0"/>
  </r>
  <r>
    <s v="VRT-39834-265"/>
    <x v="341"/>
    <s v="86686-37462-CK"/>
    <s v="L-L-1"/>
    <n v="3"/>
    <s v="Hamish Skeech"/>
    <s v=""/>
    <x v="1"/>
    <x v="234"/>
    <x v="3"/>
    <s v="L"/>
    <x v="0"/>
    <n v="15.85"/>
    <n v="6.1815000000000007"/>
    <n v="47.55"/>
    <x v="3"/>
    <x v="1"/>
    <x v="0"/>
  </r>
  <r>
    <s v="QTC-71005-730"/>
    <x v="342"/>
    <s v="14298-02150-KH"/>
    <s v="A-L-0.2"/>
    <n v="4"/>
    <s v="Giordano Lorenzin"/>
    <s v="estentonms@google.it"/>
    <x v="0"/>
    <x v="204"/>
    <x v="2"/>
    <s v="L"/>
    <x v="3"/>
    <n v="3.8849999999999998"/>
    <n v="1.3985999999999998"/>
    <n v="15.54"/>
    <x v="2"/>
    <x v="1"/>
    <x v="1"/>
  </r>
  <r>
    <s v="TNX-09857-717"/>
    <x v="343"/>
    <s v="48675-07824-HJ"/>
    <s v="L-M-1"/>
    <n v="6"/>
    <s v="Harwilll Bishell"/>
    <s v="lmacmanusmu@imdb.com"/>
    <x v="0"/>
    <x v="235"/>
    <x v="3"/>
    <s v="M"/>
    <x v="0"/>
    <n v="14.55"/>
    <n v="11.349"/>
    <n v="87.300000000000011"/>
    <x v="3"/>
    <x v="0"/>
    <x v="0"/>
  </r>
  <r>
    <s v="JZV-43874-185"/>
    <x v="344"/>
    <s v="18551-80943-YQ"/>
    <s v="A-M-1"/>
    <n v="5"/>
    <s v="Freeland Missenden"/>
    <s v="cbournermw@chronoengine.com"/>
    <x v="0"/>
    <x v="236"/>
    <x v="2"/>
    <s v="M"/>
    <x v="0"/>
    <n v="11.25"/>
    <n v="5.0625"/>
    <n v="56.25"/>
    <x v="2"/>
    <x v="0"/>
    <x v="0"/>
  </r>
  <r>
    <s v="ICF-17486-106"/>
    <x v="47"/>
    <s v="19196-09748-DB"/>
    <s v="L-L-2.5"/>
    <n v="1"/>
    <s v="Waylan Springall"/>
    <s v="kheddanmy@icq.com"/>
    <x v="0"/>
    <x v="237"/>
    <x v="3"/>
    <s v="L"/>
    <x v="2"/>
    <n v="36.454999999999998"/>
    <n v="4.7391499999999995"/>
    <n v="36.454999999999998"/>
    <x v="3"/>
    <x v="1"/>
    <x v="0"/>
  </r>
  <r>
    <s v="BMK-49520-383"/>
    <x v="345"/>
    <s v="72233-08665-IP"/>
    <s v="R-L-0.2"/>
    <n v="3"/>
    <s v="Kiri Avramow"/>
    <s v="aroubertn0@tmall.com"/>
    <x v="0"/>
    <x v="211"/>
    <x v="0"/>
    <s v="L"/>
    <x v="3"/>
    <n v="3.5849999999999995"/>
    <n v="0.64529999999999987"/>
    <n v="10.754999999999999"/>
    <x v="0"/>
    <x v="1"/>
    <x v="0"/>
  </r>
  <r>
    <s v="HTS-15020-632"/>
    <x v="169"/>
    <s v="53817-13148-RK"/>
    <s v="R-M-0.2"/>
    <n v="3"/>
    <s v="Gregg Hawkyens"/>
    <s v="hrainforthn2@blog.com"/>
    <x v="0"/>
    <x v="235"/>
    <x v="0"/>
    <s v="M"/>
    <x v="3"/>
    <n v="2.9849999999999999"/>
    <n v="0.53729999999999989"/>
    <n v="8.9550000000000001"/>
    <x v="0"/>
    <x v="0"/>
    <x v="1"/>
  </r>
  <r>
    <s v="YLE-18247-749"/>
    <x v="346"/>
    <s v="92227-49331-QR"/>
    <s v="A-L-0.5"/>
    <n v="3"/>
    <s v="Reggis Pracy"/>
    <s v="ijespern4@theglobeandmail.com"/>
    <x v="0"/>
    <x v="4"/>
    <x v="2"/>
    <s v="L"/>
    <x v="1"/>
    <n v="7.77"/>
    <n v="2.0978999999999997"/>
    <n v="23.31"/>
    <x v="2"/>
    <x v="1"/>
    <x v="0"/>
  </r>
  <r>
    <s v="KJJ-12573-591"/>
    <x v="347"/>
    <s v="12997-41076-FQ"/>
    <s v="A-L-2.5"/>
    <n v="1"/>
    <s v="Paula Denis"/>
    <s v="nbroomern6@examiner.com"/>
    <x v="0"/>
    <x v="167"/>
    <x v="2"/>
    <s v="L"/>
    <x v="2"/>
    <n v="29.784999999999997"/>
    <n v="2.6806499999999995"/>
    <n v="29.784999999999997"/>
    <x v="2"/>
    <x v="1"/>
    <x v="0"/>
  </r>
  <r>
    <s v="RGU-43561-950"/>
    <x v="348"/>
    <s v="44220-00348-MB"/>
    <s v="A-L-2.5"/>
    <n v="5"/>
    <s v="Broderick McGilvra"/>
    <s v="fhabberghamn8@discovery.com"/>
    <x v="0"/>
    <x v="155"/>
    <x v="2"/>
    <s v="L"/>
    <x v="2"/>
    <n v="29.784999999999997"/>
    <n v="13.403249999999998"/>
    <n v="148.92499999999998"/>
    <x v="2"/>
    <x v="1"/>
    <x v="0"/>
  </r>
  <r>
    <s v="JSN-73975-443"/>
    <x v="349"/>
    <s v="93047-98331-DD"/>
    <s v="L-M-0.5"/>
    <n v="1"/>
    <s v="Annabella Danzey"/>
    <s v="ravrashinna@tamu.edu"/>
    <x v="0"/>
    <x v="195"/>
    <x v="3"/>
    <s v="M"/>
    <x v="1"/>
    <n v="8.73"/>
    <n v="1.1349"/>
    <n v="8.73"/>
    <x v="3"/>
    <x v="0"/>
    <x v="0"/>
  </r>
  <r>
    <s v="WNR-71736-993"/>
    <x v="350"/>
    <s v="16880-78077-FB"/>
    <s v="L-D-0.5"/>
    <n v="4"/>
    <s v="Terri Farra"/>
    <s v="jgippesm0@cloudflare.com"/>
    <x v="0"/>
    <x v="220"/>
    <x v="3"/>
    <s v="D"/>
    <x v="1"/>
    <n v="7.77"/>
    <n v="4.0404"/>
    <n v="31.08"/>
    <x v="3"/>
    <x v="2"/>
    <x v="1"/>
  </r>
  <r>
    <s v="WNR-71736-993"/>
    <x v="350"/>
    <s v="16880-78077-FB"/>
    <s v="A-D-2.5"/>
    <n v="6"/>
    <s v="Terri Farra"/>
    <s v="lwhittleseem1@e-recht24.de"/>
    <x v="0"/>
    <x v="220"/>
    <x v="2"/>
    <s v="D"/>
    <x v="2"/>
    <n v="22.884999999999998"/>
    <n v="12.357899999999997"/>
    <n v="137.31"/>
    <x v="2"/>
    <x v="2"/>
    <x v="1"/>
  </r>
  <r>
    <s v="HNI-91338-546"/>
    <x v="54"/>
    <s v="67285-75317-XI"/>
    <s v="A-D-0.5"/>
    <n v="5"/>
    <s v="Nevins Glowacz"/>
    <s v="agladhillng@stanford.edu"/>
    <x v="0"/>
    <x v="238"/>
    <x v="2"/>
    <s v="D"/>
    <x v="1"/>
    <n v="5.97"/>
    <n v="2.6865000000000001"/>
    <n v="29.849999999999998"/>
    <x v="2"/>
    <x v="2"/>
    <x v="1"/>
  </r>
  <r>
    <s v="CYH-53243-218"/>
    <x v="237"/>
    <s v="88167-57964-PH"/>
    <s v="R-M-0.5"/>
    <n v="3"/>
    <s v="Adelice Isabell"/>
    <s v=""/>
    <x v="0"/>
    <x v="27"/>
    <x v="0"/>
    <s v="M"/>
    <x v="1"/>
    <n v="5.97"/>
    <n v="1.0745999999999998"/>
    <n v="17.91"/>
    <x v="0"/>
    <x v="0"/>
    <x v="1"/>
  </r>
  <r>
    <s v="SVD-75407-177"/>
    <x v="351"/>
    <s v="16106-36039-QS"/>
    <s v="E-L-0.5"/>
    <n v="3"/>
    <s v="Yulma Dombrell"/>
    <s v=""/>
    <x v="0"/>
    <x v="28"/>
    <x v="1"/>
    <s v="L"/>
    <x v="1"/>
    <n v="8.91"/>
    <n v="2.9402999999999997"/>
    <n v="26.73"/>
    <x v="1"/>
    <x v="1"/>
    <x v="0"/>
  </r>
  <r>
    <s v="NVN-66443-451"/>
    <x v="352"/>
    <s v="98921-82417-GN"/>
    <s v="R-D-1"/>
    <n v="2"/>
    <s v="Alric Darth"/>
    <s v="bjevonnm@feedburner.com"/>
    <x v="0"/>
    <x v="92"/>
    <x v="0"/>
    <s v="D"/>
    <x v="0"/>
    <n v="8.9499999999999993"/>
    <n v="1.0739999999999998"/>
    <n v="17.899999999999999"/>
    <x v="0"/>
    <x v="2"/>
    <x v="1"/>
  </r>
  <r>
    <s v="JUA-13580-095"/>
    <x v="102"/>
    <s v="55265-75151-AK"/>
    <s v="R-L-0.2"/>
    <n v="4"/>
    <s v="Manuel Darrigoe"/>
    <s v="bgaishno@altervista.org"/>
    <x v="1"/>
    <x v="239"/>
    <x v="0"/>
    <s v="L"/>
    <x v="3"/>
    <n v="3.5849999999999995"/>
    <n v="0.86039999999999983"/>
    <n v="14.339999999999998"/>
    <x v="0"/>
    <x v="1"/>
    <x v="0"/>
  </r>
  <r>
    <s v="ACY-56225-839"/>
    <x v="353"/>
    <s v="47386-50743-FG"/>
    <s v="A-M-2.5"/>
    <n v="3"/>
    <s v="Kynthia Berick"/>
    <s v="smorrallnq@answers.com"/>
    <x v="0"/>
    <x v="204"/>
    <x v="2"/>
    <s v="M"/>
    <x v="2"/>
    <n v="25.874999999999996"/>
    <n v="6.9862499999999983"/>
    <n v="77.624999999999986"/>
    <x v="2"/>
    <x v="0"/>
    <x v="0"/>
  </r>
  <r>
    <s v="QBB-07903-622"/>
    <x v="354"/>
    <s v="32622-54551-UC"/>
    <s v="R-L-1"/>
    <n v="5"/>
    <s v="Minetta Ackrill"/>
    <s v="kwesselns@wikispaces.com"/>
    <x v="0"/>
    <x v="138"/>
    <x v="0"/>
    <s v="L"/>
    <x v="0"/>
    <n v="11.95"/>
    <n v="3.585"/>
    <n v="59.75"/>
    <x v="0"/>
    <x v="1"/>
    <x v="1"/>
  </r>
  <r>
    <s v="JLJ-81802-619"/>
    <x v="135"/>
    <s v="16880-78077-FB"/>
    <s v="A-L-1"/>
    <n v="6"/>
    <s v="Terri Farra"/>
    <s v="btartem9@aol.com"/>
    <x v="0"/>
    <x v="220"/>
    <x v="2"/>
    <s v="L"/>
    <x v="0"/>
    <n v="12.95"/>
    <n v="6.9930000000000003"/>
    <n v="77.699999999999989"/>
    <x v="2"/>
    <x v="1"/>
    <x v="1"/>
  </r>
  <r>
    <s v="HFT-77191-168"/>
    <x v="343"/>
    <s v="48419-02347-XP"/>
    <s v="R-D-0.2"/>
    <n v="2"/>
    <s v="Melosa Kippen"/>
    <s v=""/>
    <x v="0"/>
    <x v="240"/>
    <x v="0"/>
    <s v="D"/>
    <x v="3"/>
    <n v="2.6849999999999996"/>
    <n v="0.32219999999999993"/>
    <n v="5.3699999999999992"/>
    <x v="0"/>
    <x v="2"/>
    <x v="0"/>
  </r>
  <r>
    <s v="SZR-35951-530"/>
    <x v="89"/>
    <s v="14121-20527-OJ"/>
    <s v="E-D-2.5"/>
    <n v="3"/>
    <s v="Witty Ranson"/>
    <s v="goatsny@live.com"/>
    <x v="1"/>
    <x v="241"/>
    <x v="1"/>
    <s v="D"/>
    <x v="2"/>
    <n v="27.945"/>
    <n v="9.2218499999999999"/>
    <n v="83.835000000000008"/>
    <x v="1"/>
    <x v="2"/>
    <x v="0"/>
  </r>
  <r>
    <s v="IKL-95976-565"/>
    <x v="355"/>
    <s v="53486-73919-BQ"/>
    <s v="A-M-1"/>
    <n v="2"/>
    <s v="Rod Gowdie"/>
    <s v="rpysono0@constantcontact.com"/>
    <x v="0"/>
    <x v="166"/>
    <x v="2"/>
    <s v="M"/>
    <x v="0"/>
    <n v="11.25"/>
    <n v="2.0249999999999999"/>
    <n v="22.5"/>
    <x v="2"/>
    <x v="0"/>
    <x v="1"/>
  </r>
  <r>
    <s v="XEY-48929-474"/>
    <x v="204"/>
    <s v="21889-94615-WT"/>
    <s v="L-M-2.5"/>
    <n v="6"/>
    <s v="Lemuel Rignold"/>
    <s v="rtreachero2@usa.gov"/>
    <x v="0"/>
    <x v="155"/>
    <x v="3"/>
    <s v="M"/>
    <x v="2"/>
    <n v="33.464999999999996"/>
    <n v="26.102699999999999"/>
    <n v="200.78999999999996"/>
    <x v="3"/>
    <x v="0"/>
    <x v="0"/>
  </r>
  <r>
    <s v="SQT-07286-736"/>
    <x v="356"/>
    <s v="87726-16941-QW"/>
    <s v="A-M-1"/>
    <n v="6"/>
    <s v="Nevsa Fields"/>
    <s v="mpalleskeo4@nyu.edu"/>
    <x v="0"/>
    <x v="35"/>
    <x v="2"/>
    <s v="M"/>
    <x v="0"/>
    <n v="11.25"/>
    <n v="6.0749999999999993"/>
    <n v="67.5"/>
    <x v="2"/>
    <x v="0"/>
    <x v="1"/>
  </r>
  <r>
    <s v="QDU-45390-361"/>
    <x v="357"/>
    <s v="03677-09134-BC"/>
    <s v="E-M-0.5"/>
    <n v="1"/>
    <s v="Chance Rowthorn"/>
    <s v="fantcliffeo6@amazon.co.jp"/>
    <x v="0"/>
    <x v="210"/>
    <x v="1"/>
    <s v="M"/>
    <x v="1"/>
    <n v="8.25"/>
    <n v="0.90749999999999997"/>
    <n v="8.25"/>
    <x v="1"/>
    <x v="0"/>
    <x v="1"/>
  </r>
  <r>
    <s v="RUJ-30649-712"/>
    <x v="300"/>
    <s v="93224-71517-WV"/>
    <s v="L-L-0.2"/>
    <n v="2"/>
    <s v="Orly Ryland"/>
    <s v="cweondo8@theglobeandmail.com"/>
    <x v="0"/>
    <x v="97"/>
    <x v="3"/>
    <s v="L"/>
    <x v="3"/>
    <n v="4.7549999999999999"/>
    <n v="1.2363"/>
    <n v="9.51"/>
    <x v="3"/>
    <x v="1"/>
    <x v="0"/>
  </r>
  <r>
    <s v="WSV-49732-075"/>
    <x v="358"/>
    <s v="76263-95145-GJ"/>
    <s v="L-D-2.5"/>
    <n v="1"/>
    <s v="Willabella Abramski"/>
    <s v="jskentelberyoa@paypal.com"/>
    <x v="0"/>
    <x v="13"/>
    <x v="3"/>
    <s v="D"/>
    <x v="2"/>
    <n v="29.784999999999997"/>
    <n v="3.8720499999999998"/>
    <n v="29.784999999999997"/>
    <x v="3"/>
    <x v="2"/>
    <x v="1"/>
  </r>
  <r>
    <s v="VJF-46305-323"/>
    <x v="161"/>
    <s v="68555-89840-GZ"/>
    <s v="L-D-0.5"/>
    <n v="2"/>
    <s v="Morgen Seson"/>
    <s v="kmarrisonoq@dropbox.com"/>
    <x v="0"/>
    <x v="208"/>
    <x v="3"/>
    <s v="D"/>
    <x v="1"/>
    <n v="7.77"/>
    <n v="2.0202"/>
    <n v="15.54"/>
    <x v="3"/>
    <x v="2"/>
    <x v="1"/>
  </r>
  <r>
    <s v="CXD-74176-600"/>
    <x v="129"/>
    <s v="70624-19112-AO"/>
    <s v="E-L-0.5"/>
    <n v="4"/>
    <s v="Chickie Ragless"/>
    <s v=""/>
    <x v="1"/>
    <x v="14"/>
    <x v="1"/>
    <s v="L"/>
    <x v="1"/>
    <n v="8.91"/>
    <n v="3.9203999999999999"/>
    <n v="35.64"/>
    <x v="1"/>
    <x v="1"/>
    <x v="1"/>
  </r>
  <r>
    <s v="ADX-50674-975"/>
    <x v="359"/>
    <s v="58916-61837-QH"/>
    <s v="A-M-2.5"/>
    <n v="4"/>
    <s v="Freda Hollows"/>
    <s v="chatfullog@ebay.com"/>
    <x v="0"/>
    <x v="73"/>
    <x v="2"/>
    <s v="M"/>
    <x v="2"/>
    <n v="25.874999999999996"/>
    <n v="9.3149999999999977"/>
    <n v="103.49999999999999"/>
    <x v="2"/>
    <x v="0"/>
    <x v="0"/>
  </r>
  <r>
    <s v="RRP-51647-420"/>
    <x v="360"/>
    <s v="89292-52335-YZ"/>
    <s v="E-D-1"/>
    <n v="3"/>
    <s v="Livy Lathleiff"/>
    <s v="cswatmanoi@cbslocal.com"/>
    <x v="1"/>
    <x v="180"/>
    <x v="1"/>
    <s v="D"/>
    <x v="0"/>
    <n v="12.15"/>
    <n v="4.0095000000000001"/>
    <n v="36.450000000000003"/>
    <x v="1"/>
    <x v="2"/>
    <x v="0"/>
  </r>
  <r>
    <s v="PKJ-99134-523"/>
    <x v="361"/>
    <s v="77284-34297-YY"/>
    <s v="R-L-0.5"/>
    <n v="5"/>
    <s v="Koralle Heads"/>
    <s v="dkiddyok@fda.gov"/>
    <x v="0"/>
    <x v="242"/>
    <x v="0"/>
    <s v="L"/>
    <x v="1"/>
    <n v="7.169999999999999"/>
    <n v="2.1509999999999998"/>
    <n v="35.849999999999994"/>
    <x v="0"/>
    <x v="1"/>
    <x v="1"/>
  </r>
  <r>
    <s v="FZQ-29439-457"/>
    <x v="362"/>
    <s v="50449-80974-BZ"/>
    <s v="E-L-0.2"/>
    <n v="5"/>
    <s v="Theo Bowne"/>
    <s v="mschollom@taobao.com"/>
    <x v="1"/>
    <x v="243"/>
    <x v="1"/>
    <s v="L"/>
    <x v="3"/>
    <n v="4.4550000000000001"/>
    <n v="2.45025"/>
    <n v="22.274999999999999"/>
    <x v="1"/>
    <x v="1"/>
    <x v="0"/>
  </r>
  <r>
    <s v="USN-68115-161"/>
    <x v="363"/>
    <s v="08120-16183-AW"/>
    <s v="E-M-0.2"/>
    <n v="6"/>
    <s v="Rasia Jacquemard"/>
    <s v="bkellowayoo@omniture.com"/>
    <x v="1"/>
    <x v="244"/>
    <x v="1"/>
    <s v="M"/>
    <x v="3"/>
    <n v="4.125"/>
    <n v="2.7225000000000001"/>
    <n v="24.75"/>
    <x v="1"/>
    <x v="0"/>
    <x v="1"/>
  </r>
  <r>
    <s v="IXU-20263-532"/>
    <x v="364"/>
    <s v="68044-89277-ML"/>
    <s v="L-M-2.5"/>
    <n v="2"/>
    <s v="Kizzie Warman"/>
    <s v="kmarrisonoq@dropbox.com"/>
    <x v="1"/>
    <x v="201"/>
    <x v="3"/>
    <s v="M"/>
    <x v="2"/>
    <n v="33.464999999999996"/>
    <n v="8.700899999999999"/>
    <n v="66.929999999999993"/>
    <x v="3"/>
    <x v="0"/>
    <x v="0"/>
  </r>
  <r>
    <s v="CBT-15092-420"/>
    <x v="85"/>
    <s v="71364-35210-HS"/>
    <s v="L-M-0.5"/>
    <n v="1"/>
    <s v="Wain Cholomin"/>
    <s v="pvasilenkoos@addtoany.com"/>
    <x v="2"/>
    <x v="38"/>
    <x v="3"/>
    <s v="M"/>
    <x v="1"/>
    <n v="8.73"/>
    <n v="1.1349"/>
    <n v="8.73"/>
    <x v="3"/>
    <x v="0"/>
    <x v="0"/>
  </r>
  <r>
    <s v="PKQ-46841-696"/>
    <x v="365"/>
    <s v="37177-68797-ON"/>
    <s v="R-M-0.5"/>
    <n v="3"/>
    <s v="Arleen Braidman"/>
    <s v=""/>
    <x v="0"/>
    <x v="167"/>
    <x v="0"/>
    <s v="M"/>
    <x v="1"/>
    <n v="5.97"/>
    <n v="1.0745999999999998"/>
    <n v="17.91"/>
    <x v="0"/>
    <x v="0"/>
    <x v="1"/>
  </r>
  <r>
    <s v="XDU-05471-219"/>
    <x v="366"/>
    <s v="60308-06944-GS"/>
    <s v="R-L-0.5"/>
    <n v="1"/>
    <s v="Pru Durban"/>
    <s v="bcargenow@geocities.jp"/>
    <x v="1"/>
    <x v="245"/>
    <x v="0"/>
    <s v="L"/>
    <x v="1"/>
    <n v="7.169999999999999"/>
    <n v="0.43019999999999992"/>
    <n v="7.169999999999999"/>
    <x v="0"/>
    <x v="1"/>
    <x v="1"/>
  </r>
  <r>
    <s v="NID-20149-329"/>
    <x v="367"/>
    <s v="49888-39458-PF"/>
    <s v="R-D-0.2"/>
    <n v="2"/>
    <s v="Antone Harrold"/>
    <s v=""/>
    <x v="0"/>
    <x v="45"/>
    <x v="0"/>
    <s v="D"/>
    <x v="3"/>
    <n v="2.6849999999999996"/>
    <n v="0.32219999999999993"/>
    <n v="5.3699999999999992"/>
    <x v="0"/>
    <x v="2"/>
    <x v="1"/>
  </r>
  <r>
    <s v="SVU-27222-213"/>
    <x v="142"/>
    <s v="60748-46813-DZ"/>
    <s v="L-L-0.2"/>
    <n v="5"/>
    <s v="Sim Pamphilon"/>
    <s v=""/>
    <x v="1"/>
    <x v="246"/>
    <x v="3"/>
    <s v="L"/>
    <x v="3"/>
    <n v="4.7549999999999999"/>
    <n v="3.0907499999999999"/>
    <n v="23.774999999999999"/>
    <x v="3"/>
    <x v="1"/>
    <x v="1"/>
  </r>
  <r>
    <s v="RWI-84131-848"/>
    <x v="368"/>
    <s v="16385-11286-NX"/>
    <s v="R-D-2.5"/>
    <n v="2"/>
    <s v="Mohandis Spurden"/>
    <s v="hrannerp2@omniture.com"/>
    <x v="0"/>
    <x v="63"/>
    <x v="0"/>
    <s v="D"/>
    <x v="2"/>
    <n v="20.584999999999997"/>
    <n v="2.4701999999999997"/>
    <n v="41.169999999999995"/>
    <x v="0"/>
    <x v="2"/>
    <x v="0"/>
  </r>
  <r>
    <s v="GUU-40666-525"/>
    <x v="31"/>
    <s v="68555-89840-GZ"/>
    <s v="A-L-0.2"/>
    <n v="3"/>
    <s v="Morgen Seson"/>
    <s v="dsopperp4@eventbrite.com"/>
    <x v="0"/>
    <x v="208"/>
    <x v="2"/>
    <s v="L"/>
    <x v="3"/>
    <n v="3.8849999999999998"/>
    <n v="1.0489499999999998"/>
    <n v="11.654999999999999"/>
    <x v="2"/>
    <x v="1"/>
    <x v="1"/>
  </r>
  <r>
    <s v="SCN-51395-066"/>
    <x v="369"/>
    <s v="72164-90254-EJ"/>
    <s v="L-L-0.5"/>
    <n v="4"/>
    <s v="Nalani Pirrone"/>
    <s v="lledgleyp6@de.vu"/>
    <x v="0"/>
    <x v="156"/>
    <x v="3"/>
    <s v="L"/>
    <x v="1"/>
    <n v="9.51"/>
    <n v="4.9451999999999998"/>
    <n v="38.04"/>
    <x v="3"/>
    <x v="1"/>
    <x v="1"/>
  </r>
  <r>
    <s v="ULA-24644-321"/>
    <x v="370"/>
    <s v="67010-92988-CT"/>
    <s v="R-D-2.5"/>
    <n v="4"/>
    <s v="Reube Cawley"/>
    <s v="gciccottip8@so-net.ne.jp"/>
    <x v="1"/>
    <x v="247"/>
    <x v="0"/>
    <s v="D"/>
    <x v="2"/>
    <n v="20.584999999999997"/>
    <n v="4.9403999999999995"/>
    <n v="82.339999999999989"/>
    <x v="0"/>
    <x v="2"/>
    <x v="0"/>
  </r>
  <r>
    <s v="EOL-92666-762"/>
    <x v="371"/>
    <s v="15776-91507-GT"/>
    <s v="L-L-0.2"/>
    <n v="2"/>
    <s v="Stan Barribal"/>
    <s v="wjallinpa@pcworld.com"/>
    <x v="1"/>
    <x v="248"/>
    <x v="3"/>
    <s v="L"/>
    <x v="3"/>
    <n v="4.7549999999999999"/>
    <n v="1.2363"/>
    <n v="9.51"/>
    <x v="3"/>
    <x v="1"/>
    <x v="0"/>
  </r>
  <r>
    <s v="AJV-18231-334"/>
    <x v="372"/>
    <s v="23473-41001-CD"/>
    <s v="R-D-2.5"/>
    <n v="2"/>
    <s v="Agnes Adamides"/>
    <s v=""/>
    <x v="2"/>
    <x v="60"/>
    <x v="0"/>
    <s v="D"/>
    <x v="2"/>
    <n v="20.584999999999997"/>
    <n v="2.4701999999999997"/>
    <n v="41.169999999999995"/>
    <x v="0"/>
    <x v="2"/>
    <x v="1"/>
  </r>
  <r>
    <s v="ZQI-47236-301"/>
    <x v="373"/>
    <s v="23446-47798-ID"/>
    <s v="L-L-0.5"/>
    <n v="5"/>
    <s v="Carmelita Thowes"/>
    <s v="alewrype@whitehouse.gov"/>
    <x v="0"/>
    <x v="36"/>
    <x v="3"/>
    <s v="L"/>
    <x v="1"/>
    <n v="9.51"/>
    <n v="6.1814999999999998"/>
    <n v="47.55"/>
    <x v="3"/>
    <x v="1"/>
    <x v="1"/>
  </r>
  <r>
    <s v="ZCR-15721-658"/>
    <x v="374"/>
    <s v="28327-84469-ND"/>
    <s v="A-M-1"/>
    <n v="4"/>
    <s v="Rodolfo Willoway"/>
    <s v=""/>
    <x v="0"/>
    <x v="31"/>
    <x v="2"/>
    <s v="M"/>
    <x v="0"/>
    <n v="11.25"/>
    <n v="4.05"/>
    <n v="45"/>
    <x v="2"/>
    <x v="0"/>
    <x v="1"/>
  </r>
  <r>
    <s v="QEW-47945-682"/>
    <x v="319"/>
    <s v="42466-87067-DT"/>
    <s v="L-L-0.2"/>
    <n v="5"/>
    <s v="Alvis Elwin"/>
    <s v="otocquepi@abc.net.au"/>
    <x v="0"/>
    <x v="30"/>
    <x v="3"/>
    <s v="L"/>
    <x v="3"/>
    <n v="4.7549999999999999"/>
    <n v="3.0907499999999999"/>
    <n v="23.774999999999999"/>
    <x v="3"/>
    <x v="1"/>
    <x v="1"/>
  </r>
  <r>
    <s v="PSY-45485-542"/>
    <x v="375"/>
    <s v="62246-99443-HF"/>
    <s v="R-D-0.5"/>
    <n v="3"/>
    <s v="Araldo Bilbrook"/>
    <s v="hreuvenpk@whitehouse.gov"/>
    <x v="1"/>
    <x v="249"/>
    <x v="0"/>
    <s v="D"/>
    <x v="1"/>
    <n v="5.3699999999999992"/>
    <n v="0.96659999999999979"/>
    <n v="16.11"/>
    <x v="0"/>
    <x v="2"/>
    <x v="0"/>
  </r>
  <r>
    <s v="BAQ-74241-156"/>
    <x v="376"/>
    <s v="99869-55718-UU"/>
    <s v="R-D-0.2"/>
    <n v="4"/>
    <s v="Ransell McKall"/>
    <s v=""/>
    <x v="2"/>
    <x v="250"/>
    <x v="0"/>
    <s v="D"/>
    <x v="3"/>
    <n v="2.6849999999999996"/>
    <n v="0.64439999999999986"/>
    <n v="10.739999999999998"/>
    <x v="0"/>
    <x v="2"/>
    <x v="0"/>
  </r>
  <r>
    <s v="BVU-77367-451"/>
    <x v="377"/>
    <s v="77421-46059-RY"/>
    <s v="A-D-1"/>
    <n v="5"/>
    <s v="Borg Daile"/>
    <s v="cmaccourtpo@amazon.com"/>
    <x v="0"/>
    <x v="161"/>
    <x v="2"/>
    <s v="D"/>
    <x v="0"/>
    <n v="9.9499999999999993"/>
    <n v="4.4774999999999991"/>
    <n v="49.75"/>
    <x v="2"/>
    <x v="2"/>
    <x v="0"/>
  </r>
  <r>
    <s v="TJE-91516-344"/>
    <x v="378"/>
    <s v="49894-06550-OQ"/>
    <s v="E-M-1"/>
    <n v="2"/>
    <s v="Adolphe Treherne"/>
    <s v="ewilsonepq@eepurl.com"/>
    <x v="1"/>
    <x v="251"/>
    <x v="1"/>
    <s v="M"/>
    <x v="0"/>
    <n v="13.75"/>
    <n v="3.0249999999999999"/>
    <n v="27.5"/>
    <x v="1"/>
    <x v="0"/>
    <x v="1"/>
  </r>
  <r>
    <s v="LIS-96202-702"/>
    <x v="277"/>
    <s v="72028-63343-SU"/>
    <s v="L-D-2.5"/>
    <n v="4"/>
    <s v="Annetta Brentnall"/>
    <s v="mmatiasekps@ucoz.ru"/>
    <x v="2"/>
    <x v="252"/>
    <x v="3"/>
    <s v="D"/>
    <x v="2"/>
    <n v="29.784999999999997"/>
    <n v="15.488199999999999"/>
    <n v="119.13999999999999"/>
    <x v="3"/>
    <x v="2"/>
    <x v="1"/>
  </r>
  <r>
    <s v="VIO-27668-766"/>
    <x v="379"/>
    <s v="10074-20104-NN"/>
    <s v="R-D-2.5"/>
    <n v="1"/>
    <s v="Dick Drinkall"/>
    <s v="kphilbrickpu@cdc.gov"/>
    <x v="0"/>
    <x v="203"/>
    <x v="0"/>
    <s v="D"/>
    <x v="2"/>
    <n v="20.584999999999997"/>
    <n v="1.2350999999999999"/>
    <n v="20.584999999999997"/>
    <x v="0"/>
    <x v="2"/>
    <x v="0"/>
  </r>
  <r>
    <s v="ZVG-20473-043"/>
    <x v="86"/>
    <s v="71769-10219-IM"/>
    <s v="A-D-0.2"/>
    <n v="3"/>
    <s v="Dagny Kornel"/>
    <s v="bsillispw@istockphoto.com"/>
    <x v="0"/>
    <x v="253"/>
    <x v="2"/>
    <s v="D"/>
    <x v="3"/>
    <n v="2.9849999999999999"/>
    <n v="0.80594999999999994"/>
    <n v="8.9550000000000001"/>
    <x v="2"/>
    <x v="2"/>
    <x v="0"/>
  </r>
  <r>
    <s v="KGZ-56395-231"/>
    <x v="380"/>
    <s v="22221-71106-JD"/>
    <s v="A-D-0.5"/>
    <n v="1"/>
    <s v="Rhona Lequeux"/>
    <s v="rcuttspy@techcrunch.com"/>
    <x v="0"/>
    <x v="254"/>
    <x v="2"/>
    <s v="D"/>
    <x v="1"/>
    <n v="5.97"/>
    <n v="0.5373"/>
    <n v="5.97"/>
    <x v="2"/>
    <x v="2"/>
    <x v="1"/>
  </r>
  <r>
    <s v="CUU-92244-729"/>
    <x v="381"/>
    <s v="99735-44927-OL"/>
    <s v="E-M-1"/>
    <n v="3"/>
    <s v="Julius Mccaull"/>
    <s v="dgrittonq0@nydailynews.com"/>
    <x v="0"/>
    <x v="255"/>
    <x v="1"/>
    <s v="M"/>
    <x v="0"/>
    <n v="13.75"/>
    <n v="4.5374999999999996"/>
    <n v="41.25"/>
    <x v="1"/>
    <x v="0"/>
    <x v="0"/>
  </r>
  <r>
    <s v="EHE-94714-312"/>
    <x v="382"/>
    <s v="27132-68907-RC"/>
    <s v="E-L-0.2"/>
    <n v="5"/>
    <s v="Ailey Brash"/>
    <s v="rfaltinqb@topsy.com"/>
    <x v="0"/>
    <x v="256"/>
    <x v="1"/>
    <s v="L"/>
    <x v="3"/>
    <n v="4.4550000000000001"/>
    <n v="2.45025"/>
    <n v="22.274999999999999"/>
    <x v="1"/>
    <x v="1"/>
    <x v="0"/>
  </r>
  <r>
    <s v="RTL-16205-161"/>
    <x v="11"/>
    <s v="90440-62727-HI"/>
    <s v="A-M-0.5"/>
    <n v="1"/>
    <s v="Alberto Hutchinson"/>
    <s v="gsiudaq4@nytimes.com"/>
    <x v="0"/>
    <x v="227"/>
    <x v="2"/>
    <s v="M"/>
    <x v="1"/>
    <n v="6.75"/>
    <n v="0.60749999999999993"/>
    <n v="6.75"/>
    <x v="2"/>
    <x v="0"/>
    <x v="0"/>
  </r>
  <r>
    <s v="GTS-22482-014"/>
    <x v="167"/>
    <s v="36769-16558-SX"/>
    <s v="L-M-2.5"/>
    <n v="4"/>
    <s v="Lamond Gheeraert"/>
    <s v="vpawseyq6@tiny.cc"/>
    <x v="0"/>
    <x v="210"/>
    <x v="3"/>
    <s v="M"/>
    <x v="2"/>
    <n v="33.464999999999996"/>
    <n v="17.401799999999998"/>
    <n v="133.85999999999999"/>
    <x v="3"/>
    <x v="0"/>
    <x v="0"/>
  </r>
  <r>
    <s v="DYG-25473-881"/>
    <x v="383"/>
    <s v="10138-31681-SD"/>
    <s v="A-D-0.2"/>
    <n v="2"/>
    <s v="Roxine Drivers"/>
    <s v="fhaughianq8@1688.com"/>
    <x v="0"/>
    <x v="153"/>
    <x v="2"/>
    <s v="D"/>
    <x v="3"/>
    <n v="2.9849999999999999"/>
    <n v="0.5373"/>
    <n v="5.97"/>
    <x v="2"/>
    <x v="2"/>
    <x v="1"/>
  </r>
  <r>
    <s v="HTR-21838-286"/>
    <x v="18"/>
    <s v="24669-76297-SF"/>
    <s v="A-L-1"/>
    <n v="2"/>
    <s v="Heloise Zeal"/>
    <s v=""/>
    <x v="0"/>
    <x v="208"/>
    <x v="2"/>
    <s v="L"/>
    <x v="0"/>
    <n v="12.95"/>
    <n v="2.331"/>
    <n v="25.9"/>
    <x v="2"/>
    <x v="1"/>
    <x v="1"/>
  </r>
  <r>
    <s v="KYG-28296-920"/>
    <x v="84"/>
    <s v="78050-20355-DI"/>
    <s v="E-M-2.5"/>
    <n v="1"/>
    <s v="Granger Smallcombe"/>
    <s v="gcheekeqc@sitemeter.com"/>
    <x v="1"/>
    <x v="165"/>
    <x v="1"/>
    <s v="M"/>
    <x v="2"/>
    <n v="31.624999999999996"/>
    <n v="3.4787499999999998"/>
    <n v="31.624999999999996"/>
    <x v="1"/>
    <x v="0"/>
    <x v="0"/>
  </r>
  <r>
    <s v="NNB-20459-430"/>
    <x v="384"/>
    <s v="79825-17822-UH"/>
    <s v="L-M-0.2"/>
    <n v="2"/>
    <s v="Daryn Dibley"/>
    <s v=""/>
    <x v="0"/>
    <x v="257"/>
    <x v="3"/>
    <s v="M"/>
    <x v="3"/>
    <n v="4.3650000000000002"/>
    <n v="1.1349"/>
    <n v="8.73"/>
    <x v="3"/>
    <x v="0"/>
    <x v="1"/>
  </r>
  <r>
    <s v="FEK-14025-351"/>
    <x v="385"/>
    <s v="03990-21586-MQ"/>
    <s v="E-L-0.2"/>
    <n v="6"/>
    <s v="Gardy Dimitriou"/>
    <s v="jdrengqg@uiuc.edu"/>
    <x v="0"/>
    <x v="36"/>
    <x v="1"/>
    <s v="L"/>
    <x v="3"/>
    <n v="4.4550000000000001"/>
    <n v="2.9402999999999997"/>
    <n v="26.73"/>
    <x v="1"/>
    <x v="1"/>
    <x v="0"/>
  </r>
  <r>
    <s v="AWH-16980-469"/>
    <x v="386"/>
    <s v="27493-46921-TZ"/>
    <s v="L-M-0.2"/>
    <n v="6"/>
    <s v="Fanny Flanagan"/>
    <s v="clampelqi@jimdo.com"/>
    <x v="0"/>
    <x v="211"/>
    <x v="3"/>
    <s v="M"/>
    <x v="3"/>
    <n v="4.3650000000000002"/>
    <n v="3.4047000000000001"/>
    <n v="26.19"/>
    <x v="3"/>
    <x v="0"/>
    <x v="1"/>
  </r>
  <r>
    <s v="ZPW-31329-741"/>
    <x v="387"/>
    <s v="27132-68907-RC"/>
    <s v="R-D-1"/>
    <n v="6"/>
    <s v="Ailey Brash"/>
    <s v="edearmanqk@redcross.org"/>
    <x v="0"/>
    <x v="256"/>
    <x v="0"/>
    <s v="D"/>
    <x v="0"/>
    <n v="8.9499999999999993"/>
    <n v="3.2219999999999995"/>
    <n v="53.699999999999996"/>
    <x v="0"/>
    <x v="2"/>
    <x v="0"/>
  </r>
  <r>
    <s v="ZPW-31329-741"/>
    <x v="387"/>
    <s v="27132-68907-RC"/>
    <s v="E-M-2.5"/>
    <n v="4"/>
    <s v="Ailey Brash"/>
    <s v="dlenardql@bizjournals.com"/>
    <x v="0"/>
    <x v="256"/>
    <x v="1"/>
    <s v="M"/>
    <x v="2"/>
    <n v="31.624999999999996"/>
    <n v="13.914999999999999"/>
    <n v="126.49999999999999"/>
    <x v="1"/>
    <x v="0"/>
    <x v="0"/>
  </r>
  <r>
    <s v="ZPW-31329-741"/>
    <x v="387"/>
    <s v="27132-68907-RC"/>
    <s v="E-M-0.2"/>
    <n v="1"/>
    <s v="Ailey Brash"/>
    <s v="ltoffanoqm@tripadvisor.com"/>
    <x v="0"/>
    <x v="256"/>
    <x v="1"/>
    <s v="M"/>
    <x v="3"/>
    <n v="4.125"/>
    <n v="0.45374999999999999"/>
    <n v="4.125"/>
    <x v="1"/>
    <x v="0"/>
    <x v="0"/>
  </r>
  <r>
    <s v="UBI-83843-396"/>
    <x v="388"/>
    <s v="58816-74064-TF"/>
    <s v="R-L-1"/>
    <n v="2"/>
    <s v="Nanny Izhakov"/>
    <s v="mrocksqq@exblog.jp"/>
    <x v="2"/>
    <x v="258"/>
    <x v="0"/>
    <s v="L"/>
    <x v="0"/>
    <n v="11.95"/>
    <n v="1.4339999999999999"/>
    <n v="23.9"/>
    <x v="0"/>
    <x v="1"/>
    <x v="1"/>
  </r>
  <r>
    <s v="VID-40587-569"/>
    <x v="389"/>
    <s v="09818-59895-EH"/>
    <s v="E-D-2.5"/>
    <n v="5"/>
    <s v="Stanly Keets"/>
    <s v="cgoodrumqs@goodreads.com"/>
    <x v="0"/>
    <x v="117"/>
    <x v="1"/>
    <s v="D"/>
    <x v="2"/>
    <n v="27.945"/>
    <n v="15.36975"/>
    <n v="139.72499999999999"/>
    <x v="1"/>
    <x v="2"/>
    <x v="0"/>
  </r>
  <r>
    <s v="KBB-52530-416"/>
    <x v="229"/>
    <s v="06488-46303-IZ"/>
    <s v="L-D-2.5"/>
    <n v="2"/>
    <s v="Orion Dyott"/>
    <s v="bwardellqu@adobe.com"/>
    <x v="0"/>
    <x v="147"/>
    <x v="3"/>
    <s v="D"/>
    <x v="2"/>
    <n v="29.784999999999997"/>
    <n v="7.7440999999999995"/>
    <n v="59.569999999999993"/>
    <x v="3"/>
    <x v="2"/>
    <x v="0"/>
  </r>
  <r>
    <s v="ISJ-48676-420"/>
    <x v="390"/>
    <s v="93046-67561-AY"/>
    <s v="L-L-0.5"/>
    <n v="6"/>
    <s v="Keefer Cake"/>
    <s v="wleopoldqw@blogspot.com"/>
    <x v="0"/>
    <x v="7"/>
    <x v="3"/>
    <s v="L"/>
    <x v="1"/>
    <n v="9.51"/>
    <n v="7.4177999999999997"/>
    <n v="57.06"/>
    <x v="3"/>
    <x v="1"/>
    <x v="1"/>
  </r>
  <r>
    <s v="MIF-17920-768"/>
    <x v="391"/>
    <s v="68946-40750-LK"/>
    <s v="R-L-0.2"/>
    <n v="6"/>
    <s v="Morna Hansed"/>
    <s v=""/>
    <x v="1"/>
    <x v="259"/>
    <x v="0"/>
    <s v="L"/>
    <x v="3"/>
    <n v="3.5849999999999995"/>
    <n v="1.2905999999999997"/>
    <n v="21.509999999999998"/>
    <x v="0"/>
    <x v="1"/>
    <x v="0"/>
  </r>
  <r>
    <s v="CPX-19312-088"/>
    <x v="117"/>
    <s v="38387-64959-WW"/>
    <s v="L-M-0.5"/>
    <n v="6"/>
    <s v="Franny Kienlein"/>
    <s v=""/>
    <x v="1"/>
    <x v="260"/>
    <x v="3"/>
    <s v="M"/>
    <x v="1"/>
    <n v="8.73"/>
    <n v="6.8094000000000001"/>
    <n v="52.38"/>
    <x v="3"/>
    <x v="0"/>
    <x v="0"/>
  </r>
  <r>
    <s v="RXI-67978-260"/>
    <x v="392"/>
    <s v="48418-60841-CC"/>
    <s v="E-D-1"/>
    <n v="6"/>
    <s v="Klarika Egglestone"/>
    <s v="sroseboroughr2@virginia.edu"/>
    <x v="1"/>
    <x v="260"/>
    <x v="1"/>
    <s v="D"/>
    <x v="0"/>
    <n v="12.15"/>
    <n v="8.0190000000000001"/>
    <n v="72.900000000000006"/>
    <x v="1"/>
    <x v="2"/>
    <x v="1"/>
  </r>
  <r>
    <s v="LKE-14821-285"/>
    <x v="393"/>
    <s v="13736-92418-JS"/>
    <s v="R-M-0.2"/>
    <n v="5"/>
    <s v="Becky Semkins"/>
    <s v="kcantor4@gmpg.org"/>
    <x v="1"/>
    <x v="261"/>
    <x v="0"/>
    <s v="M"/>
    <x v="3"/>
    <n v="2.9849999999999999"/>
    <n v="0.89549999999999996"/>
    <n v="14.924999999999999"/>
    <x v="0"/>
    <x v="0"/>
    <x v="0"/>
  </r>
  <r>
    <s v="LRK-97117-150"/>
    <x v="394"/>
    <s v="33000-22405-LO"/>
    <s v="L-L-1"/>
    <n v="6"/>
    <s v="Sean Lorenzetti"/>
    <s v="dgooderridger6@lycos.com"/>
    <x v="0"/>
    <x v="87"/>
    <x v="3"/>
    <s v="L"/>
    <x v="0"/>
    <n v="15.85"/>
    <n v="12.363000000000001"/>
    <n v="95.1"/>
    <x v="3"/>
    <x v="1"/>
    <x v="1"/>
  </r>
  <r>
    <s v="IGK-51227-573"/>
    <x v="137"/>
    <s v="46959-60474-LT"/>
    <s v="L-D-0.5"/>
    <n v="2"/>
    <s v="Bob Giannazzi"/>
    <s v=""/>
    <x v="0"/>
    <x v="42"/>
    <x v="3"/>
    <s v="D"/>
    <x v="1"/>
    <n v="7.77"/>
    <n v="2.0202"/>
    <n v="15.54"/>
    <x v="3"/>
    <x v="2"/>
    <x v="1"/>
  </r>
  <r>
    <s v="ZAY-43009-775"/>
    <x v="395"/>
    <s v="73431-39823-UP"/>
    <s v="L-D-0.2"/>
    <n v="6"/>
    <s v="Kendra Backshell"/>
    <s v="kkemeryra@t.co"/>
    <x v="0"/>
    <x v="207"/>
    <x v="3"/>
    <s v="D"/>
    <x v="3"/>
    <n v="3.8849999999999998"/>
    <n v="3.0303"/>
    <n v="23.31"/>
    <x v="3"/>
    <x v="2"/>
    <x v="1"/>
  </r>
  <r>
    <s v="EMA-63190-618"/>
    <x v="396"/>
    <s v="90993-98984-JK"/>
    <s v="E-M-0.2"/>
    <n v="1"/>
    <s v="Uriah Lethbrig"/>
    <s v="rcheakrc@tripadvisor.com"/>
    <x v="0"/>
    <x v="166"/>
    <x v="1"/>
    <s v="M"/>
    <x v="3"/>
    <n v="4.125"/>
    <n v="0.45374999999999999"/>
    <n v="4.125"/>
    <x v="1"/>
    <x v="0"/>
    <x v="0"/>
  </r>
  <r>
    <s v="FBI-35855-418"/>
    <x v="189"/>
    <s v="06552-04430-AG"/>
    <s v="R-M-0.5"/>
    <n v="6"/>
    <s v="Sky Farnish"/>
    <s v="cayrere@symantec.com"/>
    <x v="2"/>
    <x v="194"/>
    <x v="0"/>
    <s v="M"/>
    <x v="1"/>
    <n v="5.97"/>
    <n v="2.1491999999999996"/>
    <n v="35.82"/>
    <x v="0"/>
    <x v="0"/>
    <x v="1"/>
  </r>
  <r>
    <s v="TXB-80533-417"/>
    <x v="8"/>
    <s v="54597-57004-QM"/>
    <s v="L-L-1"/>
    <n v="2"/>
    <s v="Felicia Jecock"/>
    <s v=""/>
    <x v="0"/>
    <x v="163"/>
    <x v="3"/>
    <s v="L"/>
    <x v="0"/>
    <n v="15.85"/>
    <n v="4.1210000000000004"/>
    <n v="31.7"/>
    <x v="3"/>
    <x v="1"/>
    <x v="1"/>
  </r>
  <r>
    <s v="MBM-00112-248"/>
    <x v="397"/>
    <s v="50238-24377-ZS"/>
    <s v="L-L-1"/>
    <n v="5"/>
    <s v="Currey MacAllister"/>
    <s v="dscrigmourri@cnbc.com"/>
    <x v="0"/>
    <x v="189"/>
    <x v="3"/>
    <s v="L"/>
    <x v="0"/>
    <n v="15.85"/>
    <n v="10.302500000000002"/>
    <n v="79.25"/>
    <x v="3"/>
    <x v="1"/>
    <x v="0"/>
  </r>
  <r>
    <s v="EUO-69145-988"/>
    <x v="398"/>
    <s v="60370-41934-IF"/>
    <s v="E-D-0.2"/>
    <n v="3"/>
    <s v="Hamlen Pallister"/>
    <s v=""/>
    <x v="0"/>
    <x v="48"/>
    <x v="1"/>
    <s v="D"/>
    <x v="3"/>
    <n v="3.645"/>
    <n v="1.2028500000000002"/>
    <n v="10.935"/>
    <x v="1"/>
    <x v="2"/>
    <x v="1"/>
  </r>
  <r>
    <s v="GYA-80327-368"/>
    <x v="399"/>
    <s v="06899-54551-EH"/>
    <s v="A-D-1"/>
    <n v="4"/>
    <s v="Chantal Mersh"/>
    <s v=""/>
    <x v="1"/>
    <x v="262"/>
    <x v="2"/>
    <s v="D"/>
    <x v="0"/>
    <n v="9.9499999999999993"/>
    <n v="3.5819999999999994"/>
    <n v="39.799999999999997"/>
    <x v="2"/>
    <x v="2"/>
    <x v="1"/>
  </r>
  <r>
    <s v="TNW-41601-420"/>
    <x v="400"/>
    <s v="66458-91190-YC"/>
    <s v="R-M-1"/>
    <n v="5"/>
    <s v="Marja Urion"/>
    <s v=""/>
    <x v="1"/>
    <x v="263"/>
    <x v="0"/>
    <s v="M"/>
    <x v="0"/>
    <n v="9.9499999999999993"/>
    <n v="2.9849999999999999"/>
    <n v="49.75"/>
    <x v="0"/>
    <x v="0"/>
    <x v="0"/>
  </r>
  <r>
    <s v="ALR-62963-723"/>
    <x v="401"/>
    <s v="80463-43913-WZ"/>
    <s v="R-D-0.2"/>
    <n v="3"/>
    <s v="Malynda Purbrick"/>
    <s v="njennyrq@bigcartel.com"/>
    <x v="1"/>
    <x v="146"/>
    <x v="0"/>
    <s v="D"/>
    <x v="3"/>
    <n v="2.6849999999999996"/>
    <n v="0.4832999999999999"/>
    <n v="8.0549999999999997"/>
    <x v="0"/>
    <x v="2"/>
    <x v="0"/>
  </r>
  <r>
    <s v="JIG-27636-870"/>
    <x v="402"/>
    <s v="67204-04870-LG"/>
    <s v="R-L-1"/>
    <n v="4"/>
    <s v="Alf Housaman"/>
    <s v=""/>
    <x v="0"/>
    <x v="16"/>
    <x v="0"/>
    <s v="L"/>
    <x v="0"/>
    <n v="11.95"/>
    <n v="2.8679999999999999"/>
    <n v="47.8"/>
    <x v="0"/>
    <x v="1"/>
    <x v="1"/>
  </r>
  <r>
    <s v="CTE-31437-326"/>
    <x v="6"/>
    <s v="22721-63196-UJ"/>
    <s v="R-M-0.2"/>
    <n v="4"/>
    <s v="Gladi Ducker"/>
    <s v=""/>
    <x v="2"/>
    <x v="197"/>
    <x v="0"/>
    <s v="M"/>
    <x v="3"/>
    <n v="2.9849999999999999"/>
    <n v="0.71639999999999993"/>
    <n v="11.94"/>
    <x v="0"/>
    <x v="0"/>
    <x v="1"/>
  </r>
  <r>
    <s v="CTE-31437-326"/>
    <x v="6"/>
    <s v="22721-63196-UJ"/>
    <s v="E-M-0.2"/>
    <n v="4"/>
    <s v="Gladi Ducker"/>
    <s v=""/>
    <x v="2"/>
    <x v="197"/>
    <x v="1"/>
    <s v="M"/>
    <x v="3"/>
    <n v="4.125"/>
    <n v="1.8149999999999999"/>
    <n v="16.5"/>
    <x v="1"/>
    <x v="0"/>
    <x v="1"/>
  </r>
  <r>
    <s v="CTE-31437-326"/>
    <x v="6"/>
    <s v="22721-63196-UJ"/>
    <s v="L-D-1"/>
    <n v="4"/>
    <s v="Gladi Ducker"/>
    <s v=""/>
    <x v="2"/>
    <x v="197"/>
    <x v="3"/>
    <s v="D"/>
    <x v="0"/>
    <n v="12.95"/>
    <n v="6.734"/>
    <n v="51.8"/>
    <x v="3"/>
    <x v="2"/>
    <x v="1"/>
  </r>
  <r>
    <s v="CTE-31437-326"/>
    <x v="6"/>
    <s v="22721-63196-UJ"/>
    <s v="L-L-0.2"/>
    <n v="3"/>
    <s v="Gladi Ducker"/>
    <s v=""/>
    <x v="2"/>
    <x v="197"/>
    <x v="3"/>
    <s v="L"/>
    <x v="3"/>
    <n v="4.7549999999999999"/>
    <n v="1.8544499999999999"/>
    <n v="14.265000000000001"/>
    <x v="3"/>
    <x v="1"/>
    <x v="1"/>
  </r>
  <r>
    <s v="SLD-63003-334"/>
    <x v="403"/>
    <s v="55515-37571-RS"/>
    <s v="L-M-0.2"/>
    <n v="6"/>
    <s v="Wain Stearley"/>
    <s v=""/>
    <x v="0"/>
    <x v="264"/>
    <x v="3"/>
    <s v="M"/>
    <x v="3"/>
    <n v="4.3650000000000002"/>
    <n v="3.4047000000000001"/>
    <n v="26.19"/>
    <x v="3"/>
    <x v="0"/>
    <x v="1"/>
  </r>
  <r>
    <s v="BXN-64230-789"/>
    <x v="404"/>
    <s v="25598-77476-CB"/>
    <s v="A-L-1"/>
    <n v="2"/>
    <s v="Diane-marie Wincer"/>
    <s v=""/>
    <x v="0"/>
    <x v="87"/>
    <x v="2"/>
    <s v="L"/>
    <x v="0"/>
    <n v="12.95"/>
    <n v="2.331"/>
    <n v="25.9"/>
    <x v="2"/>
    <x v="1"/>
    <x v="0"/>
  </r>
  <r>
    <s v="XEE-37895-169"/>
    <x v="21"/>
    <s v="14888-85625-TM"/>
    <s v="A-L-2.5"/>
    <n v="3"/>
    <s v="Perry Lyfield"/>
    <s v=""/>
    <x v="0"/>
    <x v="265"/>
    <x v="2"/>
    <s v="L"/>
    <x v="2"/>
    <n v="29.784999999999997"/>
    <n v="8.0419499999999982"/>
    <n v="89.35499999999999"/>
    <x v="2"/>
    <x v="1"/>
    <x v="0"/>
  </r>
  <r>
    <s v="ZTX-80764-911"/>
    <x v="239"/>
    <s v="92793-68332-NR"/>
    <s v="L-D-0.5"/>
    <n v="6"/>
    <s v="Heall Perris"/>
    <s v=""/>
    <x v="1"/>
    <x v="266"/>
    <x v="3"/>
    <s v="D"/>
    <x v="1"/>
    <n v="7.77"/>
    <n v="6.0606"/>
    <n v="46.62"/>
    <x v="3"/>
    <x v="2"/>
    <x v="1"/>
  </r>
  <r>
    <s v="WVT-88135-549"/>
    <x v="405"/>
    <s v="66458-91190-YC"/>
    <s v="A-D-1"/>
    <n v="3"/>
    <s v="Marja Urion"/>
    <s v=""/>
    <x v="1"/>
    <x v="263"/>
    <x v="2"/>
    <s v="D"/>
    <x v="0"/>
    <n v="9.9499999999999993"/>
    <n v="2.6864999999999997"/>
    <n v="29.849999999999998"/>
    <x v="2"/>
    <x v="2"/>
    <x v="0"/>
  </r>
  <r>
    <s v="IPA-94170-889"/>
    <x v="292"/>
    <s v="64439-27325-LG"/>
    <s v="R-L-0.2"/>
    <n v="3"/>
    <s v="Camellia Kid"/>
    <s v=""/>
    <x v="1"/>
    <x v="230"/>
    <x v="0"/>
    <s v="L"/>
    <x v="3"/>
    <n v="3.5849999999999995"/>
    <n v="0.64529999999999987"/>
    <n v="10.754999999999999"/>
    <x v="0"/>
    <x v="1"/>
    <x v="0"/>
  </r>
  <r>
    <s v="YQL-63755-365"/>
    <x v="117"/>
    <s v="78570-76770-LB"/>
    <s v="A-M-0.2"/>
    <n v="4"/>
    <s v="Carolann Beine"/>
    <s v=""/>
    <x v="0"/>
    <x v="38"/>
    <x v="2"/>
    <s v="M"/>
    <x v="3"/>
    <n v="3.375"/>
    <n v="1.2149999999999999"/>
    <n v="13.5"/>
    <x v="2"/>
    <x v="0"/>
    <x v="0"/>
  </r>
  <r>
    <s v="RKW-81145-984"/>
    <x v="406"/>
    <s v="98661-69719-VI"/>
    <s v="L-L-1"/>
    <n v="3"/>
    <s v="Celia Bakeup"/>
    <s v=""/>
    <x v="0"/>
    <x v="267"/>
    <x v="3"/>
    <s v="L"/>
    <x v="0"/>
    <n v="15.85"/>
    <n v="6.1815000000000007"/>
    <n v="47.55"/>
    <x v="3"/>
    <x v="1"/>
    <x v="1"/>
  </r>
  <r>
    <s v="MBT-23379-866"/>
    <x v="407"/>
    <s v="82990-92703-IX"/>
    <s v="L-L-1"/>
    <n v="5"/>
    <s v="Nataniel Helkin"/>
    <s v=""/>
    <x v="0"/>
    <x v="11"/>
    <x v="3"/>
    <s v="L"/>
    <x v="0"/>
    <n v="15.85"/>
    <n v="10.302500000000002"/>
    <n v="79.25"/>
    <x v="3"/>
    <x v="1"/>
    <x v="1"/>
  </r>
  <r>
    <s v="GEJ-39834-935"/>
    <x v="408"/>
    <s v="49412-86877-VY"/>
    <s v="L-M-0.2"/>
    <n v="6"/>
    <s v="Pippo Witherington"/>
    <s v=""/>
    <x v="0"/>
    <x v="135"/>
    <x v="3"/>
    <s v="M"/>
    <x v="3"/>
    <n v="4.3650000000000002"/>
    <n v="3.4047000000000001"/>
    <n v="26.19"/>
    <x v="3"/>
    <x v="0"/>
    <x v="0"/>
  </r>
  <r>
    <s v="KRW-91640-596"/>
    <x v="409"/>
    <s v="70879-00984-FJ"/>
    <s v="R-L-0.5"/>
    <n v="3"/>
    <s v="Tildie Tilzey"/>
    <s v=""/>
    <x v="0"/>
    <x v="10"/>
    <x v="0"/>
    <s v="L"/>
    <x v="1"/>
    <n v="7.169999999999999"/>
    <n v="1.2905999999999997"/>
    <n v="21.509999999999998"/>
    <x v="0"/>
    <x v="1"/>
    <x v="1"/>
  </r>
  <r>
    <s v="AOT-70449-651"/>
    <x v="410"/>
    <s v="53414-73391-CR"/>
    <s v="R-D-2.5"/>
    <n v="5"/>
    <s v="Cindra Burling"/>
    <s v=""/>
    <x v="0"/>
    <x v="268"/>
    <x v="0"/>
    <s v="D"/>
    <x v="2"/>
    <n v="20.584999999999997"/>
    <n v="6.1754999999999995"/>
    <n v="102.92499999999998"/>
    <x v="0"/>
    <x v="2"/>
    <x v="0"/>
  </r>
  <r>
    <s v="DGC-21813-731"/>
    <x v="127"/>
    <s v="43606-83072-OA"/>
    <s v="L-D-0.2"/>
    <n v="2"/>
    <s v="Channa Belamy"/>
    <s v=""/>
    <x v="0"/>
    <x v="269"/>
    <x v="3"/>
    <s v="D"/>
    <x v="3"/>
    <n v="3.8849999999999998"/>
    <n v="1.0101"/>
    <n v="7.77"/>
    <x v="3"/>
    <x v="2"/>
    <x v="1"/>
  </r>
  <r>
    <s v="JBE-92943-643"/>
    <x v="411"/>
    <s v="84466-22864-CE"/>
    <s v="E-D-2.5"/>
    <n v="5"/>
    <s v="Karl Imorts"/>
    <s v=""/>
    <x v="0"/>
    <x v="270"/>
    <x v="1"/>
    <s v="D"/>
    <x v="2"/>
    <n v="27.945"/>
    <n v="15.36975"/>
    <n v="139.72499999999999"/>
    <x v="1"/>
    <x v="2"/>
    <x v="1"/>
  </r>
  <r>
    <s v="ZIL-34948-499"/>
    <x v="112"/>
    <s v="66458-91190-YC"/>
    <s v="A-D-0.5"/>
    <n v="2"/>
    <s v="Marja Urion"/>
    <s v=""/>
    <x v="1"/>
    <x v="263"/>
    <x v="2"/>
    <s v="D"/>
    <x v="1"/>
    <n v="5.97"/>
    <n v="1.0746"/>
    <n v="11.94"/>
    <x v="2"/>
    <x v="2"/>
    <x v="0"/>
  </r>
  <r>
    <s v="JSU-23781-256"/>
    <x v="412"/>
    <s v="76499-89100-JQ"/>
    <s v="L-D-0.2"/>
    <n v="1"/>
    <s v="Mag Armistead"/>
    <s v=""/>
    <x v="0"/>
    <x v="32"/>
    <x v="3"/>
    <s v="D"/>
    <x v="3"/>
    <n v="3.8849999999999998"/>
    <n v="0.50505"/>
    <n v="3.8849999999999998"/>
    <x v="3"/>
    <x v="2"/>
    <x v="1"/>
  </r>
  <r>
    <s v="JSU-23781-256"/>
    <x v="412"/>
    <s v="76499-89100-JQ"/>
    <s v="R-M-1"/>
    <n v="4"/>
    <s v="Mag Armistead"/>
    <s v=""/>
    <x v="0"/>
    <x v="32"/>
    <x v="0"/>
    <s v="M"/>
    <x v="0"/>
    <n v="9.9499999999999993"/>
    <n v="2.3879999999999999"/>
    <n v="39.799999999999997"/>
    <x v="0"/>
    <x v="0"/>
    <x v="1"/>
  </r>
  <r>
    <s v="VPX-44956-367"/>
    <x v="413"/>
    <s v="39582-35773-ZJ"/>
    <s v="R-M-0.5"/>
    <n v="5"/>
    <s v="Vasili Upstone"/>
    <s v=""/>
    <x v="0"/>
    <x v="210"/>
    <x v="0"/>
    <s v="M"/>
    <x v="1"/>
    <n v="5.97"/>
    <n v="1.7909999999999999"/>
    <n v="29.849999999999998"/>
    <x v="0"/>
    <x v="0"/>
    <x v="1"/>
  </r>
  <r>
    <s v="VTB-46451-959"/>
    <x v="414"/>
    <s v="66240-46962-IO"/>
    <s v="L-D-2.5"/>
    <n v="1"/>
    <s v="Berty Beelby"/>
    <s v=""/>
    <x v="1"/>
    <x v="271"/>
    <x v="3"/>
    <s v="D"/>
    <x v="2"/>
    <n v="29.784999999999997"/>
    <n v="3.8720499999999998"/>
    <n v="29.784999999999997"/>
    <x v="3"/>
    <x v="2"/>
    <x v="1"/>
  </r>
  <r>
    <s v="DNZ-11665-950"/>
    <x v="415"/>
    <s v="10637-45522-ID"/>
    <s v="L-L-2.5"/>
    <n v="2"/>
    <s v="Erny Stenyng"/>
    <s v=""/>
    <x v="0"/>
    <x v="64"/>
    <x v="3"/>
    <s v="L"/>
    <x v="2"/>
    <n v="36.454999999999998"/>
    <n v="9.4782999999999991"/>
    <n v="72.91"/>
    <x v="3"/>
    <x v="1"/>
    <x v="1"/>
  </r>
  <r>
    <s v="ITR-54735-364"/>
    <x v="416"/>
    <s v="92599-58687-CS"/>
    <s v="R-D-0.2"/>
    <n v="5"/>
    <s v="Edin Yantsurev"/>
    <s v=""/>
    <x v="0"/>
    <x v="272"/>
    <x v="0"/>
    <s v="D"/>
    <x v="3"/>
    <n v="2.6849999999999996"/>
    <n v="0.80549999999999988"/>
    <n v="13.424999999999997"/>
    <x v="0"/>
    <x v="2"/>
    <x v="0"/>
  </r>
  <r>
    <s v="YDS-02797-307"/>
    <x v="417"/>
    <s v="06058-48844-PI"/>
    <s v="E-M-2.5"/>
    <n v="4"/>
    <s v="Webb Speechly"/>
    <s v=""/>
    <x v="0"/>
    <x v="208"/>
    <x v="1"/>
    <s v="M"/>
    <x v="2"/>
    <n v="31.624999999999996"/>
    <n v="13.914999999999999"/>
    <n v="126.49999999999999"/>
    <x v="1"/>
    <x v="0"/>
    <x v="0"/>
  </r>
  <r>
    <s v="BPG-68988-842"/>
    <x v="418"/>
    <s v="53631-24432-SY"/>
    <s v="E-M-0.5"/>
    <n v="5"/>
    <s v="Irvine Phillpot"/>
    <s v=""/>
    <x v="2"/>
    <x v="52"/>
    <x v="1"/>
    <s v="M"/>
    <x v="1"/>
    <n v="8.25"/>
    <n v="4.5374999999999996"/>
    <n v="41.25"/>
    <x v="1"/>
    <x v="0"/>
    <x v="1"/>
  </r>
  <r>
    <s v="XZG-51938-658"/>
    <x v="419"/>
    <s v="18275-73980-KL"/>
    <s v="E-L-0.5"/>
    <n v="6"/>
    <s v="Lem Pennacci"/>
    <s v=""/>
    <x v="0"/>
    <x v="273"/>
    <x v="1"/>
    <s v="L"/>
    <x v="1"/>
    <n v="8.91"/>
    <n v="5.8805999999999994"/>
    <n v="53.46"/>
    <x v="1"/>
    <x v="1"/>
    <x v="1"/>
  </r>
  <r>
    <s v="KAR-24978-271"/>
    <x v="420"/>
    <s v="23187-65750-HZ"/>
    <s v="R-M-1"/>
    <n v="6"/>
    <s v="Starr Arpin"/>
    <s v=""/>
    <x v="0"/>
    <x v="8"/>
    <x v="0"/>
    <s v="M"/>
    <x v="0"/>
    <n v="9.9499999999999993"/>
    <n v="3.5819999999999999"/>
    <n v="59.699999999999996"/>
    <x v="0"/>
    <x v="0"/>
    <x v="1"/>
  </r>
  <r>
    <s v="FQK-28730-361"/>
    <x v="421"/>
    <s v="22725-79522-GP"/>
    <s v="R-M-1"/>
    <n v="6"/>
    <s v="Donny Fries"/>
    <s v=""/>
    <x v="0"/>
    <x v="45"/>
    <x v="0"/>
    <s v="M"/>
    <x v="0"/>
    <n v="9.9499999999999993"/>
    <n v="3.5819999999999999"/>
    <n v="59.699999999999996"/>
    <x v="0"/>
    <x v="0"/>
    <x v="1"/>
  </r>
  <r>
    <s v="BGB-67996-089"/>
    <x v="422"/>
    <s v="06279-72603-JE"/>
    <s v="R-D-1"/>
    <n v="5"/>
    <s v="Rana Sharer"/>
    <s v=""/>
    <x v="0"/>
    <x v="90"/>
    <x v="0"/>
    <s v="D"/>
    <x v="0"/>
    <n v="8.9499999999999993"/>
    <n v="2.6849999999999996"/>
    <n v="44.75"/>
    <x v="0"/>
    <x v="2"/>
    <x v="1"/>
  </r>
  <r>
    <s v="XMC-20620-809"/>
    <x v="423"/>
    <s v="83543-79246-ON"/>
    <s v="E-M-0.5"/>
    <n v="2"/>
    <s v="Nannie Naseby"/>
    <s v=""/>
    <x v="0"/>
    <x v="274"/>
    <x v="1"/>
    <s v="M"/>
    <x v="1"/>
    <n v="8.25"/>
    <n v="1.8149999999999999"/>
    <n v="16.5"/>
    <x v="1"/>
    <x v="0"/>
    <x v="0"/>
  </r>
  <r>
    <s v="ZSO-58292-191"/>
    <x v="109"/>
    <s v="66794-66795-VW"/>
    <s v="R-D-0.5"/>
    <n v="4"/>
    <s v="Rea Offell"/>
    <s v=""/>
    <x v="0"/>
    <x v="68"/>
    <x v="0"/>
    <s v="D"/>
    <x v="1"/>
    <n v="5.3699999999999992"/>
    <n v="1.2887999999999997"/>
    <n v="21.479999999999997"/>
    <x v="0"/>
    <x v="2"/>
    <x v="1"/>
  </r>
  <r>
    <s v="LWJ-06793-303"/>
    <x v="204"/>
    <s v="95424-67020-AP"/>
    <s v="R-M-2.5"/>
    <n v="2"/>
    <s v="Kris O'Cullen"/>
    <s v=""/>
    <x v="1"/>
    <x v="72"/>
    <x v="0"/>
    <s v="M"/>
    <x v="2"/>
    <n v="22.884999999999998"/>
    <n v="2.7461999999999995"/>
    <n v="45.769999999999996"/>
    <x v="0"/>
    <x v="0"/>
    <x v="0"/>
  </r>
  <r>
    <s v="FLM-82229-989"/>
    <x v="424"/>
    <s v="73017-69644-MS"/>
    <s v="L-L-0.2"/>
    <n v="2"/>
    <s v="Timoteo Glisane"/>
    <s v=""/>
    <x v="1"/>
    <x v="104"/>
    <x v="3"/>
    <s v="L"/>
    <x v="3"/>
    <n v="4.7549999999999999"/>
    <n v="1.2363"/>
    <n v="9.51"/>
    <x v="3"/>
    <x v="1"/>
    <x v="1"/>
  </r>
  <r>
    <s v="CPV-90280-133"/>
    <x v="13"/>
    <s v="66458-91190-YC"/>
    <s v="R-D-0.2"/>
    <n v="3"/>
    <s v="Marja Urion"/>
    <s v=""/>
    <x v="1"/>
    <x v="263"/>
    <x v="0"/>
    <s v="D"/>
    <x v="3"/>
    <n v="2.6849999999999996"/>
    <n v="0.4832999999999999"/>
    <n v="8.0549999999999997"/>
    <x v="0"/>
    <x v="2"/>
    <x v="0"/>
  </r>
  <r>
    <s v="OGW-60685-912"/>
    <x v="224"/>
    <s v="67423-10113-LM"/>
    <s v="E-D-2.5"/>
    <n v="4"/>
    <s v="Hildegarde Brangan"/>
    <s v=""/>
    <x v="0"/>
    <x v="98"/>
    <x v="1"/>
    <s v="D"/>
    <x v="2"/>
    <n v="27.945"/>
    <n v="12.2958"/>
    <n v="111.78"/>
    <x v="1"/>
    <x v="2"/>
    <x v="0"/>
  </r>
  <r>
    <s v="DEC-11160-362"/>
    <x v="220"/>
    <s v="48582-05061-RY"/>
    <s v="R-D-0.2"/>
    <n v="4"/>
    <s v="Amii Gallyon"/>
    <s v=""/>
    <x v="0"/>
    <x v="275"/>
    <x v="0"/>
    <s v="D"/>
    <x v="3"/>
    <n v="2.6849999999999996"/>
    <n v="0.64439999999999986"/>
    <n v="10.739999999999998"/>
    <x v="0"/>
    <x v="2"/>
    <x v="0"/>
  </r>
  <r>
    <s v="WCT-07869-499"/>
    <x v="91"/>
    <s v="32031-49093-KE"/>
    <s v="R-D-0.5"/>
    <n v="5"/>
    <s v="Birgit Domange"/>
    <s v=""/>
    <x v="0"/>
    <x v="27"/>
    <x v="0"/>
    <s v="D"/>
    <x v="1"/>
    <n v="5.3699999999999992"/>
    <n v="1.6109999999999998"/>
    <n v="26.849999999999994"/>
    <x v="0"/>
    <x v="2"/>
    <x v="1"/>
  </r>
  <r>
    <s v="FHD-89872-325"/>
    <x v="425"/>
    <s v="31715-98714-OO"/>
    <s v="L-L-1"/>
    <n v="4"/>
    <s v="Killian Osler"/>
    <s v=""/>
    <x v="0"/>
    <x v="133"/>
    <x v="3"/>
    <s v="L"/>
    <x v="0"/>
    <n v="15.85"/>
    <n v="8.2420000000000009"/>
    <n v="63.4"/>
    <x v="3"/>
    <x v="1"/>
    <x v="0"/>
  </r>
  <r>
    <s v="AZF-45991-584"/>
    <x v="426"/>
    <s v="73759-17258-KA"/>
    <s v="A-D-2.5"/>
    <n v="1"/>
    <s v="Lora Dukes"/>
    <s v=""/>
    <x v="1"/>
    <x v="276"/>
    <x v="2"/>
    <s v="D"/>
    <x v="2"/>
    <n v="22.884999999999998"/>
    <n v="2.0596499999999995"/>
    <n v="22.884999999999998"/>
    <x v="2"/>
    <x v="2"/>
    <x v="0"/>
  </r>
  <r>
    <s v="MDG-14481-513"/>
    <x v="427"/>
    <s v="64897-79178-MH"/>
    <s v="A-M-2.5"/>
    <n v="4"/>
    <s v="Zack Pellett"/>
    <s v=""/>
    <x v="0"/>
    <x v="212"/>
    <x v="2"/>
    <s v="M"/>
    <x v="2"/>
    <n v="25.874999999999996"/>
    <n v="9.3149999999999977"/>
    <n v="103.49999999999999"/>
    <x v="2"/>
    <x v="0"/>
    <x v="1"/>
  </r>
  <r>
    <s v="OFN-49424-848"/>
    <x v="428"/>
    <s v="73346-85564-JB"/>
    <s v="R-L-2.5"/>
    <n v="2"/>
    <s v="Ilaire Sprakes"/>
    <s v=""/>
    <x v="0"/>
    <x v="7"/>
    <x v="0"/>
    <s v="L"/>
    <x v="2"/>
    <n v="27.484999999999996"/>
    <n v="3.2981999999999996"/>
    <n v="54.969999999999992"/>
    <x v="0"/>
    <x v="1"/>
    <x v="1"/>
  </r>
  <r>
    <s v="NFA-03411-746"/>
    <x v="383"/>
    <s v="07476-13102-NJ"/>
    <s v="A-L-0.5"/>
    <n v="2"/>
    <s v="Heda Fromant"/>
    <s v=""/>
    <x v="0"/>
    <x v="11"/>
    <x v="2"/>
    <s v="L"/>
    <x v="1"/>
    <n v="7.77"/>
    <n v="1.3985999999999998"/>
    <n v="15.54"/>
    <x v="2"/>
    <x v="1"/>
    <x v="1"/>
  </r>
  <r>
    <s v="CYM-74988-450"/>
    <x v="156"/>
    <s v="87223-37422-SK"/>
    <s v="L-D-0.2"/>
    <n v="4"/>
    <s v="Rufus Flear"/>
    <s v=""/>
    <x v="2"/>
    <x v="172"/>
    <x v="3"/>
    <s v="D"/>
    <x v="3"/>
    <n v="3.8849999999999998"/>
    <n v="2.0202"/>
    <n v="15.54"/>
    <x v="3"/>
    <x v="2"/>
    <x v="1"/>
  </r>
  <r>
    <s v="WTV-24996-658"/>
    <x v="429"/>
    <s v="57837-15577-YK"/>
    <s v="E-D-2.5"/>
    <n v="3"/>
    <s v="Dom Milella"/>
    <s v=""/>
    <x v="1"/>
    <x v="277"/>
    <x v="1"/>
    <s v="D"/>
    <x v="2"/>
    <n v="27.945"/>
    <n v="9.2218499999999999"/>
    <n v="83.835000000000008"/>
    <x v="1"/>
    <x v="2"/>
    <x v="1"/>
  </r>
  <r>
    <s v="DSL-69915-544"/>
    <x v="103"/>
    <s v="10142-55267-YO"/>
    <s v="R-L-0.2"/>
    <n v="3"/>
    <s v="Wilek Lightollers"/>
    <s v=""/>
    <x v="0"/>
    <x v="15"/>
    <x v="0"/>
    <s v="L"/>
    <x v="3"/>
    <n v="3.5849999999999995"/>
    <n v="0.64529999999999987"/>
    <n v="10.754999999999999"/>
    <x v="0"/>
    <x v="1"/>
    <x v="0"/>
  </r>
  <r>
    <s v="NBT-35757-542"/>
    <x v="361"/>
    <s v="73647-66148-VM"/>
    <s v="E-L-0.2"/>
    <n v="3"/>
    <s v="Bette-ann Munden"/>
    <s v=""/>
    <x v="0"/>
    <x v="101"/>
    <x v="1"/>
    <s v="L"/>
    <x v="3"/>
    <n v="4.4550000000000001"/>
    <n v="1.4701499999999998"/>
    <n v="13.365"/>
    <x v="1"/>
    <x v="1"/>
    <x v="0"/>
  </r>
  <r>
    <s v="OYU-25085-528"/>
    <x v="120"/>
    <s v="10142-55267-YO"/>
    <s v="E-L-0.2"/>
    <n v="4"/>
    <s v="Wilek Lightollers"/>
    <s v=""/>
    <x v="0"/>
    <x v="15"/>
    <x v="1"/>
    <s v="L"/>
    <x v="3"/>
    <n v="4.4550000000000001"/>
    <n v="1.9601999999999999"/>
    <n v="17.82"/>
    <x v="1"/>
    <x v="1"/>
    <x v="0"/>
  </r>
  <r>
    <s v="XCG-07109-195"/>
    <x v="430"/>
    <s v="92976-19453-DT"/>
    <s v="L-D-0.2"/>
    <n v="6"/>
    <s v="Nick Brakespear"/>
    <s v=""/>
    <x v="0"/>
    <x v="55"/>
    <x v="3"/>
    <s v="D"/>
    <x v="3"/>
    <n v="3.8849999999999998"/>
    <n v="3.0303"/>
    <n v="23.31"/>
    <x v="3"/>
    <x v="2"/>
    <x v="0"/>
  </r>
  <r>
    <s v="YZA-25234-630"/>
    <x v="125"/>
    <s v="89757-51438-HX"/>
    <s v="E-D-0.2"/>
    <n v="2"/>
    <s v="Malynda Glawsop"/>
    <s v=""/>
    <x v="0"/>
    <x v="226"/>
    <x v="1"/>
    <s v="D"/>
    <x v="3"/>
    <n v="3.645"/>
    <n v="0.80190000000000006"/>
    <n v="7.29"/>
    <x v="1"/>
    <x v="2"/>
    <x v="1"/>
  </r>
  <r>
    <s v="OKU-29966-417"/>
    <x v="431"/>
    <s v="76192-13390-HZ"/>
    <s v="E-L-0.2"/>
    <n v="4"/>
    <s v="Granville Alberts"/>
    <s v=""/>
    <x v="2"/>
    <x v="197"/>
    <x v="1"/>
    <s v="L"/>
    <x v="3"/>
    <n v="4.4550000000000001"/>
    <n v="1.9601999999999999"/>
    <n v="17.82"/>
    <x v="1"/>
    <x v="1"/>
    <x v="0"/>
  </r>
  <r>
    <s v="MEX-29350-659"/>
    <x v="40"/>
    <s v="02009-87294-SY"/>
    <s v="E-M-1"/>
    <n v="5"/>
    <s v="Vasily Polglase"/>
    <s v=""/>
    <x v="0"/>
    <x v="45"/>
    <x v="1"/>
    <s v="M"/>
    <x v="0"/>
    <n v="13.75"/>
    <n v="7.5625"/>
    <n v="68.75"/>
    <x v="1"/>
    <x v="0"/>
    <x v="1"/>
  </r>
  <r>
    <s v="NOY-99738-977"/>
    <x v="432"/>
    <s v="82872-34456-LJ"/>
    <s v="R-L-2.5"/>
    <n v="2"/>
    <s v="Madelaine Sharples"/>
    <s v=""/>
    <x v="2"/>
    <x v="176"/>
    <x v="0"/>
    <s v="L"/>
    <x v="2"/>
    <n v="27.484999999999996"/>
    <n v="3.2981999999999996"/>
    <n v="54.969999999999992"/>
    <x v="0"/>
    <x v="1"/>
    <x v="0"/>
  </r>
  <r>
    <s v="TCR-01064-030"/>
    <x v="254"/>
    <s v="13181-04387-LI"/>
    <s v="E-M-1"/>
    <n v="6"/>
    <s v="Sigfrid Busch"/>
    <s v=""/>
    <x v="1"/>
    <x v="278"/>
    <x v="1"/>
    <s v="M"/>
    <x v="0"/>
    <n v="13.75"/>
    <n v="9.0749999999999993"/>
    <n v="82.5"/>
    <x v="1"/>
    <x v="0"/>
    <x v="1"/>
  </r>
  <r>
    <s v="YUL-42750-776"/>
    <x v="219"/>
    <s v="24845-36117-TI"/>
    <s v="L-M-0.2"/>
    <n v="2"/>
    <s v="Cissiee Raisbeck"/>
    <s v=""/>
    <x v="0"/>
    <x v="212"/>
    <x v="3"/>
    <s v="M"/>
    <x v="3"/>
    <n v="4.3650000000000002"/>
    <n v="1.1349"/>
    <n v="8.73"/>
    <x v="3"/>
    <x v="0"/>
    <x v="0"/>
  </r>
  <r>
    <s v="XQJ-86887-506"/>
    <x v="433"/>
    <s v="66458-91190-YC"/>
    <s v="E-L-1"/>
    <n v="4"/>
    <s v="Marja Urion"/>
    <s v=""/>
    <x v="1"/>
    <x v="263"/>
    <x v="1"/>
    <s v="L"/>
    <x v="0"/>
    <n v="14.85"/>
    <n v="6.5339999999999998"/>
    <n v="59.4"/>
    <x v="1"/>
    <x v="1"/>
    <x v="0"/>
  </r>
  <r>
    <s v="CUN-90044-279"/>
    <x v="434"/>
    <s v="86646-65810-TD"/>
    <s v="L-D-0.2"/>
    <n v="4"/>
    <s v="Kenton Wetherick"/>
    <s v=""/>
    <x v="0"/>
    <x v="193"/>
    <x v="3"/>
    <s v="D"/>
    <x v="3"/>
    <n v="3.8849999999999998"/>
    <n v="2.0202"/>
    <n v="15.54"/>
    <x v="3"/>
    <x v="2"/>
    <x v="0"/>
  </r>
  <r>
    <s v="ICC-73030-502"/>
    <x v="435"/>
    <s v="59480-02795-IU"/>
    <s v="A-L-1"/>
    <n v="3"/>
    <s v="Reamonn Aynold"/>
    <s v=""/>
    <x v="0"/>
    <x v="166"/>
    <x v="2"/>
    <s v="L"/>
    <x v="0"/>
    <n v="12.95"/>
    <n v="3.4965000000000002"/>
    <n v="38.849999999999994"/>
    <x v="2"/>
    <x v="1"/>
    <x v="0"/>
  </r>
  <r>
    <s v="ADP-04506-084"/>
    <x v="436"/>
    <s v="61809-87758-LJ"/>
    <s v="E-M-2.5"/>
    <n v="6"/>
    <s v="Hatty Dovydenas"/>
    <s v=""/>
    <x v="0"/>
    <x v="279"/>
    <x v="1"/>
    <s v="M"/>
    <x v="2"/>
    <n v="31.624999999999996"/>
    <n v="20.872499999999999"/>
    <n v="189.74999999999997"/>
    <x v="1"/>
    <x v="0"/>
    <x v="0"/>
  </r>
  <r>
    <s v="PNU-22150-408"/>
    <x v="437"/>
    <s v="77408-43873-RS"/>
    <s v="A-D-0.2"/>
    <n v="6"/>
    <s v="Nathaniel Bloxland"/>
    <s v=""/>
    <x v="1"/>
    <x v="280"/>
    <x v="2"/>
    <s v="D"/>
    <x v="3"/>
    <n v="2.9849999999999999"/>
    <n v="1.6118999999999999"/>
    <n v="17.91"/>
    <x v="2"/>
    <x v="2"/>
    <x v="0"/>
  </r>
  <r>
    <s v="VSQ-07182-513"/>
    <x v="438"/>
    <s v="18366-65239-WF"/>
    <s v="L-L-0.2"/>
    <n v="6"/>
    <s v="Brendan Grece"/>
    <s v=""/>
    <x v="2"/>
    <x v="281"/>
    <x v="3"/>
    <s v="L"/>
    <x v="3"/>
    <n v="4.7549999999999999"/>
    <n v="3.7088999999999999"/>
    <n v="28.53"/>
    <x v="3"/>
    <x v="1"/>
    <x v="1"/>
  </r>
  <r>
    <s v="SPF-31673-217"/>
    <x v="439"/>
    <s v="19485-98072-PS"/>
    <s v="E-M-1"/>
    <n v="6"/>
    <s v="Don Flintiff"/>
    <s v=""/>
    <x v="2"/>
    <x v="282"/>
    <x v="1"/>
    <s v="M"/>
    <x v="0"/>
    <n v="13.75"/>
    <n v="9.0749999999999993"/>
    <n v="82.5"/>
    <x v="1"/>
    <x v="0"/>
    <x v="1"/>
  </r>
  <r>
    <s v="NEX-63825-598"/>
    <x v="175"/>
    <s v="72072-33025-SD"/>
    <s v="R-L-0.5"/>
    <n v="2"/>
    <s v="Abbe Thys"/>
    <s v=""/>
    <x v="0"/>
    <x v="203"/>
    <x v="0"/>
    <s v="L"/>
    <x v="1"/>
    <n v="7.169999999999999"/>
    <n v="0.86039999999999983"/>
    <n v="14.339999999999998"/>
    <x v="0"/>
    <x v="1"/>
    <x v="1"/>
  </r>
  <r>
    <s v="XPG-66112-335"/>
    <x v="440"/>
    <s v="58118-22461-GC"/>
    <s v="R-D-2.5"/>
    <n v="4"/>
    <s v="Jackquelin Chugg"/>
    <s v=""/>
    <x v="0"/>
    <x v="153"/>
    <x v="0"/>
    <s v="D"/>
    <x v="2"/>
    <n v="20.584999999999997"/>
    <n v="4.9403999999999995"/>
    <n v="82.339999999999989"/>
    <x v="0"/>
    <x v="2"/>
    <x v="1"/>
  </r>
  <r>
    <s v="NSQ-72210-345"/>
    <x v="441"/>
    <s v="90940-63327-DJ"/>
    <s v="A-M-0.2"/>
    <n v="6"/>
    <s v="Audra Kelston"/>
    <s v=""/>
    <x v="0"/>
    <x v="42"/>
    <x v="2"/>
    <s v="M"/>
    <x v="3"/>
    <n v="3.375"/>
    <n v="1.8224999999999998"/>
    <n v="20.25"/>
    <x v="2"/>
    <x v="0"/>
    <x v="0"/>
  </r>
  <r>
    <s v="XRR-28376-277"/>
    <x v="442"/>
    <s v="64481-42546-II"/>
    <s v="R-L-2.5"/>
    <n v="6"/>
    <s v="Elvina Angel"/>
    <s v=""/>
    <x v="1"/>
    <x v="21"/>
    <x v="0"/>
    <s v="L"/>
    <x v="2"/>
    <n v="27.484999999999996"/>
    <n v="9.8945999999999987"/>
    <n v="164.90999999999997"/>
    <x v="0"/>
    <x v="1"/>
    <x v="1"/>
  </r>
  <r>
    <s v="WHQ-25197-475"/>
    <x v="443"/>
    <s v="27536-28463-NJ"/>
    <s v="L-L-0.2"/>
    <n v="4"/>
    <s v="Claiborne Mottram"/>
    <s v=""/>
    <x v="0"/>
    <x v="79"/>
    <x v="3"/>
    <s v="L"/>
    <x v="3"/>
    <n v="4.7549999999999999"/>
    <n v="2.4725999999999999"/>
    <n v="19.02"/>
    <x v="3"/>
    <x v="1"/>
    <x v="0"/>
  </r>
  <r>
    <s v="HMB-30634-745"/>
    <x v="216"/>
    <s v="19485-98072-PS"/>
    <s v="A-D-2.5"/>
    <n v="6"/>
    <s v="Don Flintiff"/>
    <s v=""/>
    <x v="2"/>
    <x v="282"/>
    <x v="2"/>
    <s v="D"/>
    <x v="2"/>
    <n v="22.884999999999998"/>
    <n v="12.357899999999997"/>
    <n v="137.31"/>
    <x v="2"/>
    <x v="2"/>
    <x v="1"/>
  </r>
  <r>
    <s v="XTL-68000-371"/>
    <x v="444"/>
    <s v="70140-82812-KD"/>
    <s v="A-M-0.5"/>
    <n v="4"/>
    <s v="Donalt Sangwin"/>
    <s v=""/>
    <x v="0"/>
    <x v="283"/>
    <x v="2"/>
    <s v="M"/>
    <x v="1"/>
    <n v="6.75"/>
    <n v="2.4299999999999997"/>
    <n v="27"/>
    <x v="2"/>
    <x v="0"/>
    <x v="1"/>
  </r>
  <r>
    <s v="YES-51109-625"/>
    <x v="37"/>
    <s v="91895-55605-LS"/>
    <s v="E-L-0.5"/>
    <n v="4"/>
    <s v="Elizabet Aizikowitz"/>
    <s v=""/>
    <x v="2"/>
    <x v="284"/>
    <x v="1"/>
    <s v="L"/>
    <x v="1"/>
    <n v="8.91"/>
    <n v="3.9203999999999999"/>
    <n v="35.64"/>
    <x v="1"/>
    <x v="1"/>
    <x v="1"/>
  </r>
  <r>
    <s v="EAY-89850-211"/>
    <x v="445"/>
    <s v="43155-71724-XP"/>
    <s v="A-D-0.2"/>
    <n v="2"/>
    <s v="Herbie Peppard"/>
    <s v=""/>
    <x v="0"/>
    <x v="148"/>
    <x v="2"/>
    <s v="D"/>
    <x v="3"/>
    <n v="2.9849999999999999"/>
    <n v="0.5373"/>
    <n v="5.97"/>
    <x v="2"/>
    <x v="2"/>
    <x v="0"/>
  </r>
  <r>
    <s v="IOQ-84840-827"/>
    <x v="446"/>
    <s v="32038-81174-JF"/>
    <s v="A-M-1"/>
    <n v="6"/>
    <s v="Cornie Venour"/>
    <s v=""/>
    <x v="0"/>
    <x v="212"/>
    <x v="2"/>
    <s v="M"/>
    <x v="0"/>
    <n v="11.25"/>
    <n v="6.0749999999999993"/>
    <n v="67.5"/>
    <x v="2"/>
    <x v="0"/>
    <x v="1"/>
  </r>
  <r>
    <s v="FBD-56220-430"/>
    <x v="245"/>
    <s v="59205-20324-NB"/>
    <s v="R-L-0.2"/>
    <n v="6"/>
    <s v="Maggy Harby"/>
    <s v=""/>
    <x v="0"/>
    <x v="48"/>
    <x v="0"/>
    <s v="L"/>
    <x v="3"/>
    <n v="3.5849999999999995"/>
    <n v="1.2905999999999997"/>
    <n v="21.509999999999998"/>
    <x v="0"/>
    <x v="1"/>
    <x v="0"/>
  </r>
  <r>
    <s v="COV-52659-202"/>
    <x v="447"/>
    <s v="99899-54612-NX"/>
    <s v="L-M-2.5"/>
    <n v="2"/>
    <s v="Reggie Thickpenny"/>
    <s v=""/>
    <x v="0"/>
    <x v="6"/>
    <x v="3"/>
    <s v="M"/>
    <x v="2"/>
    <n v="33.464999999999996"/>
    <n v="8.700899999999999"/>
    <n v="66.929999999999993"/>
    <x v="3"/>
    <x v="0"/>
    <x v="1"/>
  </r>
  <r>
    <s v="YUO-76652-814"/>
    <x v="448"/>
    <s v="26248-84194-FI"/>
    <s v="A-D-0.2"/>
    <n v="6"/>
    <s v="Phyllys Ormerod"/>
    <s v=""/>
    <x v="0"/>
    <x v="285"/>
    <x v="2"/>
    <s v="D"/>
    <x v="3"/>
    <n v="2.9849999999999999"/>
    <n v="1.6118999999999999"/>
    <n v="17.91"/>
    <x v="2"/>
    <x v="2"/>
    <x v="1"/>
  </r>
  <r>
    <s v="PBT-36926-102"/>
    <x v="344"/>
    <s v="19485-98072-PS"/>
    <s v="L-M-1"/>
    <n v="4"/>
    <s v="Don Flintiff"/>
    <s v=""/>
    <x v="2"/>
    <x v="282"/>
    <x v="3"/>
    <s v="M"/>
    <x v="0"/>
    <n v="14.55"/>
    <n v="7.5660000000000007"/>
    <n v="58.2"/>
    <x v="3"/>
    <x v="0"/>
    <x v="1"/>
  </r>
  <r>
    <s v="BLV-60087-454"/>
    <x v="152"/>
    <s v="84493-71314-WX"/>
    <s v="E-L-0.2"/>
    <n v="3"/>
    <s v="Tymon Zanetti"/>
    <s v=""/>
    <x v="1"/>
    <x v="286"/>
    <x v="1"/>
    <s v="L"/>
    <x v="3"/>
    <n v="4.4550000000000001"/>
    <n v="1.4701499999999998"/>
    <n v="13.365"/>
    <x v="1"/>
    <x v="1"/>
    <x v="1"/>
  </r>
  <r>
    <s v="BLV-60087-454"/>
    <x v="152"/>
    <s v="84493-71314-WX"/>
    <s v="A-M-0.5"/>
    <n v="5"/>
    <s v="Tymon Zanetti"/>
    <s v=""/>
    <x v="1"/>
    <x v="286"/>
    <x v="2"/>
    <s v="M"/>
    <x v="1"/>
    <n v="6.75"/>
    <n v="3.0374999999999996"/>
    <n v="33.75"/>
    <x v="2"/>
    <x v="0"/>
    <x v="1"/>
  </r>
  <r>
    <s v="QYC-63914-195"/>
    <x v="449"/>
    <s v="39789-43945-IV"/>
    <s v="E-L-1"/>
    <n v="3"/>
    <s v="Reinaldos Kirtley"/>
    <s v=""/>
    <x v="0"/>
    <x v="127"/>
    <x v="1"/>
    <s v="L"/>
    <x v="0"/>
    <n v="14.85"/>
    <n v="4.9005000000000001"/>
    <n v="44.55"/>
    <x v="1"/>
    <x v="1"/>
    <x v="0"/>
  </r>
  <r>
    <s v="OIB-77163-890"/>
    <x v="450"/>
    <s v="38972-89678-ZM"/>
    <s v="E-L-0.5"/>
    <n v="5"/>
    <s v="Carney Clemencet"/>
    <s v=""/>
    <x v="2"/>
    <x v="38"/>
    <x v="1"/>
    <s v="L"/>
    <x v="1"/>
    <n v="8.91"/>
    <n v="4.9005000000000001"/>
    <n v="44.55"/>
    <x v="1"/>
    <x v="1"/>
    <x v="0"/>
  </r>
  <r>
    <s v="SGS-87525-238"/>
    <x v="451"/>
    <s v="91465-84526-IJ"/>
    <s v="E-D-1"/>
    <n v="5"/>
    <s v="Russell Donet"/>
    <s v=""/>
    <x v="0"/>
    <x v="8"/>
    <x v="1"/>
    <s v="D"/>
    <x v="0"/>
    <n v="12.15"/>
    <n v="6.6825000000000001"/>
    <n v="60.75"/>
    <x v="1"/>
    <x v="2"/>
    <x v="1"/>
  </r>
  <r>
    <s v="GQR-12490-152"/>
    <x v="83"/>
    <s v="22832-98538-RB"/>
    <s v="R-L-0.2"/>
    <n v="1"/>
    <s v="Sidney Gawen"/>
    <s v=""/>
    <x v="0"/>
    <x v="287"/>
    <x v="0"/>
    <s v="L"/>
    <x v="3"/>
    <n v="3.5849999999999995"/>
    <n v="0.21509999999999996"/>
    <n v="3.5849999999999995"/>
    <x v="0"/>
    <x v="1"/>
    <x v="0"/>
  </r>
  <r>
    <s v="UOJ-28238-299"/>
    <x v="452"/>
    <s v="30844-91890-ZA"/>
    <s v="R-L-0.2"/>
    <n v="6"/>
    <s v="Rickey Readie"/>
    <s v=""/>
    <x v="0"/>
    <x v="107"/>
    <x v="0"/>
    <s v="L"/>
    <x v="3"/>
    <n v="3.5849999999999995"/>
    <n v="1.2905999999999997"/>
    <n v="21.509999999999998"/>
    <x v="0"/>
    <x v="1"/>
    <x v="1"/>
  </r>
  <r>
    <s v="ETD-58130-674"/>
    <x v="453"/>
    <s v="05325-97750-WP"/>
    <s v="E-M-0.5"/>
    <n v="2"/>
    <s v="Cody Verissimo"/>
    <s v=""/>
    <x v="2"/>
    <x v="26"/>
    <x v="1"/>
    <s v="M"/>
    <x v="1"/>
    <n v="8.25"/>
    <n v="1.8149999999999999"/>
    <n v="16.5"/>
    <x v="1"/>
    <x v="0"/>
    <x v="0"/>
  </r>
  <r>
    <s v="UPF-60123-025"/>
    <x v="454"/>
    <s v="88992-49081-AT"/>
    <s v="R-L-2.5"/>
    <n v="3"/>
    <s v="Zilvia Claisse"/>
    <s v=""/>
    <x v="0"/>
    <x v="50"/>
    <x v="0"/>
    <s v="L"/>
    <x v="2"/>
    <n v="27.484999999999996"/>
    <n v="4.9472999999999994"/>
    <n v="82.454999999999984"/>
    <x v="0"/>
    <x v="1"/>
    <x v="1"/>
  </r>
  <r>
    <s v="NQS-01613-687"/>
    <x v="455"/>
    <s v="10204-31464-SA"/>
    <s v="L-D-0.5"/>
    <n v="1"/>
    <s v="Bar O' Mahony"/>
    <s v=""/>
    <x v="0"/>
    <x v="99"/>
    <x v="3"/>
    <s v="D"/>
    <x v="1"/>
    <n v="7.77"/>
    <n v="1.0101"/>
    <n v="7.77"/>
    <x v="3"/>
    <x v="2"/>
    <x v="0"/>
  </r>
  <r>
    <s v="MGH-36050-573"/>
    <x v="456"/>
    <s v="75156-80911-YT"/>
    <s v="R-M-0.5"/>
    <n v="2"/>
    <s v="Valenka Stansbury"/>
    <s v=""/>
    <x v="0"/>
    <x v="87"/>
    <x v="0"/>
    <s v="M"/>
    <x v="1"/>
    <n v="5.97"/>
    <n v="0.71639999999999993"/>
    <n v="11.94"/>
    <x v="0"/>
    <x v="0"/>
    <x v="0"/>
  </r>
  <r>
    <s v="UVF-59322-459"/>
    <x v="373"/>
    <s v="53971-49906-PZ"/>
    <s v="E-L-2.5"/>
    <n v="6"/>
    <s v="Daniel Heinonen"/>
    <s v=""/>
    <x v="0"/>
    <x v="288"/>
    <x v="1"/>
    <s v="L"/>
    <x v="2"/>
    <n v="34.154999999999994"/>
    <n v="22.542299999999997"/>
    <n v="204.92999999999995"/>
    <x v="1"/>
    <x v="1"/>
    <x v="1"/>
  </r>
  <r>
    <s v="VET-41158-896"/>
    <x v="457"/>
    <s v="10728-17633-ST"/>
    <s v="E-M-2.5"/>
    <n v="2"/>
    <s v="Jewelle Shenton"/>
    <s v=""/>
    <x v="0"/>
    <x v="106"/>
    <x v="1"/>
    <s v="M"/>
    <x v="2"/>
    <n v="31.624999999999996"/>
    <n v="6.9574999999999996"/>
    <n v="63.249999999999993"/>
    <x v="1"/>
    <x v="0"/>
    <x v="0"/>
  </r>
  <r>
    <s v="XYL-52196-459"/>
    <x v="458"/>
    <s v="13549-65017-VE"/>
    <s v="R-D-0.2"/>
    <n v="3"/>
    <s v="Jennifer Wilkisson"/>
    <s v=""/>
    <x v="0"/>
    <x v="289"/>
    <x v="0"/>
    <s v="D"/>
    <x v="3"/>
    <n v="2.6849999999999996"/>
    <n v="0.4832999999999999"/>
    <n v="8.0549999999999997"/>
    <x v="0"/>
    <x v="2"/>
    <x v="0"/>
  </r>
  <r>
    <s v="BPZ-51283-916"/>
    <x v="264"/>
    <s v="87688-42420-TO"/>
    <s v="A-M-2.5"/>
    <n v="2"/>
    <s v="Kylie Mowat"/>
    <s v=""/>
    <x v="0"/>
    <x v="166"/>
    <x v="2"/>
    <s v="M"/>
    <x v="2"/>
    <n v="25.874999999999996"/>
    <n v="4.6574999999999989"/>
    <n v="51.749999999999993"/>
    <x v="2"/>
    <x v="0"/>
    <x v="1"/>
  </r>
  <r>
    <s v="VQW-91903-926"/>
    <x v="459"/>
    <s v="05325-97750-WP"/>
    <s v="E-D-2.5"/>
    <n v="1"/>
    <s v="Cody Verissimo"/>
    <s v=""/>
    <x v="2"/>
    <x v="26"/>
    <x v="1"/>
    <s v="D"/>
    <x v="2"/>
    <n v="27.945"/>
    <n v="3.07395"/>
    <n v="27.945"/>
    <x v="1"/>
    <x v="2"/>
    <x v="0"/>
  </r>
  <r>
    <s v="OLF-77983-457"/>
    <x v="460"/>
    <s v="51901-35210-UI"/>
    <s v="A-L-2.5"/>
    <n v="2"/>
    <s v="Gabriel Starcks"/>
    <s v=""/>
    <x v="0"/>
    <x v="115"/>
    <x v="2"/>
    <s v="L"/>
    <x v="2"/>
    <n v="29.784999999999997"/>
    <n v="5.3612999999999991"/>
    <n v="59.569999999999993"/>
    <x v="2"/>
    <x v="1"/>
    <x v="1"/>
  </r>
  <r>
    <s v="MVI-04946-827"/>
    <x v="461"/>
    <s v="62483-50867-OM"/>
    <s v="E-L-1"/>
    <n v="1"/>
    <s v="Darby Dummer"/>
    <s v=""/>
    <x v="2"/>
    <x v="290"/>
    <x v="1"/>
    <s v="L"/>
    <x v="0"/>
    <n v="14.85"/>
    <n v="1.6335"/>
    <n v="14.85"/>
    <x v="1"/>
    <x v="1"/>
    <x v="1"/>
  </r>
  <r>
    <s v="UOG-94188-104"/>
    <x v="219"/>
    <s v="92753-50029-SD"/>
    <s v="A-M-0.5"/>
    <n v="5"/>
    <s v="Kienan Scholard"/>
    <s v=""/>
    <x v="0"/>
    <x v="61"/>
    <x v="2"/>
    <s v="M"/>
    <x v="1"/>
    <n v="6.75"/>
    <n v="3.0374999999999996"/>
    <n v="33.75"/>
    <x v="2"/>
    <x v="0"/>
    <x v="1"/>
  </r>
  <r>
    <s v="DSN-15872-519"/>
    <x v="462"/>
    <s v="53809-98498-SN"/>
    <s v="L-L-2.5"/>
    <n v="4"/>
    <s v="Bo Kindley"/>
    <s v=""/>
    <x v="0"/>
    <x v="148"/>
    <x v="3"/>
    <s v="L"/>
    <x v="2"/>
    <n v="36.454999999999998"/>
    <n v="18.956599999999998"/>
    <n v="145.82"/>
    <x v="3"/>
    <x v="1"/>
    <x v="0"/>
  </r>
  <r>
    <s v="OUQ-73954-002"/>
    <x v="463"/>
    <s v="66308-13503-KD"/>
    <s v="R-M-0.2"/>
    <n v="4"/>
    <s v="Krissie Hammett"/>
    <s v=""/>
    <x v="0"/>
    <x v="204"/>
    <x v="0"/>
    <s v="M"/>
    <x v="3"/>
    <n v="2.9849999999999999"/>
    <n v="0.71639999999999993"/>
    <n v="11.94"/>
    <x v="0"/>
    <x v="0"/>
    <x v="0"/>
  </r>
  <r>
    <s v="LGL-16843-667"/>
    <x v="464"/>
    <s v="82458-87830-JE"/>
    <s v="A-D-0.2"/>
    <n v="4"/>
    <s v="Alisha Hulburt"/>
    <s v=""/>
    <x v="0"/>
    <x v="212"/>
    <x v="2"/>
    <s v="D"/>
    <x v="3"/>
    <n v="2.9849999999999999"/>
    <n v="1.0746"/>
    <n v="11.94"/>
    <x v="2"/>
    <x v="2"/>
    <x v="0"/>
  </r>
  <r>
    <s v="TCC-89722-031"/>
    <x v="465"/>
    <s v="41611-34336-WT"/>
    <s v="L-D-0.5"/>
    <n v="1"/>
    <s v="Peyter Lauritzen"/>
    <s v=""/>
    <x v="0"/>
    <x v="11"/>
    <x v="3"/>
    <s v="D"/>
    <x v="1"/>
    <n v="7.77"/>
    <n v="1.0101"/>
    <n v="7.77"/>
    <x v="3"/>
    <x v="2"/>
    <x v="1"/>
  </r>
  <r>
    <s v="TRA-79507-007"/>
    <x v="466"/>
    <s v="70089-27418-UJ"/>
    <s v="R-L-2.5"/>
    <n v="4"/>
    <s v="Aurelia Burgwin"/>
    <s v=""/>
    <x v="0"/>
    <x v="9"/>
    <x v="0"/>
    <s v="L"/>
    <x v="2"/>
    <n v="27.484999999999996"/>
    <n v="6.5963999999999992"/>
    <n v="109.93999999999998"/>
    <x v="0"/>
    <x v="1"/>
    <x v="0"/>
  </r>
  <r>
    <s v="MZJ-77284-941"/>
    <x v="467"/>
    <s v="99978-56910-BN"/>
    <s v="E-L-0.2"/>
    <n v="5"/>
    <s v="Emalee Rolin"/>
    <s v=""/>
    <x v="0"/>
    <x v="45"/>
    <x v="1"/>
    <s v="L"/>
    <x v="3"/>
    <n v="4.4550000000000001"/>
    <n v="2.45025"/>
    <n v="22.274999999999999"/>
    <x v="1"/>
    <x v="1"/>
    <x v="0"/>
  </r>
  <r>
    <s v="AXN-57779-891"/>
    <x v="468"/>
    <s v="09668-23340-IC"/>
    <s v="R-M-0.2"/>
    <n v="3"/>
    <s v="Donavon Fowle"/>
    <s v=""/>
    <x v="0"/>
    <x v="71"/>
    <x v="0"/>
    <s v="M"/>
    <x v="3"/>
    <n v="2.9849999999999999"/>
    <n v="0.53729999999999989"/>
    <n v="8.9550000000000001"/>
    <x v="0"/>
    <x v="0"/>
    <x v="1"/>
  </r>
  <r>
    <s v="PJB-15659-994"/>
    <x v="469"/>
    <s v="39457-62611-YK"/>
    <s v="L-D-2.5"/>
    <n v="4"/>
    <s v="Jorge Bettison"/>
    <s v=""/>
    <x v="1"/>
    <x v="239"/>
    <x v="3"/>
    <s v="D"/>
    <x v="2"/>
    <n v="29.784999999999997"/>
    <n v="15.488199999999999"/>
    <n v="119.13999999999999"/>
    <x v="3"/>
    <x v="2"/>
    <x v="1"/>
  </r>
  <r>
    <s v="LTS-03470-353"/>
    <x v="470"/>
    <s v="90985-89807-RW"/>
    <s v="A-L-2.5"/>
    <n v="5"/>
    <s v="Wang Powlesland"/>
    <s v=""/>
    <x v="0"/>
    <x v="291"/>
    <x v="2"/>
    <s v="L"/>
    <x v="2"/>
    <n v="29.784999999999997"/>
    <n v="13.403249999999998"/>
    <n v="148.92499999999998"/>
    <x v="2"/>
    <x v="1"/>
    <x v="0"/>
  </r>
  <r>
    <s v="UMM-28497-689"/>
    <x v="471"/>
    <s v="05325-97750-WP"/>
    <s v="L-L-2.5"/>
    <n v="3"/>
    <s v="Cody Verissimo"/>
    <s v=""/>
    <x v="2"/>
    <x v="26"/>
    <x v="3"/>
    <s v="L"/>
    <x v="2"/>
    <n v="36.454999999999998"/>
    <n v="14.217449999999999"/>
    <n v="109.36499999999999"/>
    <x v="3"/>
    <x v="1"/>
    <x v="0"/>
  </r>
  <r>
    <s v="MJZ-93232-402"/>
    <x v="472"/>
    <s v="17816-67941-ZS"/>
    <s v="E-D-0.2"/>
    <n v="1"/>
    <s v="Laurence Ellingham"/>
    <s v=""/>
    <x v="0"/>
    <x v="212"/>
    <x v="1"/>
    <s v="D"/>
    <x v="3"/>
    <n v="3.645"/>
    <n v="0.40095000000000003"/>
    <n v="3.645"/>
    <x v="1"/>
    <x v="2"/>
    <x v="0"/>
  </r>
  <r>
    <s v="UHW-74617-126"/>
    <x v="173"/>
    <s v="90816-65619-LM"/>
    <s v="E-D-2.5"/>
    <n v="2"/>
    <s v="Billy Neiland"/>
    <s v=""/>
    <x v="0"/>
    <x v="265"/>
    <x v="1"/>
    <s v="D"/>
    <x v="2"/>
    <n v="27.945"/>
    <n v="6.1478999999999999"/>
    <n v="55.89"/>
    <x v="1"/>
    <x v="2"/>
    <x v="1"/>
  </r>
  <r>
    <s v="RIK-61730-794"/>
    <x v="473"/>
    <s v="69761-61146-KD"/>
    <s v="L-M-0.2"/>
    <n v="6"/>
    <s v="Ancell Fendt"/>
    <s v=""/>
    <x v="0"/>
    <x v="166"/>
    <x v="3"/>
    <s v="M"/>
    <x v="3"/>
    <n v="4.3650000000000002"/>
    <n v="3.4047000000000001"/>
    <n v="26.19"/>
    <x v="3"/>
    <x v="0"/>
    <x v="0"/>
  </r>
  <r>
    <s v="IDJ-55379-750"/>
    <x v="474"/>
    <s v="24040-20817-QB"/>
    <s v="R-M-1"/>
    <n v="4"/>
    <s v="Angelia Cleyburn"/>
    <s v=""/>
    <x v="0"/>
    <x v="42"/>
    <x v="0"/>
    <s v="M"/>
    <x v="0"/>
    <n v="9.9499999999999993"/>
    <n v="2.3879999999999999"/>
    <n v="39.799999999999997"/>
    <x v="0"/>
    <x v="0"/>
    <x v="1"/>
  </r>
  <r>
    <s v="OHX-11953-965"/>
    <x v="475"/>
    <s v="19524-21432-XP"/>
    <s v="E-L-2.5"/>
    <n v="2"/>
    <s v="Temple Castiglione"/>
    <s v=""/>
    <x v="0"/>
    <x v="212"/>
    <x v="1"/>
    <s v="L"/>
    <x v="2"/>
    <n v="34.154999999999994"/>
    <n v="7.5140999999999991"/>
    <n v="68.309999999999988"/>
    <x v="1"/>
    <x v="1"/>
    <x v="1"/>
  </r>
  <r>
    <s v="TVV-42245-088"/>
    <x v="476"/>
    <s v="14398-43114-RV"/>
    <s v="A-M-0.2"/>
    <n v="4"/>
    <s v="Betti Lacasa"/>
    <s v=""/>
    <x v="1"/>
    <x v="75"/>
    <x v="2"/>
    <s v="M"/>
    <x v="3"/>
    <n v="3.375"/>
    <n v="1.2149999999999999"/>
    <n v="13.5"/>
    <x v="2"/>
    <x v="0"/>
    <x v="1"/>
  </r>
  <r>
    <s v="DYP-74337-787"/>
    <x v="431"/>
    <s v="41486-52502-QQ"/>
    <s v="R-M-0.5"/>
    <n v="1"/>
    <s v="Gunilla Lynch"/>
    <s v=""/>
    <x v="0"/>
    <x v="155"/>
    <x v="0"/>
    <s v="M"/>
    <x v="1"/>
    <n v="5.97"/>
    <n v="0.35819999999999996"/>
    <n v="5.97"/>
    <x v="0"/>
    <x v="0"/>
    <x v="1"/>
  </r>
  <r>
    <s v="OKA-93124-100"/>
    <x v="477"/>
    <s v="05325-97750-WP"/>
    <s v="R-M-0.5"/>
    <n v="5"/>
    <s v="Cody Verissimo"/>
    <s v=""/>
    <x v="2"/>
    <x v="26"/>
    <x v="0"/>
    <s v="M"/>
    <x v="1"/>
    <n v="5.97"/>
    <n v="1.7909999999999999"/>
    <n v="29.849999999999998"/>
    <x v="0"/>
    <x v="0"/>
    <x v="0"/>
  </r>
  <r>
    <s v="IXW-20780-268"/>
    <x v="478"/>
    <s v="20236-64364-QL"/>
    <s v="L-L-2.5"/>
    <n v="2"/>
    <s v="Shay Couronne"/>
    <s v=""/>
    <x v="0"/>
    <x v="97"/>
    <x v="3"/>
    <s v="L"/>
    <x v="2"/>
    <n v="36.454999999999998"/>
    <n v="9.4782999999999991"/>
    <n v="72.91"/>
    <x v="3"/>
    <x v="1"/>
    <x v="0"/>
  </r>
  <r>
    <s v="NGG-24006-937"/>
    <x v="45"/>
    <s v="29102-40100-TZ"/>
    <s v="E-M-2.5"/>
    <n v="4"/>
    <s v="Linus Flippelli"/>
    <s v=""/>
    <x v="2"/>
    <x v="292"/>
    <x v="1"/>
    <s v="M"/>
    <x v="2"/>
    <n v="31.624999999999996"/>
    <n v="13.914999999999999"/>
    <n v="126.49999999999999"/>
    <x v="1"/>
    <x v="0"/>
    <x v="1"/>
  </r>
  <r>
    <s v="JZC-31180-557"/>
    <x v="444"/>
    <s v="09171-42203-EB"/>
    <s v="L-M-2.5"/>
    <n v="1"/>
    <s v="Rachelle Elizabeth"/>
    <s v=""/>
    <x v="0"/>
    <x v="134"/>
    <x v="3"/>
    <s v="M"/>
    <x v="2"/>
    <n v="33.464999999999996"/>
    <n v="4.3504499999999995"/>
    <n v="33.464999999999996"/>
    <x v="3"/>
    <x v="0"/>
    <x v="1"/>
  </r>
  <r>
    <s v="ZMU-63715-204"/>
    <x v="479"/>
    <s v="29060-75856-UI"/>
    <s v="E-D-1"/>
    <n v="6"/>
    <s v="Innis Renhard"/>
    <s v=""/>
    <x v="0"/>
    <x v="15"/>
    <x v="1"/>
    <s v="D"/>
    <x v="0"/>
    <n v="12.15"/>
    <n v="8.0190000000000001"/>
    <n v="72.900000000000006"/>
    <x v="1"/>
    <x v="2"/>
    <x v="0"/>
  </r>
  <r>
    <s v="GND-08192-056"/>
    <x v="480"/>
    <s v="17088-16989-PL"/>
    <s v="L-D-0.5"/>
    <n v="2"/>
    <s v="Winne Roche"/>
    <s v=""/>
    <x v="0"/>
    <x v="293"/>
    <x v="3"/>
    <s v="D"/>
    <x v="1"/>
    <n v="7.77"/>
    <n v="2.0202"/>
    <n v="15.54"/>
    <x v="3"/>
    <x v="2"/>
    <x v="0"/>
  </r>
  <r>
    <s v="RYY-38961-093"/>
    <x v="481"/>
    <s v="14756-18321-CL"/>
    <s v="A-M-0.2"/>
    <n v="6"/>
    <s v="Linn Alaway"/>
    <s v=""/>
    <x v="0"/>
    <x v="42"/>
    <x v="2"/>
    <s v="M"/>
    <x v="3"/>
    <n v="3.375"/>
    <n v="1.8224999999999998"/>
    <n v="20.25"/>
    <x v="2"/>
    <x v="0"/>
    <x v="1"/>
  </r>
  <r>
    <s v="CVA-64996-969"/>
    <x v="478"/>
    <s v="13324-78688-MI"/>
    <s v="A-L-1"/>
    <n v="6"/>
    <s v="Cordy Odgaard"/>
    <s v=""/>
    <x v="0"/>
    <x v="12"/>
    <x v="2"/>
    <s v="L"/>
    <x v="0"/>
    <n v="12.95"/>
    <n v="6.9930000000000003"/>
    <n v="77.699999999999989"/>
    <x v="2"/>
    <x v="1"/>
    <x v="1"/>
  </r>
  <r>
    <s v="XTH-67276-442"/>
    <x v="482"/>
    <s v="73799-04749-BM"/>
    <s v="L-M-2.5"/>
    <n v="4"/>
    <s v="Bertine Byrd"/>
    <s v=""/>
    <x v="0"/>
    <x v="198"/>
    <x v="3"/>
    <s v="M"/>
    <x v="2"/>
    <n v="33.464999999999996"/>
    <n v="17.401799999999998"/>
    <n v="133.85999999999999"/>
    <x v="3"/>
    <x v="0"/>
    <x v="1"/>
  </r>
  <r>
    <s v="PVU-02950-470"/>
    <x v="353"/>
    <s v="01927-46702-YT"/>
    <s v="E-D-1"/>
    <n v="1"/>
    <s v="Nelie Garnson"/>
    <s v=""/>
    <x v="2"/>
    <x v="294"/>
    <x v="1"/>
    <s v="D"/>
    <x v="0"/>
    <n v="12.15"/>
    <n v="1.3365"/>
    <n v="12.15"/>
    <x v="1"/>
    <x v="2"/>
    <x v="1"/>
  </r>
  <r>
    <s v="XSN-26809-910"/>
    <x v="199"/>
    <s v="80467-17137-TO"/>
    <s v="E-M-2.5"/>
    <n v="2"/>
    <s v="Dianne Chardin"/>
    <s v=""/>
    <x v="1"/>
    <x v="295"/>
    <x v="1"/>
    <s v="M"/>
    <x v="2"/>
    <n v="31.624999999999996"/>
    <n v="6.9574999999999996"/>
    <n v="63.249999999999993"/>
    <x v="1"/>
    <x v="0"/>
    <x v="0"/>
  </r>
  <r>
    <s v="UDN-88321-005"/>
    <x v="372"/>
    <s v="14640-87215-BK"/>
    <s v="R-L-0.5"/>
    <n v="5"/>
    <s v="Hailee Radbone"/>
    <s v=""/>
    <x v="0"/>
    <x v="204"/>
    <x v="0"/>
    <s v="L"/>
    <x v="1"/>
    <n v="7.169999999999999"/>
    <n v="2.1509999999999998"/>
    <n v="35.849999999999994"/>
    <x v="0"/>
    <x v="1"/>
    <x v="1"/>
  </r>
  <r>
    <s v="EXP-21628-670"/>
    <x v="267"/>
    <s v="94447-35885-HK"/>
    <s v="A-M-2.5"/>
    <n v="3"/>
    <s v="Wallis Bernth"/>
    <s v=""/>
    <x v="0"/>
    <x v="291"/>
    <x v="2"/>
    <s v="M"/>
    <x v="2"/>
    <n v="25.874999999999996"/>
    <n v="6.9862499999999983"/>
    <n v="77.624999999999986"/>
    <x v="2"/>
    <x v="0"/>
    <x v="1"/>
  </r>
  <r>
    <s v="VGM-24161-361"/>
    <x v="480"/>
    <s v="71034-49694-CS"/>
    <s v="E-M-2.5"/>
    <n v="2"/>
    <s v="Byron Acarson"/>
    <s v=""/>
    <x v="0"/>
    <x v="13"/>
    <x v="1"/>
    <s v="M"/>
    <x v="2"/>
    <n v="31.624999999999996"/>
    <n v="6.9574999999999996"/>
    <n v="63.249999999999993"/>
    <x v="1"/>
    <x v="0"/>
    <x v="0"/>
  </r>
  <r>
    <s v="PKN-19556-918"/>
    <x v="483"/>
    <s v="00445-42781-KX"/>
    <s v="E-L-0.2"/>
    <n v="6"/>
    <s v="Faunie Brigham"/>
    <s v=""/>
    <x v="1"/>
    <x v="296"/>
    <x v="1"/>
    <s v="L"/>
    <x v="3"/>
    <n v="4.4550000000000001"/>
    <n v="2.9402999999999997"/>
    <n v="26.73"/>
    <x v="1"/>
    <x v="1"/>
    <x v="0"/>
  </r>
  <r>
    <s v="PKN-19556-918"/>
    <x v="483"/>
    <s v="00445-42781-KX"/>
    <s v="L-D-0.5"/>
    <n v="4"/>
    <s v="Faunie Brigham"/>
    <s v=""/>
    <x v="1"/>
    <x v="296"/>
    <x v="3"/>
    <s v="D"/>
    <x v="1"/>
    <n v="7.77"/>
    <n v="4.0404"/>
    <n v="31.08"/>
    <x v="3"/>
    <x v="2"/>
    <x v="0"/>
  </r>
  <r>
    <s v="PKN-19556-918"/>
    <x v="483"/>
    <s v="00445-42781-KX"/>
    <s v="A-D-0.2"/>
    <n v="1"/>
    <s v="Faunie Brigham"/>
    <s v=""/>
    <x v="1"/>
    <x v="296"/>
    <x v="2"/>
    <s v="D"/>
    <x v="3"/>
    <n v="2.9849999999999999"/>
    <n v="0.26865"/>
    <n v="2.9849999999999999"/>
    <x v="2"/>
    <x v="2"/>
    <x v="0"/>
  </r>
  <r>
    <s v="PKN-19556-918"/>
    <x v="483"/>
    <s v="00445-42781-KX"/>
    <s v="R-D-2.5"/>
    <n v="5"/>
    <s v="Faunie Brigham"/>
    <s v=""/>
    <x v="1"/>
    <x v="296"/>
    <x v="0"/>
    <s v="D"/>
    <x v="2"/>
    <n v="20.584999999999997"/>
    <n v="6.1754999999999995"/>
    <n v="102.92499999999998"/>
    <x v="0"/>
    <x v="2"/>
    <x v="0"/>
  </r>
  <r>
    <s v="DXQ-44537-297"/>
    <x v="484"/>
    <s v="96116-24737-LV"/>
    <s v="E-L-0.5"/>
    <n v="4"/>
    <s v="Marjorie Yoxen"/>
    <s v=""/>
    <x v="0"/>
    <x v="6"/>
    <x v="1"/>
    <s v="L"/>
    <x v="1"/>
    <n v="8.91"/>
    <n v="3.9203999999999999"/>
    <n v="35.64"/>
    <x v="1"/>
    <x v="1"/>
    <x v="1"/>
  </r>
  <r>
    <s v="BPC-54727-307"/>
    <x v="485"/>
    <s v="18684-73088-YL"/>
    <s v="R-L-1"/>
    <n v="4"/>
    <s v="Gaspar McGavin"/>
    <s v=""/>
    <x v="0"/>
    <x v="156"/>
    <x v="0"/>
    <s v="L"/>
    <x v="0"/>
    <n v="11.95"/>
    <n v="2.8679999999999999"/>
    <n v="47.8"/>
    <x v="0"/>
    <x v="1"/>
    <x v="1"/>
  </r>
  <r>
    <s v="KSH-47717-456"/>
    <x v="486"/>
    <s v="74671-55639-TU"/>
    <s v="L-M-1"/>
    <n v="3"/>
    <s v="Lindy Uttermare"/>
    <s v=""/>
    <x v="0"/>
    <x v="177"/>
    <x v="3"/>
    <s v="M"/>
    <x v="0"/>
    <n v="14.55"/>
    <n v="5.6745000000000001"/>
    <n v="43.650000000000006"/>
    <x v="3"/>
    <x v="0"/>
    <x v="1"/>
  </r>
  <r>
    <s v="ANK-59436-446"/>
    <x v="487"/>
    <s v="17488-65879-XL"/>
    <s v="E-L-0.5"/>
    <n v="4"/>
    <s v="Eal D'Ambrogio"/>
    <s v=""/>
    <x v="0"/>
    <x v="150"/>
    <x v="1"/>
    <s v="L"/>
    <x v="1"/>
    <n v="8.91"/>
    <n v="3.9203999999999999"/>
    <n v="35.64"/>
    <x v="1"/>
    <x v="1"/>
    <x v="0"/>
  </r>
  <r>
    <s v="AYY-83051-752"/>
    <x v="488"/>
    <s v="46431-09298-OU"/>
    <s v="L-L-1"/>
    <n v="6"/>
    <s v="Carolee Winchcombe"/>
    <s v=""/>
    <x v="0"/>
    <x v="28"/>
    <x v="3"/>
    <s v="L"/>
    <x v="0"/>
    <n v="15.85"/>
    <n v="12.363000000000001"/>
    <n v="95.1"/>
    <x v="3"/>
    <x v="1"/>
    <x v="0"/>
  </r>
  <r>
    <s v="CSW-59644-267"/>
    <x v="489"/>
    <s v="60378-26473-FE"/>
    <s v="E-M-2.5"/>
    <n v="1"/>
    <s v="Benedikta Paumier"/>
    <s v=""/>
    <x v="1"/>
    <x v="297"/>
    <x v="1"/>
    <s v="M"/>
    <x v="2"/>
    <n v="31.624999999999996"/>
    <n v="3.4787499999999998"/>
    <n v="31.624999999999996"/>
    <x v="1"/>
    <x v="0"/>
    <x v="0"/>
  </r>
  <r>
    <s v="ITY-92466-909"/>
    <x v="162"/>
    <s v="34927-68586-ZV"/>
    <s v="A-M-2.5"/>
    <n v="3"/>
    <s v="Neville Piatto"/>
    <s v=""/>
    <x v="1"/>
    <x v="280"/>
    <x v="2"/>
    <s v="M"/>
    <x v="2"/>
    <n v="25.874999999999996"/>
    <n v="6.9862499999999983"/>
    <n v="77.624999999999986"/>
    <x v="2"/>
    <x v="0"/>
    <x v="0"/>
  </r>
  <r>
    <s v="IGW-04801-466"/>
    <x v="490"/>
    <s v="29051-27555-GD"/>
    <s v="L-D-0.2"/>
    <n v="1"/>
    <s v="Jeno Capey"/>
    <s v=""/>
    <x v="0"/>
    <x v="173"/>
    <x v="3"/>
    <s v="D"/>
    <x v="3"/>
    <n v="3.8849999999999998"/>
    <n v="0.50505"/>
    <n v="3.8849999999999998"/>
    <x v="3"/>
    <x v="2"/>
    <x v="0"/>
  </r>
  <r>
    <s v="LJN-34281-921"/>
    <x v="491"/>
    <s v="52143-35672-JF"/>
    <s v="R-L-2.5"/>
    <n v="5"/>
    <s v="Tuckie Mathonnet"/>
    <s v=""/>
    <x v="0"/>
    <x v="61"/>
    <x v="0"/>
    <s v="L"/>
    <x v="2"/>
    <n v="27.484999999999996"/>
    <n v="8.2454999999999998"/>
    <n v="137.42499999999998"/>
    <x v="0"/>
    <x v="1"/>
    <x v="1"/>
  </r>
  <r>
    <s v="BWZ-46364-547"/>
    <x v="301"/>
    <s v="64918-67725-MN"/>
    <s v="R-L-1"/>
    <n v="3"/>
    <s v="Yardley Basill"/>
    <s v=""/>
    <x v="0"/>
    <x v="291"/>
    <x v="0"/>
    <s v="L"/>
    <x v="0"/>
    <n v="11.95"/>
    <n v="2.1509999999999998"/>
    <n v="35.849999999999994"/>
    <x v="0"/>
    <x v="1"/>
    <x v="0"/>
  </r>
  <r>
    <s v="SBC-95710-706"/>
    <x v="194"/>
    <s v="85634-61759-ND"/>
    <s v="E-M-0.2"/>
    <n v="2"/>
    <s v="Maggy Baistow"/>
    <s v=""/>
    <x v="2"/>
    <x v="298"/>
    <x v="1"/>
    <s v="M"/>
    <x v="3"/>
    <n v="4.125"/>
    <n v="0.90749999999999997"/>
    <n v="8.25"/>
    <x v="1"/>
    <x v="0"/>
    <x v="0"/>
  </r>
  <r>
    <s v="WRN-55114-031"/>
    <x v="26"/>
    <s v="40180-22940-QB"/>
    <s v="E-L-2.5"/>
    <n v="3"/>
    <s v="Courtney Pallant"/>
    <s v=""/>
    <x v="0"/>
    <x v="68"/>
    <x v="1"/>
    <s v="L"/>
    <x v="2"/>
    <n v="34.154999999999994"/>
    <n v="11.271149999999999"/>
    <n v="102.46499999999997"/>
    <x v="1"/>
    <x v="1"/>
    <x v="0"/>
  </r>
  <r>
    <s v="TZU-64255-831"/>
    <x v="125"/>
    <s v="34666-76738-SQ"/>
    <s v="R-D-2.5"/>
    <n v="2"/>
    <s v="Marne Mingey"/>
    <s v=""/>
    <x v="0"/>
    <x v="218"/>
    <x v="0"/>
    <s v="D"/>
    <x v="2"/>
    <n v="20.584999999999997"/>
    <n v="2.4701999999999997"/>
    <n v="41.169999999999995"/>
    <x v="0"/>
    <x v="2"/>
    <x v="1"/>
  </r>
  <r>
    <s v="JVF-91003-729"/>
    <x v="492"/>
    <s v="98536-88616-FF"/>
    <s v="A-D-2.5"/>
    <n v="3"/>
    <s v="Denny O' Ronan"/>
    <s v=""/>
    <x v="0"/>
    <x v="299"/>
    <x v="2"/>
    <s v="D"/>
    <x v="2"/>
    <n v="22.884999999999998"/>
    <n v="6.1789499999999986"/>
    <n v="68.655000000000001"/>
    <x v="2"/>
    <x v="2"/>
    <x v="0"/>
  </r>
  <r>
    <s v="MVB-22135-665"/>
    <x v="462"/>
    <s v="55621-06130-SA"/>
    <s v="A-D-1"/>
    <n v="1"/>
    <s v="Dottie Rallin"/>
    <s v=""/>
    <x v="0"/>
    <x v="140"/>
    <x v="2"/>
    <s v="D"/>
    <x v="0"/>
    <n v="9.9499999999999993"/>
    <n v="0.89549999999999985"/>
    <n v="9.9499999999999993"/>
    <x v="2"/>
    <x v="2"/>
    <x v="0"/>
  </r>
  <r>
    <s v="CKS-47815-571"/>
    <x v="493"/>
    <s v="45666-86771-EH"/>
    <s v="L-L-0.5"/>
    <n v="3"/>
    <s v="Ardith Chill"/>
    <s v=""/>
    <x v="2"/>
    <x v="300"/>
    <x v="3"/>
    <s v="L"/>
    <x v="1"/>
    <n v="9.51"/>
    <n v="3.7088999999999999"/>
    <n v="28.53"/>
    <x v="3"/>
    <x v="1"/>
    <x v="0"/>
  </r>
  <r>
    <s v="OAW-17338-101"/>
    <x v="494"/>
    <s v="52143-35672-JF"/>
    <s v="R-D-0.2"/>
    <n v="6"/>
    <s v="Tuckie Mathonnet"/>
    <s v=""/>
    <x v="0"/>
    <x v="61"/>
    <x v="0"/>
    <s v="D"/>
    <x v="3"/>
    <n v="2.6849999999999996"/>
    <n v="0.96659999999999979"/>
    <n v="16.11"/>
    <x v="0"/>
    <x v="2"/>
    <x v="1"/>
  </r>
  <r>
    <s v="ALP-37623-536"/>
    <x v="495"/>
    <s v="24689-69376-XX"/>
    <s v="L-L-1"/>
    <n v="6"/>
    <s v="Charmane Denys"/>
    <s v=""/>
    <x v="2"/>
    <x v="301"/>
    <x v="3"/>
    <s v="L"/>
    <x v="0"/>
    <n v="15.85"/>
    <n v="12.363000000000001"/>
    <n v="95.1"/>
    <x v="3"/>
    <x v="1"/>
    <x v="1"/>
  </r>
  <r>
    <s v="WMU-87639-108"/>
    <x v="496"/>
    <s v="71891-51101-VQ"/>
    <s v="R-D-0.5"/>
    <n v="1"/>
    <s v="Cecily Stebbings"/>
    <s v=""/>
    <x v="0"/>
    <x v="78"/>
    <x v="0"/>
    <s v="D"/>
    <x v="1"/>
    <n v="5.3699999999999992"/>
    <n v="0.32219999999999993"/>
    <n v="5.3699999999999992"/>
    <x v="0"/>
    <x v="2"/>
    <x v="0"/>
  </r>
  <r>
    <s v="USN-44968-231"/>
    <x v="497"/>
    <s v="71749-05400-CN"/>
    <s v="R-L-1"/>
    <n v="4"/>
    <s v="Giana Tonnesen"/>
    <s v=""/>
    <x v="0"/>
    <x v="41"/>
    <x v="0"/>
    <s v="L"/>
    <x v="0"/>
    <n v="11.95"/>
    <n v="2.8679999999999999"/>
    <n v="47.8"/>
    <x v="0"/>
    <x v="1"/>
    <x v="1"/>
  </r>
  <r>
    <s v="YZG-20575-451"/>
    <x v="498"/>
    <s v="64845-00270-NO"/>
    <s v="L-L-1"/>
    <n v="4"/>
    <s v="Rhetta Zywicki"/>
    <s v=""/>
    <x v="1"/>
    <x v="302"/>
    <x v="3"/>
    <s v="L"/>
    <x v="0"/>
    <n v="15.85"/>
    <n v="8.2420000000000009"/>
    <n v="63.4"/>
    <x v="3"/>
    <x v="1"/>
    <x v="1"/>
  </r>
  <r>
    <s v="HTH-52867-812"/>
    <x v="382"/>
    <s v="29851-36402-UX"/>
    <s v="A-M-2.5"/>
    <n v="4"/>
    <s v="Almeria Burgett"/>
    <s v=""/>
    <x v="0"/>
    <x v="45"/>
    <x v="2"/>
    <s v="M"/>
    <x v="2"/>
    <n v="25.874999999999996"/>
    <n v="9.3149999999999977"/>
    <n v="103.49999999999999"/>
    <x v="2"/>
    <x v="0"/>
    <x v="1"/>
  </r>
  <r>
    <s v="FWU-44971-444"/>
    <x v="499"/>
    <s v="12190-25421-WM"/>
    <s v="A-D-2.5"/>
    <n v="3"/>
    <s v="Marvin Malloy"/>
    <s v=""/>
    <x v="0"/>
    <x v="41"/>
    <x v="2"/>
    <s v="D"/>
    <x v="2"/>
    <n v="22.884999999999998"/>
    <n v="6.1789499999999986"/>
    <n v="68.655000000000001"/>
    <x v="2"/>
    <x v="2"/>
    <x v="1"/>
  </r>
  <r>
    <s v="EQI-82205-066"/>
    <x v="500"/>
    <s v="52316-30571-GD"/>
    <s v="R-M-2.5"/>
    <n v="2"/>
    <s v="Maxim McParland"/>
    <s v=""/>
    <x v="0"/>
    <x v="303"/>
    <x v="0"/>
    <s v="M"/>
    <x v="2"/>
    <n v="22.884999999999998"/>
    <n v="2.7461999999999995"/>
    <n v="45.769999999999996"/>
    <x v="0"/>
    <x v="0"/>
    <x v="0"/>
  </r>
  <r>
    <s v="NAR-00747-074"/>
    <x v="501"/>
    <s v="23243-92649-RY"/>
    <s v="L-D-1"/>
    <n v="4"/>
    <s v="Sylas Jennaroy"/>
    <s v=""/>
    <x v="0"/>
    <x v="24"/>
    <x v="3"/>
    <s v="D"/>
    <x v="0"/>
    <n v="12.95"/>
    <n v="6.734"/>
    <n v="51.8"/>
    <x v="3"/>
    <x v="2"/>
    <x v="1"/>
  </r>
  <r>
    <s v="JYR-22052-185"/>
    <x v="502"/>
    <s v="39528-19971-OR"/>
    <s v="A-M-0.5"/>
    <n v="2"/>
    <s v="Wren Place"/>
    <s v=""/>
    <x v="0"/>
    <x v="304"/>
    <x v="2"/>
    <s v="M"/>
    <x v="1"/>
    <n v="6.75"/>
    <n v="1.2149999999999999"/>
    <n v="13.5"/>
    <x v="2"/>
    <x v="0"/>
    <x v="0"/>
  </r>
  <r>
    <s v="XKO-54097-932"/>
    <x v="503"/>
    <s v="32743-78448-KT"/>
    <s v="E-M-0.5"/>
    <n v="3"/>
    <s v="Janella Millett"/>
    <s v=""/>
    <x v="0"/>
    <x v="285"/>
    <x v="1"/>
    <s v="M"/>
    <x v="1"/>
    <n v="8.25"/>
    <n v="2.7225000000000001"/>
    <n v="24.75"/>
    <x v="1"/>
    <x v="0"/>
    <x v="0"/>
  </r>
  <r>
    <s v="HXA-72415-025"/>
    <x v="504"/>
    <s v="93417-12322-YB"/>
    <s v="A-D-2.5"/>
    <n v="2"/>
    <s v="Dollie Gadsden"/>
    <s v=""/>
    <x v="1"/>
    <x v="305"/>
    <x v="2"/>
    <s v="D"/>
    <x v="2"/>
    <n v="22.884999999999998"/>
    <n v="4.1192999999999991"/>
    <n v="45.769999999999996"/>
    <x v="2"/>
    <x v="2"/>
    <x v="0"/>
  </r>
  <r>
    <s v="MJF-20065-335"/>
    <x v="497"/>
    <s v="56891-86662-UY"/>
    <s v="E-L-0.5"/>
    <n v="6"/>
    <s v="Val Wakelin"/>
    <s v=""/>
    <x v="0"/>
    <x v="133"/>
    <x v="1"/>
    <s v="L"/>
    <x v="1"/>
    <n v="8.91"/>
    <n v="5.8805999999999994"/>
    <n v="53.46"/>
    <x v="1"/>
    <x v="1"/>
    <x v="1"/>
  </r>
  <r>
    <s v="GFI-83300-059"/>
    <x v="501"/>
    <s v="40414-26467-VE"/>
    <s v="A-M-0.2"/>
    <n v="6"/>
    <s v="Annie Campsall"/>
    <s v=""/>
    <x v="0"/>
    <x v="13"/>
    <x v="2"/>
    <s v="M"/>
    <x v="3"/>
    <n v="3.375"/>
    <n v="1.8224999999999998"/>
    <n v="20.25"/>
    <x v="2"/>
    <x v="0"/>
    <x v="0"/>
  </r>
  <r>
    <s v="WJR-51493-682"/>
    <x v="1"/>
    <s v="87858-83734-RK"/>
    <s v="L-D-2.5"/>
    <n v="5"/>
    <s v="Shermy Moseby"/>
    <s v=""/>
    <x v="0"/>
    <x v="306"/>
    <x v="3"/>
    <s v="D"/>
    <x v="2"/>
    <n v="29.784999999999997"/>
    <n v="19.360250000000001"/>
    <n v="148.92499999999998"/>
    <x v="3"/>
    <x v="2"/>
    <x v="1"/>
  </r>
  <r>
    <s v="SHP-55648-472"/>
    <x v="505"/>
    <s v="46818-20198-GB"/>
    <s v="A-M-1"/>
    <n v="6"/>
    <s v="Corrie Wass"/>
    <s v=""/>
    <x v="0"/>
    <x v="27"/>
    <x v="2"/>
    <s v="M"/>
    <x v="0"/>
    <n v="11.25"/>
    <n v="6.0749999999999993"/>
    <n v="67.5"/>
    <x v="2"/>
    <x v="0"/>
    <x v="1"/>
  </r>
  <r>
    <s v="HYR-03455-684"/>
    <x v="506"/>
    <s v="29808-89098-XD"/>
    <s v="E-D-1"/>
    <n v="6"/>
    <s v="Ira Sjostrom"/>
    <s v=""/>
    <x v="0"/>
    <x v="173"/>
    <x v="1"/>
    <s v="D"/>
    <x v="0"/>
    <n v="12.15"/>
    <n v="8.0190000000000001"/>
    <n v="72.900000000000006"/>
    <x v="1"/>
    <x v="2"/>
    <x v="1"/>
  </r>
  <r>
    <s v="HYR-03455-684"/>
    <x v="506"/>
    <s v="29808-89098-XD"/>
    <s v="L-D-0.2"/>
    <n v="2"/>
    <s v="Ira Sjostrom"/>
    <s v=""/>
    <x v="0"/>
    <x v="173"/>
    <x v="3"/>
    <s v="D"/>
    <x v="3"/>
    <n v="3.8849999999999998"/>
    <n v="1.0101"/>
    <n v="7.77"/>
    <x v="3"/>
    <x v="2"/>
    <x v="1"/>
  </r>
  <r>
    <s v="HUG-52766-375"/>
    <x v="507"/>
    <s v="78786-77449-RQ"/>
    <s v="A-D-2.5"/>
    <n v="4"/>
    <s v="Jermaine Branchett"/>
    <s v=""/>
    <x v="0"/>
    <x v="143"/>
    <x v="2"/>
    <s v="D"/>
    <x v="2"/>
    <n v="22.884999999999998"/>
    <n v="8.2385999999999981"/>
    <n v="91.539999999999992"/>
    <x v="2"/>
    <x v="2"/>
    <x v="1"/>
  </r>
  <r>
    <s v="DAH-46595-917"/>
    <x v="508"/>
    <s v="27878-42224-QF"/>
    <s v="A-D-1"/>
    <n v="6"/>
    <s v="Nissie Rudland"/>
    <s v=""/>
    <x v="1"/>
    <x v="307"/>
    <x v="2"/>
    <s v="D"/>
    <x v="0"/>
    <n v="9.9499999999999993"/>
    <n v="5.3729999999999993"/>
    <n v="59.699999999999996"/>
    <x v="2"/>
    <x v="2"/>
    <x v="1"/>
  </r>
  <r>
    <s v="VEM-79839-466"/>
    <x v="509"/>
    <s v="32743-78448-KT"/>
    <s v="R-L-2.5"/>
    <n v="5"/>
    <s v="Janella Millett"/>
    <s v=""/>
    <x v="0"/>
    <x v="285"/>
    <x v="0"/>
    <s v="L"/>
    <x v="2"/>
    <n v="27.484999999999996"/>
    <n v="8.2454999999999998"/>
    <n v="137.42499999999998"/>
    <x v="0"/>
    <x v="1"/>
    <x v="0"/>
  </r>
  <r>
    <s v="OWH-11126-533"/>
    <x v="131"/>
    <s v="25331-13794-SB"/>
    <s v="L-M-2.5"/>
    <n v="2"/>
    <s v="Ferdie Tourry"/>
    <s v=""/>
    <x v="0"/>
    <x v="308"/>
    <x v="3"/>
    <s v="M"/>
    <x v="2"/>
    <n v="33.464999999999996"/>
    <n v="8.700899999999999"/>
    <n v="66.929999999999993"/>
    <x v="3"/>
    <x v="0"/>
    <x v="1"/>
  </r>
  <r>
    <s v="UMT-26130-151"/>
    <x v="510"/>
    <s v="55864-37682-GQ"/>
    <s v="L-M-0.2"/>
    <n v="3"/>
    <s v="Cecil Weatherall"/>
    <s v=""/>
    <x v="0"/>
    <x v="309"/>
    <x v="3"/>
    <s v="M"/>
    <x v="3"/>
    <n v="4.3650000000000002"/>
    <n v="1.70235"/>
    <n v="13.095000000000001"/>
    <x v="3"/>
    <x v="0"/>
    <x v="0"/>
  </r>
  <r>
    <s v="JKA-27899-806"/>
    <x v="511"/>
    <s v="97005-25609-CQ"/>
    <s v="R-L-1"/>
    <n v="5"/>
    <s v="Gale Heindrick"/>
    <s v=""/>
    <x v="0"/>
    <x v="227"/>
    <x v="0"/>
    <s v="L"/>
    <x v="0"/>
    <n v="11.95"/>
    <n v="3.585"/>
    <n v="59.75"/>
    <x v="0"/>
    <x v="1"/>
    <x v="1"/>
  </r>
  <r>
    <s v="ULU-07744-724"/>
    <x v="512"/>
    <s v="94058-95794-IJ"/>
    <s v="L-M-0.5"/>
    <n v="5"/>
    <s v="Layne Imason"/>
    <s v=""/>
    <x v="0"/>
    <x v="13"/>
    <x v="3"/>
    <s v="M"/>
    <x v="1"/>
    <n v="8.73"/>
    <n v="5.6745000000000001"/>
    <n v="43.650000000000006"/>
    <x v="3"/>
    <x v="0"/>
    <x v="0"/>
  </r>
  <r>
    <s v="NOM-56457-507"/>
    <x v="513"/>
    <s v="40214-03678-GU"/>
    <s v="E-M-1"/>
    <n v="6"/>
    <s v="Hazel Saill"/>
    <s v=""/>
    <x v="0"/>
    <x v="77"/>
    <x v="1"/>
    <s v="M"/>
    <x v="0"/>
    <n v="13.75"/>
    <n v="9.0749999999999993"/>
    <n v="82.5"/>
    <x v="1"/>
    <x v="0"/>
    <x v="0"/>
  </r>
  <r>
    <s v="NZN-71683-705"/>
    <x v="514"/>
    <s v="04921-85445-SL"/>
    <s v="A-L-2.5"/>
    <n v="6"/>
    <s v="Hermann Larvor"/>
    <s v=""/>
    <x v="0"/>
    <x v="310"/>
    <x v="2"/>
    <s v="L"/>
    <x v="2"/>
    <n v="29.784999999999997"/>
    <n v="16.083899999999996"/>
    <n v="178.70999999999998"/>
    <x v="2"/>
    <x v="1"/>
    <x v="0"/>
  </r>
  <r>
    <s v="WMA-34232-850"/>
    <x v="7"/>
    <s v="53386-94266-LJ"/>
    <s v="L-D-2.5"/>
    <n v="4"/>
    <s v="Terri Lyford"/>
    <s v=""/>
    <x v="0"/>
    <x v="311"/>
    <x v="3"/>
    <s v="D"/>
    <x v="2"/>
    <n v="29.784999999999997"/>
    <n v="15.488199999999999"/>
    <n v="119.13999999999999"/>
    <x v="3"/>
    <x v="2"/>
    <x v="0"/>
  </r>
  <r>
    <s v="EZL-27919-704"/>
    <x v="481"/>
    <s v="49480-85909-DG"/>
    <s v="L-L-0.5"/>
    <n v="5"/>
    <s v="Gabey Cogan"/>
    <s v=""/>
    <x v="0"/>
    <x v="312"/>
    <x v="3"/>
    <s v="L"/>
    <x v="1"/>
    <n v="9.51"/>
    <n v="6.1814999999999998"/>
    <n v="47.55"/>
    <x v="3"/>
    <x v="1"/>
    <x v="1"/>
  </r>
  <r>
    <s v="ZYU-11345-774"/>
    <x v="515"/>
    <s v="18293-78136-MN"/>
    <s v="L-M-0.5"/>
    <n v="5"/>
    <s v="Charin Penwarden"/>
    <s v=""/>
    <x v="1"/>
    <x v="230"/>
    <x v="3"/>
    <s v="M"/>
    <x v="1"/>
    <n v="8.73"/>
    <n v="5.6745000000000001"/>
    <n v="43.650000000000006"/>
    <x v="3"/>
    <x v="0"/>
    <x v="1"/>
  </r>
  <r>
    <s v="CPW-34587-459"/>
    <x v="516"/>
    <s v="84641-67384-TD"/>
    <s v="A-L-2.5"/>
    <n v="6"/>
    <s v="Milty Middis"/>
    <s v=""/>
    <x v="0"/>
    <x v="313"/>
    <x v="2"/>
    <s v="L"/>
    <x v="2"/>
    <n v="29.784999999999997"/>
    <n v="16.083899999999996"/>
    <n v="178.70999999999998"/>
    <x v="2"/>
    <x v="1"/>
    <x v="0"/>
  </r>
  <r>
    <s v="NQZ-82067-394"/>
    <x v="517"/>
    <s v="72320-29738-EB"/>
    <s v="R-L-2.5"/>
    <n v="1"/>
    <s v="Adrianne Vairow"/>
    <s v=""/>
    <x v="2"/>
    <x v="300"/>
    <x v="0"/>
    <s v="L"/>
    <x v="2"/>
    <n v="27.484999999999996"/>
    <n v="1.6490999999999998"/>
    <n v="27.484999999999996"/>
    <x v="0"/>
    <x v="1"/>
    <x v="1"/>
  </r>
  <r>
    <s v="JBW-95055-851"/>
    <x v="518"/>
    <s v="47355-97488-XS"/>
    <s v="A-M-1"/>
    <n v="5"/>
    <s v="Anjanette Goldie"/>
    <s v=""/>
    <x v="0"/>
    <x v="189"/>
    <x v="2"/>
    <s v="M"/>
    <x v="0"/>
    <n v="11.25"/>
    <n v="5.0625"/>
    <n v="56.25"/>
    <x v="2"/>
    <x v="0"/>
    <x v="1"/>
  </r>
  <r>
    <s v="AHY-20324-088"/>
    <x v="519"/>
    <s v="63499-24884-PP"/>
    <s v="L-L-0.2"/>
    <n v="2"/>
    <s v="Nicky Ayris"/>
    <s v=""/>
    <x v="2"/>
    <x v="44"/>
    <x v="3"/>
    <s v="L"/>
    <x v="3"/>
    <n v="4.7549999999999999"/>
    <n v="1.2363"/>
    <n v="9.51"/>
    <x v="3"/>
    <x v="1"/>
    <x v="0"/>
  </r>
  <r>
    <s v="ZSL-66684-103"/>
    <x v="520"/>
    <s v="39193-51770-FM"/>
    <s v="E-M-0.2"/>
    <n v="2"/>
    <s v="Laryssa Benediktovich"/>
    <s v=""/>
    <x v="0"/>
    <x v="314"/>
    <x v="1"/>
    <s v="M"/>
    <x v="3"/>
    <n v="4.125"/>
    <n v="0.90749999999999997"/>
    <n v="8.25"/>
    <x v="1"/>
    <x v="0"/>
    <x v="0"/>
  </r>
  <r>
    <s v="WNE-73911-475"/>
    <x v="521"/>
    <s v="61323-91967-GG"/>
    <s v="L-D-0.5"/>
    <n v="6"/>
    <s v="Theo Jacobovitz"/>
    <s v=""/>
    <x v="0"/>
    <x v="13"/>
    <x v="3"/>
    <s v="D"/>
    <x v="1"/>
    <n v="7.77"/>
    <n v="6.0606"/>
    <n v="46.62"/>
    <x v="3"/>
    <x v="2"/>
    <x v="1"/>
  </r>
  <r>
    <s v="EZB-68383-559"/>
    <x v="418"/>
    <s v="90123-01967-KS"/>
    <s v="R-L-1"/>
    <n v="6"/>
    <s v="Becca Ableson"/>
    <s v=""/>
    <x v="0"/>
    <x v="12"/>
    <x v="0"/>
    <s v="L"/>
    <x v="0"/>
    <n v="11.95"/>
    <n v="4.3019999999999996"/>
    <n v="71.699999999999989"/>
    <x v="0"/>
    <x v="1"/>
    <x v="1"/>
  </r>
  <r>
    <s v="OVO-01283-090"/>
    <x v="122"/>
    <s v="15958-25089-OS"/>
    <s v="L-L-2.5"/>
    <n v="2"/>
    <s v="Jeno Druitt"/>
    <s v=""/>
    <x v="0"/>
    <x v="148"/>
    <x v="3"/>
    <s v="L"/>
    <x v="2"/>
    <n v="36.454999999999998"/>
    <n v="9.4782999999999991"/>
    <n v="72.91"/>
    <x v="3"/>
    <x v="1"/>
    <x v="0"/>
  </r>
  <r>
    <s v="TXH-78646-919"/>
    <x v="423"/>
    <s v="98430-37820-UV"/>
    <s v="R-D-0.2"/>
    <n v="3"/>
    <s v="Deonne Shortall"/>
    <s v=""/>
    <x v="0"/>
    <x v="100"/>
    <x v="0"/>
    <s v="D"/>
    <x v="3"/>
    <n v="2.6849999999999996"/>
    <n v="0.4832999999999999"/>
    <n v="8.0549999999999997"/>
    <x v="0"/>
    <x v="2"/>
    <x v="0"/>
  </r>
  <r>
    <s v="CYZ-37122-164"/>
    <x v="463"/>
    <s v="21798-04171-XC"/>
    <s v="E-M-0.5"/>
    <n v="2"/>
    <s v="Wilton Cottier"/>
    <s v=""/>
    <x v="0"/>
    <x v="7"/>
    <x v="1"/>
    <s v="M"/>
    <x v="1"/>
    <n v="8.25"/>
    <n v="1.8149999999999999"/>
    <n v="16.5"/>
    <x v="1"/>
    <x v="0"/>
    <x v="1"/>
  </r>
  <r>
    <s v="AGQ-06534-750"/>
    <x v="273"/>
    <s v="52798-46508-HP"/>
    <s v="A-L-1"/>
    <n v="5"/>
    <s v="Kevan Grinsted"/>
    <s v=""/>
    <x v="1"/>
    <x v="315"/>
    <x v="2"/>
    <s v="L"/>
    <x v="0"/>
    <n v="12.95"/>
    <n v="5.8274999999999997"/>
    <n v="64.75"/>
    <x v="2"/>
    <x v="1"/>
    <x v="1"/>
  </r>
  <r>
    <s v="QVL-32245-818"/>
    <x v="522"/>
    <s v="46478-42970-EM"/>
    <s v="A-M-0.5"/>
    <n v="5"/>
    <s v="Dionne Skyner"/>
    <s v=""/>
    <x v="0"/>
    <x v="71"/>
    <x v="2"/>
    <s v="M"/>
    <x v="1"/>
    <n v="6.75"/>
    <n v="3.0374999999999996"/>
    <n v="33.75"/>
    <x v="2"/>
    <x v="0"/>
    <x v="1"/>
  </r>
  <r>
    <s v="LTD-96842-834"/>
    <x v="523"/>
    <s v="00246-15080-LE"/>
    <s v="L-D-2.5"/>
    <n v="6"/>
    <s v="Francesco Dressel"/>
    <s v=""/>
    <x v="0"/>
    <x v="45"/>
    <x v="3"/>
    <s v="D"/>
    <x v="2"/>
    <n v="29.784999999999997"/>
    <n v="23.232299999999999"/>
    <n v="178.70999999999998"/>
    <x v="3"/>
    <x v="2"/>
    <x v="1"/>
  </r>
  <r>
    <s v="SEC-91807-425"/>
    <x v="260"/>
    <s v="94091-86957-HX"/>
    <s v="A-M-1"/>
    <n v="2"/>
    <s v="Jimmy Dymoke"/>
    <s v=""/>
    <x v="1"/>
    <x v="75"/>
    <x v="2"/>
    <s v="M"/>
    <x v="0"/>
    <n v="11.25"/>
    <n v="2.0249999999999999"/>
    <n v="22.5"/>
    <x v="2"/>
    <x v="0"/>
    <x v="1"/>
  </r>
  <r>
    <s v="MHM-44857-599"/>
    <x v="331"/>
    <s v="26295-44907-DK"/>
    <s v="L-D-1"/>
    <n v="1"/>
    <s v="Ambrosio Weinmann"/>
    <s v=""/>
    <x v="0"/>
    <x v="159"/>
    <x v="3"/>
    <s v="D"/>
    <x v="0"/>
    <n v="12.95"/>
    <n v="1.6835"/>
    <n v="12.95"/>
    <x v="3"/>
    <x v="2"/>
    <x v="1"/>
  </r>
  <r>
    <s v="KGC-95046-911"/>
    <x v="524"/>
    <s v="95351-96177-QV"/>
    <s v="A-M-2.5"/>
    <n v="2"/>
    <s v="Elden Andriessen"/>
    <s v=""/>
    <x v="0"/>
    <x v="10"/>
    <x v="2"/>
    <s v="M"/>
    <x v="2"/>
    <n v="25.874999999999996"/>
    <n v="4.6574999999999989"/>
    <n v="51.749999999999993"/>
    <x v="2"/>
    <x v="0"/>
    <x v="0"/>
  </r>
  <r>
    <s v="RZC-75150-413"/>
    <x v="525"/>
    <s v="92204-96636-BS"/>
    <s v="E-D-0.5"/>
    <n v="5"/>
    <s v="Roxie Deaconson"/>
    <s v=""/>
    <x v="0"/>
    <x v="316"/>
    <x v="1"/>
    <s v="D"/>
    <x v="1"/>
    <n v="7.29"/>
    <n v="4.0095000000000001"/>
    <n v="36.450000000000003"/>
    <x v="1"/>
    <x v="2"/>
    <x v="1"/>
  </r>
  <r>
    <s v="EYH-88288-452"/>
    <x v="526"/>
    <s v="03010-30348-UA"/>
    <s v="L-L-2.5"/>
    <n v="5"/>
    <s v="Davida Caro"/>
    <s v=""/>
    <x v="0"/>
    <x v="192"/>
    <x v="3"/>
    <s v="L"/>
    <x v="2"/>
    <n v="36.454999999999998"/>
    <n v="23.695749999999997"/>
    <n v="182.27499999999998"/>
    <x v="3"/>
    <x v="1"/>
    <x v="0"/>
  </r>
  <r>
    <s v="NYQ-24237-772"/>
    <x v="104"/>
    <s v="13441-34686-SW"/>
    <s v="L-D-0.5"/>
    <n v="4"/>
    <s v="Johna Bluck"/>
    <s v=""/>
    <x v="0"/>
    <x v="314"/>
    <x v="3"/>
    <s v="D"/>
    <x v="1"/>
    <n v="7.77"/>
    <n v="4.0404"/>
    <n v="31.08"/>
    <x v="3"/>
    <x v="2"/>
    <x v="1"/>
  </r>
  <r>
    <s v="WKB-21680-566"/>
    <x v="491"/>
    <s v="96612-41722-VJ"/>
    <s v="A-M-0.5"/>
    <n v="3"/>
    <s v="Myrle Dearden"/>
    <s v=""/>
    <x v="1"/>
    <x v="317"/>
    <x v="2"/>
    <s v="M"/>
    <x v="1"/>
    <n v="6.75"/>
    <n v="1.8224999999999998"/>
    <n v="20.25"/>
    <x v="2"/>
    <x v="0"/>
    <x v="1"/>
  </r>
  <r>
    <s v="THE-61147-027"/>
    <x v="157"/>
    <s v="94091-86957-HX"/>
    <s v="L-D-1"/>
    <n v="2"/>
    <s v="Jimmy Dymoke"/>
    <s v=""/>
    <x v="1"/>
    <x v="75"/>
    <x v="3"/>
    <s v="D"/>
    <x v="0"/>
    <n v="12.95"/>
    <n v="3.367"/>
    <n v="25.9"/>
    <x v="3"/>
    <x v="2"/>
    <x v="1"/>
  </r>
  <r>
    <s v="PTY-86420-119"/>
    <x v="527"/>
    <s v="25504-41681-WA"/>
    <s v="A-D-0.5"/>
    <n v="4"/>
    <s v="Orland Tadman"/>
    <s v=""/>
    <x v="0"/>
    <x v="218"/>
    <x v="2"/>
    <s v="D"/>
    <x v="1"/>
    <n v="5.97"/>
    <n v="2.1492"/>
    <n v="23.88"/>
    <x v="2"/>
    <x v="2"/>
    <x v="0"/>
  </r>
  <r>
    <s v="QHL-27188-431"/>
    <x v="528"/>
    <s v="75443-07820-DZ"/>
    <s v="L-L-0.5"/>
    <n v="2"/>
    <s v="Barrett Gudde"/>
    <s v=""/>
    <x v="0"/>
    <x v="204"/>
    <x v="3"/>
    <s v="L"/>
    <x v="1"/>
    <n v="9.51"/>
    <n v="2.4725999999999999"/>
    <n v="19.02"/>
    <x v="3"/>
    <x v="1"/>
    <x v="1"/>
  </r>
  <r>
    <s v="MIS-54381-047"/>
    <x v="99"/>
    <s v="39276-95489-XV"/>
    <s v="A-D-0.5"/>
    <n v="5"/>
    <s v="Nathan Sictornes"/>
    <s v=""/>
    <x v="1"/>
    <x v="201"/>
    <x v="2"/>
    <s v="D"/>
    <x v="1"/>
    <n v="5.97"/>
    <n v="2.6865000000000001"/>
    <n v="29.849999999999998"/>
    <x v="2"/>
    <x v="2"/>
    <x v="0"/>
  </r>
  <r>
    <s v="TBB-29780-459"/>
    <x v="529"/>
    <s v="61437-83623-PZ"/>
    <s v="A-L-0.5"/>
    <n v="1"/>
    <s v="Vivyan Dunning"/>
    <s v=""/>
    <x v="0"/>
    <x v="17"/>
    <x v="2"/>
    <s v="L"/>
    <x v="1"/>
    <n v="7.77"/>
    <n v="0.69929999999999992"/>
    <n v="7.77"/>
    <x v="2"/>
    <x v="1"/>
    <x v="0"/>
  </r>
  <r>
    <s v="QLC-52637-305"/>
    <x v="530"/>
    <s v="34317-87258-HQ"/>
    <s v="L-D-2.5"/>
    <n v="4"/>
    <s v="Doralin Baison"/>
    <s v=""/>
    <x v="1"/>
    <x v="104"/>
    <x v="3"/>
    <s v="D"/>
    <x v="2"/>
    <n v="29.784999999999997"/>
    <n v="15.488199999999999"/>
    <n v="119.13999999999999"/>
    <x v="3"/>
    <x v="2"/>
    <x v="0"/>
  </r>
  <r>
    <s v="CWT-27056-328"/>
    <x v="531"/>
    <s v="18570-80998-ZS"/>
    <s v="E-D-0.2"/>
    <n v="6"/>
    <s v="Josefina Ferens"/>
    <s v=""/>
    <x v="0"/>
    <x v="15"/>
    <x v="1"/>
    <s v="D"/>
    <x v="3"/>
    <n v="3.645"/>
    <n v="2.4057000000000004"/>
    <n v="21.87"/>
    <x v="1"/>
    <x v="2"/>
    <x v="0"/>
  </r>
  <r>
    <s v="ASS-05878-128"/>
    <x v="210"/>
    <s v="66580-33745-OQ"/>
    <s v="E-L-0.5"/>
    <n v="2"/>
    <s v="Shelley Gehring"/>
    <s v=""/>
    <x v="0"/>
    <x v="141"/>
    <x v="1"/>
    <s v="L"/>
    <x v="1"/>
    <n v="8.91"/>
    <n v="1.9601999999999999"/>
    <n v="17.82"/>
    <x v="1"/>
    <x v="1"/>
    <x v="1"/>
  </r>
  <r>
    <s v="EGK-03027-418"/>
    <x v="532"/>
    <s v="19820-29285-FD"/>
    <s v="E-M-0.2"/>
    <n v="3"/>
    <s v="Barrie Fallowes"/>
    <s v=""/>
    <x v="0"/>
    <x v="318"/>
    <x v="1"/>
    <s v="M"/>
    <x v="3"/>
    <n v="4.125"/>
    <n v="1.3612500000000001"/>
    <n v="12.375"/>
    <x v="1"/>
    <x v="0"/>
    <x v="1"/>
  </r>
  <r>
    <s v="KCY-61732-849"/>
    <x v="533"/>
    <s v="11349-55147-SN"/>
    <s v="L-D-1"/>
    <n v="2"/>
    <s v="Nicolas Aiton"/>
    <s v=""/>
    <x v="1"/>
    <x v="319"/>
    <x v="3"/>
    <s v="D"/>
    <x v="0"/>
    <n v="12.95"/>
    <n v="3.367"/>
    <n v="25.9"/>
    <x v="3"/>
    <x v="2"/>
    <x v="1"/>
  </r>
  <r>
    <s v="BLI-21697-702"/>
    <x v="534"/>
    <s v="21141-12455-VB"/>
    <s v="A-M-0.5"/>
    <n v="2"/>
    <s v="Shelli De Banke"/>
    <s v=""/>
    <x v="0"/>
    <x v="10"/>
    <x v="2"/>
    <s v="M"/>
    <x v="1"/>
    <n v="6.75"/>
    <n v="1.2149999999999999"/>
    <n v="13.5"/>
    <x v="2"/>
    <x v="0"/>
    <x v="0"/>
  </r>
  <r>
    <s v="KFJ-46568-890"/>
    <x v="535"/>
    <s v="71003-85639-HB"/>
    <s v="E-L-0.5"/>
    <n v="2"/>
    <s v="Lyell Murch"/>
    <s v=""/>
    <x v="0"/>
    <x v="51"/>
    <x v="1"/>
    <s v="L"/>
    <x v="1"/>
    <n v="8.91"/>
    <n v="1.9601999999999999"/>
    <n v="17.82"/>
    <x v="1"/>
    <x v="1"/>
    <x v="0"/>
  </r>
  <r>
    <s v="SOK-43535-680"/>
    <x v="536"/>
    <s v="58443-95866-YO"/>
    <s v="E-M-0.5"/>
    <n v="3"/>
    <s v="Stearne Count"/>
    <s v=""/>
    <x v="0"/>
    <x v="320"/>
    <x v="1"/>
    <s v="M"/>
    <x v="1"/>
    <n v="8.25"/>
    <n v="2.7225000000000001"/>
    <n v="24.75"/>
    <x v="1"/>
    <x v="0"/>
    <x v="1"/>
  </r>
  <r>
    <s v="XUE-87260-201"/>
    <x v="537"/>
    <s v="89646-21249-OH"/>
    <s v="R-M-0.2"/>
    <n v="6"/>
    <s v="Selia Ragles"/>
    <s v=""/>
    <x v="0"/>
    <x v="321"/>
    <x v="0"/>
    <s v="M"/>
    <x v="3"/>
    <n v="2.9849999999999999"/>
    <n v="1.0745999999999998"/>
    <n v="17.91"/>
    <x v="0"/>
    <x v="0"/>
    <x v="1"/>
  </r>
  <r>
    <s v="CZF-40873-691"/>
    <x v="61"/>
    <s v="64988-20636-XQ"/>
    <s v="E-M-0.5"/>
    <n v="2"/>
    <s v="Silas Deehan"/>
    <s v=""/>
    <x v="2"/>
    <x v="217"/>
    <x v="1"/>
    <s v="M"/>
    <x v="1"/>
    <n v="8.25"/>
    <n v="1.8149999999999999"/>
    <n v="16.5"/>
    <x v="1"/>
    <x v="0"/>
    <x v="1"/>
  </r>
  <r>
    <s v="AIA-98989-755"/>
    <x v="242"/>
    <s v="34704-83143-KS"/>
    <s v="R-M-0.2"/>
    <n v="1"/>
    <s v="Sacha Bruun"/>
    <s v=""/>
    <x v="0"/>
    <x v="83"/>
    <x v="0"/>
    <s v="M"/>
    <x v="3"/>
    <n v="2.9849999999999999"/>
    <n v="0.17909999999999998"/>
    <n v="2.9849999999999999"/>
    <x v="0"/>
    <x v="0"/>
    <x v="1"/>
  </r>
  <r>
    <s v="ITZ-21793-986"/>
    <x v="299"/>
    <s v="67388-17544-XX"/>
    <s v="E-D-0.2"/>
    <n v="4"/>
    <s v="Alon Pllu"/>
    <s v=""/>
    <x v="1"/>
    <x v="322"/>
    <x v="1"/>
    <s v="D"/>
    <x v="3"/>
    <n v="3.645"/>
    <n v="1.6038000000000001"/>
    <n v="14.58"/>
    <x v="1"/>
    <x v="2"/>
    <x v="0"/>
  </r>
  <r>
    <s v="YOK-93322-608"/>
    <x v="343"/>
    <s v="69411-48470-ID"/>
    <s v="E-L-1"/>
    <n v="6"/>
    <s v="Gilberto Cornier"/>
    <s v=""/>
    <x v="0"/>
    <x v="47"/>
    <x v="1"/>
    <s v="L"/>
    <x v="0"/>
    <n v="14.85"/>
    <n v="9.8010000000000002"/>
    <n v="89.1"/>
    <x v="1"/>
    <x v="1"/>
    <x v="1"/>
  </r>
  <r>
    <s v="LXK-00634-611"/>
    <x v="538"/>
    <s v="94091-86957-HX"/>
    <s v="R-L-1"/>
    <n v="3"/>
    <s v="Jimmy Dymoke"/>
    <s v=""/>
    <x v="1"/>
    <x v="75"/>
    <x v="0"/>
    <s v="L"/>
    <x v="0"/>
    <n v="11.95"/>
    <n v="2.1509999999999998"/>
    <n v="35.849999999999994"/>
    <x v="0"/>
    <x v="1"/>
    <x v="1"/>
  </r>
  <r>
    <s v="CQW-37388-302"/>
    <x v="539"/>
    <s v="97741-98924-KT"/>
    <s v="A-D-2.5"/>
    <n v="3"/>
    <s v="Willabella Harvison"/>
    <s v=""/>
    <x v="0"/>
    <x v="11"/>
    <x v="2"/>
    <s v="D"/>
    <x v="2"/>
    <n v="22.884999999999998"/>
    <n v="6.1789499999999986"/>
    <n v="68.655000000000001"/>
    <x v="2"/>
    <x v="2"/>
    <x v="1"/>
  </r>
  <r>
    <s v="SPA-79365-334"/>
    <x v="27"/>
    <s v="79857-78167-KO"/>
    <s v="L-D-1"/>
    <n v="3"/>
    <s v="Darice Heaford"/>
    <s v=""/>
    <x v="0"/>
    <x v="299"/>
    <x v="3"/>
    <s v="D"/>
    <x v="0"/>
    <n v="12.95"/>
    <n v="5.0504999999999995"/>
    <n v="38.849999999999994"/>
    <x v="3"/>
    <x v="2"/>
    <x v="1"/>
  </r>
  <r>
    <s v="VPX-08817-517"/>
    <x v="540"/>
    <s v="46963-10322-ZA"/>
    <s v="L-L-1"/>
    <n v="5"/>
    <s v="Granger Fantham"/>
    <s v=""/>
    <x v="0"/>
    <x v="6"/>
    <x v="3"/>
    <s v="L"/>
    <x v="0"/>
    <n v="15.85"/>
    <n v="10.302500000000002"/>
    <n v="79.25"/>
    <x v="3"/>
    <x v="1"/>
    <x v="0"/>
  </r>
  <r>
    <s v="PBP-87115-410"/>
    <x v="541"/>
    <s v="93812-74772-MV"/>
    <s v="E-D-0.5"/>
    <n v="5"/>
    <s v="Reynolds Crookshanks"/>
    <s v=""/>
    <x v="0"/>
    <x v="133"/>
    <x v="1"/>
    <s v="D"/>
    <x v="1"/>
    <n v="7.29"/>
    <n v="4.0095000000000001"/>
    <n v="36.450000000000003"/>
    <x v="1"/>
    <x v="2"/>
    <x v="0"/>
  </r>
  <r>
    <s v="SFB-93752-440"/>
    <x v="390"/>
    <s v="48203-23480-UB"/>
    <s v="R-M-0.2"/>
    <n v="3"/>
    <s v="Niels Leake"/>
    <s v=""/>
    <x v="0"/>
    <x v="120"/>
    <x v="0"/>
    <s v="M"/>
    <x v="3"/>
    <n v="2.9849999999999999"/>
    <n v="0.53729999999999989"/>
    <n v="8.9550000000000001"/>
    <x v="0"/>
    <x v="0"/>
    <x v="0"/>
  </r>
  <r>
    <s v="TBU-65158-068"/>
    <x v="396"/>
    <s v="60357-65386-RD"/>
    <s v="E-D-1"/>
    <n v="2"/>
    <s v="Hetti Measures"/>
    <s v=""/>
    <x v="0"/>
    <x v="127"/>
    <x v="1"/>
    <s v="D"/>
    <x v="0"/>
    <n v="12.15"/>
    <n v="2.673"/>
    <n v="24.3"/>
    <x v="1"/>
    <x v="2"/>
    <x v="1"/>
  </r>
  <r>
    <s v="TEH-08414-216"/>
    <x v="185"/>
    <s v="35099-13971-JI"/>
    <s v="E-M-2.5"/>
    <n v="2"/>
    <s v="Gay Eilhersen"/>
    <s v=""/>
    <x v="0"/>
    <x v="74"/>
    <x v="1"/>
    <s v="M"/>
    <x v="2"/>
    <n v="31.624999999999996"/>
    <n v="6.9574999999999996"/>
    <n v="63.249999999999993"/>
    <x v="1"/>
    <x v="0"/>
    <x v="1"/>
  </r>
  <r>
    <s v="MAY-77231-536"/>
    <x v="542"/>
    <s v="01304-59807-OB"/>
    <s v="A-M-0.2"/>
    <n v="2"/>
    <s v="Nico Hubert"/>
    <s v=""/>
    <x v="0"/>
    <x v="15"/>
    <x v="2"/>
    <s v="M"/>
    <x v="3"/>
    <n v="3.375"/>
    <n v="0.60749999999999993"/>
    <n v="6.75"/>
    <x v="2"/>
    <x v="0"/>
    <x v="0"/>
  </r>
  <r>
    <s v="ATY-28980-884"/>
    <x v="117"/>
    <s v="50705-17295-NK"/>
    <s v="A-L-0.2"/>
    <n v="6"/>
    <s v="Cristina Aleixo"/>
    <s v=""/>
    <x v="0"/>
    <x v="71"/>
    <x v="2"/>
    <s v="L"/>
    <x v="3"/>
    <n v="3.8849999999999998"/>
    <n v="2.0978999999999997"/>
    <n v="23.31"/>
    <x v="2"/>
    <x v="1"/>
    <x v="1"/>
  </r>
  <r>
    <s v="SWP-88281-918"/>
    <x v="543"/>
    <s v="77657-61366-FY"/>
    <s v="L-L-2.5"/>
    <n v="4"/>
    <s v="Derrek Allpress"/>
    <s v=""/>
    <x v="0"/>
    <x v="323"/>
    <x v="3"/>
    <s v="L"/>
    <x v="2"/>
    <n v="36.454999999999998"/>
    <n v="18.956599999999998"/>
    <n v="145.82"/>
    <x v="3"/>
    <x v="1"/>
    <x v="1"/>
  </r>
  <r>
    <s v="VCE-56531-986"/>
    <x v="544"/>
    <s v="57192-13428-PL"/>
    <s v="R-M-0.5"/>
    <n v="5"/>
    <s v="Rikki Tomkowicz"/>
    <s v=""/>
    <x v="1"/>
    <x v="324"/>
    <x v="0"/>
    <s v="M"/>
    <x v="1"/>
    <n v="5.97"/>
    <n v="1.7909999999999999"/>
    <n v="29.849999999999998"/>
    <x v="0"/>
    <x v="0"/>
    <x v="0"/>
  </r>
  <r>
    <s v="FVV-75700-005"/>
    <x v="545"/>
    <s v="24891-77957-LU"/>
    <s v="E-D-0.5"/>
    <n v="3"/>
    <s v="Rochette Huscroft"/>
    <s v=""/>
    <x v="0"/>
    <x v="76"/>
    <x v="1"/>
    <s v="D"/>
    <x v="1"/>
    <n v="7.29"/>
    <n v="2.4057000000000004"/>
    <n v="21.87"/>
    <x v="1"/>
    <x v="2"/>
    <x v="0"/>
  </r>
  <r>
    <s v="CFZ-53492-600"/>
    <x v="546"/>
    <s v="64896-18468-BT"/>
    <s v="L-M-0.2"/>
    <n v="1"/>
    <s v="Selle Scurrer"/>
    <s v=""/>
    <x v="2"/>
    <x v="26"/>
    <x v="3"/>
    <s v="M"/>
    <x v="3"/>
    <n v="4.3650000000000002"/>
    <n v="0.56745000000000001"/>
    <n v="4.3650000000000002"/>
    <x v="3"/>
    <x v="0"/>
    <x v="1"/>
  </r>
  <r>
    <s v="LDK-71031-121"/>
    <x v="420"/>
    <s v="84761-40784-SV"/>
    <s v="L-L-2.5"/>
    <n v="1"/>
    <s v="Andie Rudram"/>
    <s v=""/>
    <x v="0"/>
    <x v="198"/>
    <x v="3"/>
    <s v="L"/>
    <x v="2"/>
    <n v="36.454999999999998"/>
    <n v="4.7391499999999995"/>
    <n v="36.454999999999998"/>
    <x v="3"/>
    <x v="1"/>
    <x v="1"/>
  </r>
  <r>
    <s v="EBA-82404-343"/>
    <x v="547"/>
    <s v="20236-42322-CM"/>
    <s v="L-D-0.2"/>
    <n v="4"/>
    <s v="Leta Clarricoates"/>
    <s v=""/>
    <x v="0"/>
    <x v="325"/>
    <x v="3"/>
    <s v="D"/>
    <x v="3"/>
    <n v="3.8849999999999998"/>
    <n v="2.0202"/>
    <n v="15.54"/>
    <x v="3"/>
    <x v="2"/>
    <x v="0"/>
  </r>
  <r>
    <s v="USA-42811-560"/>
    <x v="548"/>
    <s v="49671-11547-WG"/>
    <s v="E-L-0.2"/>
    <n v="2"/>
    <s v="Jacquelyn Maha"/>
    <s v=""/>
    <x v="0"/>
    <x v="76"/>
    <x v="1"/>
    <s v="L"/>
    <x v="3"/>
    <n v="4.4550000000000001"/>
    <n v="0.98009999999999997"/>
    <n v="8.91"/>
    <x v="1"/>
    <x v="1"/>
    <x v="1"/>
  </r>
  <r>
    <s v="SNL-83703-516"/>
    <x v="549"/>
    <s v="57976-33535-WK"/>
    <s v="L-M-2.5"/>
    <n v="3"/>
    <s v="Glory Clemon"/>
    <s v=""/>
    <x v="0"/>
    <x v="86"/>
    <x v="3"/>
    <s v="M"/>
    <x v="2"/>
    <n v="33.464999999999996"/>
    <n v="13.051349999999999"/>
    <n v="100.39499999999998"/>
    <x v="3"/>
    <x v="0"/>
    <x v="0"/>
  </r>
  <r>
    <s v="SUZ-83036-175"/>
    <x v="550"/>
    <s v="55915-19477-MK"/>
    <s v="R-D-0.2"/>
    <n v="5"/>
    <s v="Alica Kift"/>
    <s v=""/>
    <x v="0"/>
    <x v="326"/>
    <x v="0"/>
    <s v="D"/>
    <x v="3"/>
    <n v="2.6849999999999996"/>
    <n v="0.80549999999999988"/>
    <n v="13.424999999999997"/>
    <x v="0"/>
    <x v="2"/>
    <x v="1"/>
  </r>
  <r>
    <s v="RGM-01187-513"/>
    <x v="551"/>
    <s v="28121-11641-UA"/>
    <s v="E-D-0.2"/>
    <n v="6"/>
    <s v="Babb Pollins"/>
    <s v=""/>
    <x v="0"/>
    <x v="153"/>
    <x v="1"/>
    <s v="D"/>
    <x v="3"/>
    <n v="3.645"/>
    <n v="2.4057000000000004"/>
    <n v="21.87"/>
    <x v="1"/>
    <x v="2"/>
    <x v="1"/>
  </r>
  <r>
    <s v="CZG-01299-952"/>
    <x v="552"/>
    <s v="09540-70637-EV"/>
    <s v="L-D-1"/>
    <n v="2"/>
    <s v="Jarret Toye"/>
    <s v=""/>
    <x v="1"/>
    <x v="104"/>
    <x v="3"/>
    <s v="D"/>
    <x v="0"/>
    <n v="12.95"/>
    <n v="3.367"/>
    <n v="25.9"/>
    <x v="3"/>
    <x v="2"/>
    <x v="0"/>
  </r>
  <r>
    <s v="KLD-88731-484"/>
    <x v="553"/>
    <s v="17775-77072-PP"/>
    <s v="A-M-1"/>
    <n v="5"/>
    <s v="Carlie Linskill"/>
    <s v=""/>
    <x v="0"/>
    <x v="159"/>
    <x v="2"/>
    <s v="M"/>
    <x v="0"/>
    <n v="11.25"/>
    <n v="5.0625"/>
    <n v="56.25"/>
    <x v="2"/>
    <x v="0"/>
    <x v="1"/>
  </r>
  <r>
    <s v="BQK-38412-229"/>
    <x v="554"/>
    <s v="90392-73338-BC"/>
    <s v="R-L-0.2"/>
    <n v="3"/>
    <s v="Natal Vigrass"/>
    <s v=""/>
    <x v="2"/>
    <x v="145"/>
    <x v="0"/>
    <s v="L"/>
    <x v="3"/>
    <n v="3.5849999999999995"/>
    <n v="0.64529999999999987"/>
    <n v="10.754999999999999"/>
    <x v="0"/>
    <x v="1"/>
    <x v="1"/>
  </r>
  <r>
    <s v="TCX-76953-071"/>
    <x v="555"/>
    <s v="94091-86957-HX"/>
    <s v="E-D-0.2"/>
    <n v="5"/>
    <s v="Jimmy Dymoke"/>
    <s v=""/>
    <x v="1"/>
    <x v="75"/>
    <x v="1"/>
    <s v="D"/>
    <x v="3"/>
    <n v="3.645"/>
    <n v="2.00475"/>
    <n v="18.225000000000001"/>
    <x v="1"/>
    <x v="2"/>
    <x v="1"/>
  </r>
  <r>
    <s v="LIN-88046-551"/>
    <x v="150"/>
    <s v="10725-45724-CO"/>
    <s v="R-L-0.5"/>
    <n v="4"/>
    <s v="Kandace Cragell"/>
    <s v=""/>
    <x v="1"/>
    <x v="319"/>
    <x v="0"/>
    <s v="L"/>
    <x v="1"/>
    <n v="7.169999999999999"/>
    <n v="1.7207999999999997"/>
    <n v="28.679999999999996"/>
    <x v="0"/>
    <x v="1"/>
    <x v="1"/>
  </r>
  <r>
    <s v="PMV-54491-220"/>
    <x v="556"/>
    <s v="87242-18006-IR"/>
    <s v="L-M-0.2"/>
    <n v="2"/>
    <s v="Lyon Ibert"/>
    <s v=""/>
    <x v="0"/>
    <x v="304"/>
    <x v="3"/>
    <s v="M"/>
    <x v="3"/>
    <n v="4.3650000000000002"/>
    <n v="1.1349"/>
    <n v="8.73"/>
    <x v="3"/>
    <x v="0"/>
    <x v="1"/>
  </r>
  <r>
    <s v="SKA-73676-005"/>
    <x v="327"/>
    <s v="36572-91896-PP"/>
    <s v="L-M-1"/>
    <n v="4"/>
    <s v="Reese Lidgey"/>
    <s v=""/>
    <x v="0"/>
    <x v="139"/>
    <x v="3"/>
    <s v="M"/>
    <x v="0"/>
    <n v="14.55"/>
    <n v="7.5660000000000007"/>
    <n v="58.2"/>
    <x v="3"/>
    <x v="0"/>
    <x v="1"/>
  </r>
  <r>
    <s v="TKH-62197-239"/>
    <x v="557"/>
    <s v="25181-97933-UX"/>
    <s v="A-D-0.5"/>
    <n v="3"/>
    <s v="Tersina Castagne"/>
    <s v=""/>
    <x v="0"/>
    <x v="327"/>
    <x v="2"/>
    <s v="D"/>
    <x v="1"/>
    <n v="5.97"/>
    <n v="1.6118999999999999"/>
    <n v="17.91"/>
    <x v="2"/>
    <x v="2"/>
    <x v="1"/>
  </r>
  <r>
    <s v="YXF-57218-272"/>
    <x v="333"/>
    <s v="55374-03175-IA"/>
    <s v="R-M-0.2"/>
    <n v="6"/>
    <s v="Samuele Klaaassen"/>
    <s v=""/>
    <x v="0"/>
    <x v="135"/>
    <x v="0"/>
    <s v="M"/>
    <x v="3"/>
    <n v="2.9849999999999999"/>
    <n v="1.0745999999999998"/>
    <n v="17.91"/>
    <x v="0"/>
    <x v="0"/>
    <x v="0"/>
  </r>
  <r>
    <s v="PKJ-30083-501"/>
    <x v="558"/>
    <s v="76948-43532-JS"/>
    <s v="E-D-0.5"/>
    <n v="2"/>
    <s v="Jordana Halden"/>
    <s v=""/>
    <x v="1"/>
    <x v="328"/>
    <x v="1"/>
    <s v="D"/>
    <x v="1"/>
    <n v="7.29"/>
    <n v="1.6038000000000001"/>
    <n v="14.58"/>
    <x v="1"/>
    <x v="2"/>
    <x v="1"/>
  </r>
  <r>
    <s v="WTT-91832-645"/>
    <x v="559"/>
    <s v="24344-88599-PP"/>
    <s v="A-M-1"/>
    <n v="3"/>
    <s v="Hussein Olliff"/>
    <s v=""/>
    <x v="1"/>
    <x v="329"/>
    <x v="2"/>
    <s v="M"/>
    <x v="0"/>
    <n v="11.25"/>
    <n v="3.0374999999999996"/>
    <n v="33.75"/>
    <x v="2"/>
    <x v="0"/>
    <x v="1"/>
  </r>
  <r>
    <s v="TRZ-94735-865"/>
    <x v="310"/>
    <s v="54462-58311-YF"/>
    <s v="L-M-0.5"/>
    <n v="4"/>
    <s v="Teddi Quadri"/>
    <s v=""/>
    <x v="1"/>
    <x v="330"/>
    <x v="3"/>
    <s v="M"/>
    <x v="1"/>
    <n v="8.73"/>
    <n v="4.5396000000000001"/>
    <n v="34.92"/>
    <x v="3"/>
    <x v="0"/>
    <x v="0"/>
  </r>
  <r>
    <s v="UDB-09651-780"/>
    <x v="560"/>
    <s v="90767-92589-LV"/>
    <s v="E-D-0.5"/>
    <n v="2"/>
    <s v="Felita Eshmade"/>
    <s v=""/>
    <x v="0"/>
    <x v="8"/>
    <x v="1"/>
    <s v="D"/>
    <x v="1"/>
    <n v="7.29"/>
    <n v="1.6038000000000001"/>
    <n v="14.58"/>
    <x v="1"/>
    <x v="2"/>
    <x v="1"/>
  </r>
  <r>
    <s v="EHJ-82097-549"/>
    <x v="561"/>
    <s v="27517-43747-YD"/>
    <s v="R-D-0.2"/>
    <n v="2"/>
    <s v="Melodie OIlier"/>
    <s v=""/>
    <x v="1"/>
    <x v="331"/>
    <x v="0"/>
    <s v="D"/>
    <x v="3"/>
    <n v="2.6849999999999996"/>
    <n v="0.32219999999999993"/>
    <n v="5.3699999999999992"/>
    <x v="0"/>
    <x v="2"/>
    <x v="0"/>
  </r>
  <r>
    <s v="ZFR-79447-696"/>
    <x v="562"/>
    <s v="77828-66867-KH"/>
    <s v="R-M-0.5"/>
    <n v="1"/>
    <s v="Hazel Iacopini"/>
    <s v=""/>
    <x v="0"/>
    <x v="57"/>
    <x v="0"/>
    <s v="M"/>
    <x v="1"/>
    <n v="5.97"/>
    <n v="0.35819999999999996"/>
    <n v="5.97"/>
    <x v="0"/>
    <x v="0"/>
    <x v="0"/>
  </r>
  <r>
    <s v="NUU-03893-975"/>
    <x v="563"/>
    <s v="41054-59693-XE"/>
    <s v="L-L-0.5"/>
    <n v="2"/>
    <s v="Vinny Shoebotham"/>
    <s v=""/>
    <x v="0"/>
    <x v="130"/>
    <x v="3"/>
    <s v="L"/>
    <x v="1"/>
    <n v="9.51"/>
    <n v="2.4725999999999999"/>
    <n v="19.02"/>
    <x v="3"/>
    <x v="1"/>
    <x v="1"/>
  </r>
  <r>
    <s v="GVG-59542-307"/>
    <x v="564"/>
    <s v="26314-66792-VP"/>
    <s v="E-M-1"/>
    <n v="2"/>
    <s v="Bran Sterke"/>
    <s v=""/>
    <x v="0"/>
    <x v="57"/>
    <x v="1"/>
    <s v="M"/>
    <x v="0"/>
    <n v="13.75"/>
    <n v="3.0249999999999999"/>
    <n v="27.5"/>
    <x v="1"/>
    <x v="0"/>
    <x v="0"/>
  </r>
  <r>
    <s v="YLY-35287-172"/>
    <x v="565"/>
    <s v="69410-04668-MA"/>
    <s v="A-D-0.5"/>
    <n v="5"/>
    <s v="Simone Capon"/>
    <s v=""/>
    <x v="0"/>
    <x v="167"/>
    <x v="2"/>
    <s v="D"/>
    <x v="1"/>
    <n v="5.97"/>
    <n v="2.6865000000000001"/>
    <n v="29.849999999999998"/>
    <x v="2"/>
    <x v="2"/>
    <x v="1"/>
  </r>
  <r>
    <s v="DCI-96254-548"/>
    <x v="566"/>
    <s v="94091-86957-HX"/>
    <s v="A-D-0.2"/>
    <n v="6"/>
    <s v="Jimmy Dymoke"/>
    <s v=""/>
    <x v="1"/>
    <x v="75"/>
    <x v="2"/>
    <s v="D"/>
    <x v="3"/>
    <n v="2.9849999999999999"/>
    <n v="1.6118999999999999"/>
    <n v="17.91"/>
    <x v="2"/>
    <x v="2"/>
    <x v="1"/>
  </r>
  <r>
    <s v="KHZ-26264-253"/>
    <x v="160"/>
    <s v="24972-55878-KX"/>
    <s v="L-L-0.2"/>
    <n v="6"/>
    <s v="Foster Constance"/>
    <s v=""/>
    <x v="0"/>
    <x v="68"/>
    <x v="3"/>
    <s v="L"/>
    <x v="3"/>
    <n v="4.7549999999999999"/>
    <n v="3.7088999999999999"/>
    <n v="28.53"/>
    <x v="3"/>
    <x v="1"/>
    <x v="1"/>
  </r>
  <r>
    <s v="AAQ-13644-699"/>
    <x v="567"/>
    <s v="46296-42617-OQ"/>
    <s v="R-D-1"/>
    <n v="4"/>
    <s v="Fernando Sulman"/>
    <s v=""/>
    <x v="0"/>
    <x v="228"/>
    <x v="0"/>
    <s v="D"/>
    <x v="0"/>
    <n v="8.9499999999999993"/>
    <n v="2.1479999999999997"/>
    <n v="35.799999999999997"/>
    <x v="0"/>
    <x v="2"/>
    <x v="0"/>
  </r>
  <r>
    <s v="LWL-68108-794"/>
    <x v="568"/>
    <s v="44494-89923-UW"/>
    <s v="A-D-0.5"/>
    <n v="3"/>
    <s v="Dorotea Hollyman"/>
    <s v=""/>
    <x v="0"/>
    <x v="332"/>
    <x v="2"/>
    <s v="D"/>
    <x v="1"/>
    <n v="5.97"/>
    <n v="1.6118999999999999"/>
    <n v="17.91"/>
    <x v="2"/>
    <x v="2"/>
    <x v="0"/>
  </r>
  <r>
    <s v="JQT-14347-517"/>
    <x v="569"/>
    <s v="11621-09964-ID"/>
    <s v="R-D-1"/>
    <n v="1"/>
    <s v="Lorelei Nardoni"/>
    <s v=""/>
    <x v="0"/>
    <x v="10"/>
    <x v="0"/>
    <s v="D"/>
    <x v="0"/>
    <n v="8.9499999999999993"/>
    <n v="0.53699999999999992"/>
    <n v="8.9499999999999993"/>
    <x v="0"/>
    <x v="2"/>
    <x v="1"/>
  </r>
  <r>
    <s v="BMM-86471-923"/>
    <x v="570"/>
    <s v="76319-80715-II"/>
    <s v="L-D-2.5"/>
    <n v="1"/>
    <s v="Dallas Yarham"/>
    <s v=""/>
    <x v="0"/>
    <x v="333"/>
    <x v="3"/>
    <s v="D"/>
    <x v="2"/>
    <n v="29.784999999999997"/>
    <n v="3.8720499999999998"/>
    <n v="29.784999999999997"/>
    <x v="3"/>
    <x v="2"/>
    <x v="0"/>
  </r>
  <r>
    <s v="IXU-67272-326"/>
    <x v="571"/>
    <s v="91654-79216-IC"/>
    <s v="E-L-0.5"/>
    <n v="5"/>
    <s v="Arlana Ferrea"/>
    <s v=""/>
    <x v="0"/>
    <x v="116"/>
    <x v="1"/>
    <s v="L"/>
    <x v="1"/>
    <n v="8.91"/>
    <n v="4.9005000000000001"/>
    <n v="44.55"/>
    <x v="1"/>
    <x v="1"/>
    <x v="1"/>
  </r>
  <r>
    <s v="ITE-28312-615"/>
    <x v="139"/>
    <s v="56450-21890-HK"/>
    <s v="E-L-1"/>
    <n v="6"/>
    <s v="Chuck Kendrick"/>
    <s v=""/>
    <x v="0"/>
    <x v="334"/>
    <x v="1"/>
    <s v="L"/>
    <x v="0"/>
    <n v="14.85"/>
    <n v="9.8010000000000002"/>
    <n v="89.1"/>
    <x v="1"/>
    <x v="1"/>
    <x v="0"/>
  </r>
  <r>
    <s v="ZHQ-30471-635"/>
    <x v="303"/>
    <s v="40600-58915-WZ"/>
    <s v="L-M-0.5"/>
    <n v="5"/>
    <s v="Sharona Danilchik"/>
    <s v=""/>
    <x v="2"/>
    <x v="281"/>
    <x v="3"/>
    <s v="M"/>
    <x v="1"/>
    <n v="8.73"/>
    <n v="5.6745000000000001"/>
    <n v="43.650000000000006"/>
    <x v="3"/>
    <x v="0"/>
    <x v="1"/>
  </r>
  <r>
    <s v="LTP-31133-134"/>
    <x v="572"/>
    <s v="66527-94478-PB"/>
    <s v="A-L-0.5"/>
    <n v="3"/>
    <s v="Sarajane Potter"/>
    <s v=""/>
    <x v="0"/>
    <x v="57"/>
    <x v="2"/>
    <s v="L"/>
    <x v="1"/>
    <n v="7.77"/>
    <n v="2.0978999999999997"/>
    <n v="23.31"/>
    <x v="2"/>
    <x v="1"/>
    <x v="1"/>
  </r>
  <r>
    <s v="ZVQ-26122-859"/>
    <x v="573"/>
    <s v="77154-45038-IH"/>
    <s v="A-L-2.5"/>
    <n v="6"/>
    <s v="Bobby Folomkin"/>
    <s v=""/>
    <x v="0"/>
    <x v="97"/>
    <x v="2"/>
    <s v="L"/>
    <x v="2"/>
    <n v="29.784999999999997"/>
    <n v="16.083899999999996"/>
    <n v="178.70999999999998"/>
    <x v="2"/>
    <x v="1"/>
    <x v="0"/>
  </r>
  <r>
    <s v="MIU-01481-194"/>
    <x v="574"/>
    <s v="08439-55669-AI"/>
    <s v="R-M-1"/>
    <n v="6"/>
    <s v="Rafferty Pursglove"/>
    <s v=""/>
    <x v="0"/>
    <x v="132"/>
    <x v="0"/>
    <s v="M"/>
    <x v="0"/>
    <n v="9.9499999999999993"/>
    <n v="3.5819999999999999"/>
    <n v="59.699999999999996"/>
    <x v="0"/>
    <x v="0"/>
    <x v="0"/>
  </r>
  <r>
    <s v="MIU-01481-194"/>
    <x v="574"/>
    <s v="08439-55669-AI"/>
    <s v="A-L-0.5"/>
    <n v="2"/>
    <s v="Rafferty Pursglove"/>
    <s v=""/>
    <x v="0"/>
    <x v="132"/>
    <x v="2"/>
    <s v="L"/>
    <x v="1"/>
    <n v="7.77"/>
    <n v="1.3985999999999998"/>
    <n v="15.54"/>
    <x v="2"/>
    <x v="1"/>
    <x v="0"/>
  </r>
  <r>
    <s v="UEA-72681-629"/>
    <x v="455"/>
    <s v="24972-55878-KX"/>
    <s v="A-L-2.5"/>
    <n v="3"/>
    <s v="Foster Constance"/>
    <s v=""/>
    <x v="0"/>
    <x v="68"/>
    <x v="2"/>
    <s v="L"/>
    <x v="2"/>
    <n v="29.784999999999997"/>
    <n v="8.0419499999999982"/>
    <n v="89.35499999999999"/>
    <x v="2"/>
    <x v="1"/>
    <x v="1"/>
  </r>
  <r>
    <s v="CVE-15042-481"/>
    <x v="575"/>
    <s v="24972-55878-KX"/>
    <s v="R-L-1"/>
    <n v="2"/>
    <s v="Foster Constance"/>
    <s v=""/>
    <x v="0"/>
    <x v="68"/>
    <x v="0"/>
    <s v="L"/>
    <x v="0"/>
    <n v="11.95"/>
    <n v="1.4339999999999999"/>
    <n v="23.9"/>
    <x v="0"/>
    <x v="1"/>
    <x v="1"/>
  </r>
  <r>
    <s v="EJA-79176-833"/>
    <x v="576"/>
    <s v="91509-62250-GN"/>
    <s v="R-M-2.5"/>
    <n v="6"/>
    <s v="Dalia Eburah"/>
    <s v=""/>
    <x v="2"/>
    <x v="38"/>
    <x v="0"/>
    <s v="M"/>
    <x v="2"/>
    <n v="22.884999999999998"/>
    <n v="8.2385999999999981"/>
    <n v="137.31"/>
    <x v="0"/>
    <x v="0"/>
    <x v="1"/>
  </r>
  <r>
    <s v="AHQ-40440-522"/>
    <x v="577"/>
    <s v="83833-46106-ZC"/>
    <s v="A-D-1"/>
    <n v="1"/>
    <s v="Martie Brimilcombe"/>
    <s v=""/>
    <x v="0"/>
    <x v="64"/>
    <x v="2"/>
    <s v="D"/>
    <x v="0"/>
    <n v="9.9499999999999993"/>
    <n v="0.89549999999999985"/>
    <n v="9.9499999999999993"/>
    <x v="2"/>
    <x v="2"/>
    <x v="1"/>
  </r>
  <r>
    <s v="TID-21626-411"/>
    <x v="578"/>
    <s v="19383-33606-PW"/>
    <s v="R-L-0.5"/>
    <n v="3"/>
    <s v="Suzanna Bollam"/>
    <s v=""/>
    <x v="0"/>
    <x v="335"/>
    <x v="0"/>
    <s v="L"/>
    <x v="1"/>
    <n v="7.169999999999999"/>
    <n v="1.2905999999999997"/>
    <n v="21.509999999999998"/>
    <x v="0"/>
    <x v="1"/>
    <x v="1"/>
  </r>
  <r>
    <s v="RSR-96390-187"/>
    <x v="579"/>
    <s v="67052-76184-CB"/>
    <s v="E-M-1"/>
    <n v="6"/>
    <s v="Mellisa Mebes"/>
    <s v=""/>
    <x v="0"/>
    <x v="192"/>
    <x v="1"/>
    <s v="M"/>
    <x v="0"/>
    <n v="13.75"/>
    <n v="9.0749999999999993"/>
    <n v="82.5"/>
    <x v="1"/>
    <x v="0"/>
    <x v="1"/>
  </r>
  <r>
    <s v="BZE-96093-118"/>
    <x v="91"/>
    <s v="43452-18035-DH"/>
    <s v="L-M-0.2"/>
    <n v="2"/>
    <s v="Alva Filipczak"/>
    <s v=""/>
    <x v="1"/>
    <x v="66"/>
    <x v="3"/>
    <s v="M"/>
    <x v="3"/>
    <n v="4.3650000000000002"/>
    <n v="1.1349"/>
    <n v="8.73"/>
    <x v="3"/>
    <x v="0"/>
    <x v="1"/>
  </r>
  <r>
    <s v="LOU-41819-242"/>
    <x v="272"/>
    <s v="88060-50676-MV"/>
    <s v="R-M-1"/>
    <n v="2"/>
    <s v="Dorette Hinemoor"/>
    <s v=""/>
    <x v="0"/>
    <x v="42"/>
    <x v="0"/>
    <s v="M"/>
    <x v="0"/>
    <n v="9.9499999999999993"/>
    <n v="1.194"/>
    <n v="19.899999999999999"/>
    <x v="0"/>
    <x v="0"/>
    <x v="0"/>
  </r>
  <r>
    <s v="FND-99527-640"/>
    <x v="65"/>
    <s v="89574-96203-EP"/>
    <s v="E-L-0.5"/>
    <n v="2"/>
    <s v="Rhetta Elnaugh"/>
    <s v=""/>
    <x v="0"/>
    <x v="236"/>
    <x v="1"/>
    <s v="L"/>
    <x v="1"/>
    <n v="8.91"/>
    <n v="1.9601999999999999"/>
    <n v="17.82"/>
    <x v="1"/>
    <x v="1"/>
    <x v="0"/>
  </r>
  <r>
    <s v="ASG-27179-958"/>
    <x v="580"/>
    <s v="12607-75113-UV"/>
    <s v="A-M-0.5"/>
    <n v="3"/>
    <s v="Jule Deehan"/>
    <s v=""/>
    <x v="0"/>
    <x v="68"/>
    <x v="2"/>
    <s v="M"/>
    <x v="1"/>
    <n v="6.75"/>
    <n v="1.8224999999999998"/>
    <n v="20.25"/>
    <x v="2"/>
    <x v="0"/>
    <x v="1"/>
  </r>
  <r>
    <s v="YKX-23510-272"/>
    <x v="581"/>
    <s v="56991-05510-PR"/>
    <s v="A-L-2.5"/>
    <n v="2"/>
    <s v="Janella Eden"/>
    <s v=""/>
    <x v="0"/>
    <x v="336"/>
    <x v="2"/>
    <s v="L"/>
    <x v="2"/>
    <n v="29.784999999999997"/>
    <n v="5.3612999999999991"/>
    <n v="59.569999999999993"/>
    <x v="2"/>
    <x v="1"/>
    <x v="1"/>
  </r>
  <r>
    <s v="FSA-98650-921"/>
    <x v="489"/>
    <s v="01841-48191-NL"/>
    <s v="L-L-0.5"/>
    <n v="2"/>
    <s v="Cam Jewster"/>
    <s v=""/>
    <x v="0"/>
    <x v="4"/>
    <x v="3"/>
    <s v="L"/>
    <x v="1"/>
    <n v="9.51"/>
    <n v="2.4725999999999999"/>
    <n v="19.02"/>
    <x v="3"/>
    <x v="1"/>
    <x v="0"/>
  </r>
  <r>
    <s v="ZUR-55774-294"/>
    <x v="234"/>
    <s v="33269-10023-CO"/>
    <s v="L-D-1"/>
    <n v="6"/>
    <s v="Ugo Southerden"/>
    <s v=""/>
    <x v="0"/>
    <x v="120"/>
    <x v="3"/>
    <s v="D"/>
    <x v="0"/>
    <n v="12.95"/>
    <n v="10.100999999999999"/>
    <n v="77.699999999999989"/>
    <x v="3"/>
    <x v="2"/>
    <x v="0"/>
  </r>
  <r>
    <s v="FUO-99821-974"/>
    <x v="175"/>
    <s v="31245-81098-PJ"/>
    <s v="E-M-1"/>
    <n v="3"/>
    <s v="Verne Dunkerley"/>
    <s v=""/>
    <x v="0"/>
    <x v="30"/>
    <x v="1"/>
    <s v="M"/>
    <x v="0"/>
    <n v="13.75"/>
    <n v="4.5374999999999996"/>
    <n v="41.25"/>
    <x v="1"/>
    <x v="0"/>
    <x v="1"/>
  </r>
  <r>
    <s v="YVH-19865-819"/>
    <x v="582"/>
    <s v="08946-56610-IH"/>
    <s v="L-L-2.5"/>
    <n v="4"/>
    <s v="Lacee Burtenshaw"/>
    <s v=""/>
    <x v="0"/>
    <x v="227"/>
    <x v="3"/>
    <s v="L"/>
    <x v="2"/>
    <n v="36.454999999999998"/>
    <n v="18.956599999999998"/>
    <n v="145.82"/>
    <x v="3"/>
    <x v="1"/>
    <x v="1"/>
  </r>
  <r>
    <s v="NNF-47422-501"/>
    <x v="583"/>
    <s v="20260-32948-EB"/>
    <s v="E-L-0.2"/>
    <n v="6"/>
    <s v="Adorne Gregoratti"/>
    <s v=""/>
    <x v="1"/>
    <x v="337"/>
    <x v="1"/>
    <s v="L"/>
    <x v="3"/>
    <n v="4.4550000000000001"/>
    <n v="2.9402999999999997"/>
    <n v="26.73"/>
    <x v="1"/>
    <x v="1"/>
    <x v="1"/>
  </r>
  <r>
    <s v="RJI-71409-490"/>
    <x v="548"/>
    <s v="31613-41626-KX"/>
    <s v="L-M-0.5"/>
    <n v="5"/>
    <s v="Chris Croster"/>
    <s v=""/>
    <x v="0"/>
    <x v="47"/>
    <x v="3"/>
    <s v="M"/>
    <x v="1"/>
    <n v="8.73"/>
    <n v="5.6745000000000001"/>
    <n v="43.650000000000006"/>
    <x v="3"/>
    <x v="0"/>
    <x v="0"/>
  </r>
  <r>
    <s v="UZL-46108-213"/>
    <x v="584"/>
    <s v="75961-20170-RD"/>
    <s v="L-L-1"/>
    <n v="2"/>
    <s v="Graeme Whitehead"/>
    <s v=""/>
    <x v="0"/>
    <x v="93"/>
    <x v="3"/>
    <s v="L"/>
    <x v="0"/>
    <n v="15.85"/>
    <n v="4.1210000000000004"/>
    <n v="31.7"/>
    <x v="3"/>
    <x v="1"/>
    <x v="1"/>
  </r>
  <r>
    <s v="AOX-44467-109"/>
    <x v="64"/>
    <s v="72524-06410-KD"/>
    <s v="A-D-2.5"/>
    <n v="1"/>
    <s v="Haslett Jodrelle"/>
    <s v=""/>
    <x v="0"/>
    <x v="218"/>
    <x v="2"/>
    <s v="D"/>
    <x v="2"/>
    <n v="22.884999999999998"/>
    <n v="2.0596499999999995"/>
    <n v="22.884999999999998"/>
    <x v="2"/>
    <x v="2"/>
    <x v="1"/>
  </r>
  <r>
    <s v="TZD-67261-174"/>
    <x v="585"/>
    <s v="01841-48191-NL"/>
    <s v="E-D-2.5"/>
    <n v="1"/>
    <s v="Cam Jewster"/>
    <s v=""/>
    <x v="0"/>
    <x v="4"/>
    <x v="1"/>
    <s v="D"/>
    <x v="2"/>
    <n v="27.945"/>
    <n v="3.07395"/>
    <n v="27.945"/>
    <x v="1"/>
    <x v="2"/>
    <x v="0"/>
  </r>
  <r>
    <s v="TBU-64277-625"/>
    <x v="32"/>
    <s v="98918-34330-GY"/>
    <s v="E-M-1"/>
    <n v="6"/>
    <s v="Beryl Osborn"/>
    <s v=""/>
    <x v="0"/>
    <x v="54"/>
    <x v="1"/>
    <s v="M"/>
    <x v="0"/>
    <n v="13.75"/>
    <n v="9.0749999999999993"/>
    <n v="82.5"/>
    <x v="1"/>
    <x v="0"/>
    <x v="0"/>
  </r>
  <r>
    <s v="TYP-85767-944"/>
    <x v="586"/>
    <s v="51497-50894-WU"/>
    <s v="R-M-2.5"/>
    <n v="2"/>
    <s v="Kaela Nottram"/>
    <s v=""/>
    <x v="1"/>
    <x v="338"/>
    <x v="0"/>
    <s v="M"/>
    <x v="2"/>
    <n v="22.884999999999998"/>
    <n v="2.7461999999999995"/>
    <n v="45.769999999999996"/>
    <x v="0"/>
    <x v="0"/>
    <x v="0"/>
  </r>
  <r>
    <s v="GTT-73214-334"/>
    <x v="535"/>
    <s v="98636-90072-YE"/>
    <s v="A-L-1"/>
    <n v="6"/>
    <s v="Nobe Buney"/>
    <s v=""/>
    <x v="0"/>
    <x v="8"/>
    <x v="2"/>
    <s v="L"/>
    <x v="0"/>
    <n v="12.95"/>
    <n v="6.9930000000000003"/>
    <n v="77.699999999999989"/>
    <x v="2"/>
    <x v="1"/>
    <x v="1"/>
  </r>
  <r>
    <s v="WAI-89905-069"/>
    <x v="587"/>
    <s v="47011-57815-HJ"/>
    <s v="A-L-0.5"/>
    <n v="3"/>
    <s v="Silvan McShea"/>
    <s v=""/>
    <x v="0"/>
    <x v="339"/>
    <x v="2"/>
    <s v="L"/>
    <x v="1"/>
    <n v="7.77"/>
    <n v="2.0978999999999997"/>
    <n v="23.31"/>
    <x v="2"/>
    <x v="1"/>
    <x v="1"/>
  </r>
  <r>
    <s v="OJL-96844-459"/>
    <x v="393"/>
    <s v="61253-98356-VD"/>
    <s v="L-L-0.2"/>
    <n v="5"/>
    <s v="Karylin Huddart"/>
    <s v=""/>
    <x v="0"/>
    <x v="113"/>
    <x v="3"/>
    <s v="L"/>
    <x v="3"/>
    <n v="4.7549999999999999"/>
    <n v="3.0907499999999999"/>
    <n v="23.774999999999999"/>
    <x v="3"/>
    <x v="1"/>
    <x v="0"/>
  </r>
  <r>
    <s v="VGI-33205-360"/>
    <x v="588"/>
    <s v="96762-10814-DA"/>
    <s v="L-M-0.5"/>
    <n v="6"/>
    <s v="Jereme Gippes"/>
    <s v=""/>
    <x v="2"/>
    <x v="340"/>
    <x v="3"/>
    <s v="M"/>
    <x v="1"/>
    <n v="8.73"/>
    <n v="6.8094000000000001"/>
    <n v="52.38"/>
    <x v="3"/>
    <x v="0"/>
    <x v="0"/>
  </r>
  <r>
    <s v="PCA-14081-576"/>
    <x v="15"/>
    <s v="63112-10870-LC"/>
    <s v="R-L-0.2"/>
    <n v="5"/>
    <s v="Lukas Whittlesee"/>
    <s v=""/>
    <x v="0"/>
    <x v="110"/>
    <x v="0"/>
    <s v="L"/>
    <x v="3"/>
    <n v="3.5849999999999995"/>
    <n v="1.0754999999999999"/>
    <n v="17.924999999999997"/>
    <x v="0"/>
    <x v="1"/>
    <x v="1"/>
  </r>
  <r>
    <s v="SCS-67069-962"/>
    <x v="507"/>
    <s v="21403-49423-PD"/>
    <s v="A-L-2.5"/>
    <n v="5"/>
    <s v="Gregorius Trengrove"/>
    <s v=""/>
    <x v="0"/>
    <x v="341"/>
    <x v="2"/>
    <s v="L"/>
    <x v="2"/>
    <n v="29.784999999999997"/>
    <n v="13.403249999999998"/>
    <n v="148.92499999999998"/>
    <x v="2"/>
    <x v="1"/>
    <x v="1"/>
  </r>
  <r>
    <s v="BDM-03174-485"/>
    <x v="533"/>
    <s v="29581-13303-VB"/>
    <s v="R-L-0.5"/>
    <n v="4"/>
    <s v="Wright Caldero"/>
    <s v=""/>
    <x v="0"/>
    <x v="219"/>
    <x v="0"/>
    <s v="L"/>
    <x v="1"/>
    <n v="7.169999999999999"/>
    <n v="1.7207999999999997"/>
    <n v="28.679999999999996"/>
    <x v="0"/>
    <x v="1"/>
    <x v="1"/>
  </r>
  <r>
    <s v="UJV-32333-364"/>
    <x v="589"/>
    <s v="86110-83695-YS"/>
    <s v="L-L-0.5"/>
    <n v="1"/>
    <s v="Merell Zanazzi"/>
    <s v=""/>
    <x v="0"/>
    <x v="193"/>
    <x v="3"/>
    <s v="L"/>
    <x v="1"/>
    <n v="9.51"/>
    <n v="1.2363"/>
    <n v="9.51"/>
    <x v="3"/>
    <x v="1"/>
    <x v="1"/>
  </r>
  <r>
    <s v="FLI-11493-954"/>
    <x v="590"/>
    <s v="80454-42225-FT"/>
    <s v="A-L-0.5"/>
    <n v="4"/>
    <s v="Jed Kennicott"/>
    <s v=""/>
    <x v="0"/>
    <x v="47"/>
    <x v="2"/>
    <s v="L"/>
    <x v="1"/>
    <n v="7.77"/>
    <n v="2.7971999999999997"/>
    <n v="31.08"/>
    <x v="2"/>
    <x v="1"/>
    <x v="1"/>
  </r>
  <r>
    <s v="IWL-13117-537"/>
    <x v="457"/>
    <s v="29129-60664-KO"/>
    <s v="R-D-0.2"/>
    <n v="3"/>
    <s v="Guenevere Ruggen"/>
    <s v=""/>
    <x v="0"/>
    <x v="7"/>
    <x v="0"/>
    <s v="D"/>
    <x v="3"/>
    <n v="2.6849999999999996"/>
    <n v="0.4832999999999999"/>
    <n v="8.0549999999999997"/>
    <x v="0"/>
    <x v="2"/>
    <x v="0"/>
  </r>
  <r>
    <s v="OAM-76916-748"/>
    <x v="591"/>
    <s v="63025-62939-AN"/>
    <s v="E-D-1"/>
    <n v="3"/>
    <s v="Gonzales Cicculi"/>
    <s v=""/>
    <x v="0"/>
    <x v="41"/>
    <x v="1"/>
    <s v="D"/>
    <x v="0"/>
    <n v="12.15"/>
    <n v="4.0095000000000001"/>
    <n v="36.450000000000003"/>
    <x v="1"/>
    <x v="2"/>
    <x v="0"/>
  </r>
  <r>
    <s v="UMB-11223-710"/>
    <x v="592"/>
    <s v="49012-12987-QT"/>
    <s v="R-D-0.2"/>
    <n v="6"/>
    <s v="Man Fright"/>
    <s v=""/>
    <x v="1"/>
    <x v="280"/>
    <x v="0"/>
    <s v="D"/>
    <x v="3"/>
    <n v="2.6849999999999996"/>
    <n v="0.96659999999999979"/>
    <n v="16.11"/>
    <x v="0"/>
    <x v="2"/>
    <x v="1"/>
  </r>
  <r>
    <s v="LXR-09892-726"/>
    <x v="402"/>
    <s v="50924-94200-SQ"/>
    <s v="R-D-2.5"/>
    <n v="2"/>
    <s v="Boyce Tarte"/>
    <s v=""/>
    <x v="0"/>
    <x v="339"/>
    <x v="0"/>
    <s v="D"/>
    <x v="2"/>
    <n v="20.584999999999997"/>
    <n v="2.4701999999999997"/>
    <n v="41.169999999999995"/>
    <x v="0"/>
    <x v="2"/>
    <x v="0"/>
  </r>
  <r>
    <s v="QXX-89943-393"/>
    <x v="593"/>
    <s v="15673-18812-IU"/>
    <s v="R-D-0.2"/>
    <n v="4"/>
    <s v="Caddric Krzysztofiak"/>
    <s v=""/>
    <x v="0"/>
    <x v="342"/>
    <x v="0"/>
    <s v="D"/>
    <x v="3"/>
    <n v="2.6849999999999996"/>
    <n v="0.64439999999999986"/>
    <n v="10.739999999999998"/>
    <x v="0"/>
    <x v="2"/>
    <x v="1"/>
  </r>
  <r>
    <s v="WVS-57822-366"/>
    <x v="594"/>
    <s v="52151-75971-YY"/>
    <s v="E-M-2.5"/>
    <n v="4"/>
    <s v="Darn Penquet"/>
    <s v=""/>
    <x v="0"/>
    <x v="155"/>
    <x v="1"/>
    <s v="M"/>
    <x v="2"/>
    <n v="31.624999999999996"/>
    <n v="13.914999999999999"/>
    <n v="126.49999999999999"/>
    <x v="1"/>
    <x v="0"/>
    <x v="1"/>
  </r>
  <r>
    <s v="CLJ-23403-689"/>
    <x v="77"/>
    <s v="19413-02045-CG"/>
    <s v="R-L-1"/>
    <n v="2"/>
    <s v="Jammie Cloke"/>
    <s v=""/>
    <x v="2"/>
    <x v="176"/>
    <x v="0"/>
    <s v="L"/>
    <x v="0"/>
    <n v="11.95"/>
    <n v="1.4339999999999999"/>
    <n v="23.9"/>
    <x v="0"/>
    <x v="1"/>
    <x v="1"/>
  </r>
  <r>
    <s v="XNU-83276-288"/>
    <x v="595"/>
    <s v="98185-92775-KT"/>
    <s v="R-M-0.5"/>
    <n v="1"/>
    <s v="Chester Clowton"/>
    <s v=""/>
    <x v="0"/>
    <x v="343"/>
    <x v="0"/>
    <s v="M"/>
    <x v="1"/>
    <n v="5.97"/>
    <n v="0.35819999999999996"/>
    <n v="5.97"/>
    <x v="0"/>
    <x v="0"/>
    <x v="1"/>
  </r>
  <r>
    <s v="YOG-94666-679"/>
    <x v="596"/>
    <s v="86991-53901-AT"/>
    <s v="L-D-0.2"/>
    <n v="2"/>
    <s v="Kathleen Diable"/>
    <s v=""/>
    <x v="2"/>
    <x v="44"/>
    <x v="3"/>
    <s v="D"/>
    <x v="3"/>
    <n v="3.8849999999999998"/>
    <n v="1.0101"/>
    <n v="7.77"/>
    <x v="3"/>
    <x v="2"/>
    <x v="0"/>
  </r>
  <r>
    <s v="KHG-33953-115"/>
    <x v="514"/>
    <s v="78226-97287-JI"/>
    <s v="L-D-0.5"/>
    <n v="3"/>
    <s v="Koren Ferretti"/>
    <s v=""/>
    <x v="1"/>
    <x v="232"/>
    <x v="3"/>
    <s v="D"/>
    <x v="1"/>
    <n v="7.77"/>
    <n v="3.0303"/>
    <n v="23.31"/>
    <x v="3"/>
    <x v="2"/>
    <x v="1"/>
  </r>
  <r>
    <s v="MHD-95615-696"/>
    <x v="54"/>
    <s v="27930-59250-JT"/>
    <s v="R-L-2.5"/>
    <n v="5"/>
    <s v="Allis Wilmore"/>
    <s v=""/>
    <x v="0"/>
    <x v="13"/>
    <x v="0"/>
    <s v="L"/>
    <x v="2"/>
    <n v="27.484999999999996"/>
    <n v="8.2454999999999998"/>
    <n v="137.42499999999998"/>
    <x v="0"/>
    <x v="1"/>
    <x v="1"/>
  </r>
  <r>
    <s v="HBH-64794-080"/>
    <x v="597"/>
    <s v="40560-18556-YE"/>
    <s v="R-D-0.2"/>
    <n v="3"/>
    <s v="Chaddie Bennie"/>
    <s v=""/>
    <x v="0"/>
    <x v="87"/>
    <x v="0"/>
    <s v="D"/>
    <x v="3"/>
    <n v="2.6849999999999996"/>
    <n v="0.4832999999999999"/>
    <n v="8.0549999999999997"/>
    <x v="0"/>
    <x v="2"/>
    <x v="0"/>
  </r>
  <r>
    <s v="CNJ-56058-223"/>
    <x v="105"/>
    <s v="40780-22081-LX"/>
    <s v="L-L-0.5"/>
    <n v="3"/>
    <s v="Alberta Balsdone"/>
    <s v=""/>
    <x v="0"/>
    <x v="344"/>
    <x v="3"/>
    <s v="L"/>
    <x v="1"/>
    <n v="9.51"/>
    <n v="3.7088999999999999"/>
    <n v="28.53"/>
    <x v="3"/>
    <x v="1"/>
    <x v="1"/>
  </r>
  <r>
    <s v="KHO-27106-786"/>
    <x v="210"/>
    <s v="01603-43789-TN"/>
    <s v="A-M-1"/>
    <n v="6"/>
    <s v="Brice Romera"/>
    <s v=""/>
    <x v="1"/>
    <x v="345"/>
    <x v="2"/>
    <s v="M"/>
    <x v="0"/>
    <n v="11.25"/>
    <n v="6.0749999999999993"/>
    <n v="67.5"/>
    <x v="2"/>
    <x v="0"/>
    <x v="0"/>
  </r>
  <r>
    <s v="KHO-27106-786"/>
    <x v="210"/>
    <s v="01603-43789-TN"/>
    <s v="L-D-2.5"/>
    <n v="6"/>
    <s v="Brice Romera"/>
    <s v=""/>
    <x v="1"/>
    <x v="345"/>
    <x v="3"/>
    <s v="D"/>
    <x v="2"/>
    <n v="29.784999999999997"/>
    <n v="23.232299999999999"/>
    <n v="178.70999999999998"/>
    <x v="3"/>
    <x v="2"/>
    <x v="0"/>
  </r>
  <r>
    <s v="YAC-50329-982"/>
    <x v="598"/>
    <s v="75419-92838-TI"/>
    <s v="E-M-2.5"/>
    <n v="1"/>
    <s v="Conchita Bryde"/>
    <s v=""/>
    <x v="0"/>
    <x v="101"/>
    <x v="1"/>
    <s v="M"/>
    <x v="2"/>
    <n v="31.624999999999996"/>
    <n v="3.4787499999999998"/>
    <n v="31.624999999999996"/>
    <x v="1"/>
    <x v="0"/>
    <x v="0"/>
  </r>
  <r>
    <s v="VVL-95291-039"/>
    <x v="360"/>
    <s v="96516-97464-MF"/>
    <s v="E-L-0.2"/>
    <n v="2"/>
    <s v="Silvanus Enefer"/>
    <s v=""/>
    <x v="0"/>
    <x v="41"/>
    <x v="1"/>
    <s v="L"/>
    <x v="3"/>
    <n v="4.4550000000000001"/>
    <n v="0.98009999999999997"/>
    <n v="8.91"/>
    <x v="1"/>
    <x v="1"/>
    <x v="1"/>
  </r>
  <r>
    <s v="VUT-20974-364"/>
    <x v="62"/>
    <s v="90285-56295-PO"/>
    <s v="R-M-0.5"/>
    <n v="6"/>
    <s v="Lenci Haggerstone"/>
    <s v=""/>
    <x v="0"/>
    <x v="161"/>
    <x v="0"/>
    <s v="M"/>
    <x v="1"/>
    <n v="5.97"/>
    <n v="2.1491999999999996"/>
    <n v="35.82"/>
    <x v="0"/>
    <x v="0"/>
    <x v="1"/>
  </r>
  <r>
    <s v="SFC-34054-213"/>
    <x v="599"/>
    <s v="08100-71102-HQ"/>
    <s v="L-L-0.5"/>
    <n v="4"/>
    <s v="Marvin Gundry"/>
    <s v=""/>
    <x v="1"/>
    <x v="118"/>
    <x v="3"/>
    <s v="L"/>
    <x v="1"/>
    <n v="9.51"/>
    <n v="4.9451999999999998"/>
    <n v="38.04"/>
    <x v="3"/>
    <x v="1"/>
    <x v="1"/>
  </r>
  <r>
    <s v="UDS-04807-593"/>
    <x v="600"/>
    <s v="84074-28110-OV"/>
    <s v="L-D-0.5"/>
    <n v="2"/>
    <s v="Bayard Wellan"/>
    <s v=""/>
    <x v="0"/>
    <x v="73"/>
    <x v="3"/>
    <s v="D"/>
    <x v="1"/>
    <n v="7.77"/>
    <n v="2.0202"/>
    <n v="15.54"/>
    <x v="3"/>
    <x v="2"/>
    <x v="1"/>
  </r>
  <r>
    <s v="FWE-98471-488"/>
    <x v="601"/>
    <s v="27930-59250-JT"/>
    <s v="L-L-1"/>
    <n v="5"/>
    <s v="Allis Wilmore"/>
    <s v=""/>
    <x v="0"/>
    <x v="13"/>
    <x v="3"/>
    <s v="L"/>
    <x v="0"/>
    <n v="15.85"/>
    <n v="10.302500000000002"/>
    <n v="79.25"/>
    <x v="3"/>
    <x v="1"/>
    <x v="1"/>
  </r>
  <r>
    <s v="RAU-17060-674"/>
    <x v="602"/>
    <s v="12747-63766-EU"/>
    <s v="L-L-0.2"/>
    <n v="1"/>
    <s v="Caddric Atcheson"/>
    <s v=""/>
    <x v="0"/>
    <x v="41"/>
    <x v="3"/>
    <s v="L"/>
    <x v="3"/>
    <n v="4.7549999999999999"/>
    <n v="0.61814999999999998"/>
    <n v="4.7549999999999999"/>
    <x v="3"/>
    <x v="1"/>
    <x v="0"/>
  </r>
  <r>
    <s v="AOL-13866-711"/>
    <x v="603"/>
    <s v="83490-88357-LJ"/>
    <s v="E-M-1"/>
    <n v="4"/>
    <s v="Eustace Stenton"/>
    <s v=""/>
    <x v="0"/>
    <x v="79"/>
    <x v="1"/>
    <s v="M"/>
    <x v="0"/>
    <n v="13.75"/>
    <n v="6.05"/>
    <n v="55"/>
    <x v="1"/>
    <x v="0"/>
    <x v="0"/>
  </r>
  <r>
    <s v="NOA-79645-377"/>
    <x v="604"/>
    <s v="53729-30320-XZ"/>
    <s v="R-D-0.5"/>
    <n v="5"/>
    <s v="Ericka Tripp"/>
    <s v=""/>
    <x v="0"/>
    <x v="137"/>
    <x v="0"/>
    <s v="D"/>
    <x v="1"/>
    <n v="5.3699999999999992"/>
    <n v="1.6109999999999998"/>
    <n v="26.849999999999994"/>
    <x v="0"/>
    <x v="2"/>
    <x v="1"/>
  </r>
  <r>
    <s v="KMS-49214-806"/>
    <x v="605"/>
    <s v="50384-52703-LA"/>
    <s v="E-L-2.5"/>
    <n v="4"/>
    <s v="Lyndsey MacManus"/>
    <s v=""/>
    <x v="0"/>
    <x v="346"/>
    <x v="1"/>
    <s v="L"/>
    <x v="2"/>
    <n v="34.154999999999994"/>
    <n v="15.028199999999998"/>
    <n v="136.61999999999998"/>
    <x v="1"/>
    <x v="1"/>
    <x v="1"/>
  </r>
  <r>
    <s v="ABK-08091-531"/>
    <x v="606"/>
    <s v="53864-36201-FG"/>
    <s v="L-L-1"/>
    <n v="3"/>
    <s v="Tess Benediktovich"/>
    <s v=""/>
    <x v="0"/>
    <x v="347"/>
    <x v="3"/>
    <s v="L"/>
    <x v="0"/>
    <n v="15.85"/>
    <n v="6.1815000000000007"/>
    <n v="47.55"/>
    <x v="3"/>
    <x v="1"/>
    <x v="0"/>
  </r>
  <r>
    <s v="GPT-67705-953"/>
    <x v="446"/>
    <s v="70631-33225-MZ"/>
    <s v="A-M-0.2"/>
    <n v="5"/>
    <s v="Correy Bourner"/>
    <s v=""/>
    <x v="0"/>
    <x v="63"/>
    <x v="2"/>
    <s v="M"/>
    <x v="3"/>
    <n v="3.375"/>
    <n v="1.5187499999999998"/>
    <n v="16.875"/>
    <x v="2"/>
    <x v="0"/>
    <x v="0"/>
  </r>
  <r>
    <s v="JNA-21450-177"/>
    <x v="18"/>
    <s v="54798-14109-HC"/>
    <s v="A-D-1"/>
    <n v="3"/>
    <s v="Odelia Skerme"/>
    <s v=""/>
    <x v="0"/>
    <x v="101"/>
    <x v="2"/>
    <s v="D"/>
    <x v="0"/>
    <n v="9.9499999999999993"/>
    <n v="2.6864999999999997"/>
    <n v="29.849999999999998"/>
    <x v="2"/>
    <x v="2"/>
    <x v="0"/>
  </r>
  <r>
    <s v="MPQ-23421-608"/>
    <x v="180"/>
    <s v="08023-52962-ET"/>
    <s v="E-M-0.5"/>
    <n v="5"/>
    <s v="Kandy Heddan"/>
    <s v=""/>
    <x v="0"/>
    <x v="48"/>
    <x v="1"/>
    <s v="M"/>
    <x v="1"/>
    <n v="8.25"/>
    <n v="4.5374999999999996"/>
    <n v="41.25"/>
    <x v="1"/>
    <x v="0"/>
    <x v="0"/>
  </r>
  <r>
    <s v="NLI-63891-565"/>
    <x v="580"/>
    <s v="41899-00283-VK"/>
    <s v="E-M-0.2"/>
    <n v="5"/>
    <s v="Ibby Charters"/>
    <s v=""/>
    <x v="0"/>
    <x v="41"/>
    <x v="1"/>
    <s v="M"/>
    <x v="3"/>
    <n v="4.125"/>
    <n v="2.2687499999999998"/>
    <n v="20.625"/>
    <x v="1"/>
    <x v="0"/>
    <x v="1"/>
  </r>
  <r>
    <s v="HHF-36647-854"/>
    <x v="453"/>
    <s v="39011-18412-GR"/>
    <s v="A-D-2.5"/>
    <n v="6"/>
    <s v="Adora Roubert"/>
    <s v=""/>
    <x v="0"/>
    <x v="348"/>
    <x v="2"/>
    <s v="D"/>
    <x v="2"/>
    <n v="22.884999999999998"/>
    <n v="12.357899999999997"/>
    <n v="137.31"/>
    <x v="2"/>
    <x v="2"/>
    <x v="0"/>
  </r>
  <r>
    <s v="SBN-16537-046"/>
    <x v="259"/>
    <s v="60255-12579-PZ"/>
    <s v="A-D-0.2"/>
    <n v="1"/>
    <s v="Hillel Mairs"/>
    <s v=""/>
    <x v="0"/>
    <x v="90"/>
    <x v="2"/>
    <s v="D"/>
    <x v="3"/>
    <n v="2.9849999999999999"/>
    <n v="0.26865"/>
    <n v="2.9849999999999999"/>
    <x v="2"/>
    <x v="2"/>
    <x v="1"/>
  </r>
  <r>
    <s v="XZD-44484-632"/>
    <x v="607"/>
    <s v="80541-38332-BP"/>
    <s v="E-M-1"/>
    <n v="2"/>
    <s v="Helaina Rainforth"/>
    <s v=""/>
    <x v="0"/>
    <x v="11"/>
    <x v="1"/>
    <s v="M"/>
    <x v="0"/>
    <n v="13.75"/>
    <n v="3.0249999999999999"/>
    <n v="27.5"/>
    <x v="1"/>
    <x v="0"/>
    <x v="1"/>
  </r>
  <r>
    <s v="XZD-44484-632"/>
    <x v="607"/>
    <s v="80541-38332-BP"/>
    <s v="A-D-0.2"/>
    <n v="2"/>
    <s v="Helaina Rainforth"/>
    <s v=""/>
    <x v="0"/>
    <x v="11"/>
    <x v="2"/>
    <s v="D"/>
    <x v="3"/>
    <n v="2.9849999999999999"/>
    <n v="0.5373"/>
    <n v="5.97"/>
    <x v="2"/>
    <x v="2"/>
    <x v="1"/>
  </r>
  <r>
    <s v="IKQ-39946-768"/>
    <x v="385"/>
    <s v="72778-50968-UQ"/>
    <s v="R-M-1"/>
    <n v="6"/>
    <s v="Isac Jesper"/>
    <s v=""/>
    <x v="0"/>
    <x v="53"/>
    <x v="0"/>
    <s v="M"/>
    <x v="0"/>
    <n v="9.9499999999999993"/>
    <n v="3.5819999999999999"/>
    <n v="59.699999999999996"/>
    <x v="0"/>
    <x v="0"/>
    <x v="1"/>
  </r>
  <r>
    <s v="KMB-95211-174"/>
    <x v="608"/>
    <s v="23941-30203-MO"/>
    <s v="R-D-2.5"/>
    <n v="4"/>
    <s v="Lenette Dwerryhouse"/>
    <s v=""/>
    <x v="0"/>
    <x v="57"/>
    <x v="0"/>
    <s v="D"/>
    <x v="2"/>
    <n v="20.584999999999997"/>
    <n v="4.9403999999999995"/>
    <n v="82.339999999999989"/>
    <x v="0"/>
    <x v="2"/>
    <x v="0"/>
  </r>
  <r>
    <s v="QWY-99467-368"/>
    <x v="609"/>
    <s v="96434-50068-DZ"/>
    <s v="A-D-2.5"/>
    <n v="1"/>
    <s v="Nadeen Broomer"/>
    <s v=""/>
    <x v="0"/>
    <x v="349"/>
    <x v="2"/>
    <s v="D"/>
    <x v="2"/>
    <n v="22.884999999999998"/>
    <n v="2.0596499999999995"/>
    <n v="22.884999999999998"/>
    <x v="2"/>
    <x v="2"/>
    <x v="1"/>
  </r>
  <r>
    <s v="SRG-76791-614"/>
    <x v="147"/>
    <s v="11729-74102-XB"/>
    <s v="E-L-0.5"/>
    <n v="1"/>
    <s v="Konstantine Thoumasson"/>
    <s v=""/>
    <x v="0"/>
    <x v="31"/>
    <x v="1"/>
    <s v="L"/>
    <x v="1"/>
    <n v="8.91"/>
    <n v="0.98009999999999997"/>
    <n v="8.91"/>
    <x v="1"/>
    <x v="1"/>
    <x v="0"/>
  </r>
  <r>
    <s v="VSN-94485-621"/>
    <x v="172"/>
    <s v="88116-12604-TE"/>
    <s v="A-D-0.2"/>
    <n v="4"/>
    <s v="Frans Habbergham"/>
    <s v=""/>
    <x v="0"/>
    <x v="125"/>
    <x v="2"/>
    <s v="D"/>
    <x v="3"/>
    <n v="2.9849999999999999"/>
    <n v="1.0746"/>
    <n v="11.94"/>
    <x v="2"/>
    <x v="2"/>
    <x v="1"/>
  </r>
  <r>
    <s v="UFZ-24348-219"/>
    <x v="610"/>
    <s v="27930-59250-JT"/>
    <s v="L-M-2.5"/>
    <n v="3"/>
    <s v="Allis Wilmore"/>
    <s v=""/>
    <x v="0"/>
    <x v="13"/>
    <x v="3"/>
    <s v="M"/>
    <x v="2"/>
    <n v="33.464999999999996"/>
    <n v="13.051349999999999"/>
    <n v="100.39499999999998"/>
    <x v="3"/>
    <x v="0"/>
    <x v="1"/>
  </r>
  <r>
    <s v="UKS-93055-397"/>
    <x v="611"/>
    <s v="13082-41034-PD"/>
    <s v="A-D-2.5"/>
    <n v="5"/>
    <s v="Romain Avrashin"/>
    <s v=""/>
    <x v="0"/>
    <x v="41"/>
    <x v="2"/>
    <s v="D"/>
    <x v="2"/>
    <n v="22.884999999999998"/>
    <n v="10.298249999999998"/>
    <n v="114.42499999999998"/>
    <x v="2"/>
    <x v="2"/>
    <x v="1"/>
  </r>
  <r>
    <s v="AVH-56062-335"/>
    <x v="612"/>
    <s v="18082-74419-QH"/>
    <s v="E-M-0.5"/>
    <n v="5"/>
    <s v="Miran Doidge"/>
    <s v=""/>
    <x v="0"/>
    <x v="350"/>
    <x v="1"/>
    <s v="M"/>
    <x v="1"/>
    <n v="8.25"/>
    <n v="4.5374999999999996"/>
    <n v="41.25"/>
    <x v="1"/>
    <x v="0"/>
    <x v="1"/>
  </r>
  <r>
    <s v="HGE-19842-613"/>
    <x v="613"/>
    <s v="49401-45041-ZU"/>
    <s v="R-L-0.5"/>
    <n v="4"/>
    <s v="Janeva Edinboro"/>
    <s v=""/>
    <x v="0"/>
    <x v="42"/>
    <x v="0"/>
    <s v="L"/>
    <x v="1"/>
    <n v="7.169999999999999"/>
    <n v="1.7207999999999997"/>
    <n v="28.679999999999996"/>
    <x v="0"/>
    <x v="1"/>
    <x v="0"/>
  </r>
  <r>
    <s v="WBA-85905-175"/>
    <x v="611"/>
    <s v="41252-45992-VS"/>
    <s v="L-M-0.2"/>
    <n v="1"/>
    <s v="Trumaine Tewelson"/>
    <s v=""/>
    <x v="0"/>
    <x v="87"/>
    <x v="3"/>
    <s v="M"/>
    <x v="3"/>
    <n v="4.3650000000000002"/>
    <n v="0.56745000000000001"/>
    <n v="4.3650000000000002"/>
    <x v="3"/>
    <x v="0"/>
    <x v="1"/>
  </r>
  <r>
    <s v="DZI-35365-596"/>
    <x v="493"/>
    <s v="54798-14109-HC"/>
    <s v="E-M-0.2"/>
    <n v="2"/>
    <s v="Odelia Skerme"/>
    <s v=""/>
    <x v="0"/>
    <x v="101"/>
    <x v="1"/>
    <s v="M"/>
    <x v="3"/>
    <n v="4.125"/>
    <n v="0.90749999999999997"/>
    <n v="8.25"/>
    <x v="1"/>
    <x v="0"/>
    <x v="0"/>
  </r>
  <r>
    <s v="XIR-88982-743"/>
    <x v="614"/>
    <s v="00852-54571-WP"/>
    <s v="E-M-0.2"/>
    <n v="2"/>
    <s v="De Drewitt"/>
    <s v=""/>
    <x v="0"/>
    <x v="117"/>
    <x v="1"/>
    <s v="M"/>
    <x v="3"/>
    <n v="4.125"/>
    <n v="0.90749999999999997"/>
    <n v="8.25"/>
    <x v="1"/>
    <x v="0"/>
    <x v="0"/>
  </r>
  <r>
    <s v="VUC-72395-865"/>
    <x v="151"/>
    <s v="13321-57602-GK"/>
    <s v="A-D-0.5"/>
    <n v="6"/>
    <s v="Adelheid Gladhill"/>
    <s v=""/>
    <x v="0"/>
    <x v="192"/>
    <x v="2"/>
    <s v="D"/>
    <x v="1"/>
    <n v="5.97"/>
    <n v="3.2237999999999998"/>
    <n v="35.82"/>
    <x v="2"/>
    <x v="2"/>
    <x v="0"/>
  </r>
  <r>
    <s v="BQJ-44755-910"/>
    <x v="489"/>
    <s v="75006-89922-VW"/>
    <s v="E-D-2.5"/>
    <n v="6"/>
    <s v="Murielle Lorinez"/>
    <s v=""/>
    <x v="0"/>
    <x v="98"/>
    <x v="1"/>
    <s v="D"/>
    <x v="2"/>
    <n v="27.945"/>
    <n v="18.4437"/>
    <n v="167.67000000000002"/>
    <x v="1"/>
    <x v="2"/>
    <x v="1"/>
  </r>
  <r>
    <s v="JKC-64636-831"/>
    <x v="615"/>
    <s v="52098-80103-FD"/>
    <s v="A-M-2.5"/>
    <n v="2"/>
    <s v="Edin Mathe"/>
    <s v=""/>
    <x v="0"/>
    <x v="227"/>
    <x v="2"/>
    <s v="M"/>
    <x v="2"/>
    <n v="25.874999999999996"/>
    <n v="4.6574999999999989"/>
    <n v="51.749999999999993"/>
    <x v="2"/>
    <x v="0"/>
    <x v="0"/>
  </r>
  <r>
    <s v="ZKI-78561-066"/>
    <x v="616"/>
    <s v="60121-12432-VU"/>
    <s v="A-D-0.2"/>
    <n v="3"/>
    <s v="Mordy Van Der Vlies"/>
    <s v=""/>
    <x v="0"/>
    <x v="351"/>
    <x v="2"/>
    <s v="D"/>
    <x v="3"/>
    <n v="2.9849999999999999"/>
    <n v="0.80594999999999994"/>
    <n v="8.9550000000000001"/>
    <x v="2"/>
    <x v="2"/>
    <x v="0"/>
  </r>
  <r>
    <s v="IMP-12563-728"/>
    <x v="578"/>
    <s v="68346-14810-UA"/>
    <s v="E-L-0.5"/>
    <n v="6"/>
    <s v="Spencer Wastell"/>
    <s v=""/>
    <x v="0"/>
    <x v="67"/>
    <x v="1"/>
    <s v="L"/>
    <x v="1"/>
    <n v="8.91"/>
    <n v="5.8805999999999994"/>
    <n v="53.46"/>
    <x v="1"/>
    <x v="1"/>
    <x v="1"/>
  </r>
  <r>
    <s v="MZL-81126-390"/>
    <x v="617"/>
    <s v="48464-99723-HK"/>
    <s v="A-L-0.2"/>
    <n v="6"/>
    <s v="Jemimah Ethelston"/>
    <s v=""/>
    <x v="0"/>
    <x v="352"/>
    <x v="2"/>
    <s v="L"/>
    <x v="3"/>
    <n v="3.8849999999999998"/>
    <n v="2.0978999999999997"/>
    <n v="23.31"/>
    <x v="2"/>
    <x v="1"/>
    <x v="0"/>
  </r>
  <r>
    <s v="MZL-81126-390"/>
    <x v="617"/>
    <s v="48464-99723-HK"/>
    <s v="A-M-0.2"/>
    <n v="2"/>
    <s v="Jemimah Ethelston"/>
    <s v=""/>
    <x v="0"/>
    <x v="352"/>
    <x v="2"/>
    <s v="M"/>
    <x v="3"/>
    <n v="3.375"/>
    <n v="0.60749999999999993"/>
    <n v="6.75"/>
    <x v="2"/>
    <x v="0"/>
    <x v="0"/>
  </r>
  <r>
    <s v="TVF-57766-608"/>
    <x v="155"/>
    <s v="88420-46464-XE"/>
    <s v="L-D-0.5"/>
    <n v="1"/>
    <s v="Perice Eberz"/>
    <s v=""/>
    <x v="0"/>
    <x v="231"/>
    <x v="3"/>
    <s v="D"/>
    <x v="1"/>
    <n v="7.77"/>
    <n v="1.0101"/>
    <n v="7.77"/>
    <x v="3"/>
    <x v="2"/>
    <x v="0"/>
  </r>
  <r>
    <s v="RUX-37995-892"/>
    <x v="461"/>
    <s v="37762-09530-MP"/>
    <s v="L-D-2.5"/>
    <n v="4"/>
    <s v="Bear Gaish"/>
    <s v=""/>
    <x v="0"/>
    <x v="79"/>
    <x v="3"/>
    <s v="D"/>
    <x v="2"/>
    <n v="29.784999999999997"/>
    <n v="15.488199999999999"/>
    <n v="119.13999999999999"/>
    <x v="3"/>
    <x v="2"/>
    <x v="0"/>
  </r>
  <r>
    <s v="AVK-76526-953"/>
    <x v="87"/>
    <s v="47268-50127-XY"/>
    <s v="A-D-1"/>
    <n v="2"/>
    <s v="Lynnea Danton"/>
    <s v=""/>
    <x v="0"/>
    <x v="87"/>
    <x v="2"/>
    <s v="D"/>
    <x v="0"/>
    <n v="9.9499999999999993"/>
    <n v="1.7909999999999997"/>
    <n v="19.899999999999999"/>
    <x v="2"/>
    <x v="2"/>
    <x v="1"/>
  </r>
  <r>
    <s v="RIU-02231-623"/>
    <x v="618"/>
    <s v="25544-84179-QC"/>
    <s v="R-L-0.5"/>
    <n v="5"/>
    <s v="Skipton Morrall"/>
    <s v=""/>
    <x v="0"/>
    <x v="27"/>
    <x v="0"/>
    <s v="L"/>
    <x v="1"/>
    <n v="7.169999999999999"/>
    <n v="2.1509999999999998"/>
    <n v="35.849999999999994"/>
    <x v="0"/>
    <x v="1"/>
    <x v="0"/>
  </r>
  <r>
    <s v="WFK-99317-827"/>
    <x v="619"/>
    <s v="32058-76765-ZL"/>
    <s v="L-D-2.5"/>
    <n v="3"/>
    <s v="Devan Crownshaw"/>
    <s v=""/>
    <x v="0"/>
    <x v="311"/>
    <x v="3"/>
    <s v="D"/>
    <x v="2"/>
    <n v="29.784999999999997"/>
    <n v="11.616149999999999"/>
    <n v="89.35499999999999"/>
    <x v="3"/>
    <x v="2"/>
    <x v="1"/>
  </r>
  <r>
    <s v="SFD-00372-284"/>
    <x v="440"/>
    <s v="54798-14109-HC"/>
    <s v="L-M-0.2"/>
    <n v="2"/>
    <s v="Odelia Skerme"/>
    <s v=""/>
    <x v="0"/>
    <x v="101"/>
    <x v="3"/>
    <s v="M"/>
    <x v="3"/>
    <n v="4.3650000000000002"/>
    <n v="1.1349"/>
    <n v="8.73"/>
    <x v="3"/>
    <x v="0"/>
    <x v="0"/>
  </r>
  <r>
    <s v="SXC-62166-515"/>
    <x v="489"/>
    <s v="69171-65646-UC"/>
    <s v="R-L-2.5"/>
    <n v="5"/>
    <s v="Joceline Reddoch"/>
    <s v=""/>
    <x v="0"/>
    <x v="344"/>
    <x v="0"/>
    <s v="L"/>
    <x v="2"/>
    <n v="27.484999999999996"/>
    <n v="8.2454999999999998"/>
    <n v="137.42499999999998"/>
    <x v="0"/>
    <x v="1"/>
    <x v="1"/>
  </r>
  <r>
    <s v="YIE-87008-621"/>
    <x v="620"/>
    <s v="22503-52799-MI"/>
    <s v="L-M-0.5"/>
    <n v="4"/>
    <s v="Shelley Titley"/>
    <s v=""/>
    <x v="0"/>
    <x v="97"/>
    <x v="3"/>
    <s v="M"/>
    <x v="1"/>
    <n v="8.73"/>
    <n v="4.5396000000000001"/>
    <n v="34.92"/>
    <x v="3"/>
    <x v="0"/>
    <x v="1"/>
  </r>
  <r>
    <s v="HRM-94548-288"/>
    <x v="621"/>
    <s v="08934-65581-ZI"/>
    <s v="A-L-2.5"/>
    <n v="6"/>
    <s v="Redd Simao"/>
    <s v=""/>
    <x v="0"/>
    <x v="321"/>
    <x v="2"/>
    <s v="L"/>
    <x v="2"/>
    <n v="29.784999999999997"/>
    <n v="16.083899999999996"/>
    <n v="178.70999999999998"/>
    <x v="2"/>
    <x v="1"/>
    <x v="1"/>
  </r>
  <r>
    <s v="UJG-34731-295"/>
    <x v="374"/>
    <s v="15764-22559-ZT"/>
    <s v="A-M-2.5"/>
    <n v="1"/>
    <s v="Cece Inker"/>
    <s v=""/>
    <x v="0"/>
    <x v="269"/>
    <x v="2"/>
    <s v="M"/>
    <x v="2"/>
    <n v="25.874999999999996"/>
    <n v="2.3287499999999994"/>
    <n v="25.874999999999996"/>
    <x v="2"/>
    <x v="0"/>
    <x v="1"/>
  </r>
  <r>
    <s v="TWD-70988-853"/>
    <x v="345"/>
    <s v="87519-68847-ZG"/>
    <s v="L-D-1"/>
    <n v="6"/>
    <s v="Noel Chisholm"/>
    <s v=""/>
    <x v="0"/>
    <x v="203"/>
    <x v="3"/>
    <s v="D"/>
    <x v="0"/>
    <n v="12.95"/>
    <n v="10.100999999999999"/>
    <n v="77.699999999999989"/>
    <x v="3"/>
    <x v="2"/>
    <x v="0"/>
  </r>
  <r>
    <s v="CIX-22904-641"/>
    <x v="622"/>
    <s v="78012-56878-UB"/>
    <s v="R-M-1"/>
    <n v="1"/>
    <s v="Grazia Oats"/>
    <s v=""/>
    <x v="0"/>
    <x v="6"/>
    <x v="0"/>
    <s v="M"/>
    <x v="0"/>
    <n v="9.9499999999999993"/>
    <n v="0.59699999999999998"/>
    <n v="9.9499999999999993"/>
    <x v="0"/>
    <x v="0"/>
    <x v="0"/>
  </r>
  <r>
    <s v="DLV-65840-759"/>
    <x v="623"/>
    <s v="77192-72145-RG"/>
    <s v="L-M-1"/>
    <n v="2"/>
    <s v="Meade Birkin"/>
    <s v=""/>
    <x v="0"/>
    <x v="218"/>
    <x v="3"/>
    <s v="M"/>
    <x v="0"/>
    <n v="14.55"/>
    <n v="3.7830000000000004"/>
    <n v="29.1"/>
    <x v="3"/>
    <x v="0"/>
    <x v="0"/>
  </r>
  <r>
    <s v="RXN-55491-201"/>
    <x v="354"/>
    <s v="86071-79238-CX"/>
    <s v="R-L-0.2"/>
    <n v="6"/>
    <s v="Ronda Pyson"/>
    <s v=""/>
    <x v="1"/>
    <x v="328"/>
    <x v="0"/>
    <s v="L"/>
    <x v="3"/>
    <n v="3.5849999999999995"/>
    <n v="1.2905999999999997"/>
    <n v="21.509999999999998"/>
    <x v="0"/>
    <x v="1"/>
    <x v="1"/>
  </r>
  <r>
    <s v="UHK-63283-868"/>
    <x v="624"/>
    <s v="16809-16936-WF"/>
    <s v="A-M-0.5"/>
    <n v="1"/>
    <s v="Modesty MacConnechie"/>
    <s v=""/>
    <x v="0"/>
    <x v="27"/>
    <x v="2"/>
    <s v="M"/>
    <x v="1"/>
    <n v="6.75"/>
    <n v="0.60749999999999993"/>
    <n v="6.75"/>
    <x v="2"/>
    <x v="0"/>
    <x v="0"/>
  </r>
  <r>
    <s v="PJC-31401-893"/>
    <x v="561"/>
    <s v="11212-69985-ZJ"/>
    <s v="A-D-0.5"/>
    <n v="3"/>
    <s v="Rafaela Treacher"/>
    <s v=""/>
    <x v="1"/>
    <x v="353"/>
    <x v="2"/>
    <s v="D"/>
    <x v="1"/>
    <n v="5.97"/>
    <n v="1.6118999999999999"/>
    <n v="17.91"/>
    <x v="2"/>
    <x v="2"/>
    <x v="1"/>
  </r>
  <r>
    <s v="HHO-79903-185"/>
    <x v="42"/>
    <s v="53893-01719-CL"/>
    <s v="A-L-2.5"/>
    <n v="1"/>
    <s v="Bee Fattorini"/>
    <s v=""/>
    <x v="1"/>
    <x v="354"/>
    <x v="2"/>
    <s v="L"/>
    <x v="2"/>
    <n v="29.784999999999997"/>
    <n v="2.6806499999999995"/>
    <n v="29.784999999999997"/>
    <x v="2"/>
    <x v="1"/>
    <x v="0"/>
  </r>
  <r>
    <s v="YWM-07310-594"/>
    <x v="267"/>
    <s v="66028-99867-WJ"/>
    <s v="E-M-0.5"/>
    <n v="5"/>
    <s v="Margie Palleske"/>
    <s v=""/>
    <x v="0"/>
    <x v="171"/>
    <x v="1"/>
    <s v="M"/>
    <x v="1"/>
    <n v="8.25"/>
    <n v="4.5374999999999996"/>
    <n v="41.25"/>
    <x v="1"/>
    <x v="0"/>
    <x v="0"/>
  </r>
  <r>
    <s v="FHD-94983-982"/>
    <x v="625"/>
    <s v="62839-56723-CH"/>
    <s v="R-M-0.5"/>
    <n v="3"/>
    <s v="Alexina Randals"/>
    <s v=""/>
    <x v="0"/>
    <x v="155"/>
    <x v="0"/>
    <s v="M"/>
    <x v="1"/>
    <n v="5.97"/>
    <n v="1.0745999999999998"/>
    <n v="17.91"/>
    <x v="0"/>
    <x v="0"/>
    <x v="0"/>
  </r>
  <r>
    <s v="WQK-10857-119"/>
    <x v="616"/>
    <s v="96849-52854-CR"/>
    <s v="E-D-0.5"/>
    <n v="1"/>
    <s v="Filip Antcliffe"/>
    <s v=""/>
    <x v="1"/>
    <x v="22"/>
    <x v="1"/>
    <s v="D"/>
    <x v="1"/>
    <n v="7.29"/>
    <n v="0.80190000000000006"/>
    <n v="7.29"/>
    <x v="1"/>
    <x v="2"/>
    <x v="0"/>
  </r>
  <r>
    <s v="DXA-50313-073"/>
    <x v="626"/>
    <s v="19755-55847-VW"/>
    <s v="E-L-1"/>
    <n v="2"/>
    <s v="Peyter Matignon"/>
    <s v=""/>
    <x v="2"/>
    <x v="355"/>
    <x v="1"/>
    <s v="L"/>
    <x v="0"/>
    <n v="14.85"/>
    <n v="3.2669999999999999"/>
    <n v="29.7"/>
    <x v="1"/>
    <x v="1"/>
    <x v="0"/>
  </r>
  <r>
    <s v="ONW-00560-570"/>
    <x v="52"/>
    <s v="32900-82606-BO"/>
    <s v="A-M-1"/>
    <n v="2"/>
    <s v="Claudie Weond"/>
    <s v=""/>
    <x v="0"/>
    <x v="228"/>
    <x v="2"/>
    <s v="M"/>
    <x v="0"/>
    <n v="11.25"/>
    <n v="2.0249999999999999"/>
    <n v="22.5"/>
    <x v="2"/>
    <x v="0"/>
    <x v="1"/>
  </r>
  <r>
    <s v="BRJ-19414-277"/>
    <x v="622"/>
    <s v="16809-16936-WF"/>
    <s v="R-M-0.2"/>
    <n v="4"/>
    <s v="Modesty MacConnechie"/>
    <s v=""/>
    <x v="0"/>
    <x v="27"/>
    <x v="0"/>
    <s v="M"/>
    <x v="3"/>
    <n v="2.9849999999999999"/>
    <n v="0.71639999999999993"/>
    <n v="11.94"/>
    <x v="0"/>
    <x v="0"/>
    <x v="0"/>
  </r>
  <r>
    <s v="MIQ-16322-908"/>
    <x v="627"/>
    <s v="20118-28138-QD"/>
    <s v="A-L-1"/>
    <n v="2"/>
    <s v="Jaquenette Skentelbery"/>
    <s v=""/>
    <x v="0"/>
    <x v="13"/>
    <x v="2"/>
    <s v="L"/>
    <x v="0"/>
    <n v="12.95"/>
    <n v="2.331"/>
    <n v="25.9"/>
    <x v="2"/>
    <x v="1"/>
    <x v="1"/>
  </r>
  <r>
    <s v="MVO-39328-830"/>
    <x v="628"/>
    <s v="84057-45461-AH"/>
    <s v="L-M-0.5"/>
    <n v="5"/>
    <s v="Orazio Comber"/>
    <s v=""/>
    <x v="1"/>
    <x v="82"/>
    <x v="3"/>
    <s v="M"/>
    <x v="1"/>
    <n v="8.73"/>
    <n v="5.6745000000000001"/>
    <n v="43.650000000000006"/>
    <x v="3"/>
    <x v="0"/>
    <x v="1"/>
  </r>
  <r>
    <s v="MVO-39328-830"/>
    <x v="628"/>
    <s v="84057-45461-AH"/>
    <s v="A-L-0.5"/>
    <n v="6"/>
    <s v="Orazio Comber"/>
    <s v=""/>
    <x v="1"/>
    <x v="82"/>
    <x v="2"/>
    <s v="L"/>
    <x v="1"/>
    <n v="7.77"/>
    <n v="4.1957999999999993"/>
    <n v="46.62"/>
    <x v="2"/>
    <x v="1"/>
    <x v="1"/>
  </r>
  <r>
    <s v="NTJ-88319-746"/>
    <x v="629"/>
    <s v="90882-88130-KQ"/>
    <s v="L-L-0.5"/>
    <n v="3"/>
    <s v="Zachary Tramel"/>
    <s v=""/>
    <x v="0"/>
    <x v="55"/>
    <x v="3"/>
    <s v="L"/>
    <x v="1"/>
    <n v="9.51"/>
    <n v="3.7088999999999999"/>
    <n v="28.53"/>
    <x v="3"/>
    <x v="1"/>
    <x v="1"/>
  </r>
  <r>
    <s v="LCY-24377-948"/>
    <x v="630"/>
    <s v="21617-79890-DD"/>
    <s v="R-L-2.5"/>
    <n v="1"/>
    <s v="Izaak Primak"/>
    <s v=""/>
    <x v="0"/>
    <x v="208"/>
    <x v="0"/>
    <s v="L"/>
    <x v="2"/>
    <n v="27.484999999999996"/>
    <n v="1.6490999999999998"/>
    <n v="27.484999999999996"/>
    <x v="0"/>
    <x v="1"/>
    <x v="0"/>
  </r>
  <r>
    <s v="FWD-85967-769"/>
    <x v="631"/>
    <s v="20256-54689-LO"/>
    <s v="E-D-0.2"/>
    <n v="3"/>
    <s v="Brittani Thoresbie"/>
    <s v=""/>
    <x v="0"/>
    <x v="19"/>
    <x v="1"/>
    <s v="D"/>
    <x v="3"/>
    <n v="3.645"/>
    <n v="1.2028500000000002"/>
    <n v="10.935"/>
    <x v="1"/>
    <x v="2"/>
    <x v="1"/>
  </r>
  <r>
    <s v="KTO-53793-109"/>
    <x v="229"/>
    <s v="17572-27091-AA"/>
    <s v="R-L-0.2"/>
    <n v="2"/>
    <s v="Constanta Hatfull"/>
    <s v=""/>
    <x v="0"/>
    <x v="356"/>
    <x v="0"/>
    <s v="L"/>
    <x v="3"/>
    <n v="3.5849999999999995"/>
    <n v="0.43019999999999992"/>
    <n v="7.169999999999999"/>
    <x v="0"/>
    <x v="1"/>
    <x v="1"/>
  </r>
  <r>
    <s v="OCK-89033-348"/>
    <x v="632"/>
    <s v="82300-88786-UE"/>
    <s v="A-L-0.2"/>
    <n v="6"/>
    <s v="Bobbe Castagneto"/>
    <s v=""/>
    <x v="0"/>
    <x v="332"/>
    <x v="2"/>
    <s v="L"/>
    <x v="3"/>
    <n v="3.8849999999999998"/>
    <n v="2.0978999999999997"/>
    <n v="23.31"/>
    <x v="2"/>
    <x v="1"/>
    <x v="0"/>
  </r>
  <r>
    <s v="GPZ-36017-366"/>
    <x v="633"/>
    <s v="65732-22589-OW"/>
    <s v="A-D-2.5"/>
    <n v="5"/>
    <s v="Kippie Marrison"/>
    <s v=""/>
    <x v="0"/>
    <x v="29"/>
    <x v="2"/>
    <s v="D"/>
    <x v="2"/>
    <n v="22.884999999999998"/>
    <n v="10.298249999999998"/>
    <n v="114.42499999999998"/>
    <x v="2"/>
    <x v="2"/>
    <x v="0"/>
  </r>
  <r>
    <s v="BZP-33213-637"/>
    <x v="95"/>
    <s v="77175-09826-SF"/>
    <s v="A-M-2.5"/>
    <n v="3"/>
    <s v="Lindon Agnolo"/>
    <s v=""/>
    <x v="0"/>
    <x v="134"/>
    <x v="2"/>
    <s v="M"/>
    <x v="2"/>
    <n v="25.874999999999996"/>
    <n v="6.9862499999999983"/>
    <n v="77.624999999999986"/>
    <x v="2"/>
    <x v="0"/>
    <x v="0"/>
  </r>
  <r>
    <s v="WFH-21507-708"/>
    <x v="521"/>
    <s v="07237-32539-NB"/>
    <s v="R-D-0.5"/>
    <n v="1"/>
    <s v="Delainey Kiddy"/>
    <s v=""/>
    <x v="0"/>
    <x v="74"/>
    <x v="0"/>
    <s v="D"/>
    <x v="1"/>
    <n v="5.3699999999999992"/>
    <n v="0.32219999999999993"/>
    <n v="5.3699999999999992"/>
    <x v="0"/>
    <x v="2"/>
    <x v="0"/>
  </r>
  <r>
    <s v="HST-96923-073"/>
    <x v="76"/>
    <s v="54722-76431-EX"/>
    <s v="R-D-2.5"/>
    <n v="6"/>
    <s v="Helli Petroulis"/>
    <s v=""/>
    <x v="1"/>
    <x v="357"/>
    <x v="0"/>
    <s v="D"/>
    <x v="2"/>
    <n v="20.584999999999997"/>
    <n v="7.4105999999999987"/>
    <n v="123.50999999999999"/>
    <x v="0"/>
    <x v="2"/>
    <x v="1"/>
  </r>
  <r>
    <s v="ENN-79947-323"/>
    <x v="634"/>
    <s v="67847-82662-TE"/>
    <s v="L-M-0.5"/>
    <n v="2"/>
    <s v="Marty Scholl"/>
    <s v=""/>
    <x v="0"/>
    <x v="204"/>
    <x v="3"/>
    <s v="M"/>
    <x v="1"/>
    <n v="8.73"/>
    <n v="2.2698"/>
    <n v="17.46"/>
    <x v="3"/>
    <x v="0"/>
    <x v="1"/>
  </r>
  <r>
    <s v="BHA-47429-889"/>
    <x v="635"/>
    <s v="51114-51191-EW"/>
    <s v="E-L-0.2"/>
    <n v="3"/>
    <s v="Kienan Ferson"/>
    <s v=""/>
    <x v="0"/>
    <x v="351"/>
    <x v="1"/>
    <s v="L"/>
    <x v="3"/>
    <n v="4.4550000000000001"/>
    <n v="1.4701499999999998"/>
    <n v="13.365"/>
    <x v="1"/>
    <x v="1"/>
    <x v="1"/>
  </r>
  <r>
    <s v="SZY-63017-318"/>
    <x v="636"/>
    <s v="91809-58808-TV"/>
    <s v="A-L-0.2"/>
    <n v="2"/>
    <s v="Blake Kelloway"/>
    <s v=""/>
    <x v="0"/>
    <x v="204"/>
    <x v="2"/>
    <s v="L"/>
    <x v="3"/>
    <n v="3.8849999999999998"/>
    <n v="0.69929999999999992"/>
    <n v="7.77"/>
    <x v="2"/>
    <x v="1"/>
    <x v="0"/>
  </r>
  <r>
    <s v="LCU-93317-340"/>
    <x v="637"/>
    <s v="84996-26826-DK"/>
    <s v="R-D-0.2"/>
    <n v="1"/>
    <s v="Scarlett Oliffe"/>
    <s v=""/>
    <x v="0"/>
    <x v="168"/>
    <x v="0"/>
    <s v="D"/>
    <x v="3"/>
    <n v="2.6849999999999996"/>
    <n v="0.16109999999999997"/>
    <n v="2.6849999999999996"/>
    <x v="0"/>
    <x v="2"/>
    <x v="0"/>
  </r>
  <r>
    <s v="UOM-71431-481"/>
    <x v="182"/>
    <s v="65732-22589-OW"/>
    <s v="R-D-2.5"/>
    <n v="1"/>
    <s v="Kippie Marrison"/>
    <s v=""/>
    <x v="0"/>
    <x v="29"/>
    <x v="0"/>
    <s v="D"/>
    <x v="2"/>
    <n v="20.584999999999997"/>
    <n v="1.2350999999999999"/>
    <n v="20.584999999999997"/>
    <x v="0"/>
    <x v="2"/>
    <x v="0"/>
  </r>
  <r>
    <s v="PJH-42618-877"/>
    <x v="479"/>
    <s v="93676-95250-XJ"/>
    <s v="A-D-2.5"/>
    <n v="5"/>
    <s v="Celestia Dolohunty"/>
    <s v=""/>
    <x v="0"/>
    <x v="236"/>
    <x v="2"/>
    <s v="D"/>
    <x v="2"/>
    <n v="22.884999999999998"/>
    <n v="10.298249999999998"/>
    <n v="114.42499999999998"/>
    <x v="2"/>
    <x v="2"/>
    <x v="0"/>
  </r>
  <r>
    <s v="XED-90333-402"/>
    <x v="638"/>
    <s v="28300-14355-GF"/>
    <s v="E-M-0.2"/>
    <n v="5"/>
    <s v="Patsy Vasilenko"/>
    <s v=""/>
    <x v="2"/>
    <x v="229"/>
    <x v="1"/>
    <s v="M"/>
    <x v="3"/>
    <n v="4.125"/>
    <n v="2.2687499999999998"/>
    <n v="20.625"/>
    <x v="1"/>
    <x v="0"/>
    <x v="1"/>
  </r>
  <r>
    <s v="IKK-62234-199"/>
    <x v="639"/>
    <s v="91190-84826-IQ"/>
    <s v="L-L-0.5"/>
    <n v="6"/>
    <s v="Raphaela Schankelborg"/>
    <s v=""/>
    <x v="0"/>
    <x v="291"/>
    <x v="3"/>
    <s v="L"/>
    <x v="1"/>
    <n v="9.51"/>
    <n v="7.4177999999999997"/>
    <n v="57.06"/>
    <x v="3"/>
    <x v="1"/>
    <x v="0"/>
  </r>
  <r>
    <s v="KAW-95195-329"/>
    <x v="640"/>
    <s v="34570-99384-AF"/>
    <s v="R-D-2.5"/>
    <n v="4"/>
    <s v="Sharity Wickens"/>
    <s v=""/>
    <x v="1"/>
    <x v="358"/>
    <x v="0"/>
    <s v="D"/>
    <x v="2"/>
    <n v="20.584999999999997"/>
    <n v="4.9403999999999995"/>
    <n v="82.339999999999989"/>
    <x v="0"/>
    <x v="2"/>
    <x v="0"/>
  </r>
  <r>
    <s v="QDO-57268-842"/>
    <x v="612"/>
    <s v="57808-90533-UE"/>
    <s v="E-M-2.5"/>
    <n v="5"/>
    <s v="Derick Snow"/>
    <s v=""/>
    <x v="0"/>
    <x v="15"/>
    <x v="1"/>
    <s v="M"/>
    <x v="2"/>
    <n v="31.624999999999996"/>
    <n v="17.393749999999997"/>
    <n v="158.12499999999997"/>
    <x v="1"/>
    <x v="0"/>
    <x v="1"/>
  </r>
  <r>
    <s v="IIZ-24416-212"/>
    <x v="641"/>
    <s v="76060-30540-LB"/>
    <s v="R-D-0.5"/>
    <n v="6"/>
    <s v="Baxy Cargen"/>
    <s v=""/>
    <x v="0"/>
    <x v="208"/>
    <x v="0"/>
    <s v="D"/>
    <x v="1"/>
    <n v="5.3699999999999992"/>
    <n v="1.9331999999999996"/>
    <n v="32.22"/>
    <x v="0"/>
    <x v="2"/>
    <x v="0"/>
  </r>
  <r>
    <s v="AWP-11469-510"/>
    <x v="36"/>
    <s v="76730-63769-ND"/>
    <s v="E-D-1"/>
    <n v="2"/>
    <s v="Ryann Stickler"/>
    <s v=""/>
    <x v="2"/>
    <x v="38"/>
    <x v="1"/>
    <s v="D"/>
    <x v="0"/>
    <n v="12.15"/>
    <n v="2.673"/>
    <n v="24.3"/>
    <x v="1"/>
    <x v="2"/>
    <x v="1"/>
  </r>
  <r>
    <s v="KXA-27983-918"/>
    <x v="642"/>
    <s v="96042-27290-EQ"/>
    <s v="R-L-0.5"/>
    <n v="5"/>
    <s v="Daryn Cassius"/>
    <s v=""/>
    <x v="0"/>
    <x v="359"/>
    <x v="0"/>
    <s v="L"/>
    <x v="1"/>
    <n v="7.169999999999999"/>
    <n v="2.1509999999999998"/>
    <n v="35.849999999999994"/>
    <x v="0"/>
    <x v="1"/>
    <x v="1"/>
  </r>
  <r>
    <s v="VKQ-39009-292"/>
    <x v="219"/>
    <s v="57808-90533-UE"/>
    <s v="L-M-1"/>
    <n v="5"/>
    <s v="Derick Snow"/>
    <s v=""/>
    <x v="0"/>
    <x v="15"/>
    <x v="3"/>
    <s v="M"/>
    <x v="0"/>
    <n v="14.55"/>
    <n v="9.4575000000000014"/>
    <n v="72.75"/>
    <x v="3"/>
    <x v="0"/>
    <x v="1"/>
  </r>
  <r>
    <s v="PDB-98743-282"/>
    <x v="643"/>
    <s v="51940-02669-OR"/>
    <s v="L-L-1"/>
    <n v="3"/>
    <s v="Skelly Dolohunty"/>
    <s v=""/>
    <x v="1"/>
    <x v="360"/>
    <x v="3"/>
    <s v="L"/>
    <x v="0"/>
    <n v="15.85"/>
    <n v="6.1815000000000007"/>
    <n v="47.55"/>
    <x v="3"/>
    <x v="1"/>
    <x v="1"/>
  </r>
  <r>
    <s v="SXW-34014-556"/>
    <x v="644"/>
    <s v="99144-98314-GN"/>
    <s v="R-L-0.2"/>
    <n v="1"/>
    <s v="Drake Jevon"/>
    <s v=""/>
    <x v="0"/>
    <x v="13"/>
    <x v="0"/>
    <s v="L"/>
    <x v="3"/>
    <n v="3.5849999999999995"/>
    <n v="0.21509999999999996"/>
    <n v="3.5849999999999995"/>
    <x v="0"/>
    <x v="1"/>
    <x v="0"/>
  </r>
  <r>
    <s v="QOJ-38788-727"/>
    <x v="136"/>
    <s v="16358-63919-CE"/>
    <s v="E-M-2.5"/>
    <n v="5"/>
    <s v="Hall Ranner"/>
    <s v=""/>
    <x v="0"/>
    <x v="159"/>
    <x v="1"/>
    <s v="M"/>
    <x v="2"/>
    <n v="31.624999999999996"/>
    <n v="17.393749999999997"/>
    <n v="158.12499999999997"/>
    <x v="1"/>
    <x v="0"/>
    <x v="1"/>
  </r>
  <r>
    <s v="TGF-38649-658"/>
    <x v="645"/>
    <s v="67743-54817-UT"/>
    <s v="L-M-0.5"/>
    <n v="2"/>
    <s v="Berkly Imrie"/>
    <s v=""/>
    <x v="0"/>
    <x v="74"/>
    <x v="3"/>
    <s v="M"/>
    <x v="1"/>
    <n v="8.73"/>
    <n v="2.2698"/>
    <n v="17.46"/>
    <x v="3"/>
    <x v="0"/>
    <x v="1"/>
  </r>
  <r>
    <s v="EAI-25194-209"/>
    <x v="646"/>
    <s v="44601-51441-BH"/>
    <s v="A-L-2.5"/>
    <n v="5"/>
    <s v="Dorey Sopper"/>
    <s v=""/>
    <x v="0"/>
    <x v="50"/>
    <x v="2"/>
    <s v="L"/>
    <x v="2"/>
    <n v="29.784999999999997"/>
    <n v="13.403249999999998"/>
    <n v="148.92499999999998"/>
    <x v="2"/>
    <x v="1"/>
    <x v="1"/>
  </r>
  <r>
    <s v="IJK-34441-720"/>
    <x v="647"/>
    <s v="97201-58870-WB"/>
    <s v="A-M-0.5"/>
    <n v="6"/>
    <s v="Darcy Lochran"/>
    <s v=""/>
    <x v="0"/>
    <x v="87"/>
    <x v="2"/>
    <s v="M"/>
    <x v="1"/>
    <n v="6.75"/>
    <n v="3.6449999999999996"/>
    <n v="40.5"/>
    <x v="2"/>
    <x v="0"/>
    <x v="0"/>
  </r>
  <r>
    <s v="ZMC-00336-619"/>
    <x v="591"/>
    <s v="19849-12926-QF"/>
    <s v="A-M-0.5"/>
    <n v="4"/>
    <s v="Lauritz Ledgley"/>
    <s v=""/>
    <x v="0"/>
    <x v="111"/>
    <x v="2"/>
    <s v="M"/>
    <x v="1"/>
    <n v="6.75"/>
    <n v="2.4299999999999997"/>
    <n v="27"/>
    <x v="2"/>
    <x v="0"/>
    <x v="0"/>
  </r>
  <r>
    <s v="UPX-54529-618"/>
    <x v="648"/>
    <s v="40535-56770-UM"/>
    <s v="L-D-1"/>
    <n v="3"/>
    <s v="Tawnya Menary"/>
    <s v=""/>
    <x v="0"/>
    <x v="12"/>
    <x v="3"/>
    <s v="D"/>
    <x v="0"/>
    <n v="12.95"/>
    <n v="5.0504999999999995"/>
    <n v="38.849999999999994"/>
    <x v="3"/>
    <x v="2"/>
    <x v="1"/>
  </r>
  <r>
    <s v="DLX-01059-899"/>
    <x v="191"/>
    <s v="74940-09646-MU"/>
    <s v="R-L-1"/>
    <n v="5"/>
    <s v="Gustaf Ciccotti"/>
    <s v=""/>
    <x v="0"/>
    <x v="13"/>
    <x v="0"/>
    <s v="L"/>
    <x v="0"/>
    <n v="11.95"/>
    <n v="3.585"/>
    <n v="59.75"/>
    <x v="0"/>
    <x v="1"/>
    <x v="1"/>
  </r>
  <r>
    <s v="MEK-85120-243"/>
    <x v="649"/>
    <s v="06623-54610-HC"/>
    <s v="R-L-0.2"/>
    <n v="3"/>
    <s v="Bobbe Renner"/>
    <s v=""/>
    <x v="0"/>
    <x v="285"/>
    <x v="0"/>
    <s v="L"/>
    <x v="3"/>
    <n v="3.5849999999999995"/>
    <n v="0.64529999999999987"/>
    <n v="10.754999999999999"/>
    <x v="0"/>
    <x v="1"/>
    <x v="1"/>
  </r>
  <r>
    <s v="NFI-37188-246"/>
    <x v="553"/>
    <s v="89490-75361-AF"/>
    <s v="A-D-2.5"/>
    <n v="4"/>
    <s v="Wilton Jallin"/>
    <s v=""/>
    <x v="0"/>
    <x v="35"/>
    <x v="2"/>
    <s v="D"/>
    <x v="2"/>
    <n v="22.884999999999998"/>
    <n v="8.2385999999999981"/>
    <n v="91.539999999999992"/>
    <x v="2"/>
    <x v="2"/>
    <x v="1"/>
  </r>
  <r>
    <s v="BXH-62195-013"/>
    <x v="584"/>
    <s v="94526-79230-GZ"/>
    <s v="A-M-1"/>
    <n v="4"/>
    <s v="Mindy Bogey"/>
    <s v=""/>
    <x v="0"/>
    <x v="41"/>
    <x v="2"/>
    <s v="M"/>
    <x v="0"/>
    <n v="11.25"/>
    <n v="4.05"/>
    <n v="45"/>
    <x v="2"/>
    <x v="0"/>
    <x v="0"/>
  </r>
  <r>
    <s v="YLK-78851-470"/>
    <x v="650"/>
    <s v="58559-08254-UY"/>
    <s v="R-M-2.5"/>
    <n v="6"/>
    <s v="Paulie Fonzone"/>
    <s v=""/>
    <x v="0"/>
    <x v="140"/>
    <x v="0"/>
    <s v="M"/>
    <x v="2"/>
    <n v="22.884999999999998"/>
    <n v="8.2385999999999981"/>
    <n v="137.31"/>
    <x v="0"/>
    <x v="0"/>
    <x v="0"/>
  </r>
  <r>
    <s v="DXY-76225-633"/>
    <x v="121"/>
    <s v="88574-37083-WX"/>
    <s v="A-M-0.5"/>
    <n v="1"/>
    <s v="Merrile Cobbledick"/>
    <s v=""/>
    <x v="0"/>
    <x v="31"/>
    <x v="2"/>
    <s v="M"/>
    <x v="1"/>
    <n v="6.75"/>
    <n v="0.60749999999999993"/>
    <n v="6.75"/>
    <x v="2"/>
    <x v="0"/>
    <x v="1"/>
  </r>
  <r>
    <s v="UHP-24614-199"/>
    <x v="472"/>
    <s v="67953-79896-AC"/>
    <s v="A-M-1"/>
    <n v="4"/>
    <s v="Antonius Lewry"/>
    <s v=""/>
    <x v="0"/>
    <x v="124"/>
    <x v="2"/>
    <s v="M"/>
    <x v="0"/>
    <n v="11.25"/>
    <n v="4.05"/>
    <n v="45"/>
    <x v="2"/>
    <x v="0"/>
    <x v="1"/>
  </r>
  <r>
    <s v="HBY-35655-049"/>
    <x v="594"/>
    <s v="69207-93422-CQ"/>
    <s v="E-D-2.5"/>
    <n v="3"/>
    <s v="Isis Hessel"/>
    <s v=""/>
    <x v="0"/>
    <x v="361"/>
    <x v="1"/>
    <s v="D"/>
    <x v="2"/>
    <n v="27.945"/>
    <n v="9.2218499999999999"/>
    <n v="83.835000000000008"/>
    <x v="1"/>
    <x v="2"/>
    <x v="0"/>
  </r>
  <r>
    <s v="DCE-22886-861"/>
    <x v="89"/>
    <s v="56060-17602-RG"/>
    <s v="E-D-0.2"/>
    <n v="1"/>
    <s v="Harland Trematick"/>
    <s v=""/>
    <x v="1"/>
    <x v="244"/>
    <x v="1"/>
    <s v="D"/>
    <x v="3"/>
    <n v="3.645"/>
    <n v="0.40095000000000003"/>
    <n v="3.645"/>
    <x v="1"/>
    <x v="2"/>
    <x v="0"/>
  </r>
  <r>
    <s v="QTG-93823-843"/>
    <x v="651"/>
    <s v="46859-14212-FI"/>
    <s v="A-M-0.5"/>
    <n v="1"/>
    <s v="Chloris Sorrell"/>
    <s v=""/>
    <x v="2"/>
    <x v="184"/>
    <x v="2"/>
    <s v="M"/>
    <x v="1"/>
    <n v="6.75"/>
    <n v="0.60749999999999993"/>
    <n v="6.75"/>
    <x v="2"/>
    <x v="0"/>
    <x v="1"/>
  </r>
  <r>
    <s v="QTG-93823-843"/>
    <x v="651"/>
    <s v="46859-14212-FI"/>
    <s v="E-D-0.5"/>
    <n v="3"/>
    <s v="Chloris Sorrell"/>
    <s v=""/>
    <x v="2"/>
    <x v="184"/>
    <x v="1"/>
    <s v="D"/>
    <x v="1"/>
    <n v="7.29"/>
    <n v="2.4057000000000004"/>
    <n v="21.87"/>
    <x v="1"/>
    <x v="2"/>
    <x v="1"/>
  </r>
  <r>
    <s v="WFT-16178-396"/>
    <x v="249"/>
    <s v="33555-01585-RP"/>
    <s v="R-D-0.2"/>
    <n v="5"/>
    <s v="Quintina Heavyside"/>
    <s v=""/>
    <x v="0"/>
    <x v="193"/>
    <x v="0"/>
    <s v="D"/>
    <x v="3"/>
    <n v="2.6849999999999996"/>
    <n v="0.80549999999999988"/>
    <n v="13.424999999999997"/>
    <x v="0"/>
    <x v="2"/>
    <x v="0"/>
  </r>
  <r>
    <s v="ERC-54560-934"/>
    <x v="652"/>
    <s v="11932-85629-CU"/>
    <s v="R-D-2.5"/>
    <n v="6"/>
    <s v="Hadley Reuven"/>
    <s v=""/>
    <x v="0"/>
    <x v="16"/>
    <x v="0"/>
    <s v="D"/>
    <x v="2"/>
    <n v="20.584999999999997"/>
    <n v="7.4105999999999987"/>
    <n v="123.50999999999999"/>
    <x v="0"/>
    <x v="2"/>
    <x v="1"/>
  </r>
  <r>
    <s v="RUK-78200-416"/>
    <x v="653"/>
    <s v="36192-07175-XC"/>
    <s v="L-D-0.2"/>
    <n v="2"/>
    <s v="Mitch Attwool"/>
    <s v=""/>
    <x v="0"/>
    <x v="111"/>
    <x v="3"/>
    <s v="D"/>
    <x v="3"/>
    <n v="3.8849999999999998"/>
    <n v="1.0101"/>
    <n v="7.77"/>
    <x v="3"/>
    <x v="2"/>
    <x v="1"/>
  </r>
  <r>
    <s v="KHK-13105-388"/>
    <x v="177"/>
    <s v="46242-54946-ZW"/>
    <s v="A-M-1"/>
    <n v="6"/>
    <s v="Charin Maplethorp"/>
    <s v=""/>
    <x v="0"/>
    <x v="325"/>
    <x v="2"/>
    <s v="M"/>
    <x v="0"/>
    <n v="11.25"/>
    <n v="6.0749999999999993"/>
    <n v="67.5"/>
    <x v="2"/>
    <x v="0"/>
    <x v="0"/>
  </r>
  <r>
    <s v="NJR-03699-189"/>
    <x v="22"/>
    <s v="95152-82155-VQ"/>
    <s v="E-D-2.5"/>
    <n v="1"/>
    <s v="Goldie Wynes"/>
    <s v=""/>
    <x v="0"/>
    <x v="79"/>
    <x v="1"/>
    <s v="D"/>
    <x v="2"/>
    <n v="27.945"/>
    <n v="3.07395"/>
    <n v="27.945"/>
    <x v="1"/>
    <x v="2"/>
    <x v="1"/>
  </r>
  <r>
    <s v="PJV-20427-019"/>
    <x v="508"/>
    <s v="13404-39127-WQ"/>
    <s v="A-L-2.5"/>
    <n v="3"/>
    <s v="Celie MacCourt"/>
    <s v=""/>
    <x v="0"/>
    <x v="327"/>
    <x v="2"/>
    <s v="L"/>
    <x v="2"/>
    <n v="29.784999999999997"/>
    <n v="8.0419499999999982"/>
    <n v="89.35499999999999"/>
    <x v="2"/>
    <x v="1"/>
    <x v="1"/>
  </r>
  <r>
    <s v="UGK-07613-982"/>
    <x v="654"/>
    <s v="57808-90533-UE"/>
    <s v="A-M-0.5"/>
    <n v="3"/>
    <s v="Derick Snow"/>
    <s v=""/>
    <x v="0"/>
    <x v="15"/>
    <x v="2"/>
    <s v="M"/>
    <x v="1"/>
    <n v="6.75"/>
    <n v="1.8224999999999998"/>
    <n v="20.25"/>
    <x v="2"/>
    <x v="0"/>
    <x v="1"/>
  </r>
  <r>
    <s v="OLA-68289-577"/>
    <x v="524"/>
    <s v="40226-52317-IO"/>
    <s v="A-M-0.5"/>
    <n v="5"/>
    <s v="Evy Wilsone"/>
    <s v=""/>
    <x v="0"/>
    <x v="41"/>
    <x v="2"/>
    <s v="M"/>
    <x v="1"/>
    <n v="6.75"/>
    <n v="3.0374999999999996"/>
    <n v="33.75"/>
    <x v="2"/>
    <x v="0"/>
    <x v="0"/>
  </r>
  <r>
    <s v="TNR-84447-052"/>
    <x v="655"/>
    <s v="34419-18068-AG"/>
    <s v="E-D-2.5"/>
    <n v="4"/>
    <s v="Dolores Duffie"/>
    <s v=""/>
    <x v="0"/>
    <x v="12"/>
    <x v="1"/>
    <s v="D"/>
    <x v="2"/>
    <n v="27.945"/>
    <n v="12.2958"/>
    <n v="111.78"/>
    <x v="1"/>
    <x v="2"/>
    <x v="1"/>
  </r>
  <r>
    <s v="FBZ-64200-586"/>
    <x v="523"/>
    <s v="51738-61457-RS"/>
    <s v="E-M-2.5"/>
    <n v="2"/>
    <s v="Mathilda Matiasek"/>
    <s v=""/>
    <x v="0"/>
    <x v="15"/>
    <x v="1"/>
    <s v="M"/>
    <x v="2"/>
    <n v="31.624999999999996"/>
    <n v="6.9574999999999996"/>
    <n v="63.249999999999993"/>
    <x v="1"/>
    <x v="0"/>
    <x v="0"/>
  </r>
  <r>
    <s v="OBN-66334-505"/>
    <x v="656"/>
    <s v="86757-52367-ON"/>
    <s v="E-L-0.2"/>
    <n v="2"/>
    <s v="Jarred Camillo"/>
    <s v=""/>
    <x v="0"/>
    <x v="41"/>
    <x v="1"/>
    <s v="L"/>
    <x v="3"/>
    <n v="4.4550000000000001"/>
    <n v="0.98009999999999997"/>
    <n v="8.91"/>
    <x v="1"/>
    <x v="1"/>
    <x v="0"/>
  </r>
  <r>
    <s v="NXM-89323-646"/>
    <x v="657"/>
    <s v="28158-93383-CK"/>
    <s v="E-D-1"/>
    <n v="1"/>
    <s v="Kameko Philbrick"/>
    <s v=""/>
    <x v="0"/>
    <x v="41"/>
    <x v="1"/>
    <s v="D"/>
    <x v="0"/>
    <n v="12.15"/>
    <n v="1.3365"/>
    <n v="12.15"/>
    <x v="1"/>
    <x v="2"/>
    <x v="0"/>
  </r>
  <r>
    <s v="NHI-23264-055"/>
    <x v="658"/>
    <s v="44799-09711-XW"/>
    <s v="A-D-0.5"/>
    <n v="4"/>
    <s v="Mallory Shrimpling"/>
    <s v=""/>
    <x v="0"/>
    <x v="311"/>
    <x v="2"/>
    <s v="D"/>
    <x v="1"/>
    <n v="5.97"/>
    <n v="2.1492"/>
    <n v="23.88"/>
    <x v="2"/>
    <x v="2"/>
    <x v="0"/>
  </r>
  <r>
    <s v="EQH-53569-934"/>
    <x v="659"/>
    <s v="53667-91553-LT"/>
    <s v="E-M-1"/>
    <n v="4"/>
    <s v="Barnett Sillis"/>
    <s v=""/>
    <x v="0"/>
    <x v="218"/>
    <x v="1"/>
    <s v="M"/>
    <x v="0"/>
    <n v="13.75"/>
    <n v="6.05"/>
    <n v="55"/>
    <x v="1"/>
    <x v="0"/>
    <x v="1"/>
  </r>
  <r>
    <s v="XKK-06692-189"/>
    <x v="558"/>
    <s v="86579-92122-OC"/>
    <s v="R-D-1"/>
    <n v="3"/>
    <s v="Brenn Dundredge"/>
    <s v=""/>
    <x v="0"/>
    <x v="101"/>
    <x v="0"/>
    <s v="D"/>
    <x v="0"/>
    <n v="8.9499999999999993"/>
    <n v="1.6109999999999998"/>
    <n v="26.849999999999998"/>
    <x v="0"/>
    <x v="2"/>
    <x v="0"/>
  </r>
  <r>
    <s v="BYP-16005-016"/>
    <x v="660"/>
    <s v="01474-63436-TP"/>
    <s v="R-M-2.5"/>
    <n v="5"/>
    <s v="Read Cutts"/>
    <s v=""/>
    <x v="0"/>
    <x v="356"/>
    <x v="0"/>
    <s v="M"/>
    <x v="2"/>
    <n v="22.884999999999998"/>
    <n v="6.865499999999999"/>
    <n v="114.42499999999998"/>
    <x v="0"/>
    <x v="0"/>
    <x v="1"/>
  </r>
  <r>
    <s v="LWS-13938-905"/>
    <x v="661"/>
    <s v="90533-82440-EE"/>
    <s v="A-M-2.5"/>
    <n v="6"/>
    <s v="Michale Delves"/>
    <s v=""/>
    <x v="0"/>
    <x v="124"/>
    <x v="2"/>
    <s v="M"/>
    <x v="2"/>
    <n v="25.874999999999996"/>
    <n v="13.972499999999997"/>
    <n v="155.24999999999997"/>
    <x v="2"/>
    <x v="0"/>
    <x v="0"/>
  </r>
  <r>
    <s v="OLH-95722-362"/>
    <x v="662"/>
    <s v="48553-69225-VX"/>
    <s v="L-D-0.5"/>
    <n v="3"/>
    <s v="Devland Gritton"/>
    <s v=""/>
    <x v="0"/>
    <x v="148"/>
    <x v="3"/>
    <s v="D"/>
    <x v="1"/>
    <n v="7.77"/>
    <n v="3.0303"/>
    <n v="23.31"/>
    <x v="3"/>
    <x v="2"/>
    <x v="0"/>
  </r>
  <r>
    <s v="OLH-95722-362"/>
    <x v="662"/>
    <s v="48553-69225-VX"/>
    <s v="R-M-2.5"/>
    <n v="4"/>
    <s v="Devland Gritton"/>
    <s v=""/>
    <x v="0"/>
    <x v="148"/>
    <x v="0"/>
    <s v="M"/>
    <x v="2"/>
    <n v="22.884999999999998"/>
    <n v="5.4923999999999991"/>
    <n v="91.539999999999992"/>
    <x v="0"/>
    <x v="0"/>
    <x v="0"/>
  </r>
  <r>
    <s v="KCW-50949-318"/>
    <x v="184"/>
    <s v="52374-27313-IV"/>
    <s v="E-L-1"/>
    <n v="5"/>
    <s v="Dell Gut"/>
    <s v=""/>
    <x v="0"/>
    <x v="13"/>
    <x v="1"/>
    <s v="L"/>
    <x v="0"/>
    <n v="14.85"/>
    <n v="8.1675000000000004"/>
    <n v="74.25"/>
    <x v="1"/>
    <x v="1"/>
    <x v="0"/>
  </r>
  <r>
    <s v="JGZ-16947-591"/>
    <x v="663"/>
    <s v="14264-41252-SL"/>
    <s v="L-L-0.2"/>
    <n v="6"/>
    <s v="Willy Pummery"/>
    <s v=""/>
    <x v="0"/>
    <x v="362"/>
    <x v="3"/>
    <s v="L"/>
    <x v="3"/>
    <n v="4.7549999999999999"/>
    <n v="3.7088999999999999"/>
    <n v="28.53"/>
    <x v="3"/>
    <x v="1"/>
    <x v="1"/>
  </r>
  <r>
    <s v="LXS-63326-144"/>
    <x v="334"/>
    <s v="35367-50483-AR"/>
    <s v="R-L-0.5"/>
    <n v="2"/>
    <s v="Geoffrey Siuda"/>
    <s v=""/>
    <x v="0"/>
    <x v="41"/>
    <x v="0"/>
    <s v="L"/>
    <x v="1"/>
    <n v="7.169999999999999"/>
    <n v="0.86039999999999983"/>
    <n v="14.339999999999998"/>
    <x v="0"/>
    <x v="1"/>
    <x v="0"/>
  </r>
  <r>
    <s v="CZG-86544-655"/>
    <x v="664"/>
    <s v="69443-77665-QW"/>
    <s v="A-L-0.5"/>
    <n v="2"/>
    <s v="Henderson Crowne"/>
    <s v=""/>
    <x v="1"/>
    <x v="363"/>
    <x v="2"/>
    <s v="L"/>
    <x v="1"/>
    <n v="7.77"/>
    <n v="1.3985999999999998"/>
    <n v="15.54"/>
    <x v="2"/>
    <x v="1"/>
    <x v="0"/>
  </r>
  <r>
    <s v="WFV-88138-247"/>
    <x v="24"/>
    <s v="63411-51758-QC"/>
    <s v="R-L-1"/>
    <n v="3"/>
    <s v="Vernor Pawsey"/>
    <s v=""/>
    <x v="0"/>
    <x v="126"/>
    <x v="0"/>
    <s v="L"/>
    <x v="0"/>
    <n v="11.95"/>
    <n v="2.1509999999999998"/>
    <n v="35.849999999999994"/>
    <x v="0"/>
    <x v="1"/>
    <x v="1"/>
  </r>
  <r>
    <s v="RFG-28227-288"/>
    <x v="12"/>
    <s v="68605-21835-UF"/>
    <s v="A-L-0.5"/>
    <n v="6"/>
    <s v="Augustin Waterhouse"/>
    <s v=""/>
    <x v="0"/>
    <x v="212"/>
    <x v="2"/>
    <s v="L"/>
    <x v="1"/>
    <n v="7.77"/>
    <n v="4.1957999999999993"/>
    <n v="46.62"/>
    <x v="2"/>
    <x v="1"/>
    <x v="1"/>
  </r>
  <r>
    <s v="QAK-77286-758"/>
    <x v="105"/>
    <s v="34786-30419-XY"/>
    <s v="R-L-0.5"/>
    <n v="5"/>
    <s v="Fanchon Haughian"/>
    <s v=""/>
    <x v="0"/>
    <x v="174"/>
    <x v="0"/>
    <s v="L"/>
    <x v="1"/>
    <n v="7.169999999999999"/>
    <n v="2.1509999999999998"/>
    <n v="35.849999999999994"/>
    <x v="0"/>
    <x v="1"/>
    <x v="1"/>
  </r>
  <r>
    <s v="CZD-56716-840"/>
    <x v="665"/>
    <s v="15456-29250-RU"/>
    <s v="L-D-2.5"/>
    <n v="4"/>
    <s v="Jaimie Hatz"/>
    <s v=""/>
    <x v="0"/>
    <x v="87"/>
    <x v="3"/>
    <s v="D"/>
    <x v="2"/>
    <n v="29.784999999999997"/>
    <n v="15.488199999999999"/>
    <n v="119.13999999999999"/>
    <x v="3"/>
    <x v="2"/>
    <x v="1"/>
  </r>
  <r>
    <s v="UBI-59229-277"/>
    <x v="44"/>
    <s v="00886-35803-FG"/>
    <s v="L-D-0.5"/>
    <n v="3"/>
    <s v="Edeline Edney"/>
    <s v=""/>
    <x v="0"/>
    <x v="38"/>
    <x v="3"/>
    <s v="D"/>
    <x v="1"/>
    <n v="7.77"/>
    <n v="3.0303"/>
    <n v="23.31"/>
    <x v="3"/>
    <x v="2"/>
    <x v="1"/>
  </r>
  <r>
    <s v="WJJ-37489-898"/>
    <x v="171"/>
    <s v="31599-82152-AD"/>
    <s v="A-M-1"/>
    <n v="1"/>
    <s v="Rickie Faltin"/>
    <s v=""/>
    <x v="1"/>
    <x v="105"/>
    <x v="2"/>
    <s v="M"/>
    <x v="0"/>
    <n v="11.25"/>
    <n v="1.0125"/>
    <n v="11.25"/>
    <x v="2"/>
    <x v="0"/>
    <x v="1"/>
  </r>
  <r>
    <s v="ORX-57454-917"/>
    <x v="328"/>
    <s v="76209-39601-ZR"/>
    <s v="E-D-2.5"/>
    <n v="3"/>
    <s v="Gnni Cheeke"/>
    <s v=""/>
    <x v="2"/>
    <x v="282"/>
    <x v="1"/>
    <s v="D"/>
    <x v="2"/>
    <n v="27.945"/>
    <n v="9.2218499999999999"/>
    <n v="83.835000000000008"/>
    <x v="1"/>
    <x v="2"/>
    <x v="0"/>
  </r>
  <r>
    <s v="GRB-68838-629"/>
    <x v="648"/>
    <s v="15064-65241-HB"/>
    <s v="R-L-2.5"/>
    <n v="4"/>
    <s v="Gwenni Ratt"/>
    <s v=""/>
    <x v="1"/>
    <x v="364"/>
    <x v="0"/>
    <s v="L"/>
    <x v="2"/>
    <n v="27.484999999999996"/>
    <n v="6.5963999999999992"/>
    <n v="109.93999999999998"/>
    <x v="0"/>
    <x v="1"/>
    <x v="1"/>
  </r>
  <r>
    <s v="SHT-04865-419"/>
    <x v="666"/>
    <s v="69215-90789-DL"/>
    <s v="R-L-0.2"/>
    <n v="4"/>
    <s v="Johnath Fairebrother"/>
    <s v=""/>
    <x v="0"/>
    <x v="325"/>
    <x v="0"/>
    <s v="L"/>
    <x v="3"/>
    <n v="3.5849999999999995"/>
    <n v="0.86039999999999983"/>
    <n v="14.339999999999998"/>
    <x v="0"/>
    <x v="1"/>
    <x v="0"/>
  </r>
  <r>
    <s v="UQI-28177-865"/>
    <x v="577"/>
    <s v="04317-46176-TB"/>
    <s v="R-L-0.2"/>
    <n v="6"/>
    <s v="Ingamar Eberlein"/>
    <s v=""/>
    <x v="0"/>
    <x v="225"/>
    <x v="0"/>
    <s v="L"/>
    <x v="3"/>
    <n v="3.5849999999999995"/>
    <n v="1.2905999999999997"/>
    <n v="21.509999999999998"/>
    <x v="0"/>
    <x v="1"/>
    <x v="1"/>
  </r>
  <r>
    <s v="OIB-13664-879"/>
    <x v="114"/>
    <s v="04713-57765-KR"/>
    <s v="A-M-1"/>
    <n v="2"/>
    <s v="Jilly Dreng"/>
    <s v=""/>
    <x v="1"/>
    <x v="363"/>
    <x v="2"/>
    <s v="M"/>
    <x v="0"/>
    <n v="11.25"/>
    <n v="2.0249999999999999"/>
    <n v="22.5"/>
    <x v="2"/>
    <x v="0"/>
    <x v="0"/>
  </r>
  <r>
    <s v="PJS-30996-485"/>
    <x v="4"/>
    <s v="86579-92122-OC"/>
    <s v="A-L-0.2"/>
    <n v="1"/>
    <s v="Brenn Dundredge"/>
    <s v=""/>
    <x v="0"/>
    <x v="101"/>
    <x v="2"/>
    <s v="L"/>
    <x v="3"/>
    <n v="3.8849999999999998"/>
    <n v="0.34964999999999996"/>
    <n v="3.8849999999999998"/>
    <x v="2"/>
    <x v="1"/>
    <x v="0"/>
  </r>
  <r>
    <s v="HEL-86709-449"/>
    <x v="667"/>
    <s v="86579-92122-OC"/>
    <s v="E-D-2.5"/>
    <n v="1"/>
    <s v="Brenn Dundredge"/>
    <s v=""/>
    <x v="0"/>
    <x v="101"/>
    <x v="1"/>
    <s v="D"/>
    <x v="2"/>
    <n v="27.945"/>
    <n v="3.07395"/>
    <n v="27.945"/>
    <x v="1"/>
    <x v="2"/>
    <x v="0"/>
  </r>
  <r>
    <s v="NCH-55389-562"/>
    <x v="110"/>
    <s v="86579-92122-OC"/>
    <s v="E-L-2.5"/>
    <n v="5"/>
    <s v="Brenn Dundredge"/>
    <s v=""/>
    <x v="0"/>
    <x v="101"/>
    <x v="1"/>
    <s v="L"/>
    <x v="2"/>
    <n v="34.154999999999994"/>
    <n v="18.785249999999998"/>
    <n v="170.77499999999998"/>
    <x v="1"/>
    <x v="1"/>
    <x v="0"/>
  </r>
  <r>
    <s v="NCH-55389-562"/>
    <x v="110"/>
    <s v="86579-92122-OC"/>
    <s v="R-L-2.5"/>
    <n v="2"/>
    <s v="Brenn Dundredge"/>
    <s v=""/>
    <x v="0"/>
    <x v="101"/>
    <x v="0"/>
    <s v="L"/>
    <x v="2"/>
    <n v="27.484999999999996"/>
    <n v="3.2981999999999996"/>
    <n v="54.969999999999992"/>
    <x v="0"/>
    <x v="1"/>
    <x v="0"/>
  </r>
  <r>
    <s v="NCH-55389-562"/>
    <x v="110"/>
    <s v="86579-92122-OC"/>
    <s v="E-L-1"/>
    <n v="1"/>
    <s v="Brenn Dundredge"/>
    <s v=""/>
    <x v="0"/>
    <x v="101"/>
    <x v="1"/>
    <s v="L"/>
    <x v="0"/>
    <n v="14.85"/>
    <n v="1.6335"/>
    <n v="14.85"/>
    <x v="1"/>
    <x v="1"/>
    <x v="0"/>
  </r>
  <r>
    <s v="NCH-55389-562"/>
    <x v="110"/>
    <s v="86579-92122-OC"/>
    <s v="A-L-0.2"/>
    <n v="2"/>
    <s v="Brenn Dundredge"/>
    <s v=""/>
    <x v="0"/>
    <x v="101"/>
    <x v="2"/>
    <s v="L"/>
    <x v="3"/>
    <n v="3.8849999999999998"/>
    <n v="0.69929999999999992"/>
    <n v="7.77"/>
    <x v="2"/>
    <x v="1"/>
    <x v="0"/>
  </r>
  <r>
    <s v="GUG-45603-775"/>
    <x v="668"/>
    <s v="40959-32642-DN"/>
    <s v="L-L-0.2"/>
    <n v="5"/>
    <s v="Rhodie Strathern"/>
    <s v=""/>
    <x v="0"/>
    <x v="28"/>
    <x v="3"/>
    <s v="L"/>
    <x v="3"/>
    <n v="4.7549999999999999"/>
    <n v="3.0907499999999999"/>
    <n v="23.774999999999999"/>
    <x v="3"/>
    <x v="1"/>
    <x v="0"/>
  </r>
  <r>
    <s v="KJB-98240-098"/>
    <x v="422"/>
    <s v="77746-08153-PM"/>
    <s v="L-L-1"/>
    <n v="5"/>
    <s v="Chad Miguel"/>
    <s v=""/>
    <x v="0"/>
    <x v="365"/>
    <x v="3"/>
    <s v="L"/>
    <x v="0"/>
    <n v="15.85"/>
    <n v="10.302500000000002"/>
    <n v="79.25"/>
    <x v="3"/>
    <x v="1"/>
    <x v="0"/>
  </r>
  <r>
    <s v="JMS-48374-462"/>
    <x v="669"/>
    <s v="49667-96708-JL"/>
    <s v="A-D-2.5"/>
    <n v="2"/>
    <s v="Florinda Matusovsky"/>
    <s v=""/>
    <x v="0"/>
    <x v="140"/>
    <x v="2"/>
    <s v="D"/>
    <x v="2"/>
    <n v="22.884999999999998"/>
    <n v="4.1192999999999991"/>
    <n v="45.769999999999996"/>
    <x v="2"/>
    <x v="2"/>
    <x v="0"/>
  </r>
  <r>
    <s v="YIT-15877-117"/>
    <x v="670"/>
    <s v="24155-79322-EQ"/>
    <s v="R-D-1"/>
    <n v="1"/>
    <s v="Morly Rocks"/>
    <s v=""/>
    <x v="1"/>
    <x v="366"/>
    <x v="0"/>
    <s v="D"/>
    <x v="0"/>
    <n v="8.9499999999999993"/>
    <n v="0.53699999999999992"/>
    <n v="8.9499999999999993"/>
    <x v="0"/>
    <x v="2"/>
    <x v="0"/>
  </r>
  <r>
    <s v="YVK-82679-655"/>
    <x v="341"/>
    <s v="95342-88311-SF"/>
    <s v="R-M-0.5"/>
    <n v="4"/>
    <s v="Yuri Burrells"/>
    <s v=""/>
    <x v="0"/>
    <x v="193"/>
    <x v="0"/>
    <s v="M"/>
    <x v="1"/>
    <n v="5.97"/>
    <n v="1.4327999999999999"/>
    <n v="23.88"/>
    <x v="0"/>
    <x v="0"/>
    <x v="0"/>
  </r>
  <r>
    <s v="TYH-81940-054"/>
    <x v="671"/>
    <s v="69374-08133-RI"/>
    <s v="E-L-0.2"/>
    <n v="5"/>
    <s v="Cleopatra Goodrum"/>
    <s v=""/>
    <x v="0"/>
    <x v="236"/>
    <x v="1"/>
    <s v="L"/>
    <x v="3"/>
    <n v="4.4550000000000001"/>
    <n v="2.45025"/>
    <n v="22.274999999999999"/>
    <x v="1"/>
    <x v="1"/>
    <x v="1"/>
  </r>
  <r>
    <s v="HTY-30660-254"/>
    <x v="672"/>
    <s v="83844-95908-RX"/>
    <s v="R-M-1"/>
    <n v="3"/>
    <s v="Joey Jefferys"/>
    <s v=""/>
    <x v="0"/>
    <x v="6"/>
    <x v="0"/>
    <s v="M"/>
    <x v="0"/>
    <n v="9.9499999999999993"/>
    <n v="1.7909999999999999"/>
    <n v="29.849999999999998"/>
    <x v="0"/>
    <x v="0"/>
    <x v="0"/>
  </r>
  <r>
    <s v="GPW-43956-761"/>
    <x v="673"/>
    <s v="09667-09231-YM"/>
    <s v="E-L-0.5"/>
    <n v="6"/>
    <s v="Bearnard Wardell"/>
    <s v=""/>
    <x v="0"/>
    <x v="130"/>
    <x v="1"/>
    <s v="L"/>
    <x v="1"/>
    <n v="8.91"/>
    <n v="5.8805999999999994"/>
    <n v="53.46"/>
    <x v="1"/>
    <x v="1"/>
    <x v="0"/>
  </r>
  <r>
    <s v="DWY-56352-412"/>
    <x v="674"/>
    <s v="55427-08059-DF"/>
    <s v="R-D-0.2"/>
    <n v="1"/>
    <s v="Zeke Walisiak"/>
    <s v=""/>
    <x v="1"/>
    <x v="367"/>
    <x v="0"/>
    <s v="D"/>
    <x v="3"/>
    <n v="2.6849999999999996"/>
    <n v="0.16109999999999997"/>
    <n v="2.6849999999999996"/>
    <x v="0"/>
    <x v="2"/>
    <x v="0"/>
  </r>
  <r>
    <s v="PUH-55647-976"/>
    <x v="675"/>
    <s v="06624-54037-BQ"/>
    <s v="R-M-0.2"/>
    <n v="2"/>
    <s v="Wiley Leopold"/>
    <s v=""/>
    <x v="0"/>
    <x v="368"/>
    <x v="0"/>
    <s v="M"/>
    <x v="3"/>
    <n v="2.9849999999999999"/>
    <n v="0.35819999999999996"/>
    <n v="5.97"/>
    <x v="0"/>
    <x v="0"/>
    <x v="1"/>
  </r>
  <r>
    <s v="DTB-71371-705"/>
    <x v="539"/>
    <s v="48544-90737-AZ"/>
    <s v="L-D-1"/>
    <n v="1"/>
    <s v="Chiarra Shalders"/>
    <s v=""/>
    <x v="0"/>
    <x v="120"/>
    <x v="3"/>
    <s v="D"/>
    <x v="0"/>
    <n v="12.95"/>
    <n v="1.6835"/>
    <n v="12.95"/>
    <x v="3"/>
    <x v="2"/>
    <x v="0"/>
  </r>
  <r>
    <s v="ZDC-64769-740"/>
    <x v="676"/>
    <s v="79463-01597-FQ"/>
    <s v="E-M-0.5"/>
    <n v="1"/>
    <s v="Sharl Southerill"/>
    <s v=""/>
    <x v="0"/>
    <x v="279"/>
    <x v="1"/>
    <s v="M"/>
    <x v="1"/>
    <n v="8.25"/>
    <n v="0.90749999999999997"/>
    <n v="8.25"/>
    <x v="1"/>
    <x v="0"/>
    <x v="1"/>
  </r>
  <r>
    <s v="TED-81959-419"/>
    <x v="677"/>
    <s v="27702-50024-XC"/>
    <s v="A-L-2.5"/>
    <n v="5"/>
    <s v="Noni Furber"/>
    <s v=""/>
    <x v="0"/>
    <x v="57"/>
    <x v="2"/>
    <s v="L"/>
    <x v="2"/>
    <n v="29.784999999999997"/>
    <n v="13.403249999999998"/>
    <n v="148.92499999999998"/>
    <x v="2"/>
    <x v="1"/>
    <x v="1"/>
  </r>
  <r>
    <s v="FDO-25756-141"/>
    <x v="629"/>
    <s v="57360-46846-NS"/>
    <s v="A-L-2.5"/>
    <n v="3"/>
    <s v="Dinah Crutcher"/>
    <s v=""/>
    <x v="1"/>
    <x v="324"/>
    <x v="2"/>
    <s v="L"/>
    <x v="2"/>
    <n v="29.784999999999997"/>
    <n v="8.0419499999999982"/>
    <n v="89.35499999999999"/>
    <x v="2"/>
    <x v="1"/>
    <x v="0"/>
  </r>
  <r>
    <s v="HKN-31467-517"/>
    <x v="662"/>
    <s v="84045-66771-SL"/>
    <s v="L-M-1"/>
    <n v="6"/>
    <s v="Charlean Keave"/>
    <s v=""/>
    <x v="0"/>
    <x v="48"/>
    <x v="3"/>
    <s v="M"/>
    <x v="0"/>
    <n v="14.55"/>
    <n v="11.349"/>
    <n v="87.300000000000011"/>
    <x v="3"/>
    <x v="0"/>
    <x v="1"/>
  </r>
  <r>
    <s v="POF-29666-012"/>
    <x v="102"/>
    <s v="46885-00260-TL"/>
    <s v="R-D-0.5"/>
    <n v="1"/>
    <s v="Sada Roseborough"/>
    <s v=""/>
    <x v="0"/>
    <x v="174"/>
    <x v="0"/>
    <s v="D"/>
    <x v="1"/>
    <n v="5.3699999999999992"/>
    <n v="0.32219999999999993"/>
    <n v="5.3699999999999992"/>
    <x v="0"/>
    <x v="2"/>
    <x v="0"/>
  </r>
  <r>
    <s v="IRX-59256-644"/>
    <x v="678"/>
    <s v="96446-62142-EN"/>
    <s v="A-D-0.2"/>
    <n v="3"/>
    <s v="Clayton Kingwell"/>
    <s v=""/>
    <x v="1"/>
    <x v="369"/>
    <x v="2"/>
    <s v="D"/>
    <x v="3"/>
    <n v="2.9849999999999999"/>
    <n v="0.80594999999999994"/>
    <n v="8.9550000000000001"/>
    <x v="2"/>
    <x v="2"/>
    <x v="0"/>
  </r>
  <r>
    <s v="LTN-89139-350"/>
    <x v="679"/>
    <s v="07756-71018-GU"/>
    <s v="R-L-2.5"/>
    <n v="5"/>
    <s v="Kacy Canto"/>
    <s v=""/>
    <x v="0"/>
    <x v="51"/>
    <x v="0"/>
    <s v="L"/>
    <x v="2"/>
    <n v="27.484999999999996"/>
    <n v="8.2454999999999998"/>
    <n v="137.42499999999998"/>
    <x v="0"/>
    <x v="1"/>
    <x v="0"/>
  </r>
  <r>
    <s v="TXF-79780-017"/>
    <x v="112"/>
    <s v="92048-47813-QB"/>
    <s v="R-L-1"/>
    <n v="5"/>
    <s v="Mab Blakemore"/>
    <s v=""/>
    <x v="0"/>
    <x v="279"/>
    <x v="0"/>
    <s v="L"/>
    <x v="0"/>
    <n v="11.95"/>
    <n v="3.585"/>
    <n v="59.75"/>
    <x v="0"/>
    <x v="1"/>
    <x v="1"/>
  </r>
  <r>
    <s v="ALM-80762-974"/>
    <x v="55"/>
    <s v="84045-66771-SL"/>
    <s v="A-L-0.5"/>
    <n v="3"/>
    <s v="Charlean Keave"/>
    <s v=""/>
    <x v="0"/>
    <x v="48"/>
    <x v="2"/>
    <s v="L"/>
    <x v="1"/>
    <n v="7.77"/>
    <n v="2.0978999999999997"/>
    <n v="23.31"/>
    <x v="2"/>
    <x v="1"/>
    <x v="1"/>
  </r>
  <r>
    <s v="NXF-15738-707"/>
    <x v="680"/>
    <s v="28699-16256-XV"/>
    <s v="R-D-0.5"/>
    <n v="2"/>
    <s v="Javier Causnett"/>
    <s v=""/>
    <x v="0"/>
    <x v="370"/>
    <x v="0"/>
    <s v="D"/>
    <x v="1"/>
    <n v="5.3699999999999992"/>
    <n v="0.64439999999999986"/>
    <n v="10.739999999999998"/>
    <x v="0"/>
    <x v="2"/>
    <x v="1"/>
  </r>
  <r>
    <s v="MVV-19034-198"/>
    <x v="94"/>
    <s v="98476-63654-CG"/>
    <s v="E-D-2.5"/>
    <n v="6"/>
    <s v="Demetris Micheli"/>
    <s v=""/>
    <x v="0"/>
    <x v="238"/>
    <x v="1"/>
    <s v="D"/>
    <x v="2"/>
    <n v="27.945"/>
    <n v="18.4437"/>
    <n v="167.67000000000002"/>
    <x v="1"/>
    <x v="2"/>
    <x v="0"/>
  </r>
  <r>
    <s v="KUX-19632-830"/>
    <x v="160"/>
    <s v="55409-07759-YG"/>
    <s v="E-D-0.2"/>
    <n v="6"/>
    <s v="Chloette Bernardot"/>
    <s v=""/>
    <x v="0"/>
    <x v="371"/>
    <x v="1"/>
    <s v="D"/>
    <x v="3"/>
    <n v="3.645"/>
    <n v="2.4057000000000004"/>
    <n v="21.87"/>
    <x v="1"/>
    <x v="2"/>
    <x v="0"/>
  </r>
  <r>
    <s v="SNZ-44595-152"/>
    <x v="681"/>
    <s v="06136-65250-PG"/>
    <s v="R-L-1"/>
    <n v="2"/>
    <s v="Kim Kemery"/>
    <s v=""/>
    <x v="0"/>
    <x v="177"/>
    <x v="0"/>
    <s v="L"/>
    <x v="0"/>
    <n v="11.95"/>
    <n v="1.4339999999999999"/>
    <n v="23.9"/>
    <x v="0"/>
    <x v="1"/>
    <x v="0"/>
  </r>
  <r>
    <s v="GQA-37241-629"/>
    <x v="502"/>
    <s v="08405-33165-BS"/>
    <s v="A-M-0.2"/>
    <n v="2"/>
    <s v="Fanchette Parlot"/>
    <s v=""/>
    <x v="0"/>
    <x v="61"/>
    <x v="2"/>
    <s v="M"/>
    <x v="3"/>
    <n v="3.375"/>
    <n v="0.60749999999999993"/>
    <n v="6.75"/>
    <x v="2"/>
    <x v="0"/>
    <x v="0"/>
  </r>
  <r>
    <s v="WVV-79948-067"/>
    <x v="682"/>
    <s v="66070-30559-WI"/>
    <s v="E-M-2.5"/>
    <n v="1"/>
    <s v="Ramon Cheak"/>
    <s v=""/>
    <x v="1"/>
    <x v="372"/>
    <x v="1"/>
    <s v="M"/>
    <x v="2"/>
    <n v="31.624999999999996"/>
    <n v="3.4787499999999998"/>
    <n v="31.624999999999996"/>
    <x v="1"/>
    <x v="0"/>
    <x v="0"/>
  </r>
  <r>
    <s v="LHX-81117-166"/>
    <x v="683"/>
    <s v="01282-28364-RZ"/>
    <s v="R-L-1"/>
    <n v="4"/>
    <s v="Koressa O'Geneay"/>
    <s v=""/>
    <x v="0"/>
    <x v="24"/>
    <x v="0"/>
    <s v="L"/>
    <x v="0"/>
    <n v="11.95"/>
    <n v="2.8679999999999999"/>
    <n v="47.8"/>
    <x v="0"/>
    <x v="1"/>
    <x v="1"/>
  </r>
  <r>
    <s v="GCD-75444-320"/>
    <x v="594"/>
    <s v="51277-93873-RP"/>
    <s v="L-M-2.5"/>
    <n v="1"/>
    <s v="Claudell Ayre"/>
    <s v=""/>
    <x v="0"/>
    <x v="373"/>
    <x v="3"/>
    <s v="M"/>
    <x v="2"/>
    <n v="33.464999999999996"/>
    <n v="4.3504499999999995"/>
    <n v="33.464999999999996"/>
    <x v="3"/>
    <x v="0"/>
    <x v="1"/>
  </r>
  <r>
    <s v="SGA-30059-217"/>
    <x v="389"/>
    <s v="84405-83364-DG"/>
    <s v="A-D-0.5"/>
    <n v="5"/>
    <s v="Lorianne Kyneton"/>
    <s v=""/>
    <x v="2"/>
    <x v="258"/>
    <x v="2"/>
    <s v="D"/>
    <x v="1"/>
    <n v="5.97"/>
    <n v="2.6865000000000001"/>
    <n v="29.849999999999998"/>
    <x v="2"/>
    <x v="2"/>
    <x v="0"/>
  </r>
  <r>
    <s v="GNL-98714-885"/>
    <x v="583"/>
    <s v="83731-53280-YC"/>
    <s v="R-M-1"/>
    <n v="3"/>
    <s v="Adele McFayden"/>
    <s v=""/>
    <x v="2"/>
    <x v="374"/>
    <x v="0"/>
    <s v="M"/>
    <x v="0"/>
    <n v="9.9499999999999993"/>
    <n v="1.7909999999999999"/>
    <n v="29.849999999999998"/>
    <x v="0"/>
    <x v="0"/>
    <x v="0"/>
  </r>
  <r>
    <s v="OQA-93249-841"/>
    <x v="647"/>
    <s v="03917-13632-KC"/>
    <s v="A-M-2.5"/>
    <n v="6"/>
    <s v="Herta Layne"/>
    <s v=""/>
    <x v="0"/>
    <x v="10"/>
    <x v="2"/>
    <s v="M"/>
    <x v="2"/>
    <n v="25.874999999999996"/>
    <n v="13.972499999999997"/>
    <n v="155.24999999999997"/>
    <x v="2"/>
    <x v="0"/>
    <x v="0"/>
  </r>
  <r>
    <s v="DUV-12075-132"/>
    <x v="366"/>
    <s v="62494-09113-RP"/>
    <s v="E-D-0.2"/>
    <n v="5"/>
    <s v="Marguerite Graves"/>
    <s v=""/>
    <x v="0"/>
    <x v="321"/>
    <x v="1"/>
    <s v="D"/>
    <x v="3"/>
    <n v="3.645"/>
    <n v="2.00475"/>
    <n v="18.225000000000001"/>
    <x v="1"/>
    <x v="2"/>
    <x v="1"/>
  </r>
  <r>
    <s v="DUV-12075-132"/>
    <x v="366"/>
    <s v="62494-09113-RP"/>
    <s v="L-D-0.5"/>
    <n v="2"/>
    <s v="Marguerite Graves"/>
    <s v=""/>
    <x v="0"/>
    <x v="321"/>
    <x v="3"/>
    <s v="D"/>
    <x v="1"/>
    <n v="7.77"/>
    <n v="2.0202"/>
    <n v="15.54"/>
    <x v="3"/>
    <x v="2"/>
    <x v="1"/>
  </r>
  <r>
    <s v="KPO-24942-184"/>
    <x v="684"/>
    <s v="70567-65133-CN"/>
    <s v="L-L-2.5"/>
    <n v="3"/>
    <s v="Desdemona Eye"/>
    <s v=""/>
    <x v="1"/>
    <x v="248"/>
    <x v="3"/>
    <s v="L"/>
    <x v="2"/>
    <n v="36.454999999999998"/>
    <n v="14.217449999999999"/>
    <n v="109.36499999999999"/>
    <x v="3"/>
    <x v="1"/>
    <x v="1"/>
  </r>
  <r>
    <s v="SRJ-79353-838"/>
    <x v="506"/>
    <s v="77869-81373-AY"/>
    <s v="A-L-1"/>
    <n v="6"/>
    <s v="Margarette Sterland"/>
    <s v=""/>
    <x v="0"/>
    <x v="11"/>
    <x v="2"/>
    <s v="L"/>
    <x v="0"/>
    <n v="12.95"/>
    <n v="6.9930000000000003"/>
    <n v="77.699999999999989"/>
    <x v="2"/>
    <x v="1"/>
    <x v="1"/>
  </r>
  <r>
    <s v="XBV-40336-071"/>
    <x v="685"/>
    <s v="38536-98293-JZ"/>
    <s v="A-D-0.2"/>
    <n v="3"/>
    <s v="Catharine Scoines"/>
    <s v=""/>
    <x v="1"/>
    <x v="243"/>
    <x v="2"/>
    <s v="D"/>
    <x v="3"/>
    <n v="2.9849999999999999"/>
    <n v="0.80594999999999994"/>
    <n v="8.9550000000000001"/>
    <x v="2"/>
    <x v="2"/>
    <x v="1"/>
  </r>
  <r>
    <s v="RLM-96511-467"/>
    <x v="191"/>
    <s v="43014-53743-XK"/>
    <s v="R-L-2.5"/>
    <n v="1"/>
    <s v="Jennica Tewelson"/>
    <s v=""/>
    <x v="0"/>
    <x v="68"/>
    <x v="0"/>
    <s v="L"/>
    <x v="2"/>
    <n v="27.484999999999996"/>
    <n v="1.6490999999999998"/>
    <n v="27.484999999999996"/>
    <x v="0"/>
    <x v="1"/>
    <x v="1"/>
  </r>
  <r>
    <s v="AEZ-13242-456"/>
    <x v="686"/>
    <s v="62494-09113-RP"/>
    <s v="R-M-0.5"/>
    <n v="5"/>
    <s v="Marguerite Graves"/>
    <s v=""/>
    <x v="0"/>
    <x v="321"/>
    <x v="0"/>
    <s v="M"/>
    <x v="1"/>
    <n v="5.97"/>
    <n v="1.7909999999999999"/>
    <n v="29.849999999999998"/>
    <x v="0"/>
    <x v="0"/>
    <x v="1"/>
  </r>
  <r>
    <s v="UME-75640-698"/>
    <x v="687"/>
    <s v="62494-09113-RP"/>
    <s v="A-M-0.5"/>
    <n v="4"/>
    <s v="Marguerite Graves"/>
    <s v=""/>
    <x v="0"/>
    <x v="321"/>
    <x v="2"/>
    <s v="M"/>
    <x v="1"/>
    <n v="6.75"/>
    <n v="2.4299999999999997"/>
    <n v="27"/>
    <x v="2"/>
    <x v="0"/>
    <x v="1"/>
  </r>
  <r>
    <s v="GJC-66474-557"/>
    <x v="629"/>
    <s v="64965-78386-MY"/>
    <s v="A-D-1"/>
    <n v="1"/>
    <s v="Nicolina Jenny"/>
    <s v=""/>
    <x v="0"/>
    <x v="127"/>
    <x v="2"/>
    <s v="D"/>
    <x v="0"/>
    <n v="9.9499999999999993"/>
    <n v="0.89549999999999985"/>
    <n v="9.9499999999999993"/>
    <x v="2"/>
    <x v="2"/>
    <x v="1"/>
  </r>
  <r>
    <s v="IRV-20769-219"/>
    <x v="688"/>
    <s v="77131-58092-GE"/>
    <s v="E-M-0.2"/>
    <n v="3"/>
    <s v="Vidovic Antonelli"/>
    <s v=""/>
    <x v="2"/>
    <x v="282"/>
    <x v="1"/>
    <s v="M"/>
    <x v="3"/>
    <n v="4.125"/>
    <n v="1.3612500000000001"/>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BEF898-198E-4DAE-BC81-21A9FA24D782}" name="City" cacheId="15" applyNumberFormats="0" applyBorderFormats="0" applyFontFormats="0" applyPatternFormats="0" applyAlignmentFormats="0" applyWidthHeightFormats="1" dataCaption="Values" updatedVersion="8" minRefreshableVersion="3" useAutoFormatting="1" colGrandTotals="0" itemPrintTitles="1" createdVersion="8" indent="0" compact="0" compactData="0" multipleFieldFilters="0" chartFormat="6">
  <location ref="AC3:AD14" firstHeaderRow="1" firstDataRow="1" firstDataCol="1"/>
  <pivotFields count="20">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1"/>
        <item x="2"/>
        <item x="0"/>
      </items>
    </pivotField>
    <pivotField axis="axisRow" compact="0" outline="0" subtotalTop="0" showAll="0" measureFilter="1" sortType="ascending" defaultSubtotal="0">
      <items count="375">
        <item x="72"/>
        <item x="199"/>
        <item x="140"/>
        <item x="347"/>
        <item x="117"/>
        <item x="237"/>
        <item x="311"/>
        <item x="279"/>
        <item x="219"/>
        <item x="92"/>
        <item x="338"/>
        <item x="113"/>
        <item x="249"/>
        <item x="228"/>
        <item x="114"/>
        <item x="284"/>
        <item x="161"/>
        <item x="24"/>
        <item x="79"/>
        <item x="248"/>
        <item x="102"/>
        <item x="318"/>
        <item x="146"/>
        <item x="330"/>
        <item x="157"/>
        <item x="302"/>
        <item x="297"/>
        <item x="104"/>
        <item x="247"/>
        <item x="295"/>
        <item x="246"/>
        <item x="266"/>
        <item x="360"/>
        <item x="232"/>
        <item x="192"/>
        <item x="278"/>
        <item x="163"/>
        <item x="359"/>
        <item x="317"/>
        <item x="75"/>
        <item x="197"/>
        <item x="242"/>
        <item x="332"/>
        <item x="38"/>
        <item x="109"/>
        <item x="213"/>
        <item x="367"/>
        <item x="35"/>
        <item x="183"/>
        <item x="276"/>
        <item x="205"/>
        <item x="310"/>
        <item x="250"/>
        <item x="37"/>
        <item x="130"/>
        <item x="73"/>
        <item x="372"/>
        <item x="58"/>
        <item x="14"/>
        <item x="272"/>
        <item x="186"/>
        <item x="301"/>
        <item x="107"/>
        <item x="121"/>
        <item x="181"/>
        <item x="118"/>
        <item x="221"/>
        <item x="364"/>
        <item x="296"/>
        <item x="358"/>
        <item x="303"/>
        <item x="169"/>
        <item x="81"/>
        <item x="27"/>
        <item x="63"/>
        <item x="131"/>
        <item x="217"/>
        <item x="115"/>
        <item x="89"/>
        <item x="160"/>
        <item x="54"/>
        <item x="231"/>
        <item x="206"/>
        <item x="2"/>
        <item x="159"/>
        <item x="120"/>
        <item x="265"/>
        <item x="328"/>
        <item x="22"/>
        <item x="305"/>
        <item x="71"/>
        <item x="182"/>
        <item x="61"/>
        <item x="82"/>
        <item x="371"/>
        <item x="260"/>
        <item x="78"/>
        <item x="191"/>
        <item x="122"/>
        <item x="366"/>
        <item x="43"/>
        <item x="280"/>
        <item x="68"/>
        <item x="189"/>
        <item x="4"/>
        <item x="373"/>
        <item x="288"/>
        <item x="177"/>
        <item x="29"/>
        <item x="111"/>
        <item x="135"/>
        <item x="96"/>
        <item x="202"/>
        <item x="69"/>
        <item x="162"/>
        <item x="319"/>
        <item x="209"/>
        <item x="285"/>
        <item x="158"/>
        <item x="123"/>
        <item x="252"/>
        <item x="194"/>
        <item x="84"/>
        <item x="154"/>
        <item x="87"/>
        <item x="19"/>
        <item x="173"/>
        <item x="98"/>
        <item x="361"/>
        <item x="97"/>
        <item x="251"/>
        <item x="144"/>
        <item x="308"/>
        <item x="256"/>
        <item x="298"/>
        <item x="42"/>
        <item x="214"/>
        <item x="321"/>
        <item x="51"/>
        <item x="57"/>
        <item x="345"/>
        <item x="74"/>
        <item x="368"/>
        <item x="326"/>
        <item x="132"/>
        <item x="331"/>
        <item x="307"/>
        <item x="25"/>
        <item x="16"/>
        <item x="116"/>
        <item x="353"/>
        <item x="365"/>
        <item x="281"/>
        <item x="312"/>
        <item x="225"/>
        <item x="33"/>
        <item x="152"/>
        <item x="264"/>
        <item x="352"/>
        <item x="103"/>
        <item x="13"/>
        <item x="90"/>
        <item x="289"/>
        <item x="99"/>
        <item x="283"/>
        <item x="333"/>
        <item x="207"/>
        <item x="151"/>
        <item x="222"/>
        <item x="240"/>
        <item x="314"/>
        <item x="168"/>
        <item x="128"/>
        <item x="336"/>
        <item x="77"/>
        <item x="241"/>
        <item x="165"/>
        <item x="5"/>
        <item x="91"/>
        <item x="59"/>
        <item x="44"/>
        <item x="187"/>
        <item x="261"/>
        <item x="149"/>
        <item x="175"/>
        <item x="355"/>
        <item x="257"/>
        <item x="203"/>
        <item x="235"/>
        <item x="269"/>
        <item x="133"/>
        <item x="344"/>
        <item x="198"/>
        <item x="227"/>
        <item x="150"/>
        <item x="85"/>
        <item x="193"/>
        <item x="195"/>
        <item x="65"/>
        <item x="28"/>
        <item x="335"/>
        <item x="60"/>
        <item x="282"/>
        <item x="323"/>
        <item x="245"/>
        <item x="239"/>
        <item x="6"/>
        <item x="286"/>
        <item x="185"/>
        <item x="143"/>
        <item x="271"/>
        <item x="324"/>
        <item x="188"/>
        <item x="126"/>
        <item x="238"/>
        <item x="337"/>
        <item x="290"/>
        <item x="277"/>
        <item x="270"/>
        <item x="139"/>
        <item x="294"/>
        <item x="137"/>
        <item x="342"/>
        <item x="218"/>
        <item x="190"/>
        <item x="292"/>
        <item x="67"/>
        <item x="9"/>
        <item x="262"/>
        <item x="166"/>
        <item x="30"/>
        <item x="351"/>
        <item x="354"/>
        <item x="244"/>
        <item x="334"/>
        <item x="124"/>
        <item x="343"/>
        <item x="66"/>
        <item x="357"/>
        <item x="306"/>
        <item x="362"/>
        <item x="275"/>
        <item x="53"/>
        <item x="93"/>
        <item x="322"/>
        <item x="136"/>
        <item x="233"/>
        <item x="226"/>
        <item x="341"/>
        <item x="32"/>
        <item x="15"/>
        <item x="55"/>
        <item x="164"/>
        <item x="62"/>
        <item x="95"/>
        <item x="176"/>
        <item x="40"/>
        <item x="80"/>
        <item x="184"/>
        <item x="112"/>
        <item x="70"/>
        <item x="220"/>
        <item x="34"/>
        <item x="101"/>
        <item x="339"/>
        <item x="349"/>
        <item x="106"/>
        <item x="327"/>
        <item x="148"/>
        <item x="0"/>
        <item x="48"/>
        <item x="20"/>
        <item x="11"/>
        <item x="167"/>
        <item x="291"/>
        <item x="171"/>
        <item x="348"/>
        <item x="88"/>
        <item x="129"/>
        <item x="12"/>
        <item x="105"/>
        <item x="229"/>
        <item x="108"/>
        <item x="17"/>
        <item x="119"/>
        <item x="179"/>
        <item x="369"/>
        <item x="23"/>
        <item x="76"/>
        <item x="216"/>
        <item x="8"/>
        <item x="110"/>
        <item x="36"/>
        <item x="356"/>
        <item x="215"/>
        <item x="155"/>
        <item x="253"/>
        <item x="254"/>
        <item x="267"/>
        <item x="10"/>
        <item x="50"/>
        <item x="350"/>
        <item x="363"/>
        <item x="147"/>
        <item x="299"/>
        <item x="1"/>
        <item x="39"/>
        <item x="236"/>
        <item x="204"/>
        <item x="7"/>
        <item x="255"/>
        <item x="201"/>
        <item x="100"/>
        <item x="346"/>
        <item x="268"/>
        <item x="3"/>
        <item x="258"/>
        <item x="208"/>
        <item x="293"/>
        <item x="180"/>
        <item x="153"/>
        <item x="172"/>
        <item x="212"/>
        <item x="370"/>
        <item x="125"/>
        <item x="141"/>
        <item x="64"/>
        <item x="94"/>
        <item x="142"/>
        <item x="287"/>
        <item x="83"/>
        <item x="329"/>
        <item x="304"/>
        <item x="224"/>
        <item x="170"/>
        <item x="309"/>
        <item x="174"/>
        <item x="315"/>
        <item x="47"/>
        <item x="300"/>
        <item x="45"/>
        <item x="210"/>
        <item x="21"/>
        <item x="46"/>
        <item x="259"/>
        <item x="31"/>
        <item x="178"/>
        <item x="223"/>
        <item x="134"/>
        <item x="86"/>
        <item x="340"/>
        <item x="211"/>
        <item x="26"/>
        <item x="234"/>
        <item x="18"/>
        <item x="56"/>
        <item x="263"/>
        <item x="273"/>
        <item x="138"/>
        <item x="41"/>
        <item x="243"/>
        <item x="196"/>
        <item x="200"/>
        <item x="230"/>
        <item x="127"/>
        <item x="145"/>
        <item x="313"/>
        <item x="156"/>
        <item x="325"/>
        <item x="274"/>
        <item x="374"/>
        <item x="52"/>
        <item x="316"/>
        <item x="320"/>
        <item x="49"/>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pivotField compact="0" numFmtId="44" outline="0" showAll="0" defaultSubtotal="0"/>
    <pivotField compact="0" numFmtId="44" outline="0" subtotalTop="0" showAll="0" defaultSubtotal="0"/>
    <pivotField dataField="1" compact="0" numFmtId="44" outline="0" showAll="0" defaultSubtotal="0"/>
    <pivotField compact="0" outline="0" showAll="0" defaultSubtotal="0">
      <items count="4">
        <item x="2"/>
        <item x="1"/>
        <item x="3"/>
        <item x="0"/>
      </items>
    </pivotField>
    <pivotField compact="0" outline="0" showAll="0" defaultSubtotal="0"/>
    <pivotField compact="0" outline="0" subtotalTop="0" showAll="0" defaultSubtotal="0"/>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s>
  <rowFields count="1">
    <field x="8"/>
  </rowFields>
  <rowItems count="11">
    <i>
      <x v="263"/>
    </i>
    <i>
      <x v="102"/>
    </i>
    <i>
      <x v="43"/>
    </i>
    <i>
      <x v="272"/>
    </i>
    <i>
      <x v="279"/>
    </i>
    <i>
      <x v="295"/>
    </i>
    <i>
      <x v="250"/>
    </i>
    <i>
      <x v="340"/>
    </i>
    <i>
      <x v="160"/>
    </i>
    <i>
      <x v="359"/>
    </i>
    <i t="grand">
      <x/>
    </i>
  </rowItems>
  <colItems count="1">
    <i/>
  </colItems>
  <dataFields count="1">
    <dataField name="Sum of Sales" fld="14" baseField="15" baseItem="1" numFmtId="42"/>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8"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FB0CA3-6FEB-4D25-8CE9-94EF853184C3}" name="Country" cacheId="15" applyNumberFormats="0" applyBorderFormats="0" applyFontFormats="0" applyPatternFormats="0" applyAlignmentFormats="0" applyWidthHeightFormats="1" dataCaption="Values" updatedVersion="8" minRefreshableVersion="3" useAutoFormatting="1" colGrandTotals="0" itemPrintTitles="1" createdVersion="8" indent="0" compact="0" compactData="0" multipleFieldFilters="0" chartFormat="2">
  <location ref="Y3:AA7" firstHeaderRow="0" firstDataRow="1" firstDataCol="1"/>
  <pivotFields count="20">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descending" defaultSubtotal="0">
      <items count="3">
        <item x="1"/>
        <item x="2"/>
        <item x="0"/>
      </items>
      <autoSortScope>
        <pivotArea dataOnly="0" outline="0" fieldPosition="0">
          <references count="1">
            <reference field="4294967294" count="1" selected="0">
              <x v="0"/>
            </reference>
          </references>
        </pivotArea>
      </autoSortScope>
    </pivotField>
    <pivotField compact="0" outline="0" subtotalTop="0" showAll="0" defaultSubtotal="0">
      <items count="375">
        <item x="72"/>
        <item x="199"/>
        <item x="140"/>
        <item x="347"/>
        <item x="117"/>
        <item x="237"/>
        <item x="311"/>
        <item x="279"/>
        <item x="219"/>
        <item x="92"/>
        <item x="338"/>
        <item x="113"/>
        <item x="249"/>
        <item x="228"/>
        <item x="114"/>
        <item x="284"/>
        <item x="161"/>
        <item x="24"/>
        <item x="79"/>
        <item x="248"/>
        <item x="102"/>
        <item x="318"/>
        <item x="146"/>
        <item x="330"/>
        <item x="157"/>
        <item x="302"/>
        <item x="297"/>
        <item x="104"/>
        <item x="247"/>
        <item x="295"/>
        <item x="246"/>
        <item x="266"/>
        <item x="360"/>
        <item x="232"/>
        <item x="192"/>
        <item x="278"/>
        <item x="163"/>
        <item x="359"/>
        <item x="317"/>
        <item x="75"/>
        <item x="197"/>
        <item x="242"/>
        <item x="332"/>
        <item x="38"/>
        <item x="109"/>
        <item x="213"/>
        <item x="367"/>
        <item x="35"/>
        <item x="183"/>
        <item x="276"/>
        <item x="205"/>
        <item x="310"/>
        <item x="250"/>
        <item x="37"/>
        <item x="130"/>
        <item x="73"/>
        <item x="372"/>
        <item x="58"/>
        <item x="14"/>
        <item x="272"/>
        <item x="186"/>
        <item x="301"/>
        <item x="107"/>
        <item x="121"/>
        <item x="181"/>
        <item x="118"/>
        <item x="221"/>
        <item x="364"/>
        <item x="296"/>
        <item x="358"/>
        <item x="303"/>
        <item x="169"/>
        <item x="81"/>
        <item x="27"/>
        <item x="63"/>
        <item x="131"/>
        <item x="217"/>
        <item x="115"/>
        <item x="89"/>
        <item x="160"/>
        <item x="54"/>
        <item x="231"/>
        <item x="206"/>
        <item x="2"/>
        <item x="159"/>
        <item x="120"/>
        <item x="265"/>
        <item x="328"/>
        <item x="22"/>
        <item x="305"/>
        <item x="71"/>
        <item x="182"/>
        <item x="61"/>
        <item x="82"/>
        <item x="371"/>
        <item x="260"/>
        <item x="78"/>
        <item x="191"/>
        <item x="122"/>
        <item x="366"/>
        <item x="43"/>
        <item x="280"/>
        <item x="68"/>
        <item x="189"/>
        <item x="4"/>
        <item x="373"/>
        <item x="288"/>
        <item x="177"/>
        <item x="29"/>
        <item x="111"/>
        <item x="135"/>
        <item x="96"/>
        <item x="202"/>
        <item x="69"/>
        <item x="162"/>
        <item x="319"/>
        <item x="209"/>
        <item x="285"/>
        <item x="158"/>
        <item x="123"/>
        <item x="252"/>
        <item x="194"/>
        <item x="84"/>
        <item x="154"/>
        <item x="87"/>
        <item x="19"/>
        <item x="173"/>
        <item x="98"/>
        <item x="361"/>
        <item x="97"/>
        <item x="251"/>
        <item x="144"/>
        <item x="308"/>
        <item x="256"/>
        <item x="298"/>
        <item x="42"/>
        <item x="214"/>
        <item x="321"/>
        <item x="51"/>
        <item x="57"/>
        <item x="345"/>
        <item x="74"/>
        <item x="368"/>
        <item x="326"/>
        <item x="132"/>
        <item x="331"/>
        <item x="307"/>
        <item x="25"/>
        <item x="16"/>
        <item x="116"/>
        <item x="353"/>
        <item x="365"/>
        <item x="281"/>
        <item x="312"/>
        <item x="225"/>
        <item x="33"/>
        <item x="152"/>
        <item x="264"/>
        <item x="352"/>
        <item x="103"/>
        <item x="13"/>
        <item x="90"/>
        <item x="289"/>
        <item x="99"/>
        <item x="283"/>
        <item x="333"/>
        <item x="207"/>
        <item x="151"/>
        <item x="222"/>
        <item x="240"/>
        <item x="314"/>
        <item x="168"/>
        <item x="128"/>
        <item x="336"/>
        <item x="77"/>
        <item x="241"/>
        <item x="165"/>
        <item x="5"/>
        <item x="91"/>
        <item x="59"/>
        <item x="44"/>
        <item x="187"/>
        <item x="261"/>
        <item x="149"/>
        <item x="175"/>
        <item x="355"/>
        <item x="257"/>
        <item x="203"/>
        <item x="235"/>
        <item x="269"/>
        <item x="133"/>
        <item x="344"/>
        <item x="198"/>
        <item x="227"/>
        <item x="150"/>
        <item x="85"/>
        <item x="193"/>
        <item x="195"/>
        <item x="65"/>
        <item x="28"/>
        <item x="335"/>
        <item x="60"/>
        <item x="282"/>
        <item x="323"/>
        <item x="245"/>
        <item x="239"/>
        <item x="6"/>
        <item x="286"/>
        <item x="185"/>
        <item x="143"/>
        <item x="271"/>
        <item x="324"/>
        <item x="188"/>
        <item x="126"/>
        <item x="238"/>
        <item x="337"/>
        <item x="290"/>
        <item x="277"/>
        <item x="270"/>
        <item x="139"/>
        <item x="294"/>
        <item x="137"/>
        <item x="342"/>
        <item x="218"/>
        <item x="190"/>
        <item x="292"/>
        <item x="67"/>
        <item x="9"/>
        <item x="262"/>
        <item x="166"/>
        <item x="30"/>
        <item x="351"/>
        <item x="354"/>
        <item x="244"/>
        <item x="334"/>
        <item x="124"/>
        <item x="343"/>
        <item x="66"/>
        <item x="357"/>
        <item x="306"/>
        <item x="362"/>
        <item x="275"/>
        <item x="53"/>
        <item x="93"/>
        <item x="322"/>
        <item x="136"/>
        <item x="233"/>
        <item x="226"/>
        <item x="341"/>
        <item x="32"/>
        <item x="15"/>
        <item x="55"/>
        <item x="164"/>
        <item x="62"/>
        <item x="95"/>
        <item x="176"/>
        <item x="40"/>
        <item x="80"/>
        <item x="184"/>
        <item x="112"/>
        <item x="70"/>
        <item x="220"/>
        <item x="34"/>
        <item x="101"/>
        <item x="339"/>
        <item x="349"/>
        <item x="106"/>
        <item x="327"/>
        <item x="148"/>
        <item x="0"/>
        <item x="48"/>
        <item x="20"/>
        <item x="11"/>
        <item x="167"/>
        <item x="291"/>
        <item x="171"/>
        <item x="348"/>
        <item x="88"/>
        <item x="129"/>
        <item x="12"/>
        <item x="105"/>
        <item x="229"/>
        <item x="108"/>
        <item x="17"/>
        <item x="119"/>
        <item x="179"/>
        <item x="369"/>
        <item x="23"/>
        <item x="76"/>
        <item x="216"/>
        <item x="8"/>
        <item x="110"/>
        <item x="36"/>
        <item x="356"/>
        <item x="215"/>
        <item x="155"/>
        <item x="253"/>
        <item x="254"/>
        <item x="267"/>
        <item x="10"/>
        <item x="50"/>
        <item x="350"/>
        <item x="363"/>
        <item x="147"/>
        <item x="299"/>
        <item x="1"/>
        <item x="39"/>
        <item x="236"/>
        <item x="204"/>
        <item x="7"/>
        <item x="255"/>
        <item x="201"/>
        <item x="100"/>
        <item x="346"/>
        <item x="268"/>
        <item x="3"/>
        <item x="258"/>
        <item x="208"/>
        <item x="293"/>
        <item x="180"/>
        <item x="153"/>
        <item x="172"/>
        <item x="212"/>
        <item x="370"/>
        <item x="125"/>
        <item x="141"/>
        <item x="64"/>
        <item x="94"/>
        <item x="142"/>
        <item x="287"/>
        <item x="83"/>
        <item x="329"/>
        <item x="304"/>
        <item x="224"/>
        <item x="170"/>
        <item x="309"/>
        <item x="174"/>
        <item x="315"/>
        <item x="47"/>
        <item x="300"/>
        <item x="45"/>
        <item x="210"/>
        <item x="21"/>
        <item x="46"/>
        <item x="259"/>
        <item x="31"/>
        <item x="178"/>
        <item x="223"/>
        <item x="134"/>
        <item x="86"/>
        <item x="340"/>
        <item x="211"/>
        <item x="26"/>
        <item x="234"/>
        <item x="18"/>
        <item x="56"/>
        <item x="263"/>
        <item x="273"/>
        <item x="138"/>
        <item x="41"/>
        <item x="243"/>
        <item x="196"/>
        <item x="200"/>
        <item x="230"/>
        <item x="127"/>
        <item x="145"/>
        <item x="313"/>
        <item x="156"/>
        <item x="325"/>
        <item x="274"/>
        <item x="374"/>
        <item x="52"/>
        <item x="316"/>
        <item x="320"/>
        <item x="49"/>
      </items>
    </pivotField>
    <pivotField compact="0" outline="0" showAll="0" defaultSubtotal="0"/>
    <pivotField compact="0" outline="0" showAll="0" defaultSubtotal="0"/>
    <pivotField compact="0" numFmtId="166" outline="0" showAll="0" defaultSubtotal="0"/>
    <pivotField compact="0" numFmtId="44" outline="0" showAll="0" defaultSubtotal="0"/>
    <pivotField compact="0" numFmtId="44" outline="0" subtotalTop="0" showAll="0" defaultSubtotal="0"/>
    <pivotField dataField="1" compact="0" numFmtId="44" outline="0" showAll="0" defaultSubtotal="0"/>
    <pivotField compact="0" outline="0" showAll="0" defaultSubtotal="0">
      <items count="4">
        <item x="2"/>
        <item x="1"/>
        <item x="3"/>
        <item x="0"/>
      </items>
    </pivotField>
    <pivotField compact="0" outline="0" showAll="0" defaultSubtotal="0"/>
    <pivotField compact="0" outline="0" subtotalTop="0" showAll="0" defaultSubtotal="0"/>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s>
  <rowFields count="1">
    <field x="7"/>
  </rowFields>
  <rowItems count="4">
    <i>
      <x v="2"/>
    </i>
    <i>
      <x/>
    </i>
    <i>
      <x v="1"/>
    </i>
    <i t="grand">
      <x/>
    </i>
  </rowItems>
  <colFields count="1">
    <field x="-2"/>
  </colFields>
  <colItems count="2">
    <i>
      <x/>
    </i>
    <i i="1">
      <x v="1"/>
    </i>
  </colItems>
  <dataFields count="2">
    <dataField name="Sum of Sales" fld="14" baseField="15" baseItem="1" numFmtId="42"/>
    <dataField name="Sum of Sales2" fld="14" showDataAs="percentOfTotal" baseField="7" baseItem="2" numFmtId="10"/>
  </dataFields>
  <formats count="1">
    <format dxfId="0">
      <pivotArea outline="0" fieldPosition="0">
        <references count="2">
          <reference field="4294967294" count="1" selected="0">
            <x v="1"/>
          </reference>
          <reference field="7" count="0" selected="0"/>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90519D-193B-4F5C-9F71-FF67804FB774}" name="Product sales" cacheId="15" applyNumberFormats="0" applyBorderFormats="0" applyFontFormats="0" applyPatternFormats="0" applyAlignmentFormats="0" applyWidthHeightFormats="1" dataCaption="Values" updatedVersion="8" minRefreshableVersion="3" useAutoFormatting="1" colGrandTotals="0" itemPrintTitles="1" createdVersion="8" indent="0" compact="0" compactData="0" multipleFieldFilters="0" chartFormat="9">
  <location ref="P3:Q8" firstHeaderRow="1" firstDataRow="1" firstDataCol="1"/>
  <pivotFields count="20">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1"/>
        <item x="2"/>
        <item x="0"/>
      </items>
    </pivotField>
    <pivotField compact="0" outline="0" subtotalTop="0" showAll="0" defaultSubtotal="0"/>
    <pivotField compact="0" outline="0" showAll="0" defaultSubtotal="0">
      <items count="4">
        <item x="2"/>
        <item x="1"/>
        <item x="3"/>
        <item x="0"/>
      </items>
    </pivotField>
    <pivotField compact="0" outline="0" showAll="0" defaultSubtotal="0"/>
    <pivotField compact="0" numFmtId="166" outline="0" showAll="0" defaultSubtotal="0"/>
    <pivotField compact="0" numFmtId="44" outline="0" showAll="0" defaultSubtotal="0"/>
    <pivotField compact="0" numFmtId="44" outline="0" subtotalTop="0" showAll="0" defaultSubtotal="0"/>
    <pivotField dataField="1" compact="0" numFmtId="44" outline="0" showAll="0" defaultSubtotal="0"/>
    <pivotField axis="axisRow" compact="0" outline="0" showAll="0" sortType="ascending" defaultSubtotal="0">
      <items count="4">
        <item x="2"/>
        <item x="3"/>
        <item x="1"/>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ubtotalTop="0" showAll="0" defaultSubtotal="0"/>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s>
  <rowFields count="1">
    <field x="15"/>
  </rowFields>
  <rowItems count="5">
    <i>
      <x v="3"/>
    </i>
    <i>
      <x/>
    </i>
    <i>
      <x v="1"/>
    </i>
    <i>
      <x v="2"/>
    </i>
    <i t="grand">
      <x/>
    </i>
  </rowItems>
  <colItems count="1">
    <i/>
  </colItems>
  <dataFields count="1">
    <dataField name="Sum of Sales" fld="14" baseField="15" baseItem="1" numFmtId="42"/>
  </dataFields>
  <chartFormats count="5">
    <chartFormat chart="8" format="2" series="1">
      <pivotArea type="data" outline="0" fieldPosition="0">
        <references count="1">
          <reference field="4294967294" count="1" selected="0">
            <x v="0"/>
          </reference>
        </references>
      </pivotArea>
    </chartFormat>
    <chartFormat chart="8" format="3">
      <pivotArea type="data" outline="0" fieldPosition="0">
        <references count="2">
          <reference field="4294967294" count="1" selected="0">
            <x v="0"/>
          </reference>
          <reference field="15" count="1" selected="0">
            <x v="2"/>
          </reference>
        </references>
      </pivotArea>
    </chartFormat>
    <chartFormat chart="8" format="4">
      <pivotArea type="data" outline="0" fieldPosition="0">
        <references count="2">
          <reference field="4294967294" count="1" selected="0">
            <x v="0"/>
          </reference>
          <reference field="15" count="1" selected="0">
            <x v="1"/>
          </reference>
        </references>
      </pivotArea>
    </chartFormat>
    <chartFormat chart="8" format="5">
      <pivotArea type="data" outline="0" fieldPosition="0">
        <references count="2">
          <reference field="4294967294" count="1" selected="0">
            <x v="0"/>
          </reference>
          <reference field="15" count="1" selected="0">
            <x v="0"/>
          </reference>
        </references>
      </pivotArea>
    </chartFormat>
    <chartFormat chart="8" format="6">
      <pivotArea type="data" outline="0" fieldPosition="0">
        <references count="2">
          <reference field="4294967294" count="1" selected="0">
            <x v="0"/>
          </reference>
          <reference field="15"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A9265A8-EDCE-4157-A42D-772B5B9A28DB}" name="Monthly Sales" cacheId="15" applyNumberFormats="0" applyBorderFormats="0" applyFontFormats="0" applyPatternFormats="0" applyAlignmentFormats="0" applyWidthHeightFormats="1" dataCaption="Values" updatedVersion="8" minRefreshableVersion="3" useAutoFormatting="1" colGrandTotals="0" itemPrintTitles="1" createdVersion="8" indent="0" compact="0" compactData="0" multipleFieldFilters="0" chartFormat="4">
  <location ref="J3:N17" firstHeaderRow="1" firstDataRow="2" firstDataCol="1"/>
  <pivotFields count="20">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1"/>
        <item x="2"/>
        <item x="0"/>
      </items>
    </pivotField>
    <pivotField compact="0" outline="0" subtotalTop="0" showAll="0" defaultSubtotal="0"/>
    <pivotField axis="axisCol" compact="0" outline="0" showAll="0" defaultSubtotal="0">
      <items count="4">
        <item x="2"/>
        <item x="1"/>
        <item x="3"/>
        <item x="0"/>
      </items>
    </pivotField>
    <pivotField compact="0" outline="0" showAll="0" defaultSubtotal="0"/>
    <pivotField compact="0" numFmtId="166" outline="0" showAll="0" defaultSubtotal="0"/>
    <pivotField compact="0" numFmtId="44" outline="0" showAll="0" defaultSubtotal="0"/>
    <pivotField compact="0" numFmtId="44" outline="0" subtotalTop="0" showAll="0" defaultSubtotal="0"/>
    <pivotField dataField="1" compact="0" numFmtId="44" outline="0" showAll="0" defaultSubtotal="0"/>
    <pivotField compact="0" outline="0" showAll="0" defaultSubtotal="0">
      <items count="4">
        <item x="2"/>
        <item x="1"/>
        <item x="3"/>
        <item x="0"/>
      </items>
    </pivotField>
    <pivotField compact="0" outline="0" showAll="0" defaultSubtotal="0"/>
    <pivotField compact="0" outline="0" subtotalTop="0" showAll="0" defaultSubtotal="0"/>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s>
  <rowFields count="1">
    <field x="18"/>
  </rowFields>
  <rowItems count="13">
    <i>
      <x v="1"/>
    </i>
    <i>
      <x v="2"/>
    </i>
    <i>
      <x v="3"/>
    </i>
    <i>
      <x v="4"/>
    </i>
    <i>
      <x v="5"/>
    </i>
    <i>
      <x v="6"/>
    </i>
    <i>
      <x v="7"/>
    </i>
    <i>
      <x v="8"/>
    </i>
    <i>
      <x v="9"/>
    </i>
    <i>
      <x v="10"/>
    </i>
    <i>
      <x v="11"/>
    </i>
    <i>
      <x v="12"/>
    </i>
    <i t="grand">
      <x/>
    </i>
  </rowItems>
  <colFields count="1">
    <field x="9"/>
  </colFields>
  <colItems count="4">
    <i>
      <x/>
    </i>
    <i>
      <x v="1"/>
    </i>
    <i>
      <x v="2"/>
    </i>
    <i>
      <x v="3"/>
    </i>
  </colItems>
  <dataFields count="1">
    <dataField name="Sum of Sales" fld="14" baseField="15" baseItem="1" numFmtId="42"/>
  </dataFields>
  <chartFormats count="5">
    <chartFormat chart="3" format="8" series="1">
      <pivotArea type="data" outline="0" fieldPosition="0">
        <references count="2">
          <reference field="4294967294" count="1" selected="0">
            <x v="0"/>
          </reference>
          <reference field="9" count="1" selected="0">
            <x v="0"/>
          </reference>
        </references>
      </pivotArea>
    </chartFormat>
    <chartFormat chart="3" format="9" series="1">
      <pivotArea type="data" outline="0" fieldPosition="0">
        <references count="2">
          <reference field="4294967294" count="1" selected="0">
            <x v="0"/>
          </reference>
          <reference field="9" count="1" selected="0">
            <x v="1"/>
          </reference>
        </references>
      </pivotArea>
    </chartFormat>
    <chartFormat chart="3" format="10" series="1">
      <pivotArea type="data" outline="0" fieldPosition="0">
        <references count="2">
          <reference field="4294967294" count="1" selected="0">
            <x v="0"/>
          </reference>
          <reference field="9" count="1" selected="0">
            <x v="2"/>
          </reference>
        </references>
      </pivotArea>
    </chartFormat>
    <chartFormat chart="3" format="11" series="1">
      <pivotArea type="data" outline="0" fieldPosition="0">
        <references count="2">
          <reference field="4294967294" count="1" selected="0">
            <x v="0"/>
          </reference>
          <reference field="9" count="1" selected="0">
            <x v="3"/>
          </reference>
        </references>
      </pivotArea>
    </chartFormat>
    <chartFormat chart="3"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848A8A5-870C-4710-9AE5-DBE7A63B3E4F}" name="Yearly sales" cacheId="15" applyNumberFormats="0" applyBorderFormats="0" applyFontFormats="0" applyPatternFormats="0" applyAlignmentFormats="0" applyWidthHeightFormats="1" dataCaption="Values" updatedVersion="8" minRefreshableVersion="3" useAutoFormatting="1" colGrandTotals="0" itemPrintTitles="1" createdVersion="8" indent="0" compact="0" compactData="0" multipleFieldFilters="0" chartFormat="4">
  <location ref="F3:H8" firstHeaderRow="0" firstDataRow="1" firstDataCol="1"/>
  <pivotFields count="20">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1"/>
        <item x="2"/>
        <item x="0"/>
      </items>
    </pivotField>
    <pivotField compact="0" outline="0" subtotalTop="0" showAll="0" defaultSubtotal="0"/>
    <pivotField compact="0" outline="0" showAll="0" defaultSubtotal="0"/>
    <pivotField compact="0" outline="0" showAll="0" defaultSubtotal="0"/>
    <pivotField compact="0" numFmtId="166" outline="0" showAll="0" defaultSubtotal="0"/>
    <pivotField compact="0" numFmtId="44" outline="0" showAll="0" defaultSubtotal="0"/>
    <pivotField dataField="1" compact="0" numFmtId="44" outline="0" subtotalTop="0" showAll="0" defaultSubtotal="0"/>
    <pivotField dataField="1" compact="0" numFmtId="44" outline="0" showAll="0" defaultSubtotal="0"/>
    <pivotField compact="0" outline="0" showAll="0" defaultSubtotal="0">
      <items count="4">
        <item x="2"/>
        <item x="1"/>
        <item x="3"/>
        <item x="0"/>
      </items>
    </pivotField>
    <pivotField compact="0" outline="0" showAll="0" defaultSubtotal="0"/>
    <pivotField compact="0" outline="0" subtotalTop="0" showAll="0" defaultSubtotal="0"/>
    <pivotField compact="0" outline="0" showAll="0" defaultSubtotal="0">
      <items count="14">
        <item sd="0" x="0"/>
        <item sd="0" x="1"/>
        <item sd="0" x="2"/>
        <item sd="0" x="3"/>
        <item sd="0" x="4"/>
        <item sd="0" x="5"/>
        <item sd="0" x="6"/>
        <item sd="0" x="7"/>
        <item sd="0" x="8"/>
        <item sd="0" x="9"/>
        <item sd="0" x="10"/>
        <item sd="0" x="11"/>
        <item sd="0" x="12"/>
        <item sd="0" x="13"/>
      </items>
    </pivotField>
    <pivotField axis="axisRow" compact="0" outline="0" showAll="0" defaultSubtotal="0">
      <items count="6">
        <item sd="0" x="0"/>
        <item sd="0" x="1"/>
        <item sd="0" x="2"/>
        <item sd="0" x="3"/>
        <item sd="0" x="4"/>
        <item sd="0" x="5"/>
      </items>
    </pivotField>
  </pivotFields>
  <rowFields count="1">
    <field x="19"/>
  </rowFields>
  <rowItems count="5">
    <i>
      <x v="1"/>
    </i>
    <i>
      <x v="2"/>
    </i>
    <i>
      <x v="3"/>
    </i>
    <i>
      <x v="4"/>
    </i>
    <i t="grand">
      <x/>
    </i>
  </rowItems>
  <colFields count="1">
    <field x="-2"/>
  </colFields>
  <colItems count="2">
    <i>
      <x/>
    </i>
    <i i="1">
      <x v="1"/>
    </i>
  </colItems>
  <dataFields count="2">
    <dataField name="Sum of Sales" fld="14" baseField="15" baseItem="1" numFmtId="42"/>
    <dataField name="Sum of Profit" fld="13" baseField="0" baseItem="0" numFmtId="44"/>
  </dataFields>
  <formats count="1">
    <format dxfId="20">
      <pivotArea outline="0" fieldPosition="0">
        <references count="2">
          <reference field="4294967294" count="1" selected="0">
            <x v="1"/>
          </reference>
          <reference field="19" count="4" selected="0">
            <x v="1"/>
            <x v="2"/>
            <x v="3"/>
            <x v="4"/>
          </reference>
        </references>
      </pivotArea>
    </format>
  </format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625ED49-020D-466F-B38E-79431A7ADDFE}" name="Loyalty" cacheId="15" applyNumberFormats="0" applyBorderFormats="0" applyFontFormats="0" applyPatternFormats="0" applyAlignmentFormats="0" applyWidthHeightFormats="1" dataCaption="Values" updatedVersion="8" minRefreshableVersion="3" useAutoFormatting="1" colGrandTotals="0" itemPrintTitles="1" createdVersion="8" indent="0" compact="0" compactData="0" multipleFieldFilters="0">
  <location ref="AF3:AG6" firstHeaderRow="1" firstDataRow="1" firstDataCol="1"/>
  <pivotFields count="20">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1"/>
        <item x="2"/>
        <item x="0"/>
      </items>
    </pivotField>
    <pivotField compact="0" outline="0" subtotalTop="0" showAll="0" defaultSubtotal="0"/>
    <pivotField compact="0" outline="0" showAll="0" defaultSubtotal="0"/>
    <pivotField compact="0" outline="0" showAll="0" defaultSubtotal="0"/>
    <pivotField compact="0" numFmtId="166" outline="0" showAll="0" defaultSubtotal="0"/>
    <pivotField compact="0" numFmtId="44" outline="0" showAll="0" defaultSubtotal="0"/>
    <pivotField compact="0" numFmtId="44" outline="0" subtotalTop="0" showAll="0" defaultSubtotal="0"/>
    <pivotField dataField="1" compact="0" numFmtId="44" outline="0" showAll="0" defaultSubtotal="0"/>
    <pivotField compact="0" outline="0" showAll="0" defaultSubtotal="0">
      <items count="4">
        <item x="2"/>
        <item x="1"/>
        <item x="3"/>
        <item x="0"/>
      </items>
    </pivotField>
    <pivotField compact="0" outline="0" showAll="0" defaultSubtotal="0"/>
    <pivotField axis="axisRow" compact="0" outline="0" subtotalTop="0" showAll="0" defaultSubtotal="0">
      <items count="2">
        <item x="1"/>
        <item x="0"/>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s>
  <rowFields count="1">
    <field x="17"/>
  </rowFields>
  <rowItems count="3">
    <i>
      <x/>
    </i>
    <i>
      <x v="1"/>
    </i>
    <i t="grand">
      <x/>
    </i>
  </rowItems>
  <colItems count="1">
    <i/>
  </colItems>
  <dataFields count="1">
    <dataField name="Sum of Sales" fld="14" showDataAs="percentOfTotal" baseField="16" baseItem="1" numFmtId="1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1E49CC2-2F75-47FB-BA77-2FD957062E15}" name="Size sales" cacheId="15" applyNumberFormats="0" applyBorderFormats="0" applyFontFormats="0" applyPatternFormats="0" applyAlignmentFormats="0" applyWidthHeightFormats="1" dataCaption="Values" updatedVersion="8" minRefreshableVersion="3" useAutoFormatting="1" colGrandTotals="0" itemPrintTitles="1" createdVersion="8" indent="0" compact="0" compactData="0" multipleFieldFilters="0">
  <location ref="V3:W8" firstHeaderRow="1" firstDataRow="1" firstDataCol="1"/>
  <pivotFields count="20">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1"/>
        <item x="2"/>
        <item x="0"/>
      </items>
    </pivotField>
    <pivotField compact="0" outline="0" subtotalTop="0" showAll="0" defaultSubtotal="0"/>
    <pivotField compact="0" outline="0" showAll="0" defaultSubtotal="0"/>
    <pivotField compact="0" outline="0" showAll="0" defaultSubtotal="0"/>
    <pivotField axis="axisRow" compact="0" numFmtId="166" outline="0" showAll="0" defaultSubtotal="0">
      <items count="4">
        <item x="3"/>
        <item x="1"/>
        <item x="0"/>
        <item x="2"/>
      </items>
    </pivotField>
    <pivotField compact="0" numFmtId="44" outline="0" showAll="0" defaultSubtotal="0"/>
    <pivotField compact="0" numFmtId="44" outline="0" subtotalTop="0" showAll="0" defaultSubtotal="0"/>
    <pivotField dataField="1" compact="0" numFmtId="44" outline="0" showAll="0" defaultSubtotal="0"/>
    <pivotField compact="0" outline="0" showAll="0" defaultSubtotal="0">
      <items count="4">
        <item x="2"/>
        <item x="1"/>
        <item x="3"/>
        <item x="0"/>
      </items>
    </pivotField>
    <pivotField compact="0" outline="0" showAll="0" defaultSubtotal="0"/>
    <pivotField compact="0" outline="0" subtotalTop="0" showAll="0" defaultSubtotal="0"/>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s>
  <rowFields count="1">
    <field x="11"/>
  </rowFields>
  <rowItems count="5">
    <i>
      <x/>
    </i>
    <i>
      <x v="1"/>
    </i>
    <i>
      <x v="2"/>
    </i>
    <i>
      <x v="3"/>
    </i>
    <i t="grand">
      <x/>
    </i>
  </rowItems>
  <colItems count="1">
    <i/>
  </colItems>
  <dataFields count="1">
    <dataField name="Sum of Sales" fld="14" baseField="15" baseItem="1" numFmtId="42"/>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B6D6685-3EBF-4EDB-942B-621738DB5CD8}" name="Total Sales" cacheId="15" applyNumberFormats="0" applyBorderFormats="0" applyFontFormats="0" applyPatternFormats="0" applyAlignmentFormats="0" applyWidthHeightFormats="1" dataCaption="Values" updatedVersion="8" minRefreshableVersion="3" useAutoFormatting="1" colGrandTotals="0" itemPrintTitles="1" createdVersion="8" indent="0" compact="0" compactData="0" multipleFieldFilters="0">
  <location ref="A3:D4" firstHeaderRow="0" firstDataRow="1" firstDataCol="0"/>
  <pivotFields count="20">
    <pivotField dataField="1"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items count="3">
        <item x="1"/>
        <item x="2"/>
        <item x="0"/>
      </items>
    </pivotField>
    <pivotField compact="0" outline="0" subtotalTop="0" showAll="0" defaultSubtotal="0"/>
    <pivotField compact="0" outline="0" showAll="0" defaultSubtotal="0"/>
    <pivotField compact="0" outline="0" showAll="0" defaultSubtotal="0"/>
    <pivotField compact="0" numFmtId="166" outline="0" showAll="0" defaultSubtotal="0"/>
    <pivotField compact="0" numFmtId="44" outline="0" showAll="0" defaultSubtotal="0"/>
    <pivotField dataField="1" compact="0" numFmtId="44" outline="0" subtotalTop="0" showAll="0" defaultSubtotal="0"/>
    <pivotField dataField="1" compact="0" numFmtId="44" outline="0" showAll="0" defaultSubtotal="0"/>
    <pivotField compact="0" outline="0" showAll="0" defaultSubtotal="0">
      <items count="4">
        <item x="2"/>
        <item x="1"/>
        <item x="3"/>
        <item x="0"/>
      </items>
    </pivotField>
    <pivotField compact="0" outline="0" showAll="0" defaultSubtotal="0"/>
    <pivotField compact="0"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Items count="1">
    <i/>
  </rowItems>
  <colFields count="1">
    <field x="-2"/>
  </colFields>
  <colItems count="4">
    <i>
      <x/>
    </i>
    <i i="1">
      <x v="1"/>
    </i>
    <i i="2">
      <x v="2"/>
    </i>
    <i i="3">
      <x v="3"/>
    </i>
  </colItems>
  <dataFields count="4">
    <dataField name="Sum of Sales" fld="14" baseField="15" baseItem="1" numFmtId="42"/>
    <dataField name="Sum of Profit" fld="13" baseField="0" baseItem="2" numFmtId="42"/>
    <dataField name="Count of Order ID" fld="0" subtotal="count" baseField="0" baseItem="0" numFmtId="167"/>
    <dataField name="Sum of Quantity" fld="4" baseField="0" baseItem="0" numFmtId="167"/>
  </dataFields>
  <formats count="1">
    <format dxfId="21">
      <pivotArea outline="0" fieldPosition="0">
        <references count="1">
          <reference field="4294967294" count="2" selected="0">
            <x v="2"/>
            <x v="3"/>
          </reference>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36249A0-947B-49D3-AD1F-C559E1E2AA2E}" name="Rost Type Sales" cacheId="15" applyNumberFormats="0" applyBorderFormats="0" applyFontFormats="0" applyPatternFormats="0" applyAlignmentFormats="0" applyWidthHeightFormats="1" dataCaption="Values" updatedVersion="8" minRefreshableVersion="3" useAutoFormatting="1" colGrandTotals="0" itemPrintTitles="1" createdVersion="8" indent="0" compact="0" compactData="0" multipleFieldFilters="0" chartFormat="6">
  <location ref="S3:T7" firstHeaderRow="1" firstDataRow="1" firstDataCol="1"/>
  <pivotFields count="20">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1"/>
        <item x="2"/>
        <item x="0"/>
      </items>
    </pivotField>
    <pivotField compact="0" outline="0" subtotalTop="0" showAll="0" defaultSubtotal="0"/>
    <pivotField compact="0" outline="0" showAll="0" defaultSubtotal="0"/>
    <pivotField compact="0" outline="0" showAll="0" defaultSubtotal="0"/>
    <pivotField compact="0" numFmtId="166" outline="0" showAll="0" defaultSubtotal="0"/>
    <pivotField compact="0" numFmtId="44" outline="0" showAll="0" defaultSubtotal="0"/>
    <pivotField compact="0" numFmtId="44" outline="0" subtotalTop="0" showAll="0" defaultSubtotal="0"/>
    <pivotField dataField="1" compact="0" numFmtId="44" outline="0" showAll="0" defaultSubtotal="0"/>
    <pivotField compact="0" outline="0" showAll="0" defaultSubtotal="0">
      <items count="4">
        <item x="2"/>
        <item x="1"/>
        <item x="3"/>
        <item x="0"/>
      </items>
    </pivotField>
    <pivotField axis="axisRow" compact="0" outline="0" showAll="0" defaultSubtotal="0">
      <items count="3">
        <item x="2"/>
        <item x="1"/>
        <item x="0"/>
      </items>
    </pivotField>
    <pivotField compact="0" outline="0" subtotalTop="0" showAll="0" defaultSubtotal="0"/>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s>
  <rowFields count="1">
    <field x="16"/>
  </rowFields>
  <rowItems count="4">
    <i>
      <x/>
    </i>
    <i>
      <x v="1"/>
    </i>
    <i>
      <x v="2"/>
    </i>
    <i t="grand">
      <x/>
    </i>
  </rowItems>
  <colItems count="1">
    <i/>
  </colItems>
  <dataFields count="1">
    <dataField name="Sum of Sales" fld="14" showDataAs="percentOfTotal" baseField="16" baseItem="1" numFmtId="10"/>
  </dataFields>
  <formats count="1">
    <format dxfId="1">
      <pivotArea outline="0" fieldPosition="0">
        <references count="1">
          <reference field="16" count="0" selected="0"/>
        </references>
      </pivotArea>
    </format>
  </formats>
  <chartFormats count="4">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16" count="1" selected="0">
            <x v="0"/>
          </reference>
        </references>
      </pivotArea>
    </chartFormat>
    <chartFormat chart="5" format="10">
      <pivotArea type="data" outline="0" fieldPosition="0">
        <references count="2">
          <reference field="4294967294" count="1" selected="0">
            <x v="0"/>
          </reference>
          <reference field="16" count="1" selected="0">
            <x v="1"/>
          </reference>
        </references>
      </pivotArea>
    </chartFormat>
    <chartFormat chart="5" format="11">
      <pivotArea type="data" outline="0" fieldPosition="0">
        <references count="2">
          <reference field="4294967294" count="1" selected="0">
            <x v="0"/>
          </reference>
          <reference field="16"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C7D71D6E-F6AF-4FC3-B159-BAB0750DF43B}" sourceName="Years (Order Date)">
  <pivotTables>
    <pivotTable tabId="18" name="Country"/>
    <pivotTable tabId="18" name="City"/>
    <pivotTable tabId="18" name="Loyalty"/>
    <pivotTable tabId="18" name="Monthly Sales"/>
    <pivotTable tabId="18" name="Product sales"/>
    <pivotTable tabId="18" name="Rost Type Sales"/>
    <pivotTable tabId="18" name="Size sales"/>
    <pivotTable tabId="18" name="Total Sales"/>
    <pivotTable tabId="18" name="Yearly sales"/>
  </pivotTables>
  <data>
    <tabular pivotCacheId="1527319832">
      <items count="6">
        <i x="1" s="1"/>
        <i x="2" s="1"/>
        <i x="3" s="1"/>
        <i x="4" s="1"/>
        <i x="0" s="1" nd="1"/>
        <i x="5"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3378B60-0ED8-4830-AE0E-39ACDF566E69}" sourceName="Country">
  <pivotTables>
    <pivotTable tabId="18" name="Product sales"/>
    <pivotTable tabId="18" name="City"/>
    <pivotTable tabId="18" name="Loyalty"/>
    <pivotTable tabId="18" name="Monthly Sales"/>
    <pivotTable tabId="18" name="Rost Type Sales"/>
    <pivotTable tabId="18" name="Size sales"/>
    <pivotTable tabId="18" name="Total Sales"/>
    <pivotTable tabId="18" name="Yearly sales"/>
  </pivotTables>
  <data>
    <tabular pivotCacheId="1527319832">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CCA36700-D2D5-4874-A268-A15C7C825329}" sourceName="Coffee Type Name">
  <pivotTables>
    <pivotTable tabId="18" name="Product sales"/>
    <pivotTable tabId="18" name="City"/>
    <pivotTable tabId="18" name="Country"/>
    <pivotTable tabId="18" name="Loyalty"/>
    <pivotTable tabId="18" name="Monthly Sales"/>
    <pivotTable tabId="18" name="Rost Type Sales"/>
    <pivotTable tabId="18" name="Size sales"/>
    <pivotTable tabId="18" name="Total Sales"/>
    <pivotTable tabId="18" name="Yearly sales"/>
  </pivotTables>
  <data>
    <tabular pivotCacheId="1527319832">
      <items count="4">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Order Date)" xr10:uid="{44D8B6CB-3808-473E-9972-45EBEAEB3FC2}" cache="Slicer_Years__Order_Date" caption="Years (Order Date)" columnCount="2" style="coffee theme 2" rowHeight="241300"/>
  <slicer name="Country" xr10:uid="{585C989B-8093-46EC-ACA4-5892C70739CB}" cache="Slicer_Country" caption="Country" columnCount="2" style="coffee theme 2" rowHeight="241300"/>
  <slicer name="Coffee Type Name" xr10:uid="{168D36C0-77A3-4FB7-975D-C01752F6B826}" cache="Slicer_Coffee_Type_Name" caption="Coffee Type Name" columnCount="2" style="coffee theme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B86A540-0BEC-446D-86F1-6A106CCF40B7}" name="Orders" displayName="Orders" ref="A1:R1001" totalsRowShown="0" headerRowDxfId="19">
  <autoFilter ref="A1:R1001" xr:uid="{6B86A540-0BEC-446D-86F1-6A106CCF40B7}"/>
  <tableColumns count="18">
    <tableColumn id="1" xr3:uid="{C0BDD20C-5385-4392-92B4-406A97443BF4}" name="Order ID" dataDxfId="18"/>
    <tableColumn id="2" xr3:uid="{4D9290FB-85A8-4142-ABA2-2C3273D4B3FA}" name="Order Date" dataDxfId="17"/>
    <tableColumn id="3" xr3:uid="{C10789B3-7788-4C38-9BEA-DAE477A07A11}" name="Customer ID" dataDxfId="16"/>
    <tableColumn id="4" xr3:uid="{C8EE1466-2D5E-4F11-B1B7-03717BD6A77E}" name="Product ID"/>
    <tableColumn id="5" xr3:uid="{A15FCB18-735E-4035-A4E7-43866AC1D423}" name="Quantity" dataDxfId="15"/>
    <tableColumn id="6" xr3:uid="{58DB8206-E801-4298-8719-B26E27DC99DD}" name="Customer Name" dataDxfId="14">
      <calculatedColumnFormula>_xlfn.XLOOKUP(Orders[[#This Row],[Customer ID]],customers!$A$1:$A$1001,customers!$B$1:$B$1001,,0)</calculatedColumnFormula>
    </tableColumn>
    <tableColumn id="7" xr3:uid="{3D063C16-C38A-452B-8CEC-FCE8E9392F63}" name="Email" dataDxfId="13">
      <calculatedColumnFormula>IF(_xlfn.XLOOKUP(C2,customers!$A$1:$A$1001,customers!C1:C1001,,0)=0,"",_xlfn.XLOOKUP(C2,customers!$A$1:$A$1001,customers!C1:C1001,,0))</calculatedColumnFormula>
    </tableColumn>
    <tableColumn id="8" xr3:uid="{35E7F7CE-2A2A-4AE5-AF09-7E0E0C7AD8D6}" name="Country" dataDxfId="12">
      <calculatedColumnFormula>_xlfn.XLOOKUP(Orders[[#This Row],[Customer ID]],customers!$A$1:$A$1001,customers!$G$1:$G$1001,,0)</calculatedColumnFormula>
    </tableColumn>
    <tableColumn id="18" xr3:uid="{A80A0B8B-1A9F-49C0-9342-5C52B80F17B5}" name="City" dataDxfId="6">
      <calculatedColumnFormula>_xlfn.XLOOKUP(Orders[[#This Row],[Customer ID]],customers!$A$1:$A$1001,customers!$F$1:$F$1001,,0)</calculatedColumnFormula>
    </tableColumn>
    <tableColumn id="9" xr3:uid="{1DE3DC30-7B8B-4373-B1F3-5B1B4E44CFED}" name="Coffee Type">
      <calculatedColumnFormula>INDEX(products!$A$1:$G$49,MATCH(orders!$D2,products!$A$1:$A$49,0),MATCH(orders!J$1,products!$A$1:$G$1,0))</calculatedColumnFormula>
    </tableColumn>
    <tableColumn id="10" xr3:uid="{282A71B2-0E02-41EF-9FA8-F7F00D25FDAE}" name="Roast Type">
      <calculatedColumnFormula>INDEX(products!$A$1:$G$49,MATCH(orders!$D2,products!$A$1:$A$49,0),MATCH(orders!K$1,products!$A$1:$G$1,0))</calculatedColumnFormula>
    </tableColumn>
    <tableColumn id="11" xr3:uid="{B5058C1D-7162-42E1-9F30-94CD68876F88}" name="Size" dataDxfId="11">
      <calculatedColumnFormula>INDEX(products!$A$1:$G$49,MATCH(orders!$D2,products!$A$1:$A$49,0),MATCH(orders!L$1,products!$A$1:$G$1,0))</calculatedColumnFormula>
    </tableColumn>
    <tableColumn id="12" xr3:uid="{50228886-6BED-462B-9417-1F603A5B1874}" name="Unit Price" dataDxfId="10" dataCellStyle="Currency">
      <calculatedColumnFormula>INDEX(products!$A$1:$G$49,MATCH(orders!$D2,products!$A$1:$A$49,0),MATCH(orders!M$1,products!$A$1:$G$1,0))</calculatedColumnFormula>
    </tableColumn>
    <tableColumn id="17" xr3:uid="{28D9ACB0-9602-4682-A425-C440CE4D7F01}" name="Profit" dataDxfId="9" dataCellStyle="Currency">
      <calculatedColumnFormula>Orders[[#This Row],[Quantity]]*(INDEX(products!$A$1:$G$49,MATCH(orders!$D2,products!$A$1:$A$49,0),MATCH(orders!N$1,products!$A$1:$G$1,0)))</calculatedColumnFormula>
    </tableColumn>
    <tableColumn id="13" xr3:uid="{BD5C4EEB-D173-45C6-B3D3-8B2C5F3C0DD5}" name="Sales" dataDxfId="8" dataCellStyle="Currency">
      <calculatedColumnFormula>M2*E2</calculatedColumnFormula>
    </tableColumn>
    <tableColumn id="14" xr3:uid="{A0E0A17D-1681-40B9-A5A4-456498265933}" name="Coffee Type Name">
      <calculatedColumnFormula>IF(J2="Rob","Robusta",IF(J2="Exc","Excelsa",IF(J2="Ara","Arabica",IF(J2="Lib","Liberica",""))))</calculatedColumnFormula>
    </tableColumn>
    <tableColumn id="15" xr3:uid="{0DCF568D-BDB4-4161-A06C-D00C3B44A61D}" name="Rost Type Name">
      <calculatedColumnFormula>IF(K2="M", "Medium", IF(K2="L", "Light", IF(K2="D", "Dark", "")))</calculatedColumnFormula>
    </tableColumn>
    <tableColumn id="16" xr3:uid="{E2AC829B-0E7D-42FB-82CD-ECED88C26562}" name="Customer Loyalty" dataDxfId="7">
      <calculatedColumnFormula>_xlfn.XLOOKUP(Orders[[#This Row],[Customer ID]],customers!$A$1:$A$1001,customers!$I$1:$I$1001,,0)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F30721-E836-4E62-B45C-95E7B02A364B}">
  <dimension ref="W1:W41"/>
  <sheetViews>
    <sheetView showGridLines="0" showRowColHeaders="0" tabSelected="1" zoomScale="91" zoomScaleNormal="90" workbookViewId="0">
      <selection activeCell="X5" sqref="X5"/>
    </sheetView>
  </sheetViews>
  <sheetFormatPr defaultRowHeight="14.5" zeroHeight="1" x14ac:dyDescent="0.35"/>
  <cols>
    <col min="1" max="16384" width="8.7265625" style="9"/>
  </cols>
  <sheetData>
    <row r="1" s="9" customFormat="1" x14ac:dyDescent="0.35"/>
    <row r="2" s="9" customFormat="1" x14ac:dyDescent="0.35"/>
    <row r="3" s="9" customFormat="1" x14ac:dyDescent="0.35"/>
    <row r="4" s="9" customFormat="1" x14ac:dyDescent="0.35"/>
    <row r="5" s="9" customFormat="1" x14ac:dyDescent="0.35"/>
    <row r="6" s="9" customFormat="1" x14ac:dyDescent="0.35"/>
    <row r="7" x14ac:dyDescent="0.35"/>
    <row r="8" x14ac:dyDescent="0.35"/>
    <row r="9" x14ac:dyDescent="0.35"/>
    <row r="10" x14ac:dyDescent="0.35"/>
    <row r="11" x14ac:dyDescent="0.35"/>
    <row r="12" x14ac:dyDescent="0.35"/>
    <row r="13" x14ac:dyDescent="0.35"/>
    <row r="14" x14ac:dyDescent="0.35"/>
    <row r="15" x14ac:dyDescent="0.35"/>
    <row r="16" x14ac:dyDescent="0.35"/>
    <row r="17" x14ac:dyDescent="0.35"/>
    <row r="18" x14ac:dyDescent="0.35"/>
    <row r="19" x14ac:dyDescent="0.35"/>
    <row r="20" x14ac:dyDescent="0.35"/>
    <row r="21" x14ac:dyDescent="0.35"/>
    <row r="22" x14ac:dyDescent="0.35"/>
    <row r="23" x14ac:dyDescent="0.35"/>
    <row r="24" x14ac:dyDescent="0.35"/>
    <row r="25" x14ac:dyDescent="0.35"/>
    <row r="26" x14ac:dyDescent="0.35"/>
    <row r="27" x14ac:dyDescent="0.35"/>
    <row r="28" x14ac:dyDescent="0.35"/>
    <row r="29" x14ac:dyDescent="0.35"/>
    <row r="30" x14ac:dyDescent="0.35"/>
    <row r="31" x14ac:dyDescent="0.35"/>
    <row r="32" x14ac:dyDescent="0.35"/>
    <row r="33" spans="23:23" x14ac:dyDescent="0.35"/>
    <row r="34" spans="23:23" x14ac:dyDescent="0.35"/>
    <row r="35" spans="23:23" x14ac:dyDescent="0.35"/>
    <row r="36" spans="23:23" x14ac:dyDescent="0.35"/>
    <row r="37" spans="23:23" x14ac:dyDescent="0.35">
      <c r="W37" s="9" t="s">
        <v>6233</v>
      </c>
    </row>
    <row r="38" spans="23:23" x14ac:dyDescent="0.35"/>
    <row r="39" spans="23:23" x14ac:dyDescent="0.35"/>
    <row r="40" spans="23:23" x14ac:dyDescent="0.35"/>
    <row r="41" spans="23:23" x14ac:dyDescent="0.35"/>
  </sheetData>
  <sheetProtection sheet="1" objects="1" scenarios="1" selectLockedCells="1" sort="0" autoFilter="0" pivotTables="0" selectUnlockedCells="1"/>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B6D0A-249C-4C55-A2BA-75AD924A48DB}">
  <dimension ref="A2:AH17"/>
  <sheetViews>
    <sheetView zoomScale="76" workbookViewId="0">
      <selection activeCell="E38" sqref="E38"/>
    </sheetView>
  </sheetViews>
  <sheetFormatPr defaultRowHeight="14.5" x14ac:dyDescent="0.35"/>
  <cols>
    <col min="1" max="1" width="11.7265625" bestFit="1" customWidth="1"/>
    <col min="2" max="2" width="12.08984375" bestFit="1" customWidth="1"/>
    <col min="3" max="3" width="16.26953125" bestFit="1" customWidth="1"/>
    <col min="4" max="4" width="14.90625" bestFit="1" customWidth="1"/>
    <col min="5" max="5" width="7.6328125" customWidth="1"/>
    <col min="6" max="6" width="20.08984375" bestFit="1" customWidth="1"/>
    <col min="7" max="7" width="11.7265625" bestFit="1" customWidth="1"/>
    <col min="8" max="8" width="12.08984375" bestFit="1" customWidth="1"/>
    <col min="9" max="9" width="7.1796875" customWidth="1"/>
    <col min="10" max="10" width="22.08984375" bestFit="1" customWidth="1"/>
    <col min="11" max="11" width="14.08984375" bestFit="1" customWidth="1"/>
    <col min="12" max="13" width="9.1796875" bestFit="1" customWidth="1"/>
    <col min="14" max="14" width="8.08984375" bestFit="1" customWidth="1"/>
    <col min="15" max="15" width="7.36328125" customWidth="1"/>
    <col min="16" max="16" width="19.7265625" bestFit="1" customWidth="1"/>
    <col min="17" max="17" width="11.7265625" bestFit="1" customWidth="1"/>
    <col min="18" max="18" width="7.54296875" customWidth="1"/>
    <col min="19" max="19" width="18" bestFit="1" customWidth="1"/>
    <col min="20" max="20" width="11.7265625" bestFit="1" customWidth="1"/>
    <col min="21" max="21" width="7.90625" customWidth="1"/>
    <col min="22" max="22" width="10.81640625" bestFit="1" customWidth="1"/>
    <col min="23" max="23" width="11.7265625" bestFit="1" customWidth="1"/>
    <col min="24" max="24" width="7.7265625" customWidth="1"/>
    <col min="25" max="25" width="14.7265625" bestFit="1" customWidth="1"/>
    <col min="26" max="26" width="11.7265625" bestFit="1" customWidth="1"/>
    <col min="27" max="27" width="12.7265625" bestFit="1" customWidth="1"/>
    <col min="28" max="28" width="8.453125" customWidth="1"/>
    <col min="29" max="29" width="13.26953125" bestFit="1" customWidth="1"/>
    <col min="30" max="30" width="11.7265625" bestFit="1" customWidth="1"/>
    <col min="31" max="31" width="7.81640625" customWidth="1"/>
    <col min="32" max="32" width="18.90625" bestFit="1" customWidth="1"/>
    <col min="33" max="33" width="11.7265625" bestFit="1" customWidth="1"/>
    <col min="34" max="34" width="11.26953125" bestFit="1" customWidth="1"/>
  </cols>
  <sheetData>
    <row r="2" spans="1:34" ht="15.5" x14ac:dyDescent="0.35">
      <c r="A2" s="17" t="s">
        <v>6225</v>
      </c>
      <c r="B2" s="17"/>
      <c r="C2" s="17"/>
      <c r="D2" s="17"/>
      <c r="F2" s="17" t="s">
        <v>6226</v>
      </c>
      <c r="G2" s="17"/>
      <c r="H2" s="17"/>
      <c r="J2" s="18" t="s">
        <v>6231</v>
      </c>
      <c r="K2" s="18"/>
      <c r="L2" s="18"/>
      <c r="M2" s="18"/>
      <c r="N2" s="18"/>
      <c r="P2" s="18" t="s">
        <v>6232</v>
      </c>
      <c r="Q2" s="18"/>
      <c r="S2" s="18" t="s">
        <v>6235</v>
      </c>
      <c r="T2" s="18"/>
      <c r="V2" s="18" t="s">
        <v>6236</v>
      </c>
      <c r="W2" s="18"/>
      <c r="Y2" s="18" t="s">
        <v>6237</v>
      </c>
      <c r="Z2" s="18"/>
      <c r="AA2" s="18"/>
      <c r="AC2" s="18" t="s">
        <v>6238</v>
      </c>
      <c r="AD2" s="18"/>
      <c r="AF2" s="18" t="s">
        <v>6239</v>
      </c>
      <c r="AG2" s="18"/>
    </row>
    <row r="3" spans="1:34" x14ac:dyDescent="0.35">
      <c r="A3" t="s">
        <v>6221</v>
      </c>
      <c r="B3" t="s">
        <v>6230</v>
      </c>
      <c r="C3" t="s">
        <v>6223</v>
      </c>
      <c r="D3" t="s">
        <v>6224</v>
      </c>
      <c r="F3" s="6" t="s">
        <v>6215</v>
      </c>
      <c r="G3" t="s">
        <v>6221</v>
      </c>
      <c r="H3" t="s">
        <v>6230</v>
      </c>
      <c r="J3" s="6" t="s">
        <v>6221</v>
      </c>
      <c r="K3" s="6" t="s">
        <v>9</v>
      </c>
      <c r="P3" s="6" t="s">
        <v>6196</v>
      </c>
      <c r="Q3" t="s">
        <v>6221</v>
      </c>
      <c r="S3" s="6" t="s">
        <v>6197</v>
      </c>
      <c r="T3" t="s">
        <v>6221</v>
      </c>
      <c r="V3" s="6" t="s">
        <v>12</v>
      </c>
      <c r="W3" t="s">
        <v>6221</v>
      </c>
      <c r="Y3" s="6" t="s">
        <v>7</v>
      </c>
      <c r="Z3" t="s">
        <v>6221</v>
      </c>
      <c r="AA3" t="s">
        <v>6234</v>
      </c>
      <c r="AC3" s="6" t="s">
        <v>6</v>
      </c>
      <c r="AD3" t="s">
        <v>6221</v>
      </c>
      <c r="AF3" s="6" t="s">
        <v>6222</v>
      </c>
      <c r="AG3" t="s">
        <v>6221</v>
      </c>
    </row>
    <row r="4" spans="1:34" x14ac:dyDescent="0.35">
      <c r="A4" s="8">
        <v>45134.254999999997</v>
      </c>
      <c r="B4" s="8">
        <v>4520.2174000000014</v>
      </c>
      <c r="C4" s="10">
        <v>1000</v>
      </c>
      <c r="D4" s="10">
        <v>3551</v>
      </c>
      <c r="F4" t="s">
        <v>6199</v>
      </c>
      <c r="G4" s="8">
        <v>12187.165000000001</v>
      </c>
      <c r="H4" s="12">
        <v>1229.5621500000002</v>
      </c>
      <c r="J4" s="6" t="s">
        <v>6216</v>
      </c>
      <c r="K4" t="s">
        <v>6193</v>
      </c>
      <c r="L4" t="s">
        <v>6194</v>
      </c>
      <c r="M4" t="s">
        <v>6195</v>
      </c>
      <c r="N4" t="s">
        <v>6192</v>
      </c>
      <c r="P4" t="s">
        <v>6220</v>
      </c>
      <c r="Q4" s="8">
        <v>9005.2450000000099</v>
      </c>
      <c r="S4" t="s">
        <v>6227</v>
      </c>
      <c r="T4" s="16">
        <v>0.29200249344982016</v>
      </c>
      <c r="V4" s="4">
        <v>0.2</v>
      </c>
      <c r="W4" s="8">
        <v>3307.9499999999994</v>
      </c>
      <c r="Y4" t="s">
        <v>19</v>
      </c>
      <c r="Z4" s="8">
        <v>35638.88499999998</v>
      </c>
      <c r="AA4" s="16">
        <v>0.7896194365011675</v>
      </c>
      <c r="AC4" t="s">
        <v>77</v>
      </c>
      <c r="AD4" s="8">
        <v>475.1699999999999</v>
      </c>
      <c r="AF4" t="s">
        <v>6191</v>
      </c>
      <c r="AG4" s="15">
        <v>0.5365415913035454</v>
      </c>
    </row>
    <row r="5" spans="1:34" x14ac:dyDescent="0.35">
      <c r="F5" t="s">
        <v>6212</v>
      </c>
      <c r="G5" s="8">
        <v>12117.545</v>
      </c>
      <c r="H5" s="12">
        <v>1193.2274999999997</v>
      </c>
      <c r="J5" t="s">
        <v>6200</v>
      </c>
      <c r="K5" s="8">
        <v>605.14499999999998</v>
      </c>
      <c r="L5" s="8">
        <v>677.71999999999991</v>
      </c>
      <c r="M5" s="8">
        <v>1611.0699999999995</v>
      </c>
      <c r="N5" s="8">
        <v>609.09999999999991</v>
      </c>
      <c r="P5" t="s">
        <v>6217</v>
      </c>
      <c r="Q5" s="8">
        <v>11768.494999999997</v>
      </c>
      <c r="S5" t="s">
        <v>6228</v>
      </c>
      <c r="T5" s="16">
        <v>0.38450762065309357</v>
      </c>
      <c r="V5" s="4">
        <v>0.5</v>
      </c>
      <c r="W5" s="8">
        <v>7029.9900000000043</v>
      </c>
      <c r="Y5" t="s">
        <v>318</v>
      </c>
      <c r="Z5" s="8">
        <v>6696.8649999999989</v>
      </c>
      <c r="AA5" s="16">
        <v>0.14837654903132891</v>
      </c>
      <c r="AC5" t="s">
        <v>52</v>
      </c>
      <c r="AD5" s="8">
        <v>505.92499999999995</v>
      </c>
      <c r="AF5" t="s">
        <v>6190</v>
      </c>
      <c r="AG5" s="15">
        <v>0.4634584086964546</v>
      </c>
    </row>
    <row r="6" spans="1:34" x14ac:dyDescent="0.35">
      <c r="F6" t="s">
        <v>6213</v>
      </c>
      <c r="G6" s="8">
        <v>13766.109999999999</v>
      </c>
      <c r="H6" s="12">
        <v>1389.38615</v>
      </c>
      <c r="J6" t="s">
        <v>6201</v>
      </c>
      <c r="K6" s="8">
        <v>1454.4949999999994</v>
      </c>
      <c r="L6" s="8">
        <v>976.41</v>
      </c>
      <c r="M6" s="8">
        <v>971.21999999999969</v>
      </c>
      <c r="N6" s="8">
        <v>736.07999999999981</v>
      </c>
      <c r="P6" t="s">
        <v>6219</v>
      </c>
      <c r="Q6" s="8">
        <v>12054.074999999995</v>
      </c>
      <c r="S6" t="s">
        <v>6229</v>
      </c>
      <c r="T6" s="16">
        <v>0.32348988589708622</v>
      </c>
      <c r="V6" s="4">
        <v>1</v>
      </c>
      <c r="W6" s="8">
        <v>11010.750000000005</v>
      </c>
      <c r="Y6" t="s">
        <v>28</v>
      </c>
      <c r="Z6" s="8">
        <v>2798.5050000000001</v>
      </c>
      <c r="AA6" s="16">
        <v>6.2004014467503712E-2</v>
      </c>
      <c r="AC6" t="s">
        <v>144</v>
      </c>
      <c r="AD6" s="8">
        <v>509.11</v>
      </c>
      <c r="AF6" t="s">
        <v>6198</v>
      </c>
      <c r="AG6" s="15">
        <v>1</v>
      </c>
    </row>
    <row r="7" spans="1:34" x14ac:dyDescent="0.35">
      <c r="F7" t="s">
        <v>6214</v>
      </c>
      <c r="G7" s="8">
        <v>7063.435000000004</v>
      </c>
      <c r="H7" s="12">
        <v>708.04160000000002</v>
      </c>
      <c r="J7" t="s">
        <v>6202</v>
      </c>
      <c r="K7" s="8">
        <v>1051.48</v>
      </c>
      <c r="L7" s="8">
        <v>1264.1399999999999</v>
      </c>
      <c r="M7" s="8">
        <v>1469.8100000000002</v>
      </c>
      <c r="N7" s="8">
        <v>1010.3450000000001</v>
      </c>
      <c r="P7" t="s">
        <v>6218</v>
      </c>
      <c r="Q7" s="8">
        <v>12306.439999999995</v>
      </c>
      <c r="S7" t="s">
        <v>6198</v>
      </c>
      <c r="T7" s="15">
        <v>1</v>
      </c>
      <c r="V7" s="4">
        <v>2.5</v>
      </c>
      <c r="W7" s="8">
        <v>23785.56499999997</v>
      </c>
      <c r="Y7" t="s">
        <v>6198</v>
      </c>
      <c r="Z7" s="8">
        <v>45134.254999999976</v>
      </c>
      <c r="AA7" s="15">
        <v>1</v>
      </c>
      <c r="AC7" t="s">
        <v>46</v>
      </c>
      <c r="AD7" s="8">
        <v>511.23499999999996</v>
      </c>
    </row>
    <row r="8" spans="1:34" x14ac:dyDescent="0.35">
      <c r="F8" t="s">
        <v>6198</v>
      </c>
      <c r="G8" s="8">
        <v>45134.255000000005</v>
      </c>
      <c r="H8" s="7">
        <v>4520.2173999999995</v>
      </c>
      <c r="J8" t="s">
        <v>6203</v>
      </c>
      <c r="K8" s="8">
        <v>634.34499999999991</v>
      </c>
      <c r="L8" s="8">
        <v>1560.23</v>
      </c>
      <c r="M8" s="8">
        <v>1324.6350000000002</v>
      </c>
      <c r="N8" s="8">
        <v>705.38499999999999</v>
      </c>
      <c r="P8" t="s">
        <v>6198</v>
      </c>
      <c r="Q8" s="8">
        <v>45134.254999999997</v>
      </c>
      <c r="V8" s="4" t="s">
        <v>6198</v>
      </c>
      <c r="W8" s="8">
        <v>45134.254999999976</v>
      </c>
      <c r="AC8" t="s">
        <v>189</v>
      </c>
      <c r="AD8" s="8">
        <v>580.26</v>
      </c>
      <c r="AF8" t="s">
        <v>6191</v>
      </c>
      <c r="AG8" s="14">
        <f>IFERROR(GETPIVOTDATA("Sales",$AF$3,"Customer Loyalty","No"),0)</f>
        <v>0.5365415913035454</v>
      </c>
      <c r="AH8" s="16">
        <f>1-AG8</f>
        <v>0.4634584086964546</v>
      </c>
    </row>
    <row r="9" spans="1:34" x14ac:dyDescent="0.35">
      <c r="J9" t="s">
        <v>6204</v>
      </c>
      <c r="K9" s="8">
        <v>736.61500000000001</v>
      </c>
      <c r="L9" s="8">
        <v>970.33000000000015</v>
      </c>
      <c r="M9" s="8">
        <v>836.755</v>
      </c>
      <c r="N9" s="8">
        <v>704.28000000000009</v>
      </c>
      <c r="AC9" t="s">
        <v>131</v>
      </c>
      <c r="AD9" s="8">
        <v>627.74999999999989</v>
      </c>
      <c r="AF9" t="s">
        <v>6190</v>
      </c>
      <c r="AG9" s="14">
        <f>IFERROR(GETPIVOTDATA("Sales",$AF$3,"Customer Loyalty","Yes"),0)</f>
        <v>0.4634584086964546</v>
      </c>
      <c r="AH9" s="16">
        <f>1-AG9</f>
        <v>0.5365415913035454</v>
      </c>
    </row>
    <row r="10" spans="1:34" x14ac:dyDescent="0.35">
      <c r="J10" t="s">
        <v>6205</v>
      </c>
      <c r="K10" s="8">
        <v>1357.9899999999996</v>
      </c>
      <c r="L10" s="8">
        <v>1598.1949999999995</v>
      </c>
      <c r="M10" s="8">
        <v>906.07499999999982</v>
      </c>
      <c r="N10" s="8">
        <v>980.77999999999975</v>
      </c>
      <c r="V10" s="4"/>
      <c r="W10" s="11"/>
      <c r="X10" s="11"/>
      <c r="Y10" s="13"/>
      <c r="Z10" s="11"/>
      <c r="AA10" s="11"/>
      <c r="AC10" t="s">
        <v>57</v>
      </c>
      <c r="AD10" s="8">
        <v>772.7349999999999</v>
      </c>
    </row>
    <row r="11" spans="1:34" x14ac:dyDescent="0.35">
      <c r="J11" t="s">
        <v>6206</v>
      </c>
      <c r="K11" s="8">
        <v>1131.9349999999997</v>
      </c>
      <c r="L11" s="8">
        <v>1141.5549999999996</v>
      </c>
      <c r="M11" s="8">
        <v>752.53500000000008</v>
      </c>
      <c r="N11" s="8">
        <v>956.89</v>
      </c>
      <c r="V11" s="4"/>
      <c r="W11" s="11"/>
      <c r="X11" s="11"/>
      <c r="Y11" s="13"/>
      <c r="Z11" s="11"/>
      <c r="AA11" s="11"/>
      <c r="AC11" t="s">
        <v>260</v>
      </c>
      <c r="AD11" s="8">
        <v>774.18499999999995</v>
      </c>
    </row>
    <row r="12" spans="1:34" x14ac:dyDescent="0.35">
      <c r="J12" t="s">
        <v>6207</v>
      </c>
      <c r="K12" s="8">
        <v>761.31000000000006</v>
      </c>
      <c r="L12" s="8">
        <v>478.59</v>
      </c>
      <c r="M12" s="8">
        <v>335.84999999999991</v>
      </c>
      <c r="N12" s="8">
        <v>751.15</v>
      </c>
      <c r="V12" s="4"/>
      <c r="W12" s="11"/>
      <c r="X12" s="11"/>
      <c r="Y12" s="13"/>
      <c r="Z12" s="11"/>
      <c r="AA12" s="11"/>
      <c r="AC12" t="s">
        <v>63</v>
      </c>
      <c r="AD12" s="8">
        <v>819.77</v>
      </c>
    </row>
    <row r="13" spans="1:34" x14ac:dyDescent="0.35">
      <c r="J13" t="s">
        <v>6208</v>
      </c>
      <c r="K13" s="8">
        <v>1145.79</v>
      </c>
      <c r="L13" s="8">
        <v>771.08499999999992</v>
      </c>
      <c r="M13" s="8">
        <v>699.76999999999987</v>
      </c>
      <c r="N13" s="8">
        <v>1016.9999999999999</v>
      </c>
      <c r="V13" s="4"/>
      <c r="W13" s="11"/>
      <c r="X13" s="11"/>
      <c r="AC13" t="s">
        <v>47</v>
      </c>
      <c r="AD13" s="8">
        <v>1066.92</v>
      </c>
    </row>
    <row r="14" spans="1:34" x14ac:dyDescent="0.35">
      <c r="J14" t="s">
        <v>6209</v>
      </c>
      <c r="K14" s="8">
        <v>977.08500000000004</v>
      </c>
      <c r="L14" s="8">
        <v>937.33</v>
      </c>
      <c r="M14" s="8">
        <v>1241.1599999999996</v>
      </c>
      <c r="N14" s="8">
        <v>644.49999999999989</v>
      </c>
      <c r="AC14" t="s">
        <v>6198</v>
      </c>
      <c r="AD14" s="8">
        <v>6643.0599999999995</v>
      </c>
    </row>
    <row r="15" spans="1:34" x14ac:dyDescent="0.35">
      <c r="J15" t="s">
        <v>6210</v>
      </c>
      <c r="K15" s="8">
        <v>1151.3399999999999</v>
      </c>
      <c r="L15" s="8">
        <v>771.38</v>
      </c>
      <c r="M15" s="8">
        <v>1235.7449999999999</v>
      </c>
      <c r="N15" s="8">
        <v>389.96499999999997</v>
      </c>
    </row>
    <row r="16" spans="1:34" x14ac:dyDescent="0.35">
      <c r="J16" t="s">
        <v>6211</v>
      </c>
      <c r="K16" s="8">
        <v>760.96499999999992</v>
      </c>
      <c r="L16" s="8">
        <v>1159.4749999999999</v>
      </c>
      <c r="M16" s="8">
        <v>669.44999999999982</v>
      </c>
      <c r="N16" s="8">
        <v>499.77</v>
      </c>
    </row>
    <row r="17" spans="10:14" x14ac:dyDescent="0.35">
      <c r="J17" t="s">
        <v>6198</v>
      </c>
      <c r="K17" s="8">
        <v>11768.494999999999</v>
      </c>
      <c r="L17" s="8">
        <v>12306.439999999997</v>
      </c>
      <c r="M17" s="8">
        <v>12054.075000000001</v>
      </c>
      <c r="N17" s="8">
        <v>9005.244999999999</v>
      </c>
    </row>
  </sheetData>
  <mergeCells count="9">
    <mergeCell ref="Y2:AA2"/>
    <mergeCell ref="AC2:AD2"/>
    <mergeCell ref="AF2:AG2"/>
    <mergeCell ref="J2:N2"/>
    <mergeCell ref="P2:Q2"/>
    <mergeCell ref="S2:T2"/>
    <mergeCell ref="V2:W2"/>
    <mergeCell ref="A2:D2"/>
    <mergeCell ref="F2:H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R1001"/>
  <sheetViews>
    <sheetView zoomScale="115" zoomScaleNormal="115" workbookViewId="0">
      <selection activeCell="E38" sqref="E38"/>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5" width="9.6328125" customWidth="1"/>
    <col min="6" max="6" width="20.36328125" bestFit="1" customWidth="1"/>
    <col min="7" max="7" width="36.1796875" bestFit="1" customWidth="1"/>
    <col min="8" max="8" width="14.1796875" bestFit="1" customWidth="1"/>
    <col min="9" max="9" width="12.26953125" customWidth="1"/>
    <col min="10" max="10" width="11.453125" customWidth="1"/>
    <col min="11" max="11" width="5.7265625" bestFit="1" customWidth="1"/>
    <col min="12" max="12" width="10.453125" customWidth="1"/>
    <col min="13" max="13" width="8.81640625" bestFit="1" customWidth="1"/>
    <col min="14" max="14" width="17.54296875" customWidth="1"/>
    <col min="15" max="15" width="15.81640625" customWidth="1"/>
    <col min="16" max="16" width="17.7265625" bestFit="1" customWidth="1"/>
  </cols>
  <sheetData>
    <row r="1" spans="1:18" x14ac:dyDescent="0.35">
      <c r="A1" s="2" t="s">
        <v>0</v>
      </c>
      <c r="B1" s="2" t="s">
        <v>1</v>
      </c>
      <c r="C1" s="2" t="s">
        <v>3</v>
      </c>
      <c r="D1" s="2" t="s">
        <v>11</v>
      </c>
      <c r="E1" s="2" t="s">
        <v>14</v>
      </c>
      <c r="F1" s="2" t="s">
        <v>4</v>
      </c>
      <c r="G1" s="2" t="s">
        <v>2</v>
      </c>
      <c r="H1" s="2" t="s">
        <v>7</v>
      </c>
      <c r="I1" s="2" t="s">
        <v>6</v>
      </c>
      <c r="J1" s="2" t="s">
        <v>9</v>
      </c>
      <c r="K1" s="2" t="s">
        <v>10</v>
      </c>
      <c r="L1" s="2" t="s">
        <v>12</v>
      </c>
      <c r="M1" s="2" t="s">
        <v>13</v>
      </c>
      <c r="N1" s="2" t="s">
        <v>16</v>
      </c>
      <c r="O1" s="2" t="s">
        <v>15</v>
      </c>
      <c r="P1" s="2" t="s">
        <v>6196</v>
      </c>
      <c r="Q1" s="2" t="s">
        <v>6197</v>
      </c>
      <c r="R1" s="2" t="s">
        <v>6222</v>
      </c>
    </row>
    <row r="2" spans="1:18" x14ac:dyDescent="0.35">
      <c r="A2" s="2" t="s">
        <v>490</v>
      </c>
      <c r="B2" s="3">
        <v>43713</v>
      </c>
      <c r="C2" s="2" t="s">
        <v>491</v>
      </c>
      <c r="D2" t="s">
        <v>6138</v>
      </c>
      <c r="E2" s="2">
        <v>2</v>
      </c>
      <c r="F2" s="2" t="str">
        <f>_xlfn.XLOOKUP(Orders[[#This Row],[Customer ID]],customers!$A$1:$A$1001,customers!$B$1:$B$1001,,0)</f>
        <v>Aloisia Allner</v>
      </c>
      <c r="G2" s="2" t="str">
        <f>IF(_xlfn.XLOOKUP(C2,customers!$A$1:$A$1001,customers!C1:C1001,,0)=0,"",_xlfn.XLOOKUP(C2,customers!$A$1:$A$1001,customers!C1:C1001,,0))</f>
        <v>aallner0@lulu.com</v>
      </c>
      <c r="H2" s="2" t="str">
        <f>_xlfn.XLOOKUP(Orders[[#This Row],[Customer ID]],customers!$A$1:$A$1001,customers!$G$1:$G$1001,,0)</f>
        <v>United States</v>
      </c>
      <c r="I2" s="2" t="str">
        <f>_xlfn.XLOOKUP(Orders[[#This Row],[Customer ID]],customers!$A$1:$A$1001,customers!$F$1:$F$1001,,0)</f>
        <v>Paterson</v>
      </c>
      <c r="J2" t="str">
        <f>INDEX(products!$A$1:$G$49,MATCH(orders!$D2,products!$A$1:$A$49,0),MATCH(orders!J$1,products!$A$1:$G$1,0))</f>
        <v>Rob</v>
      </c>
      <c r="K2" t="str">
        <f>INDEX(products!$A$1:$G$49,MATCH(orders!$D2,products!$A$1:$A$49,0),MATCH(orders!K$1,products!$A$1:$G$1,0))</f>
        <v>M</v>
      </c>
      <c r="L2" s="4">
        <f>INDEX(products!$A$1:$G$49,MATCH(orders!$D2,products!$A$1:$A$49,0),MATCH(orders!L$1,products!$A$1:$G$1,0))</f>
        <v>1</v>
      </c>
      <c r="M2" s="5">
        <f>INDEX(products!$A$1:$G$49,MATCH(orders!$D2,products!$A$1:$A$49,0),MATCH(orders!M$1,products!$A$1:$G$1,0))</f>
        <v>9.9499999999999993</v>
      </c>
      <c r="N2" s="5">
        <f>Orders[[#This Row],[Quantity]]*(INDEX(products!$A$1:$G$49,MATCH(orders!$D2,products!$A$1:$A$49,0),MATCH(orders!N$1,products!$A$1:$G$1,0)))</f>
        <v>1.194</v>
      </c>
      <c r="O2" s="5">
        <f>M2*E2</f>
        <v>19.899999999999999</v>
      </c>
      <c r="P2" t="str">
        <f>IF(J2="Rob","Robusta",IF(J2="Exc","Excelsa",IF(J2="Ara","Arabica",IF(J2="Lib","Liberica",""))))</f>
        <v>Robusta</v>
      </c>
      <c r="Q2" t="str">
        <f>IF(K2="M", "Medium", IF(K2="L", "Light", IF(K2="D", "Dark", "")))</f>
        <v>Medium</v>
      </c>
      <c r="R2" t="str">
        <f>_xlfn.XLOOKUP(Orders[[#This Row],[Customer ID]],customers!$A$1:$A$1001,customers!$I$1:$I$1001,,0)</f>
        <v>Yes</v>
      </c>
    </row>
    <row r="3" spans="1:18" x14ac:dyDescent="0.35">
      <c r="A3" s="2" t="s">
        <v>490</v>
      </c>
      <c r="B3" s="3">
        <v>43713</v>
      </c>
      <c r="C3" s="2" t="s">
        <v>491</v>
      </c>
      <c r="D3" t="s">
        <v>6139</v>
      </c>
      <c r="E3" s="2">
        <v>5</v>
      </c>
      <c r="F3" s="2" t="str">
        <f>_xlfn.XLOOKUP(Orders[[#This Row],[Customer ID]],customers!$A$1:$A$1001,customers!$B$1:$B$1001,,0)</f>
        <v>Aloisia Allner</v>
      </c>
      <c r="G3" s="2" t="str">
        <f>IF(_xlfn.XLOOKUP(C3,customers!$A$1:$A$1001,customers!C2:C1002,,0)=0,"",_xlfn.XLOOKUP(C3,customers!$A$1:$A$1001,customers!C2:C1002,,0))</f>
        <v>pbote1@yelp.com</v>
      </c>
      <c r="H3" s="2" t="str">
        <f>_xlfn.XLOOKUP(Orders[[#This Row],[Customer ID]],customers!$A$1:$A$1001,customers!$G$1:$G$1001,,0)</f>
        <v>United States</v>
      </c>
      <c r="I3" s="2" t="str">
        <f>_xlfn.XLOOKUP(Orders[[#This Row],[Customer ID]],customers!$A$1:$A$1001,customers!$F$1:$F$1001,,0)</f>
        <v>Paterson</v>
      </c>
      <c r="J3" t="str">
        <f>INDEX(products!$A$1:$G$49,MATCH(orders!$D3,products!$A$1:$A$49,0),MATCH(orders!J$1,products!$A$1:$G$1,0))</f>
        <v>Exc</v>
      </c>
      <c r="K3" t="str">
        <f>INDEX(products!$A$1:$G$49,MATCH(orders!$D3,products!$A$1:$A$49,0),MATCH(orders!K$1,products!$A$1:$G$1,0))</f>
        <v>M</v>
      </c>
      <c r="L3" s="4">
        <f>INDEX(products!$A$1:$G$49,MATCH(orders!$D3,products!$A$1:$A$49,0),MATCH(orders!L$1,products!$A$1:$G$1,0))</f>
        <v>0.5</v>
      </c>
      <c r="M3" s="5">
        <f>INDEX(products!$A$1:$G$49,MATCH(orders!$D3,products!$A$1:$A$49,0),MATCH(orders!M$1,products!$A$1:$G$1,0))</f>
        <v>8.25</v>
      </c>
      <c r="N3" s="5">
        <f>Orders[[#This Row],[Quantity]]*(INDEX(products!$A$1:$G$49,MATCH(orders!$D3,products!$A$1:$A$49,0),MATCH(orders!N$1,products!$A$1:$G$1,0)))</f>
        <v>4.5374999999999996</v>
      </c>
      <c r="O3" s="5">
        <f>M3*E3</f>
        <v>41.25</v>
      </c>
      <c r="P3" t="str">
        <f t="shared" ref="P3:P66" si="0">IF(J3="Rob","Robusta",IF(J3="Exc","Excelsa",IF(J3="Ara","Arabica",IF(J3="Lib","Liberica",""))))</f>
        <v>Excelsa</v>
      </c>
      <c r="Q3" t="str">
        <f t="shared" ref="Q3:Q66" si="1">IF(K3="M", "Medium", IF(K3="L", "Light", IF(K3="D", "Dark", "")))</f>
        <v>Medium</v>
      </c>
      <c r="R3" t="str">
        <f>_xlfn.XLOOKUP(Orders[[#This Row],[Customer ID]],customers!$A$1:$A$1001,customers!$I$1:$I$1001,,0)</f>
        <v>Yes</v>
      </c>
    </row>
    <row r="4" spans="1:18" x14ac:dyDescent="0.35">
      <c r="A4" s="2" t="s">
        <v>501</v>
      </c>
      <c r="B4" s="3">
        <v>44364</v>
      </c>
      <c r="C4" s="2" t="s">
        <v>502</v>
      </c>
      <c r="D4" t="s">
        <v>6140</v>
      </c>
      <c r="E4" s="2">
        <v>1</v>
      </c>
      <c r="F4" s="2" t="str">
        <f>_xlfn.XLOOKUP(Orders[[#This Row],[Customer ID]],customers!$A$1:$A$1001,customers!$B$1:$B$1001,,0)</f>
        <v>Jami Redholes</v>
      </c>
      <c r="G4" s="2" t="str">
        <f>IF(_xlfn.XLOOKUP(C4,customers!$A$1:$A$1001,customers!C3:C1003,,0)=0,"",_xlfn.XLOOKUP(C4,customers!$A$1:$A$1001,customers!C3:C1003,,0))</f>
        <v/>
      </c>
      <c r="H4" s="2" t="str">
        <f>_xlfn.XLOOKUP(Orders[[#This Row],[Customer ID]],customers!$A$1:$A$1001,customers!$G$1:$G$1001,,0)</f>
        <v>United States</v>
      </c>
      <c r="I4" s="2" t="str">
        <f>_xlfn.XLOOKUP(Orders[[#This Row],[Customer ID]],customers!$A$1:$A$1001,customers!$F$1:$F$1001,,0)</f>
        <v>San Antonio</v>
      </c>
      <c r="J4" t="str">
        <f>INDEX(products!$A$1:$G$49,MATCH(orders!$D4,products!$A$1:$A$49,0),MATCH(orders!J$1,products!$A$1:$G$1,0))</f>
        <v>Ara</v>
      </c>
      <c r="K4" t="str">
        <f>INDEX(products!$A$1:$G$49,MATCH(orders!$D4,products!$A$1:$A$49,0),MATCH(orders!K$1,products!$A$1:$G$1,0))</f>
        <v>L</v>
      </c>
      <c r="L4" s="4">
        <f>INDEX(products!$A$1:$G$49,MATCH(orders!$D4,products!$A$1:$A$49,0),MATCH(orders!L$1,products!$A$1:$G$1,0))</f>
        <v>1</v>
      </c>
      <c r="M4" s="5">
        <f>INDEX(products!$A$1:$G$49,MATCH(orders!$D4,products!$A$1:$A$49,0),MATCH(orders!M$1,products!$A$1:$G$1,0))</f>
        <v>12.95</v>
      </c>
      <c r="N4" s="5">
        <f>Orders[[#This Row],[Quantity]]*(INDEX(products!$A$1:$G$49,MATCH(orders!$D4,products!$A$1:$A$49,0),MATCH(orders!N$1,products!$A$1:$G$1,0)))</f>
        <v>1.1655</v>
      </c>
      <c r="O4" s="5">
        <f>M4*E4</f>
        <v>12.95</v>
      </c>
      <c r="P4" t="str">
        <f t="shared" si="0"/>
        <v>Arabica</v>
      </c>
      <c r="Q4" t="str">
        <f t="shared" si="1"/>
        <v>Light</v>
      </c>
      <c r="R4" t="str">
        <f>_xlfn.XLOOKUP(Orders[[#This Row],[Customer ID]],customers!$A$1:$A$1001,customers!$I$1:$I$1001,,0)</f>
        <v>Yes</v>
      </c>
    </row>
    <row r="5" spans="1:18" x14ac:dyDescent="0.35">
      <c r="A5" s="2" t="s">
        <v>512</v>
      </c>
      <c r="B5" s="3">
        <v>44392</v>
      </c>
      <c r="C5" s="2" t="s">
        <v>513</v>
      </c>
      <c r="D5" t="s">
        <v>6141</v>
      </c>
      <c r="E5" s="2">
        <v>2</v>
      </c>
      <c r="F5" s="2" t="str">
        <f>_xlfn.XLOOKUP(Orders[[#This Row],[Customer ID]],customers!$A$1:$A$1001,customers!$B$1:$B$1001,,0)</f>
        <v>Christoffer O' Shea</v>
      </c>
      <c r="G5" s="2" t="str">
        <f>IF(_xlfn.XLOOKUP(C5,customers!$A$1:$A$1001,customers!C4:C1004,,0)=0,"",_xlfn.XLOOKUP(C5,customers!$A$1:$A$1001,customers!C4:C1004,,0))</f>
        <v/>
      </c>
      <c r="H5" s="2" t="str">
        <f>_xlfn.XLOOKUP(Orders[[#This Row],[Customer ID]],customers!$A$1:$A$1001,customers!$G$1:$G$1001,,0)</f>
        <v>Ireland</v>
      </c>
      <c r="I5" s="2" t="str">
        <f>_xlfn.XLOOKUP(Orders[[#This Row],[Customer ID]],customers!$A$1:$A$1001,customers!$F$1:$F$1001,,0)</f>
        <v>Cill Airne</v>
      </c>
      <c r="J5" t="str">
        <f>INDEX(products!$A$1:$G$49,MATCH(orders!$D5,products!$A$1:$A$49,0),MATCH(orders!J$1,products!$A$1:$G$1,0))</f>
        <v>Exc</v>
      </c>
      <c r="K5" t="str">
        <f>INDEX(products!$A$1:$G$49,MATCH(orders!$D5,products!$A$1:$A$49,0),MATCH(orders!K$1,products!$A$1:$G$1,0))</f>
        <v>M</v>
      </c>
      <c r="L5" s="4">
        <f>INDEX(products!$A$1:$G$49,MATCH(orders!$D5,products!$A$1:$A$49,0),MATCH(orders!L$1,products!$A$1:$G$1,0))</f>
        <v>1</v>
      </c>
      <c r="M5" s="5">
        <f>INDEX(products!$A$1:$G$49,MATCH(orders!$D5,products!$A$1:$A$49,0),MATCH(orders!M$1,products!$A$1:$G$1,0))</f>
        <v>13.75</v>
      </c>
      <c r="N5" s="5">
        <f>Orders[[#This Row],[Quantity]]*(INDEX(products!$A$1:$G$49,MATCH(orders!$D5,products!$A$1:$A$49,0),MATCH(orders!N$1,products!$A$1:$G$1,0)))</f>
        <v>3.0249999999999999</v>
      </c>
      <c r="O5" s="5">
        <f>M5*E5</f>
        <v>27.5</v>
      </c>
      <c r="P5" t="str">
        <f t="shared" si="0"/>
        <v>Excelsa</v>
      </c>
      <c r="Q5" t="str">
        <f t="shared" si="1"/>
        <v>Medium</v>
      </c>
      <c r="R5" t="str">
        <f>_xlfn.XLOOKUP(Orders[[#This Row],[Customer ID]],customers!$A$1:$A$1001,customers!$I$1:$I$1001,,0)</f>
        <v>No</v>
      </c>
    </row>
    <row r="6" spans="1:18" x14ac:dyDescent="0.35">
      <c r="A6" s="2" t="s">
        <v>512</v>
      </c>
      <c r="B6" s="3">
        <v>44392</v>
      </c>
      <c r="C6" s="2" t="s">
        <v>513</v>
      </c>
      <c r="D6" t="s">
        <v>6142</v>
      </c>
      <c r="E6" s="2">
        <v>2</v>
      </c>
      <c r="F6" s="2" t="str">
        <f>_xlfn.XLOOKUP(Orders[[#This Row],[Customer ID]],customers!$A$1:$A$1001,customers!$B$1:$B$1001,,0)</f>
        <v>Christoffer O' Shea</v>
      </c>
      <c r="G6" s="2" t="str">
        <f>IF(_xlfn.XLOOKUP(C6,customers!$A$1:$A$1001,customers!C5:C1005,,0)=0,"",_xlfn.XLOOKUP(C6,customers!$A$1:$A$1001,customers!C5:C1005,,0))</f>
        <v>gpetracci8@livejournal.com</v>
      </c>
      <c r="H6" s="2" t="str">
        <f>_xlfn.XLOOKUP(Orders[[#This Row],[Customer ID]],customers!$A$1:$A$1001,customers!$G$1:$G$1001,,0)</f>
        <v>Ireland</v>
      </c>
      <c r="I6" s="2" t="str">
        <f>_xlfn.XLOOKUP(Orders[[#This Row],[Customer ID]],customers!$A$1:$A$1001,customers!$F$1:$F$1001,,0)</f>
        <v>Cill Airne</v>
      </c>
      <c r="J6" t="str">
        <f>INDEX(products!$A$1:$G$49,MATCH(orders!$D6,products!$A$1:$A$49,0),MATCH(orders!J$1,products!$A$1:$G$1,0))</f>
        <v>Rob</v>
      </c>
      <c r="K6" t="str">
        <f>INDEX(products!$A$1:$G$49,MATCH(orders!$D6,products!$A$1:$A$49,0),MATCH(orders!K$1,products!$A$1:$G$1,0))</f>
        <v>L</v>
      </c>
      <c r="L6" s="4">
        <f>INDEX(products!$A$1:$G$49,MATCH(orders!$D6,products!$A$1:$A$49,0),MATCH(orders!L$1,products!$A$1:$G$1,0))</f>
        <v>2.5</v>
      </c>
      <c r="M6" s="5">
        <f>INDEX(products!$A$1:$G$49,MATCH(orders!$D6,products!$A$1:$A$49,0),MATCH(orders!M$1,products!$A$1:$G$1,0))</f>
        <v>27.484999999999996</v>
      </c>
      <c r="N6" s="5">
        <f>Orders[[#This Row],[Quantity]]*(INDEX(products!$A$1:$G$49,MATCH(orders!$D6,products!$A$1:$A$49,0),MATCH(orders!N$1,products!$A$1:$G$1,0)))</f>
        <v>3.2981999999999996</v>
      </c>
      <c r="O6" s="5">
        <f>M6*E6</f>
        <v>54.969999999999992</v>
      </c>
      <c r="P6" t="str">
        <f t="shared" si="0"/>
        <v>Robusta</v>
      </c>
      <c r="Q6" t="str">
        <f t="shared" si="1"/>
        <v>Light</v>
      </c>
      <c r="R6" t="str">
        <f>_xlfn.XLOOKUP(Orders[[#This Row],[Customer ID]],customers!$A$1:$A$1001,customers!$I$1:$I$1001,,0)</f>
        <v>No</v>
      </c>
    </row>
    <row r="7" spans="1:18" x14ac:dyDescent="0.35">
      <c r="A7" s="2" t="s">
        <v>519</v>
      </c>
      <c r="B7" s="3">
        <v>44412</v>
      </c>
      <c r="C7" s="2" t="s">
        <v>520</v>
      </c>
      <c r="D7" t="s">
        <v>6143</v>
      </c>
      <c r="E7" s="2">
        <v>3</v>
      </c>
      <c r="F7" s="2" t="str">
        <f>_xlfn.XLOOKUP(Orders[[#This Row],[Customer ID]],customers!$A$1:$A$1001,customers!$B$1:$B$1001,,0)</f>
        <v>Beryle Cottier</v>
      </c>
      <c r="G7" s="2" t="str">
        <f>IF(_xlfn.XLOOKUP(C7,customers!$A$1:$A$1001,customers!C6:C1006,,0)=0,"",_xlfn.XLOOKUP(C7,customers!$A$1:$A$1001,customers!C6:C1006,,0))</f>
        <v>fferbera@businesswire.com</v>
      </c>
      <c r="H7" s="2" t="str">
        <f>_xlfn.XLOOKUP(Orders[[#This Row],[Customer ID]],customers!$A$1:$A$1001,customers!$G$1:$G$1001,,0)</f>
        <v>United States</v>
      </c>
      <c r="I7" s="2" t="str">
        <f>_xlfn.XLOOKUP(Orders[[#This Row],[Customer ID]],customers!$A$1:$A$1001,customers!$F$1:$F$1001,,0)</f>
        <v>Scranton</v>
      </c>
      <c r="J7" t="str">
        <f>INDEX(products!$A$1:$G$49,MATCH(orders!$D7,products!$A$1:$A$49,0),MATCH(orders!J$1,products!$A$1:$G$1,0))</f>
        <v>Lib</v>
      </c>
      <c r="K7" t="str">
        <f>INDEX(products!$A$1:$G$49,MATCH(orders!$D7,products!$A$1:$A$49,0),MATCH(orders!K$1,products!$A$1:$G$1,0))</f>
        <v>D</v>
      </c>
      <c r="L7" s="4">
        <f>INDEX(products!$A$1:$G$49,MATCH(orders!$D7,products!$A$1:$A$49,0),MATCH(orders!L$1,products!$A$1:$G$1,0))</f>
        <v>1</v>
      </c>
      <c r="M7" s="5">
        <f>INDEX(products!$A$1:$G$49,MATCH(orders!$D7,products!$A$1:$A$49,0),MATCH(orders!M$1,products!$A$1:$G$1,0))</f>
        <v>12.95</v>
      </c>
      <c r="N7" s="5">
        <f>Orders[[#This Row],[Quantity]]*(INDEX(products!$A$1:$G$49,MATCH(orders!$D7,products!$A$1:$A$49,0),MATCH(orders!N$1,products!$A$1:$G$1,0)))</f>
        <v>5.0504999999999995</v>
      </c>
      <c r="O7" s="5">
        <f>M7*E7</f>
        <v>38.849999999999994</v>
      </c>
      <c r="P7" t="str">
        <f t="shared" si="0"/>
        <v>Liberica</v>
      </c>
      <c r="Q7" t="str">
        <f t="shared" si="1"/>
        <v>Dark</v>
      </c>
      <c r="R7" t="str">
        <f>_xlfn.XLOOKUP(Orders[[#This Row],[Customer ID]],customers!$A$1:$A$1001,customers!$I$1:$I$1001,,0)</f>
        <v>No</v>
      </c>
    </row>
    <row r="8" spans="1:18" x14ac:dyDescent="0.35">
      <c r="A8" s="2" t="s">
        <v>524</v>
      </c>
      <c r="B8" s="3">
        <v>44582</v>
      </c>
      <c r="C8" s="2" t="s">
        <v>525</v>
      </c>
      <c r="D8" t="s">
        <v>6144</v>
      </c>
      <c r="E8" s="2">
        <v>3</v>
      </c>
      <c r="F8" s="2" t="str">
        <f>_xlfn.XLOOKUP(Orders[[#This Row],[Customer ID]],customers!$A$1:$A$1001,customers!$B$1:$B$1001,,0)</f>
        <v>Shaylynn Lobe</v>
      </c>
      <c r="G8" s="2" t="str">
        <f>IF(_xlfn.XLOOKUP(C8,customers!$A$1:$A$1001,customers!C7:C1007,,0)=0,"",_xlfn.XLOOKUP(C8,customers!$A$1:$A$1001,customers!C7:C1007,,0))</f>
        <v>rscholarc@nyu.edu</v>
      </c>
      <c r="H8" s="2" t="str">
        <f>_xlfn.XLOOKUP(Orders[[#This Row],[Customer ID]],customers!$A$1:$A$1001,customers!$G$1:$G$1001,,0)</f>
        <v>United States</v>
      </c>
      <c r="I8" s="2" t="str">
        <f>_xlfn.XLOOKUP(Orders[[#This Row],[Customer ID]],customers!$A$1:$A$1001,customers!$F$1:$F$1001,,0)</f>
        <v>Dayton</v>
      </c>
      <c r="J8" t="str">
        <f>INDEX(products!$A$1:$G$49,MATCH(orders!$D8,products!$A$1:$A$49,0),MATCH(orders!J$1,products!$A$1:$G$1,0))</f>
        <v>Exc</v>
      </c>
      <c r="K8" t="str">
        <f>INDEX(products!$A$1:$G$49,MATCH(orders!$D8,products!$A$1:$A$49,0),MATCH(orders!K$1,products!$A$1:$G$1,0))</f>
        <v>D</v>
      </c>
      <c r="L8" s="4">
        <f>INDEX(products!$A$1:$G$49,MATCH(orders!$D8,products!$A$1:$A$49,0),MATCH(orders!L$1,products!$A$1:$G$1,0))</f>
        <v>0.5</v>
      </c>
      <c r="M8" s="5">
        <f>INDEX(products!$A$1:$G$49,MATCH(orders!$D8,products!$A$1:$A$49,0),MATCH(orders!M$1,products!$A$1:$G$1,0))</f>
        <v>7.29</v>
      </c>
      <c r="N8" s="5">
        <f>Orders[[#This Row],[Quantity]]*(INDEX(products!$A$1:$G$49,MATCH(orders!$D8,products!$A$1:$A$49,0),MATCH(orders!N$1,products!$A$1:$G$1,0)))</f>
        <v>2.4057000000000004</v>
      </c>
      <c r="O8" s="5">
        <f>M8*E8</f>
        <v>21.87</v>
      </c>
      <c r="P8" t="str">
        <f t="shared" si="0"/>
        <v>Excelsa</v>
      </c>
      <c r="Q8" t="str">
        <f t="shared" si="1"/>
        <v>Dark</v>
      </c>
      <c r="R8" t="str">
        <f>_xlfn.XLOOKUP(Orders[[#This Row],[Customer ID]],customers!$A$1:$A$1001,customers!$I$1:$I$1001,,0)</f>
        <v>Yes</v>
      </c>
    </row>
    <row r="9" spans="1:18" x14ac:dyDescent="0.35">
      <c r="A9" s="2" t="s">
        <v>530</v>
      </c>
      <c r="B9" s="3">
        <v>44701</v>
      </c>
      <c r="C9" s="2" t="s">
        <v>531</v>
      </c>
      <c r="D9" t="s">
        <v>6145</v>
      </c>
      <c r="E9" s="2">
        <v>1</v>
      </c>
      <c r="F9" s="2" t="str">
        <f>_xlfn.XLOOKUP(Orders[[#This Row],[Customer ID]],customers!$A$1:$A$1001,customers!$B$1:$B$1001,,0)</f>
        <v>Melvin Wharfe</v>
      </c>
      <c r="G9" s="2" t="str">
        <f>IF(_xlfn.XLOOKUP(C9,customers!$A$1:$A$1001,customers!C8:C1008,,0)=0,"",_xlfn.XLOOKUP(C9,customers!$A$1:$A$1001,customers!C8:C1008,,0))</f>
        <v>ptrobee@wunderground.com</v>
      </c>
      <c r="H9" s="2" t="str">
        <f>_xlfn.XLOOKUP(Orders[[#This Row],[Customer ID]],customers!$A$1:$A$1001,customers!$G$1:$G$1001,,0)</f>
        <v>Ireland</v>
      </c>
      <c r="I9" s="2" t="str">
        <f>_xlfn.XLOOKUP(Orders[[#This Row],[Customer ID]],customers!$A$1:$A$1001,customers!$F$1:$F$1001,,0)</f>
        <v>Kill</v>
      </c>
      <c r="J9" t="str">
        <f>INDEX(products!$A$1:$G$49,MATCH(orders!$D9,products!$A$1:$A$49,0),MATCH(orders!J$1,products!$A$1:$G$1,0))</f>
        <v>Lib</v>
      </c>
      <c r="K9" t="str">
        <f>INDEX(products!$A$1:$G$49,MATCH(orders!$D9,products!$A$1:$A$49,0),MATCH(orders!K$1,products!$A$1:$G$1,0))</f>
        <v>L</v>
      </c>
      <c r="L9" s="4">
        <f>INDEX(products!$A$1:$G$49,MATCH(orders!$D9,products!$A$1:$A$49,0),MATCH(orders!L$1,products!$A$1:$G$1,0))</f>
        <v>0.2</v>
      </c>
      <c r="M9" s="5">
        <f>INDEX(products!$A$1:$G$49,MATCH(orders!$D9,products!$A$1:$A$49,0),MATCH(orders!M$1,products!$A$1:$G$1,0))</f>
        <v>4.7549999999999999</v>
      </c>
      <c r="N9" s="5">
        <f>Orders[[#This Row],[Quantity]]*(INDEX(products!$A$1:$G$49,MATCH(orders!$D9,products!$A$1:$A$49,0),MATCH(orders!N$1,products!$A$1:$G$1,0)))</f>
        <v>0.61814999999999998</v>
      </c>
      <c r="O9" s="5">
        <f>M9*E9</f>
        <v>4.7549999999999999</v>
      </c>
      <c r="P9" t="str">
        <f t="shared" si="0"/>
        <v>Liberica</v>
      </c>
      <c r="Q9" t="str">
        <f t="shared" si="1"/>
        <v>Light</v>
      </c>
      <c r="R9" t="str">
        <f>_xlfn.XLOOKUP(Orders[[#This Row],[Customer ID]],customers!$A$1:$A$1001,customers!$I$1:$I$1001,,0)</f>
        <v>Yes</v>
      </c>
    </row>
    <row r="10" spans="1:18" x14ac:dyDescent="0.35">
      <c r="A10" s="2" t="s">
        <v>535</v>
      </c>
      <c r="B10" s="3">
        <v>43467</v>
      </c>
      <c r="C10" s="2" t="s">
        <v>536</v>
      </c>
      <c r="D10" t="s">
        <v>6146</v>
      </c>
      <c r="E10" s="2">
        <v>3</v>
      </c>
      <c r="F10" s="2" t="str">
        <f>_xlfn.XLOOKUP(Orders[[#This Row],[Customer ID]],customers!$A$1:$A$1001,customers!$B$1:$B$1001,,0)</f>
        <v>Guthrey Petracci</v>
      </c>
      <c r="G10" s="2" t="str">
        <f>IF(_xlfn.XLOOKUP(C10,customers!$A$1:$A$1001,customers!C9:C1009,,0)=0,"",_xlfn.XLOOKUP(C10,customers!$A$1:$A$1001,customers!C9:C1009,,0))</f>
        <v>malabasterg@hexun.com</v>
      </c>
      <c r="H10" s="2" t="str">
        <f>_xlfn.XLOOKUP(Orders[[#This Row],[Customer ID]],customers!$A$1:$A$1001,customers!$G$1:$G$1001,,0)</f>
        <v>United States</v>
      </c>
      <c r="I10" s="2" t="str">
        <f>_xlfn.XLOOKUP(Orders[[#This Row],[Customer ID]],customers!$A$1:$A$1001,customers!$F$1:$F$1001,,0)</f>
        <v>Los Angeles</v>
      </c>
      <c r="J10" t="str">
        <f>INDEX(products!$A$1:$G$49,MATCH(orders!$D10,products!$A$1:$A$49,0),MATCH(orders!J$1,products!$A$1:$G$1,0))</f>
        <v>Rob</v>
      </c>
      <c r="K10" t="str">
        <f>INDEX(products!$A$1:$G$49,MATCH(orders!$D10,products!$A$1:$A$49,0),MATCH(orders!K$1,products!$A$1:$G$1,0))</f>
        <v>M</v>
      </c>
      <c r="L10" s="4">
        <f>INDEX(products!$A$1:$G$49,MATCH(orders!$D10,products!$A$1:$A$49,0),MATCH(orders!L$1,products!$A$1:$G$1,0))</f>
        <v>0.5</v>
      </c>
      <c r="M10" s="5">
        <f>INDEX(products!$A$1:$G$49,MATCH(orders!$D10,products!$A$1:$A$49,0),MATCH(orders!M$1,products!$A$1:$G$1,0))</f>
        <v>5.97</v>
      </c>
      <c r="N10" s="5">
        <f>Orders[[#This Row],[Quantity]]*(INDEX(products!$A$1:$G$49,MATCH(orders!$D10,products!$A$1:$A$49,0),MATCH(orders!N$1,products!$A$1:$G$1,0)))</f>
        <v>1.0745999999999998</v>
      </c>
      <c r="O10" s="5">
        <f>M10*E10</f>
        <v>17.91</v>
      </c>
      <c r="P10" t="str">
        <f t="shared" si="0"/>
        <v>Robusta</v>
      </c>
      <c r="Q10" t="str">
        <f t="shared" si="1"/>
        <v>Medium</v>
      </c>
      <c r="R10" t="str">
        <f>_xlfn.XLOOKUP(Orders[[#This Row],[Customer ID]],customers!$A$1:$A$1001,customers!$I$1:$I$1001,,0)</f>
        <v>No</v>
      </c>
    </row>
    <row r="11" spans="1:18" x14ac:dyDescent="0.35">
      <c r="A11" s="2" t="s">
        <v>541</v>
      </c>
      <c r="B11" s="3">
        <v>43713</v>
      </c>
      <c r="C11" s="2" t="s">
        <v>542</v>
      </c>
      <c r="D11" t="s">
        <v>6146</v>
      </c>
      <c r="E11" s="2">
        <v>1</v>
      </c>
      <c r="F11" s="2" t="str">
        <f>_xlfn.XLOOKUP(Orders[[#This Row],[Customer ID]],customers!$A$1:$A$1001,customers!$B$1:$B$1001,,0)</f>
        <v>Rodger Raven</v>
      </c>
      <c r="G11" s="2" t="str">
        <f>IF(_xlfn.XLOOKUP(C11,customers!$A$1:$A$1001,customers!C10:C1010,,0)=0,"",_xlfn.XLOOKUP(C11,customers!$A$1:$A$1001,customers!C10:C1010,,0))</f>
        <v>predfordi@ow.ly</v>
      </c>
      <c r="H11" s="2" t="str">
        <f>_xlfn.XLOOKUP(Orders[[#This Row],[Customer ID]],customers!$A$1:$A$1001,customers!$G$1:$G$1001,,0)</f>
        <v>United States</v>
      </c>
      <c r="I11" s="2" t="str">
        <f>_xlfn.XLOOKUP(Orders[[#This Row],[Customer ID]],customers!$A$1:$A$1001,customers!$F$1:$F$1001,,0)</f>
        <v>Los Angeles</v>
      </c>
      <c r="J11" t="str">
        <f>INDEX(products!$A$1:$G$49,MATCH(orders!$D11,products!$A$1:$A$49,0),MATCH(orders!J$1,products!$A$1:$G$1,0))</f>
        <v>Rob</v>
      </c>
      <c r="K11" t="str">
        <f>INDEX(products!$A$1:$G$49,MATCH(orders!$D11,products!$A$1:$A$49,0),MATCH(orders!K$1,products!$A$1:$G$1,0))</f>
        <v>M</v>
      </c>
      <c r="L11" s="4">
        <f>INDEX(products!$A$1:$G$49,MATCH(orders!$D11,products!$A$1:$A$49,0),MATCH(orders!L$1,products!$A$1:$G$1,0))</f>
        <v>0.5</v>
      </c>
      <c r="M11" s="5">
        <f>INDEX(products!$A$1:$G$49,MATCH(orders!$D11,products!$A$1:$A$49,0),MATCH(orders!M$1,products!$A$1:$G$1,0))</f>
        <v>5.97</v>
      </c>
      <c r="N11" s="5">
        <f>Orders[[#This Row],[Quantity]]*(INDEX(products!$A$1:$G$49,MATCH(orders!$D11,products!$A$1:$A$49,0),MATCH(orders!N$1,products!$A$1:$G$1,0)))</f>
        <v>0.35819999999999996</v>
      </c>
      <c r="O11" s="5">
        <f>M11*E11</f>
        <v>5.97</v>
      </c>
      <c r="P11" t="str">
        <f t="shared" si="0"/>
        <v>Robusta</v>
      </c>
      <c r="Q11" t="str">
        <f t="shared" si="1"/>
        <v>Medium</v>
      </c>
      <c r="R11" t="str">
        <f>_xlfn.XLOOKUP(Orders[[#This Row],[Customer ID]],customers!$A$1:$A$1001,customers!$I$1:$I$1001,,0)</f>
        <v>No</v>
      </c>
    </row>
    <row r="12" spans="1:18" x14ac:dyDescent="0.35">
      <c r="A12" s="2" t="s">
        <v>547</v>
      </c>
      <c r="B12" s="3">
        <v>44263</v>
      </c>
      <c r="C12" s="2" t="s">
        <v>548</v>
      </c>
      <c r="D12" t="s">
        <v>6147</v>
      </c>
      <c r="E12" s="2">
        <v>4</v>
      </c>
      <c r="F12" s="2" t="str">
        <f>_xlfn.XLOOKUP(Orders[[#This Row],[Customer ID]],customers!$A$1:$A$1001,customers!$B$1:$B$1001,,0)</f>
        <v>Ferrell Ferber</v>
      </c>
      <c r="G12" s="2" t="str">
        <f>IF(_xlfn.XLOOKUP(C12,customers!$A$1:$A$1001,customers!C11:C1011,,0)=0,"",_xlfn.XLOOKUP(C12,customers!$A$1:$A$1001,customers!C11:C1011,,0))</f>
        <v/>
      </c>
      <c r="H12" s="2" t="str">
        <f>_xlfn.XLOOKUP(Orders[[#This Row],[Customer ID]],customers!$A$1:$A$1001,customers!$G$1:$G$1001,,0)</f>
        <v>United States</v>
      </c>
      <c r="I12" s="2" t="str">
        <f>_xlfn.XLOOKUP(Orders[[#This Row],[Customer ID]],customers!$A$1:$A$1001,customers!$F$1:$F$1001,,0)</f>
        <v>San Jose</v>
      </c>
      <c r="J12" t="str">
        <f>INDEX(products!$A$1:$G$49,MATCH(orders!$D12,products!$A$1:$A$49,0),MATCH(orders!J$1,products!$A$1:$G$1,0))</f>
        <v>Ara</v>
      </c>
      <c r="K12" t="str">
        <f>INDEX(products!$A$1:$G$49,MATCH(orders!$D12,products!$A$1:$A$49,0),MATCH(orders!K$1,products!$A$1:$G$1,0))</f>
        <v>D</v>
      </c>
      <c r="L12" s="4">
        <f>INDEX(products!$A$1:$G$49,MATCH(orders!$D12,products!$A$1:$A$49,0),MATCH(orders!L$1,products!$A$1:$G$1,0))</f>
        <v>1</v>
      </c>
      <c r="M12" s="5">
        <f>INDEX(products!$A$1:$G$49,MATCH(orders!$D12,products!$A$1:$A$49,0),MATCH(orders!M$1,products!$A$1:$G$1,0))</f>
        <v>9.9499999999999993</v>
      </c>
      <c r="N12" s="5">
        <f>Orders[[#This Row],[Quantity]]*(INDEX(products!$A$1:$G$49,MATCH(orders!$D12,products!$A$1:$A$49,0),MATCH(orders!N$1,products!$A$1:$G$1,0)))</f>
        <v>3.5819999999999994</v>
      </c>
      <c r="O12" s="5">
        <f>M12*E12</f>
        <v>39.799999999999997</v>
      </c>
      <c r="P12" t="str">
        <f t="shared" si="0"/>
        <v>Arabica</v>
      </c>
      <c r="Q12" t="str">
        <f t="shared" si="1"/>
        <v>Dark</v>
      </c>
      <c r="R12" t="str">
        <f>_xlfn.XLOOKUP(Orders[[#This Row],[Customer ID]],customers!$A$1:$A$1001,customers!$I$1:$I$1001,,0)</f>
        <v>No</v>
      </c>
    </row>
    <row r="13" spans="1:18" x14ac:dyDescent="0.35">
      <c r="A13" s="2" t="s">
        <v>553</v>
      </c>
      <c r="B13" s="3">
        <v>44132</v>
      </c>
      <c r="C13" s="2" t="s">
        <v>554</v>
      </c>
      <c r="D13" t="s">
        <v>6148</v>
      </c>
      <c r="E13" s="2">
        <v>5</v>
      </c>
      <c r="F13" s="2" t="str">
        <f>_xlfn.XLOOKUP(Orders[[#This Row],[Customer ID]],customers!$A$1:$A$1001,customers!$B$1:$B$1001,,0)</f>
        <v>Duky Phizackerly</v>
      </c>
      <c r="G13" s="2" t="str">
        <f>IF(_xlfn.XLOOKUP(C13,customers!$A$1:$A$1001,customers!C12:C1012,,0)=0,"",_xlfn.XLOOKUP(C13,customers!$A$1:$A$1001,customers!C12:C1012,,0))</f>
        <v>aantukm@kickstarter.com</v>
      </c>
      <c r="H13" s="2" t="str">
        <f>_xlfn.XLOOKUP(Orders[[#This Row],[Customer ID]],customers!$A$1:$A$1001,customers!$G$1:$G$1001,,0)</f>
        <v>United States</v>
      </c>
      <c r="I13" s="2" t="str">
        <f>_xlfn.XLOOKUP(Orders[[#This Row],[Customer ID]],customers!$A$1:$A$1001,customers!$F$1:$F$1001,,0)</f>
        <v>San Jose</v>
      </c>
      <c r="J13" t="str">
        <f>INDEX(products!$A$1:$G$49,MATCH(orders!$D13,products!$A$1:$A$49,0),MATCH(orders!J$1,products!$A$1:$G$1,0))</f>
        <v>Exc</v>
      </c>
      <c r="K13" t="str">
        <f>INDEX(products!$A$1:$G$49,MATCH(orders!$D13,products!$A$1:$A$49,0),MATCH(orders!K$1,products!$A$1:$G$1,0))</f>
        <v>L</v>
      </c>
      <c r="L13" s="4">
        <f>INDEX(products!$A$1:$G$49,MATCH(orders!$D13,products!$A$1:$A$49,0),MATCH(orders!L$1,products!$A$1:$G$1,0))</f>
        <v>2.5</v>
      </c>
      <c r="M13" s="5">
        <f>INDEX(products!$A$1:$G$49,MATCH(orders!$D13,products!$A$1:$A$49,0),MATCH(orders!M$1,products!$A$1:$G$1,0))</f>
        <v>34.154999999999994</v>
      </c>
      <c r="N13" s="5">
        <f>Orders[[#This Row],[Quantity]]*(INDEX(products!$A$1:$G$49,MATCH(orders!$D13,products!$A$1:$A$49,0),MATCH(orders!N$1,products!$A$1:$G$1,0)))</f>
        <v>18.785249999999998</v>
      </c>
      <c r="O13" s="5">
        <f>M13*E13</f>
        <v>170.77499999999998</v>
      </c>
      <c r="P13" t="str">
        <f t="shared" si="0"/>
        <v>Excelsa</v>
      </c>
      <c r="Q13" t="str">
        <f t="shared" si="1"/>
        <v>Light</v>
      </c>
      <c r="R13" t="str">
        <f>_xlfn.XLOOKUP(Orders[[#This Row],[Customer ID]],customers!$A$1:$A$1001,customers!$I$1:$I$1001,,0)</f>
        <v>Yes</v>
      </c>
    </row>
    <row r="14" spans="1:18" x14ac:dyDescent="0.35">
      <c r="A14" s="2" t="s">
        <v>559</v>
      </c>
      <c r="B14" s="3">
        <v>44744</v>
      </c>
      <c r="C14" s="2" t="s">
        <v>560</v>
      </c>
      <c r="D14" t="s">
        <v>6138</v>
      </c>
      <c r="E14" s="2">
        <v>5</v>
      </c>
      <c r="F14" s="2" t="str">
        <f>_xlfn.XLOOKUP(Orders[[#This Row],[Customer ID]],customers!$A$1:$A$1001,customers!$B$1:$B$1001,,0)</f>
        <v>Rosaleen Scholar</v>
      </c>
      <c r="G14" s="2" t="str">
        <f>IF(_xlfn.XLOOKUP(C14,customers!$A$1:$A$1001,customers!C13:C1013,,0)=0,"",_xlfn.XLOOKUP(C14,customers!$A$1:$A$1001,customers!C13:C1013,,0))</f>
        <v>cblofeldo@amazon.co.uk</v>
      </c>
      <c r="H14" s="2" t="str">
        <f>_xlfn.XLOOKUP(Orders[[#This Row],[Customer ID]],customers!$A$1:$A$1001,customers!$G$1:$G$1001,,0)</f>
        <v>United States</v>
      </c>
      <c r="I14" s="2" t="str">
        <f>_xlfn.XLOOKUP(Orders[[#This Row],[Customer ID]],customers!$A$1:$A$1001,customers!$F$1:$F$1001,,0)</f>
        <v>Richmond</v>
      </c>
      <c r="J14" t="str">
        <f>INDEX(products!$A$1:$G$49,MATCH(orders!$D14,products!$A$1:$A$49,0),MATCH(orders!J$1,products!$A$1:$G$1,0))</f>
        <v>Rob</v>
      </c>
      <c r="K14" t="str">
        <f>INDEX(products!$A$1:$G$49,MATCH(orders!$D14,products!$A$1:$A$49,0),MATCH(orders!K$1,products!$A$1:$G$1,0))</f>
        <v>M</v>
      </c>
      <c r="L14" s="4">
        <f>INDEX(products!$A$1:$G$49,MATCH(orders!$D14,products!$A$1:$A$49,0),MATCH(orders!L$1,products!$A$1:$G$1,0))</f>
        <v>1</v>
      </c>
      <c r="M14" s="5">
        <f>INDEX(products!$A$1:$G$49,MATCH(orders!$D14,products!$A$1:$A$49,0),MATCH(orders!M$1,products!$A$1:$G$1,0))</f>
        <v>9.9499999999999993</v>
      </c>
      <c r="N14" s="5">
        <f>Orders[[#This Row],[Quantity]]*(INDEX(products!$A$1:$G$49,MATCH(orders!$D14,products!$A$1:$A$49,0),MATCH(orders!N$1,products!$A$1:$G$1,0)))</f>
        <v>2.9849999999999999</v>
      </c>
      <c r="O14" s="5">
        <f>M14*E14</f>
        <v>49.75</v>
      </c>
      <c r="P14" t="str">
        <f t="shared" si="0"/>
        <v>Robusta</v>
      </c>
      <c r="Q14" t="str">
        <f t="shared" si="1"/>
        <v>Medium</v>
      </c>
      <c r="R14" t="str">
        <f>_xlfn.XLOOKUP(Orders[[#This Row],[Customer ID]],customers!$A$1:$A$1001,customers!$I$1:$I$1001,,0)</f>
        <v>No</v>
      </c>
    </row>
    <row r="15" spans="1:18" x14ac:dyDescent="0.35">
      <c r="A15" s="2" t="s">
        <v>565</v>
      </c>
      <c r="B15" s="3">
        <v>43973</v>
      </c>
      <c r="C15" s="2" t="s">
        <v>566</v>
      </c>
      <c r="D15" t="s">
        <v>6149</v>
      </c>
      <c r="E15" s="2">
        <v>2</v>
      </c>
      <c r="F15" s="2" t="str">
        <f>_xlfn.XLOOKUP(Orders[[#This Row],[Customer ID]],customers!$A$1:$A$1001,customers!$B$1:$B$1001,,0)</f>
        <v>Terence Vanyutin</v>
      </c>
      <c r="G15" s="2" t="str">
        <f>IF(_xlfn.XLOOKUP(C15,customers!$A$1:$A$1001,customers!C14:C1014,,0)=0,"",_xlfn.XLOOKUP(C15,customers!$A$1:$A$1001,customers!C14:C1014,,0))</f>
        <v>sshalesq@umich.edu</v>
      </c>
      <c r="H15" s="2" t="str">
        <f>_xlfn.XLOOKUP(Orders[[#This Row],[Customer ID]],customers!$A$1:$A$1001,customers!$G$1:$G$1001,,0)</f>
        <v>United States</v>
      </c>
      <c r="I15" s="2" t="str">
        <f>_xlfn.XLOOKUP(Orders[[#This Row],[Customer ID]],customers!$A$1:$A$1001,customers!$F$1:$F$1001,,0)</f>
        <v>Migrate</v>
      </c>
      <c r="J15" t="str">
        <f>INDEX(products!$A$1:$G$49,MATCH(orders!$D15,products!$A$1:$A$49,0),MATCH(orders!J$1,products!$A$1:$G$1,0))</f>
        <v>Rob</v>
      </c>
      <c r="K15" t="str">
        <f>INDEX(products!$A$1:$G$49,MATCH(orders!$D15,products!$A$1:$A$49,0),MATCH(orders!K$1,products!$A$1:$G$1,0))</f>
        <v>D</v>
      </c>
      <c r="L15" s="4">
        <f>INDEX(products!$A$1:$G$49,MATCH(orders!$D15,products!$A$1:$A$49,0),MATCH(orders!L$1,products!$A$1:$G$1,0))</f>
        <v>2.5</v>
      </c>
      <c r="M15" s="5">
        <f>INDEX(products!$A$1:$G$49,MATCH(orders!$D15,products!$A$1:$A$49,0),MATCH(orders!M$1,products!$A$1:$G$1,0))</f>
        <v>20.584999999999997</v>
      </c>
      <c r="N15" s="5">
        <f>Orders[[#This Row],[Quantity]]*(INDEX(products!$A$1:$G$49,MATCH(orders!$D15,products!$A$1:$A$49,0),MATCH(orders!N$1,products!$A$1:$G$1,0)))</f>
        <v>2.4701999999999997</v>
      </c>
      <c r="O15" s="5">
        <f>M15*E15</f>
        <v>41.169999999999995</v>
      </c>
      <c r="P15" t="str">
        <f t="shared" si="0"/>
        <v>Robusta</v>
      </c>
      <c r="Q15" t="str">
        <f t="shared" si="1"/>
        <v>Dark</v>
      </c>
      <c r="R15" t="str">
        <f>_xlfn.XLOOKUP(Orders[[#This Row],[Customer ID]],customers!$A$1:$A$1001,customers!$I$1:$I$1001,,0)</f>
        <v>No</v>
      </c>
    </row>
    <row r="16" spans="1:18" x14ac:dyDescent="0.35">
      <c r="A16" s="2" t="s">
        <v>570</v>
      </c>
      <c r="B16" s="3">
        <v>44656</v>
      </c>
      <c r="C16" s="2" t="s">
        <v>571</v>
      </c>
      <c r="D16" t="s">
        <v>6150</v>
      </c>
      <c r="E16" s="2">
        <v>3</v>
      </c>
      <c r="F16" s="2" t="str">
        <f>_xlfn.XLOOKUP(Orders[[#This Row],[Customer ID]],customers!$A$1:$A$1001,customers!$B$1:$B$1001,,0)</f>
        <v>Patrice Trobe</v>
      </c>
      <c r="G16" s="2" t="str">
        <f>IF(_xlfn.XLOOKUP(C16,customers!$A$1:$A$1001,customers!C15:C1015,,0)=0,"",_xlfn.XLOOKUP(C16,customers!$A$1:$A$1001,customers!C15:C1015,,0))</f>
        <v>tnewburys@usda.gov</v>
      </c>
      <c r="H16" s="2" t="str">
        <f>_xlfn.XLOOKUP(Orders[[#This Row],[Customer ID]],customers!$A$1:$A$1001,customers!$G$1:$G$1001,,0)</f>
        <v>United States</v>
      </c>
      <c r="I16" s="2" t="str">
        <f>_xlfn.XLOOKUP(Orders[[#This Row],[Customer ID]],customers!$A$1:$A$1001,customers!$F$1:$F$1001,,0)</f>
        <v>Saint Louis</v>
      </c>
      <c r="J16" t="str">
        <f>INDEX(products!$A$1:$G$49,MATCH(orders!$D16,products!$A$1:$A$49,0),MATCH(orders!J$1,products!$A$1:$G$1,0))</f>
        <v>Lib</v>
      </c>
      <c r="K16" t="str">
        <f>INDEX(products!$A$1:$G$49,MATCH(orders!$D16,products!$A$1:$A$49,0),MATCH(orders!K$1,products!$A$1:$G$1,0))</f>
        <v>D</v>
      </c>
      <c r="L16" s="4">
        <f>INDEX(products!$A$1:$G$49,MATCH(orders!$D16,products!$A$1:$A$49,0),MATCH(orders!L$1,products!$A$1:$G$1,0))</f>
        <v>0.2</v>
      </c>
      <c r="M16" s="5">
        <f>INDEX(products!$A$1:$G$49,MATCH(orders!$D16,products!$A$1:$A$49,0),MATCH(orders!M$1,products!$A$1:$G$1,0))</f>
        <v>3.8849999999999998</v>
      </c>
      <c r="N16" s="5">
        <f>Orders[[#This Row],[Quantity]]*(INDEX(products!$A$1:$G$49,MATCH(orders!$D16,products!$A$1:$A$49,0),MATCH(orders!N$1,products!$A$1:$G$1,0)))</f>
        <v>1.51515</v>
      </c>
      <c r="O16" s="5">
        <f>M16*E16</f>
        <v>11.654999999999999</v>
      </c>
      <c r="P16" t="str">
        <f t="shared" si="0"/>
        <v>Liberica</v>
      </c>
      <c r="Q16" t="str">
        <f t="shared" si="1"/>
        <v>Dark</v>
      </c>
      <c r="R16" t="str">
        <f>_xlfn.XLOOKUP(Orders[[#This Row],[Customer ID]],customers!$A$1:$A$1001,customers!$I$1:$I$1001,,0)</f>
        <v>Yes</v>
      </c>
    </row>
    <row r="17" spans="1:18" x14ac:dyDescent="0.35">
      <c r="A17" s="2" t="s">
        <v>576</v>
      </c>
      <c r="B17" s="3">
        <v>44719</v>
      </c>
      <c r="C17" s="2" t="s">
        <v>577</v>
      </c>
      <c r="D17" t="s">
        <v>6151</v>
      </c>
      <c r="E17" s="2">
        <v>5</v>
      </c>
      <c r="F17" s="2" t="str">
        <f>_xlfn.XLOOKUP(Orders[[#This Row],[Customer ID]],customers!$A$1:$A$1001,customers!$B$1:$B$1001,,0)</f>
        <v>Llywellyn Oscroft</v>
      </c>
      <c r="G17" s="2" t="str">
        <f>IF(_xlfn.XLOOKUP(C17,customers!$A$1:$A$1001,customers!C16:C1016,,0)=0,"",_xlfn.XLOOKUP(C17,customers!$A$1:$A$1001,customers!C16:C1016,,0))</f>
        <v/>
      </c>
      <c r="H17" s="2" t="str">
        <f>_xlfn.XLOOKUP(Orders[[#This Row],[Customer ID]],customers!$A$1:$A$1001,customers!$G$1:$G$1001,,0)</f>
        <v>United States</v>
      </c>
      <c r="I17" s="2" t="str">
        <f>_xlfn.XLOOKUP(Orders[[#This Row],[Customer ID]],customers!$A$1:$A$1001,customers!$F$1:$F$1001,,0)</f>
        <v>Philadelphia</v>
      </c>
      <c r="J17" t="str">
        <f>INDEX(products!$A$1:$G$49,MATCH(orders!$D17,products!$A$1:$A$49,0),MATCH(orders!J$1,products!$A$1:$G$1,0))</f>
        <v>Rob</v>
      </c>
      <c r="K17" t="str">
        <f>INDEX(products!$A$1:$G$49,MATCH(orders!$D17,products!$A$1:$A$49,0),MATCH(orders!K$1,products!$A$1:$G$1,0))</f>
        <v>M</v>
      </c>
      <c r="L17" s="4">
        <f>INDEX(products!$A$1:$G$49,MATCH(orders!$D17,products!$A$1:$A$49,0),MATCH(orders!L$1,products!$A$1:$G$1,0))</f>
        <v>2.5</v>
      </c>
      <c r="M17" s="5">
        <f>INDEX(products!$A$1:$G$49,MATCH(orders!$D17,products!$A$1:$A$49,0),MATCH(orders!M$1,products!$A$1:$G$1,0))</f>
        <v>22.884999999999998</v>
      </c>
      <c r="N17" s="5">
        <f>Orders[[#This Row],[Quantity]]*(INDEX(products!$A$1:$G$49,MATCH(orders!$D17,products!$A$1:$A$49,0),MATCH(orders!N$1,products!$A$1:$G$1,0)))</f>
        <v>6.865499999999999</v>
      </c>
      <c r="O17" s="5">
        <f>M17*E17</f>
        <v>114.42499999999998</v>
      </c>
      <c r="P17" t="str">
        <f t="shared" si="0"/>
        <v>Robusta</v>
      </c>
      <c r="Q17" t="str">
        <f t="shared" si="1"/>
        <v>Medium</v>
      </c>
      <c r="R17" t="str">
        <f>_xlfn.XLOOKUP(Orders[[#This Row],[Customer ID]],customers!$A$1:$A$1001,customers!$I$1:$I$1001,,0)</f>
        <v>No</v>
      </c>
    </row>
    <row r="18" spans="1:18" x14ac:dyDescent="0.35">
      <c r="A18" s="2" t="s">
        <v>581</v>
      </c>
      <c r="B18" s="3">
        <v>43544</v>
      </c>
      <c r="C18" s="2" t="s">
        <v>582</v>
      </c>
      <c r="D18" t="s">
        <v>6152</v>
      </c>
      <c r="E18" s="2">
        <v>6</v>
      </c>
      <c r="F18" s="2" t="str">
        <f>_xlfn.XLOOKUP(Orders[[#This Row],[Customer ID]],customers!$A$1:$A$1001,customers!$B$1:$B$1001,,0)</f>
        <v>Minni Alabaster</v>
      </c>
      <c r="G18" s="2" t="str">
        <f>IF(_xlfn.XLOOKUP(C18,customers!$A$1:$A$1001,customers!C17:C1017,,0)=0,"",_xlfn.XLOOKUP(C18,customers!$A$1:$A$1001,customers!C17:C1017,,0))</f>
        <v>nbasezziw@webeden.co.uk</v>
      </c>
      <c r="H18" s="2" t="str">
        <f>_xlfn.XLOOKUP(Orders[[#This Row],[Customer ID]],customers!$A$1:$A$1001,customers!$G$1:$G$1001,,0)</f>
        <v>United States</v>
      </c>
      <c r="I18" s="2" t="str">
        <f>_xlfn.XLOOKUP(Orders[[#This Row],[Customer ID]],customers!$A$1:$A$1001,customers!$F$1:$F$1001,,0)</f>
        <v>Portland</v>
      </c>
      <c r="J18" t="str">
        <f>INDEX(products!$A$1:$G$49,MATCH(orders!$D18,products!$A$1:$A$49,0),MATCH(orders!J$1,products!$A$1:$G$1,0))</f>
        <v>Ara</v>
      </c>
      <c r="K18" t="str">
        <f>INDEX(products!$A$1:$G$49,MATCH(orders!$D18,products!$A$1:$A$49,0),MATCH(orders!K$1,products!$A$1:$G$1,0))</f>
        <v>M</v>
      </c>
      <c r="L18" s="4">
        <f>INDEX(products!$A$1:$G$49,MATCH(orders!$D18,products!$A$1:$A$49,0),MATCH(orders!L$1,products!$A$1:$G$1,0))</f>
        <v>0.2</v>
      </c>
      <c r="M18" s="5">
        <f>INDEX(products!$A$1:$G$49,MATCH(orders!$D18,products!$A$1:$A$49,0),MATCH(orders!M$1,products!$A$1:$G$1,0))</f>
        <v>3.375</v>
      </c>
      <c r="N18" s="5">
        <f>Orders[[#This Row],[Quantity]]*(INDEX(products!$A$1:$G$49,MATCH(orders!$D18,products!$A$1:$A$49,0),MATCH(orders!N$1,products!$A$1:$G$1,0)))</f>
        <v>1.8224999999999998</v>
      </c>
      <c r="O18" s="5">
        <f>M18*E18</f>
        <v>20.25</v>
      </c>
      <c r="P18" t="str">
        <f t="shared" si="0"/>
        <v>Arabica</v>
      </c>
      <c r="Q18" t="str">
        <f t="shared" si="1"/>
        <v>Medium</v>
      </c>
      <c r="R18" t="str">
        <f>_xlfn.XLOOKUP(Orders[[#This Row],[Customer ID]],customers!$A$1:$A$1001,customers!$I$1:$I$1001,,0)</f>
        <v>No</v>
      </c>
    </row>
    <row r="19" spans="1:18" x14ac:dyDescent="0.35">
      <c r="A19" s="2" t="s">
        <v>587</v>
      </c>
      <c r="B19" s="3">
        <v>43757</v>
      </c>
      <c r="C19" s="2" t="s">
        <v>588</v>
      </c>
      <c r="D19" t="s">
        <v>6140</v>
      </c>
      <c r="E19" s="2">
        <v>6</v>
      </c>
      <c r="F19" s="2" t="str">
        <f>_xlfn.XLOOKUP(Orders[[#This Row],[Customer ID]],customers!$A$1:$A$1001,customers!$B$1:$B$1001,,0)</f>
        <v>Rhianon Broxup</v>
      </c>
      <c r="G19" s="2" t="str">
        <f>IF(_xlfn.XLOOKUP(C19,customers!$A$1:$A$1001,customers!C18:C1018,,0)=0,"",_xlfn.XLOOKUP(C19,customers!$A$1:$A$1001,customers!C18:C1018,,0))</f>
        <v>uwelberryy@ebay.co.uk</v>
      </c>
      <c r="H19" s="2" t="str">
        <f>_xlfn.XLOOKUP(Orders[[#This Row],[Customer ID]],customers!$A$1:$A$1001,customers!$G$1:$G$1001,,0)</f>
        <v>United States</v>
      </c>
      <c r="I19" s="2" t="str">
        <f>_xlfn.XLOOKUP(Orders[[#This Row],[Customer ID]],customers!$A$1:$A$1001,customers!$F$1:$F$1001,,0)</f>
        <v>Houston</v>
      </c>
      <c r="J19" t="str">
        <f>INDEX(products!$A$1:$G$49,MATCH(orders!$D19,products!$A$1:$A$49,0),MATCH(orders!J$1,products!$A$1:$G$1,0))</f>
        <v>Ara</v>
      </c>
      <c r="K19" t="str">
        <f>INDEX(products!$A$1:$G$49,MATCH(orders!$D19,products!$A$1:$A$49,0),MATCH(orders!K$1,products!$A$1:$G$1,0))</f>
        <v>L</v>
      </c>
      <c r="L19" s="4">
        <f>INDEX(products!$A$1:$G$49,MATCH(orders!$D19,products!$A$1:$A$49,0),MATCH(orders!L$1,products!$A$1:$G$1,0))</f>
        <v>1</v>
      </c>
      <c r="M19" s="5">
        <f>INDEX(products!$A$1:$G$49,MATCH(orders!$D19,products!$A$1:$A$49,0),MATCH(orders!M$1,products!$A$1:$G$1,0))</f>
        <v>12.95</v>
      </c>
      <c r="N19" s="5">
        <f>Orders[[#This Row],[Quantity]]*(INDEX(products!$A$1:$G$49,MATCH(orders!$D19,products!$A$1:$A$49,0),MATCH(orders!N$1,products!$A$1:$G$1,0)))</f>
        <v>6.9930000000000003</v>
      </c>
      <c r="O19" s="5">
        <f>M19*E19</f>
        <v>77.699999999999989</v>
      </c>
      <c r="P19" t="str">
        <f t="shared" si="0"/>
        <v>Arabica</v>
      </c>
      <c r="Q19" t="str">
        <f t="shared" si="1"/>
        <v>Light</v>
      </c>
      <c r="R19" t="str">
        <f>_xlfn.XLOOKUP(Orders[[#This Row],[Customer ID]],customers!$A$1:$A$1001,customers!$I$1:$I$1001,,0)</f>
        <v>No</v>
      </c>
    </row>
    <row r="20" spans="1:18" x14ac:dyDescent="0.35">
      <c r="A20" s="2" t="s">
        <v>593</v>
      </c>
      <c r="B20" s="3">
        <v>43629</v>
      </c>
      <c r="C20" s="2" t="s">
        <v>594</v>
      </c>
      <c r="D20" t="s">
        <v>6149</v>
      </c>
      <c r="E20" s="2">
        <v>4</v>
      </c>
      <c r="F20" s="2" t="str">
        <f>_xlfn.XLOOKUP(Orders[[#This Row],[Customer ID]],customers!$A$1:$A$1001,customers!$B$1:$B$1001,,0)</f>
        <v>Pall Redford</v>
      </c>
      <c r="G20" s="2" t="str">
        <f>IF(_xlfn.XLOOKUP(C20,customers!$A$1:$A$1001,customers!C19:C1019,,0)=0,"",_xlfn.XLOOKUP(C20,customers!$A$1:$A$1001,customers!C19:C1019,,0))</f>
        <v>zponting10@altervista.org</v>
      </c>
      <c r="H20" s="2" t="str">
        <f>_xlfn.XLOOKUP(Orders[[#This Row],[Customer ID]],customers!$A$1:$A$1001,customers!$G$1:$G$1001,,0)</f>
        <v>Ireland</v>
      </c>
      <c r="I20" s="2" t="str">
        <f>_xlfn.XLOOKUP(Orders[[#This Row],[Customer ID]],customers!$A$1:$A$1001,customers!$F$1:$F$1001,,0)</f>
        <v>Caherconlish</v>
      </c>
      <c r="J20" t="str">
        <f>INDEX(products!$A$1:$G$49,MATCH(orders!$D20,products!$A$1:$A$49,0),MATCH(orders!J$1,products!$A$1:$G$1,0))</f>
        <v>Rob</v>
      </c>
      <c r="K20" t="str">
        <f>INDEX(products!$A$1:$G$49,MATCH(orders!$D20,products!$A$1:$A$49,0),MATCH(orders!K$1,products!$A$1:$G$1,0))</f>
        <v>D</v>
      </c>
      <c r="L20" s="4">
        <f>INDEX(products!$A$1:$G$49,MATCH(orders!$D20,products!$A$1:$A$49,0),MATCH(orders!L$1,products!$A$1:$G$1,0))</f>
        <v>2.5</v>
      </c>
      <c r="M20" s="5">
        <f>INDEX(products!$A$1:$G$49,MATCH(orders!$D20,products!$A$1:$A$49,0),MATCH(orders!M$1,products!$A$1:$G$1,0))</f>
        <v>20.584999999999997</v>
      </c>
      <c r="N20" s="5">
        <f>Orders[[#This Row],[Quantity]]*(INDEX(products!$A$1:$G$49,MATCH(orders!$D20,products!$A$1:$A$49,0),MATCH(orders!N$1,products!$A$1:$G$1,0)))</f>
        <v>4.9403999999999995</v>
      </c>
      <c r="O20" s="5">
        <f>M20*E20</f>
        <v>82.339999999999989</v>
      </c>
      <c r="P20" t="str">
        <f t="shared" si="0"/>
        <v>Robusta</v>
      </c>
      <c r="Q20" t="str">
        <f t="shared" si="1"/>
        <v>Dark</v>
      </c>
      <c r="R20" t="str">
        <f>_xlfn.XLOOKUP(Orders[[#This Row],[Customer ID]],customers!$A$1:$A$1001,customers!$I$1:$I$1001,,0)</f>
        <v>Yes</v>
      </c>
    </row>
    <row r="21" spans="1:18" x14ac:dyDescent="0.35">
      <c r="A21" s="2" t="s">
        <v>598</v>
      </c>
      <c r="B21" s="3">
        <v>44169</v>
      </c>
      <c r="C21" s="2" t="s">
        <v>599</v>
      </c>
      <c r="D21" t="s">
        <v>6152</v>
      </c>
      <c r="E21" s="2">
        <v>5</v>
      </c>
      <c r="F21" s="2" t="str">
        <f>_xlfn.XLOOKUP(Orders[[#This Row],[Customer ID]],customers!$A$1:$A$1001,customers!$B$1:$B$1001,,0)</f>
        <v>Aurea Corradino</v>
      </c>
      <c r="G21" s="2" t="str">
        <f>IF(_xlfn.XLOOKUP(C21,customers!$A$1:$A$1001,customers!C20:C1020,,0)=0,"",_xlfn.XLOOKUP(C21,customers!$A$1:$A$1001,customers!C20:C1020,,0))</f>
        <v>dde12@unesco.org</v>
      </c>
      <c r="H21" s="2" t="str">
        <f>_xlfn.XLOOKUP(Orders[[#This Row],[Customer ID]],customers!$A$1:$A$1001,customers!$G$1:$G$1001,,0)</f>
        <v>United States</v>
      </c>
      <c r="I21" s="2" t="str">
        <f>_xlfn.XLOOKUP(Orders[[#This Row],[Customer ID]],customers!$A$1:$A$1001,customers!$F$1:$F$1001,,0)</f>
        <v>New York City</v>
      </c>
      <c r="J21" t="str">
        <f>INDEX(products!$A$1:$G$49,MATCH(orders!$D21,products!$A$1:$A$49,0),MATCH(orders!J$1,products!$A$1:$G$1,0))</f>
        <v>Ara</v>
      </c>
      <c r="K21" t="str">
        <f>INDEX(products!$A$1:$G$49,MATCH(orders!$D21,products!$A$1:$A$49,0),MATCH(orders!K$1,products!$A$1:$G$1,0))</f>
        <v>M</v>
      </c>
      <c r="L21" s="4">
        <f>INDEX(products!$A$1:$G$49,MATCH(orders!$D21,products!$A$1:$A$49,0),MATCH(orders!L$1,products!$A$1:$G$1,0))</f>
        <v>0.2</v>
      </c>
      <c r="M21" s="5">
        <f>INDEX(products!$A$1:$G$49,MATCH(orders!$D21,products!$A$1:$A$49,0),MATCH(orders!M$1,products!$A$1:$G$1,0))</f>
        <v>3.375</v>
      </c>
      <c r="N21" s="5">
        <f>Orders[[#This Row],[Quantity]]*(INDEX(products!$A$1:$G$49,MATCH(orders!$D21,products!$A$1:$A$49,0),MATCH(orders!N$1,products!$A$1:$G$1,0)))</f>
        <v>1.5187499999999998</v>
      </c>
      <c r="O21" s="5">
        <f>M21*E21</f>
        <v>16.875</v>
      </c>
      <c r="P21" t="str">
        <f t="shared" si="0"/>
        <v>Arabica</v>
      </c>
      <c r="Q21" t="str">
        <f t="shared" si="1"/>
        <v>Medium</v>
      </c>
      <c r="R21" t="str">
        <f>_xlfn.XLOOKUP(Orders[[#This Row],[Customer ID]],customers!$A$1:$A$1001,customers!$I$1:$I$1001,,0)</f>
        <v>Yes</v>
      </c>
    </row>
    <row r="22" spans="1:18" x14ac:dyDescent="0.35">
      <c r="A22" s="2" t="s">
        <v>598</v>
      </c>
      <c r="B22" s="3">
        <v>44169</v>
      </c>
      <c r="C22" s="2" t="s">
        <v>599</v>
      </c>
      <c r="D22" t="s">
        <v>6153</v>
      </c>
      <c r="E22" s="2">
        <v>4</v>
      </c>
      <c r="F22" s="2" t="str">
        <f>_xlfn.XLOOKUP(Orders[[#This Row],[Customer ID]],customers!$A$1:$A$1001,customers!$B$1:$B$1001,,0)</f>
        <v>Aurea Corradino</v>
      </c>
      <c r="G22" s="2" t="str">
        <f>IF(_xlfn.XLOOKUP(C22,customers!$A$1:$A$1001,customers!C21:C1021,,0)=0,"",_xlfn.XLOOKUP(C22,customers!$A$1:$A$1001,customers!C21:C1021,,0))</f>
        <v/>
      </c>
      <c r="H22" s="2" t="str">
        <f>_xlfn.XLOOKUP(Orders[[#This Row],[Customer ID]],customers!$A$1:$A$1001,customers!$G$1:$G$1001,,0)</f>
        <v>United States</v>
      </c>
      <c r="I22" s="2" t="str">
        <f>_xlfn.XLOOKUP(Orders[[#This Row],[Customer ID]],customers!$A$1:$A$1001,customers!$F$1:$F$1001,,0)</f>
        <v>New York City</v>
      </c>
      <c r="J22" t="str">
        <f>INDEX(products!$A$1:$G$49,MATCH(orders!$D22,products!$A$1:$A$49,0),MATCH(orders!J$1,products!$A$1:$G$1,0))</f>
        <v>Exc</v>
      </c>
      <c r="K22" t="str">
        <f>INDEX(products!$A$1:$G$49,MATCH(orders!$D22,products!$A$1:$A$49,0),MATCH(orders!K$1,products!$A$1:$G$1,0))</f>
        <v>D</v>
      </c>
      <c r="L22" s="4">
        <f>INDEX(products!$A$1:$G$49,MATCH(orders!$D22,products!$A$1:$A$49,0),MATCH(orders!L$1,products!$A$1:$G$1,0))</f>
        <v>0.2</v>
      </c>
      <c r="M22" s="5">
        <f>INDEX(products!$A$1:$G$49,MATCH(orders!$D22,products!$A$1:$A$49,0),MATCH(orders!M$1,products!$A$1:$G$1,0))</f>
        <v>3.645</v>
      </c>
      <c r="N22" s="5">
        <f>Orders[[#This Row],[Quantity]]*(INDEX(products!$A$1:$G$49,MATCH(orders!$D22,products!$A$1:$A$49,0),MATCH(orders!N$1,products!$A$1:$G$1,0)))</f>
        <v>1.6038000000000001</v>
      </c>
      <c r="O22" s="5">
        <f>M22*E22</f>
        <v>14.58</v>
      </c>
      <c r="P22" t="str">
        <f t="shared" si="0"/>
        <v>Excelsa</v>
      </c>
      <c r="Q22" t="str">
        <f t="shared" si="1"/>
        <v>Dark</v>
      </c>
      <c r="R22" t="str">
        <f>_xlfn.XLOOKUP(Orders[[#This Row],[Customer ID]],customers!$A$1:$A$1001,customers!$I$1:$I$1001,,0)</f>
        <v>Yes</v>
      </c>
    </row>
    <row r="23" spans="1:18" x14ac:dyDescent="0.35">
      <c r="A23" s="2" t="s">
        <v>608</v>
      </c>
      <c r="B23" s="3">
        <v>44169</v>
      </c>
      <c r="C23" s="2" t="s">
        <v>609</v>
      </c>
      <c r="D23" t="s">
        <v>6154</v>
      </c>
      <c r="E23" s="2">
        <v>6</v>
      </c>
      <c r="F23" s="2" t="str">
        <f>_xlfn.XLOOKUP(Orders[[#This Row],[Customer ID]],customers!$A$1:$A$1001,customers!$B$1:$B$1001,,0)</f>
        <v>Avrit Davidowsky</v>
      </c>
      <c r="G23" s="2" t="str">
        <f>IF(_xlfn.XLOOKUP(C23,customers!$A$1:$A$1001,customers!C22:C1022,,0)=0,"",_xlfn.XLOOKUP(C23,customers!$A$1:$A$1001,customers!C22:C1022,,0))</f>
        <v>atolworthy16@toplist.cz</v>
      </c>
      <c r="H23" s="2" t="str">
        <f>_xlfn.XLOOKUP(Orders[[#This Row],[Customer ID]],customers!$A$1:$A$1001,customers!$G$1:$G$1001,,0)</f>
        <v>United States</v>
      </c>
      <c r="I23" s="2" t="str">
        <f>_xlfn.XLOOKUP(Orders[[#This Row],[Customer ID]],customers!$A$1:$A$1001,customers!$F$1:$F$1001,,0)</f>
        <v>Grand Rapids</v>
      </c>
      <c r="J23" t="str">
        <f>INDEX(products!$A$1:$G$49,MATCH(orders!$D23,products!$A$1:$A$49,0),MATCH(orders!J$1,products!$A$1:$G$1,0))</f>
        <v>Ara</v>
      </c>
      <c r="K23" t="str">
        <f>INDEX(products!$A$1:$G$49,MATCH(orders!$D23,products!$A$1:$A$49,0),MATCH(orders!K$1,products!$A$1:$G$1,0))</f>
        <v>D</v>
      </c>
      <c r="L23" s="4">
        <f>INDEX(products!$A$1:$G$49,MATCH(orders!$D23,products!$A$1:$A$49,0),MATCH(orders!L$1,products!$A$1:$G$1,0))</f>
        <v>0.2</v>
      </c>
      <c r="M23" s="5">
        <f>INDEX(products!$A$1:$G$49,MATCH(orders!$D23,products!$A$1:$A$49,0),MATCH(orders!M$1,products!$A$1:$G$1,0))</f>
        <v>2.9849999999999999</v>
      </c>
      <c r="N23" s="5">
        <f>Orders[[#This Row],[Quantity]]*(INDEX(products!$A$1:$G$49,MATCH(orders!$D23,products!$A$1:$A$49,0),MATCH(orders!N$1,products!$A$1:$G$1,0)))</f>
        <v>1.6118999999999999</v>
      </c>
      <c r="O23" s="5">
        <f>M23*E23</f>
        <v>17.91</v>
      </c>
      <c r="P23" t="str">
        <f t="shared" si="0"/>
        <v>Arabica</v>
      </c>
      <c r="Q23" t="str">
        <f t="shared" si="1"/>
        <v>Dark</v>
      </c>
      <c r="R23" t="str">
        <f>_xlfn.XLOOKUP(Orders[[#This Row],[Customer ID]],customers!$A$1:$A$1001,customers!$I$1:$I$1001,,0)</f>
        <v>No</v>
      </c>
    </row>
    <row r="24" spans="1:18" x14ac:dyDescent="0.35">
      <c r="A24" s="2" t="s">
        <v>614</v>
      </c>
      <c r="B24" s="3">
        <v>44218</v>
      </c>
      <c r="C24" s="2" t="s">
        <v>615</v>
      </c>
      <c r="D24" t="s">
        <v>6151</v>
      </c>
      <c r="E24" s="2">
        <v>4</v>
      </c>
      <c r="F24" s="2" t="str">
        <f>_xlfn.XLOOKUP(Orders[[#This Row],[Customer ID]],customers!$A$1:$A$1001,customers!$B$1:$B$1001,,0)</f>
        <v>Annabel Antuk</v>
      </c>
      <c r="G24" s="2" t="str">
        <f>IF(_xlfn.XLOOKUP(C24,customers!$A$1:$A$1001,customers!C23:C1023,,0)=0,"",_xlfn.XLOOKUP(C24,customers!$A$1:$A$1001,customers!C23:C1023,,0))</f>
        <v>obaudassi18@seesaa.net</v>
      </c>
      <c r="H24" s="2" t="str">
        <f>_xlfn.XLOOKUP(Orders[[#This Row],[Customer ID]],customers!$A$1:$A$1001,customers!$G$1:$G$1001,,0)</f>
        <v>United States</v>
      </c>
      <c r="I24" s="2" t="str">
        <f>_xlfn.XLOOKUP(Orders[[#This Row],[Customer ID]],customers!$A$1:$A$1001,customers!$F$1:$F$1001,,0)</f>
        <v>Punta Gorda</v>
      </c>
      <c r="J24" t="str">
        <f>INDEX(products!$A$1:$G$49,MATCH(orders!$D24,products!$A$1:$A$49,0),MATCH(orders!J$1,products!$A$1:$G$1,0))</f>
        <v>Rob</v>
      </c>
      <c r="K24" t="str">
        <f>INDEX(products!$A$1:$G$49,MATCH(orders!$D24,products!$A$1:$A$49,0),MATCH(orders!K$1,products!$A$1:$G$1,0))</f>
        <v>M</v>
      </c>
      <c r="L24" s="4">
        <f>INDEX(products!$A$1:$G$49,MATCH(orders!$D24,products!$A$1:$A$49,0),MATCH(orders!L$1,products!$A$1:$G$1,0))</f>
        <v>2.5</v>
      </c>
      <c r="M24" s="5">
        <f>INDEX(products!$A$1:$G$49,MATCH(orders!$D24,products!$A$1:$A$49,0),MATCH(orders!M$1,products!$A$1:$G$1,0))</f>
        <v>22.884999999999998</v>
      </c>
      <c r="N24" s="5">
        <f>Orders[[#This Row],[Quantity]]*(INDEX(products!$A$1:$G$49,MATCH(orders!$D24,products!$A$1:$A$49,0),MATCH(orders!N$1,products!$A$1:$G$1,0)))</f>
        <v>5.4923999999999991</v>
      </c>
      <c r="O24" s="5">
        <f>M24*E24</f>
        <v>91.539999999999992</v>
      </c>
      <c r="P24" t="str">
        <f t="shared" si="0"/>
        <v>Robusta</v>
      </c>
      <c r="Q24" t="str">
        <f t="shared" si="1"/>
        <v>Medium</v>
      </c>
      <c r="R24" t="str">
        <f>_xlfn.XLOOKUP(Orders[[#This Row],[Customer ID]],customers!$A$1:$A$1001,customers!$I$1:$I$1001,,0)</f>
        <v>Yes</v>
      </c>
    </row>
    <row r="25" spans="1:18" x14ac:dyDescent="0.35">
      <c r="A25" s="2" t="s">
        <v>620</v>
      </c>
      <c r="B25" s="3">
        <v>44603</v>
      </c>
      <c r="C25" s="2" t="s">
        <v>621</v>
      </c>
      <c r="D25" t="s">
        <v>6154</v>
      </c>
      <c r="E25" s="2">
        <v>4</v>
      </c>
      <c r="F25" s="2" t="str">
        <f>_xlfn.XLOOKUP(Orders[[#This Row],[Customer ID]],customers!$A$1:$A$1001,customers!$B$1:$B$1001,,0)</f>
        <v>Iorgo Kleinert</v>
      </c>
      <c r="G25" s="2" t="str">
        <f>IF(_xlfn.XLOOKUP(C25,customers!$A$1:$A$1001,customers!C24:C1024,,0)=0,"",_xlfn.XLOOKUP(C25,customers!$A$1:$A$1001,customers!C24:C1024,,0))</f>
        <v/>
      </c>
      <c r="H25" s="2" t="str">
        <f>_xlfn.XLOOKUP(Orders[[#This Row],[Customer ID]],customers!$A$1:$A$1001,customers!$G$1:$G$1001,,0)</f>
        <v>United States</v>
      </c>
      <c r="I25" s="2" t="str">
        <f>_xlfn.XLOOKUP(Orders[[#This Row],[Customer ID]],customers!$A$1:$A$1001,customers!$F$1:$F$1001,,0)</f>
        <v>Vancouver</v>
      </c>
      <c r="J25" t="str">
        <f>INDEX(products!$A$1:$G$49,MATCH(orders!$D25,products!$A$1:$A$49,0),MATCH(orders!J$1,products!$A$1:$G$1,0))</f>
        <v>Ara</v>
      </c>
      <c r="K25" t="str">
        <f>INDEX(products!$A$1:$G$49,MATCH(orders!$D25,products!$A$1:$A$49,0),MATCH(orders!K$1,products!$A$1:$G$1,0))</f>
        <v>D</v>
      </c>
      <c r="L25" s="4">
        <f>INDEX(products!$A$1:$G$49,MATCH(orders!$D25,products!$A$1:$A$49,0),MATCH(orders!L$1,products!$A$1:$G$1,0))</f>
        <v>0.2</v>
      </c>
      <c r="M25" s="5">
        <f>INDEX(products!$A$1:$G$49,MATCH(orders!$D25,products!$A$1:$A$49,0),MATCH(orders!M$1,products!$A$1:$G$1,0))</f>
        <v>2.9849999999999999</v>
      </c>
      <c r="N25" s="5">
        <f>Orders[[#This Row],[Quantity]]*(INDEX(products!$A$1:$G$49,MATCH(orders!$D25,products!$A$1:$A$49,0),MATCH(orders!N$1,products!$A$1:$G$1,0)))</f>
        <v>1.0746</v>
      </c>
      <c r="O25" s="5">
        <f>M25*E25</f>
        <v>11.94</v>
      </c>
      <c r="P25" t="str">
        <f t="shared" si="0"/>
        <v>Arabica</v>
      </c>
      <c r="Q25" t="str">
        <f t="shared" si="1"/>
        <v>Dark</v>
      </c>
      <c r="R25" t="str">
        <f>_xlfn.XLOOKUP(Orders[[#This Row],[Customer ID]],customers!$A$1:$A$1001,customers!$I$1:$I$1001,,0)</f>
        <v>Yes</v>
      </c>
    </row>
    <row r="26" spans="1:18" x14ac:dyDescent="0.35">
      <c r="A26" s="2" t="s">
        <v>626</v>
      </c>
      <c r="B26" s="3">
        <v>44454</v>
      </c>
      <c r="C26" s="2" t="s">
        <v>627</v>
      </c>
      <c r="D26" t="s">
        <v>6155</v>
      </c>
      <c r="E26" s="2">
        <v>1</v>
      </c>
      <c r="F26" s="2" t="str">
        <f>_xlfn.XLOOKUP(Orders[[#This Row],[Customer ID]],customers!$A$1:$A$1001,customers!$B$1:$B$1001,,0)</f>
        <v>Chrisy Blofeld</v>
      </c>
      <c r="G26" s="2" t="str">
        <f>IF(_xlfn.XLOOKUP(C26,customers!$A$1:$A$1001,customers!C25:C1025,,0)=0,"",_xlfn.XLOOKUP(C26,customers!$A$1:$A$1001,customers!C25:C1025,,0))</f>
        <v>rmcgilvary1c@tamu.edu</v>
      </c>
      <c r="H26" s="2" t="str">
        <f>_xlfn.XLOOKUP(Orders[[#This Row],[Customer ID]],customers!$A$1:$A$1001,customers!$G$1:$G$1001,,0)</f>
        <v>United States</v>
      </c>
      <c r="I26" s="2" t="str">
        <f>_xlfn.XLOOKUP(Orders[[#This Row],[Customer ID]],customers!$A$1:$A$1001,customers!$F$1:$F$1001,,0)</f>
        <v>Englewood</v>
      </c>
      <c r="J26" t="str">
        <f>INDEX(products!$A$1:$G$49,MATCH(orders!$D26,products!$A$1:$A$49,0),MATCH(orders!J$1,products!$A$1:$G$1,0))</f>
        <v>Ara</v>
      </c>
      <c r="K26" t="str">
        <f>INDEX(products!$A$1:$G$49,MATCH(orders!$D26,products!$A$1:$A$49,0),MATCH(orders!K$1,products!$A$1:$G$1,0))</f>
        <v>M</v>
      </c>
      <c r="L26" s="4">
        <f>INDEX(products!$A$1:$G$49,MATCH(orders!$D26,products!$A$1:$A$49,0),MATCH(orders!L$1,products!$A$1:$G$1,0))</f>
        <v>1</v>
      </c>
      <c r="M26" s="5">
        <f>INDEX(products!$A$1:$G$49,MATCH(orders!$D26,products!$A$1:$A$49,0),MATCH(orders!M$1,products!$A$1:$G$1,0))</f>
        <v>11.25</v>
      </c>
      <c r="N26" s="5">
        <f>Orders[[#This Row],[Quantity]]*(INDEX(products!$A$1:$G$49,MATCH(orders!$D26,products!$A$1:$A$49,0),MATCH(orders!N$1,products!$A$1:$G$1,0)))</f>
        <v>1.0125</v>
      </c>
      <c r="O26" s="5">
        <f>M26*E26</f>
        <v>11.25</v>
      </c>
      <c r="P26" t="str">
        <f t="shared" si="0"/>
        <v>Arabica</v>
      </c>
      <c r="Q26" t="str">
        <f t="shared" si="1"/>
        <v>Medium</v>
      </c>
      <c r="R26" t="str">
        <f>_xlfn.XLOOKUP(Orders[[#This Row],[Customer ID]],customers!$A$1:$A$1001,customers!$I$1:$I$1001,,0)</f>
        <v>No</v>
      </c>
    </row>
    <row r="27" spans="1:18" x14ac:dyDescent="0.35">
      <c r="A27" s="2" t="s">
        <v>632</v>
      </c>
      <c r="B27" s="3">
        <v>44128</v>
      </c>
      <c r="C27" s="2" t="s">
        <v>633</v>
      </c>
      <c r="D27" t="s">
        <v>6156</v>
      </c>
      <c r="E27" s="2">
        <v>3</v>
      </c>
      <c r="F27" s="2" t="str">
        <f>_xlfn.XLOOKUP(Orders[[#This Row],[Customer ID]],customers!$A$1:$A$1001,customers!$B$1:$B$1001,,0)</f>
        <v>Culley Farris</v>
      </c>
      <c r="G27" s="2" t="str">
        <f>IF(_xlfn.XLOOKUP(C27,customers!$A$1:$A$1001,customers!C26:C1026,,0)=0,"",_xlfn.XLOOKUP(C27,customers!$A$1:$A$1001,customers!C26:C1026,,0))</f>
        <v>ibouldon1e@gizmodo.com</v>
      </c>
      <c r="H27" s="2" t="str">
        <f>_xlfn.XLOOKUP(Orders[[#This Row],[Customer ID]],customers!$A$1:$A$1001,customers!$G$1:$G$1001,,0)</f>
        <v>United States</v>
      </c>
      <c r="I27" s="2" t="str">
        <f>_xlfn.XLOOKUP(Orders[[#This Row],[Customer ID]],customers!$A$1:$A$1001,customers!$F$1:$F$1001,,0)</f>
        <v>Punta Gorda</v>
      </c>
      <c r="J27" t="str">
        <f>INDEX(products!$A$1:$G$49,MATCH(orders!$D27,products!$A$1:$A$49,0),MATCH(orders!J$1,products!$A$1:$G$1,0))</f>
        <v>Exc</v>
      </c>
      <c r="K27" t="str">
        <f>INDEX(products!$A$1:$G$49,MATCH(orders!$D27,products!$A$1:$A$49,0),MATCH(orders!K$1,products!$A$1:$G$1,0))</f>
        <v>M</v>
      </c>
      <c r="L27" s="4">
        <f>INDEX(products!$A$1:$G$49,MATCH(orders!$D27,products!$A$1:$A$49,0),MATCH(orders!L$1,products!$A$1:$G$1,0))</f>
        <v>0.2</v>
      </c>
      <c r="M27" s="5">
        <f>INDEX(products!$A$1:$G$49,MATCH(orders!$D27,products!$A$1:$A$49,0),MATCH(orders!M$1,products!$A$1:$G$1,0))</f>
        <v>4.125</v>
      </c>
      <c r="N27" s="5">
        <f>Orders[[#This Row],[Quantity]]*(INDEX(products!$A$1:$G$49,MATCH(orders!$D27,products!$A$1:$A$49,0),MATCH(orders!N$1,products!$A$1:$G$1,0)))</f>
        <v>1.3612500000000001</v>
      </c>
      <c r="O27" s="5">
        <f>M27*E27</f>
        <v>12.375</v>
      </c>
      <c r="P27" t="str">
        <f t="shared" si="0"/>
        <v>Excelsa</v>
      </c>
      <c r="Q27" t="str">
        <f t="shared" si="1"/>
        <v>Medium</v>
      </c>
      <c r="R27" t="str">
        <f>_xlfn.XLOOKUP(Orders[[#This Row],[Customer ID]],customers!$A$1:$A$1001,customers!$I$1:$I$1001,,0)</f>
        <v>Yes</v>
      </c>
    </row>
    <row r="28" spans="1:18" x14ac:dyDescent="0.35">
      <c r="A28" s="2" t="s">
        <v>637</v>
      </c>
      <c r="B28" s="3">
        <v>43516</v>
      </c>
      <c r="C28" s="2" t="s">
        <v>638</v>
      </c>
      <c r="D28" t="s">
        <v>6157</v>
      </c>
      <c r="E28" s="2">
        <v>4</v>
      </c>
      <c r="F28" s="2" t="str">
        <f>_xlfn.XLOOKUP(Orders[[#This Row],[Customer ID]],customers!$A$1:$A$1001,customers!$B$1:$B$1001,,0)</f>
        <v>Selene Shales</v>
      </c>
      <c r="G28" s="2" t="str">
        <f>IF(_xlfn.XLOOKUP(C28,customers!$A$1:$A$1001,customers!C27:C1027,,0)=0,"",_xlfn.XLOOKUP(C28,customers!$A$1:$A$1001,customers!C27:C1027,,0))</f>
        <v>hmattioli1g@webmd.com</v>
      </c>
      <c r="H28" s="2" t="str">
        <f>_xlfn.XLOOKUP(Orders[[#This Row],[Customer ID]],customers!$A$1:$A$1001,customers!$G$1:$G$1001,,0)</f>
        <v>United States</v>
      </c>
      <c r="I28" s="2" t="str">
        <f>_xlfn.XLOOKUP(Orders[[#This Row],[Customer ID]],customers!$A$1:$A$1001,customers!$F$1:$F$1001,,0)</f>
        <v>Petaluma</v>
      </c>
      <c r="J28" t="str">
        <f>INDEX(products!$A$1:$G$49,MATCH(orders!$D28,products!$A$1:$A$49,0),MATCH(orders!J$1,products!$A$1:$G$1,0))</f>
        <v>Ara</v>
      </c>
      <c r="K28" t="str">
        <f>INDEX(products!$A$1:$G$49,MATCH(orders!$D28,products!$A$1:$A$49,0),MATCH(orders!K$1,products!$A$1:$G$1,0))</f>
        <v>M</v>
      </c>
      <c r="L28" s="4">
        <f>INDEX(products!$A$1:$G$49,MATCH(orders!$D28,products!$A$1:$A$49,0),MATCH(orders!L$1,products!$A$1:$G$1,0))</f>
        <v>0.5</v>
      </c>
      <c r="M28" s="5">
        <f>INDEX(products!$A$1:$G$49,MATCH(orders!$D28,products!$A$1:$A$49,0),MATCH(orders!M$1,products!$A$1:$G$1,0))</f>
        <v>6.75</v>
      </c>
      <c r="N28" s="5">
        <f>Orders[[#This Row],[Quantity]]*(INDEX(products!$A$1:$G$49,MATCH(orders!$D28,products!$A$1:$A$49,0),MATCH(orders!N$1,products!$A$1:$G$1,0)))</f>
        <v>2.4299999999999997</v>
      </c>
      <c r="O28" s="5">
        <f>M28*E28</f>
        <v>27</v>
      </c>
      <c r="P28" t="str">
        <f t="shared" si="0"/>
        <v>Arabica</v>
      </c>
      <c r="Q28" t="str">
        <f t="shared" si="1"/>
        <v>Medium</v>
      </c>
      <c r="R28" t="str">
        <f>_xlfn.XLOOKUP(Orders[[#This Row],[Customer ID]],customers!$A$1:$A$1001,customers!$I$1:$I$1001,,0)</f>
        <v>Yes</v>
      </c>
    </row>
    <row r="29" spans="1:18" x14ac:dyDescent="0.35">
      <c r="A29" s="2" t="s">
        <v>643</v>
      </c>
      <c r="B29" s="3">
        <v>43746</v>
      </c>
      <c r="C29" s="2" t="s">
        <v>644</v>
      </c>
      <c r="D29" t="s">
        <v>6152</v>
      </c>
      <c r="E29" s="2">
        <v>5</v>
      </c>
      <c r="F29" s="2" t="str">
        <f>_xlfn.XLOOKUP(Orders[[#This Row],[Customer ID]],customers!$A$1:$A$1001,customers!$B$1:$B$1001,,0)</f>
        <v>Vivie Danneil</v>
      </c>
      <c r="G29" s="2" t="str">
        <f>IF(_xlfn.XLOOKUP(C29,customers!$A$1:$A$1001,customers!C28:C1028,,0)=0,"",_xlfn.XLOOKUP(C29,customers!$A$1:$A$1001,customers!C28:C1028,,0))</f>
        <v>agillard1i@issuu.com</v>
      </c>
      <c r="H29" s="2" t="str">
        <f>_xlfn.XLOOKUP(Orders[[#This Row],[Customer ID]],customers!$A$1:$A$1001,customers!$G$1:$G$1001,,0)</f>
        <v>Ireland</v>
      </c>
      <c r="I29" s="2" t="str">
        <f>_xlfn.XLOOKUP(Orders[[#This Row],[Customer ID]],customers!$A$1:$A$1001,customers!$F$1:$F$1001,,0)</f>
        <v>Tralee</v>
      </c>
      <c r="J29" t="str">
        <f>INDEX(products!$A$1:$G$49,MATCH(orders!$D29,products!$A$1:$A$49,0),MATCH(orders!J$1,products!$A$1:$G$1,0))</f>
        <v>Ara</v>
      </c>
      <c r="K29" t="str">
        <f>INDEX(products!$A$1:$G$49,MATCH(orders!$D29,products!$A$1:$A$49,0),MATCH(orders!K$1,products!$A$1:$G$1,0))</f>
        <v>M</v>
      </c>
      <c r="L29" s="4">
        <f>INDEX(products!$A$1:$G$49,MATCH(orders!$D29,products!$A$1:$A$49,0),MATCH(orders!L$1,products!$A$1:$G$1,0))</f>
        <v>0.2</v>
      </c>
      <c r="M29" s="5">
        <f>INDEX(products!$A$1:$G$49,MATCH(orders!$D29,products!$A$1:$A$49,0),MATCH(orders!M$1,products!$A$1:$G$1,0))</f>
        <v>3.375</v>
      </c>
      <c r="N29" s="5">
        <f>Orders[[#This Row],[Quantity]]*(INDEX(products!$A$1:$G$49,MATCH(orders!$D29,products!$A$1:$A$49,0),MATCH(orders!N$1,products!$A$1:$G$1,0)))</f>
        <v>1.5187499999999998</v>
      </c>
      <c r="O29" s="5">
        <f>M29*E29</f>
        <v>16.875</v>
      </c>
      <c r="P29" t="str">
        <f t="shared" si="0"/>
        <v>Arabica</v>
      </c>
      <c r="Q29" t="str">
        <f t="shared" si="1"/>
        <v>Medium</v>
      </c>
      <c r="R29" t="str">
        <f>_xlfn.XLOOKUP(Orders[[#This Row],[Customer ID]],customers!$A$1:$A$1001,customers!$I$1:$I$1001,,0)</f>
        <v>No</v>
      </c>
    </row>
    <row r="30" spans="1:18" x14ac:dyDescent="0.35">
      <c r="A30" s="2" t="s">
        <v>649</v>
      </c>
      <c r="B30" s="3">
        <v>44775</v>
      </c>
      <c r="C30" s="2" t="s">
        <v>650</v>
      </c>
      <c r="D30" t="s">
        <v>6158</v>
      </c>
      <c r="E30" s="2">
        <v>3</v>
      </c>
      <c r="F30" s="2" t="str">
        <f>_xlfn.XLOOKUP(Orders[[#This Row],[Customer ID]],customers!$A$1:$A$1001,customers!$B$1:$B$1001,,0)</f>
        <v>Theresita Newbury</v>
      </c>
      <c r="G30" s="2" t="str">
        <f>IF(_xlfn.XLOOKUP(C30,customers!$A$1:$A$1001,customers!C29:C1029,,0)=0,"",_xlfn.XLOOKUP(C30,customers!$A$1:$A$1001,customers!C29:C1029,,0))</f>
        <v>tgrizard1k@odnoklassniki.ru</v>
      </c>
      <c r="H30" s="2" t="str">
        <f>_xlfn.XLOOKUP(Orders[[#This Row],[Customer ID]],customers!$A$1:$A$1001,customers!$G$1:$G$1001,,0)</f>
        <v>Ireland</v>
      </c>
      <c r="I30" s="2" t="str">
        <f>_xlfn.XLOOKUP(Orders[[#This Row],[Customer ID]],customers!$A$1:$A$1001,customers!$F$1:$F$1001,,0)</f>
        <v>Clonskeagh</v>
      </c>
      <c r="J30" t="str">
        <f>INDEX(products!$A$1:$G$49,MATCH(orders!$D30,products!$A$1:$A$49,0),MATCH(orders!J$1,products!$A$1:$G$1,0))</f>
        <v>Ara</v>
      </c>
      <c r="K30" t="str">
        <f>INDEX(products!$A$1:$G$49,MATCH(orders!$D30,products!$A$1:$A$49,0),MATCH(orders!K$1,products!$A$1:$G$1,0))</f>
        <v>D</v>
      </c>
      <c r="L30" s="4">
        <f>INDEX(products!$A$1:$G$49,MATCH(orders!$D30,products!$A$1:$A$49,0),MATCH(orders!L$1,products!$A$1:$G$1,0))</f>
        <v>0.5</v>
      </c>
      <c r="M30" s="5">
        <f>INDEX(products!$A$1:$G$49,MATCH(orders!$D30,products!$A$1:$A$49,0),MATCH(orders!M$1,products!$A$1:$G$1,0))</f>
        <v>5.97</v>
      </c>
      <c r="N30" s="5">
        <f>Orders[[#This Row],[Quantity]]*(INDEX(products!$A$1:$G$49,MATCH(orders!$D30,products!$A$1:$A$49,0),MATCH(orders!N$1,products!$A$1:$G$1,0)))</f>
        <v>1.6118999999999999</v>
      </c>
      <c r="O30" s="5">
        <f>M30*E30</f>
        <v>17.91</v>
      </c>
      <c r="P30" t="str">
        <f t="shared" si="0"/>
        <v>Arabica</v>
      </c>
      <c r="Q30" t="str">
        <f t="shared" si="1"/>
        <v>Dark</v>
      </c>
      <c r="R30" t="str">
        <f>_xlfn.XLOOKUP(Orders[[#This Row],[Customer ID]],customers!$A$1:$A$1001,customers!$I$1:$I$1001,,0)</f>
        <v>No</v>
      </c>
    </row>
    <row r="31" spans="1:18" x14ac:dyDescent="0.35">
      <c r="A31" s="2" t="s">
        <v>655</v>
      </c>
      <c r="B31" s="3">
        <v>43516</v>
      </c>
      <c r="C31" s="2" t="s">
        <v>656</v>
      </c>
      <c r="D31" t="s">
        <v>6147</v>
      </c>
      <c r="E31" s="2">
        <v>4</v>
      </c>
      <c r="F31" s="2" t="str">
        <f>_xlfn.XLOOKUP(Orders[[#This Row],[Customer ID]],customers!$A$1:$A$1001,customers!$B$1:$B$1001,,0)</f>
        <v>Mozelle Calcutt</v>
      </c>
      <c r="G31" s="2" t="str">
        <f>IF(_xlfn.XLOOKUP(C31,customers!$A$1:$A$1001,customers!C30:C1030,,0)=0,"",_xlfn.XLOOKUP(C31,customers!$A$1:$A$1001,customers!C30:C1030,,0))</f>
        <v/>
      </c>
      <c r="H31" s="2" t="str">
        <f>_xlfn.XLOOKUP(Orders[[#This Row],[Customer ID]],customers!$A$1:$A$1001,customers!$G$1:$G$1001,,0)</f>
        <v>Ireland</v>
      </c>
      <c r="I31" s="2" t="str">
        <f>_xlfn.XLOOKUP(Orders[[#This Row],[Customer ID]],customers!$A$1:$A$1001,customers!$F$1:$F$1001,,0)</f>
        <v>Rathwire</v>
      </c>
      <c r="J31" t="str">
        <f>INDEX(products!$A$1:$G$49,MATCH(orders!$D31,products!$A$1:$A$49,0),MATCH(orders!J$1,products!$A$1:$G$1,0))</f>
        <v>Ara</v>
      </c>
      <c r="K31" t="str">
        <f>INDEX(products!$A$1:$G$49,MATCH(orders!$D31,products!$A$1:$A$49,0),MATCH(orders!K$1,products!$A$1:$G$1,0))</f>
        <v>D</v>
      </c>
      <c r="L31" s="4">
        <f>INDEX(products!$A$1:$G$49,MATCH(orders!$D31,products!$A$1:$A$49,0),MATCH(orders!L$1,products!$A$1:$G$1,0))</f>
        <v>1</v>
      </c>
      <c r="M31" s="5">
        <f>INDEX(products!$A$1:$G$49,MATCH(orders!$D31,products!$A$1:$A$49,0),MATCH(orders!M$1,products!$A$1:$G$1,0))</f>
        <v>9.9499999999999993</v>
      </c>
      <c r="N31" s="5">
        <f>Orders[[#This Row],[Quantity]]*(INDEX(products!$A$1:$G$49,MATCH(orders!$D31,products!$A$1:$A$49,0),MATCH(orders!N$1,products!$A$1:$G$1,0)))</f>
        <v>3.5819999999999994</v>
      </c>
      <c r="O31" s="5">
        <f>M31*E31</f>
        <v>39.799999999999997</v>
      </c>
      <c r="P31" t="str">
        <f t="shared" si="0"/>
        <v>Arabica</v>
      </c>
      <c r="Q31" t="str">
        <f t="shared" si="1"/>
        <v>Dark</v>
      </c>
      <c r="R31" t="str">
        <f>_xlfn.XLOOKUP(Orders[[#This Row],[Customer ID]],customers!$A$1:$A$1001,customers!$I$1:$I$1001,,0)</f>
        <v>Yes</v>
      </c>
    </row>
    <row r="32" spans="1:18" x14ac:dyDescent="0.35">
      <c r="A32" s="2" t="s">
        <v>661</v>
      </c>
      <c r="B32" s="3">
        <v>44464</v>
      </c>
      <c r="C32" s="2" t="s">
        <v>662</v>
      </c>
      <c r="D32" t="s">
        <v>6159</v>
      </c>
      <c r="E32" s="2">
        <v>5</v>
      </c>
      <c r="F32" s="2" t="str">
        <f>_xlfn.XLOOKUP(Orders[[#This Row],[Customer ID]],customers!$A$1:$A$1001,customers!$B$1:$B$1001,,0)</f>
        <v>Adrian Swaine</v>
      </c>
      <c r="G32" s="2" t="str">
        <f>IF(_xlfn.XLOOKUP(C32,customers!$A$1:$A$1001,customers!C31:C1031,,0)=0,"",_xlfn.XLOOKUP(C32,customers!$A$1:$A$1001,customers!C31:C1031,,0))</f>
        <v>ccottingham1o@wikipedia.org</v>
      </c>
      <c r="H32" s="2" t="str">
        <f>_xlfn.XLOOKUP(Orders[[#This Row],[Customer ID]],customers!$A$1:$A$1001,customers!$G$1:$G$1001,,0)</f>
        <v>United States</v>
      </c>
      <c r="I32" s="2" t="str">
        <f>_xlfn.XLOOKUP(Orders[[#This Row],[Customer ID]],customers!$A$1:$A$1001,customers!$F$1:$F$1001,,0)</f>
        <v>Aurora</v>
      </c>
      <c r="J32" t="str">
        <f>INDEX(products!$A$1:$G$49,MATCH(orders!$D32,products!$A$1:$A$49,0),MATCH(orders!J$1,products!$A$1:$G$1,0))</f>
        <v>Lib</v>
      </c>
      <c r="K32" t="str">
        <f>INDEX(products!$A$1:$G$49,MATCH(orders!$D32,products!$A$1:$A$49,0),MATCH(orders!K$1,products!$A$1:$G$1,0))</f>
        <v>M</v>
      </c>
      <c r="L32" s="4">
        <f>INDEX(products!$A$1:$G$49,MATCH(orders!$D32,products!$A$1:$A$49,0),MATCH(orders!L$1,products!$A$1:$G$1,0))</f>
        <v>0.2</v>
      </c>
      <c r="M32" s="5">
        <f>INDEX(products!$A$1:$G$49,MATCH(orders!$D32,products!$A$1:$A$49,0),MATCH(orders!M$1,products!$A$1:$G$1,0))</f>
        <v>4.3650000000000002</v>
      </c>
      <c r="N32" s="5">
        <f>Orders[[#This Row],[Quantity]]*(INDEX(products!$A$1:$G$49,MATCH(orders!$D32,products!$A$1:$A$49,0),MATCH(orders!N$1,products!$A$1:$G$1,0)))</f>
        <v>2.83725</v>
      </c>
      <c r="O32" s="5">
        <f>M32*E32</f>
        <v>21.825000000000003</v>
      </c>
      <c r="P32" t="str">
        <f t="shared" si="0"/>
        <v>Liberica</v>
      </c>
      <c r="Q32" t="str">
        <f t="shared" si="1"/>
        <v>Medium</v>
      </c>
      <c r="R32" t="str">
        <f>_xlfn.XLOOKUP(Orders[[#This Row],[Customer ID]],customers!$A$1:$A$1001,customers!$I$1:$I$1001,,0)</f>
        <v>No</v>
      </c>
    </row>
    <row r="33" spans="1:18" x14ac:dyDescent="0.35">
      <c r="A33" s="2" t="s">
        <v>661</v>
      </c>
      <c r="B33" s="3">
        <v>44464</v>
      </c>
      <c r="C33" s="2" t="s">
        <v>662</v>
      </c>
      <c r="D33" t="s">
        <v>6158</v>
      </c>
      <c r="E33" s="2">
        <v>6</v>
      </c>
      <c r="F33" s="2" t="str">
        <f>_xlfn.XLOOKUP(Orders[[#This Row],[Customer ID]],customers!$A$1:$A$1001,customers!$B$1:$B$1001,,0)</f>
        <v>Adrian Swaine</v>
      </c>
      <c r="G33" s="2" t="str">
        <f>IF(_xlfn.XLOOKUP(C33,customers!$A$1:$A$1001,customers!C32:C1032,,0)=0,"",_xlfn.XLOOKUP(C33,customers!$A$1:$A$1001,customers!C32:C1032,,0))</f>
        <v/>
      </c>
      <c r="H33" s="2" t="str">
        <f>_xlfn.XLOOKUP(Orders[[#This Row],[Customer ID]],customers!$A$1:$A$1001,customers!$G$1:$G$1001,,0)</f>
        <v>United States</v>
      </c>
      <c r="I33" s="2" t="str">
        <f>_xlfn.XLOOKUP(Orders[[#This Row],[Customer ID]],customers!$A$1:$A$1001,customers!$F$1:$F$1001,,0)</f>
        <v>Aurora</v>
      </c>
      <c r="J33" t="str">
        <f>INDEX(products!$A$1:$G$49,MATCH(orders!$D33,products!$A$1:$A$49,0),MATCH(orders!J$1,products!$A$1:$G$1,0))</f>
        <v>Ara</v>
      </c>
      <c r="K33" t="str">
        <f>INDEX(products!$A$1:$G$49,MATCH(orders!$D33,products!$A$1:$A$49,0),MATCH(orders!K$1,products!$A$1:$G$1,0))</f>
        <v>D</v>
      </c>
      <c r="L33" s="4">
        <f>INDEX(products!$A$1:$G$49,MATCH(orders!$D33,products!$A$1:$A$49,0),MATCH(orders!L$1,products!$A$1:$G$1,0))</f>
        <v>0.5</v>
      </c>
      <c r="M33" s="5">
        <f>INDEX(products!$A$1:$G$49,MATCH(orders!$D33,products!$A$1:$A$49,0),MATCH(orders!M$1,products!$A$1:$G$1,0))</f>
        <v>5.97</v>
      </c>
      <c r="N33" s="5">
        <f>Orders[[#This Row],[Quantity]]*(INDEX(products!$A$1:$G$49,MATCH(orders!$D33,products!$A$1:$A$49,0),MATCH(orders!N$1,products!$A$1:$G$1,0)))</f>
        <v>3.2237999999999998</v>
      </c>
      <c r="O33" s="5">
        <f>M33*E33</f>
        <v>35.82</v>
      </c>
      <c r="P33" t="str">
        <f t="shared" si="0"/>
        <v>Arabica</v>
      </c>
      <c r="Q33" t="str">
        <f t="shared" si="1"/>
        <v>Dark</v>
      </c>
      <c r="R33" t="str">
        <f>_xlfn.XLOOKUP(Orders[[#This Row],[Customer ID]],customers!$A$1:$A$1001,customers!$I$1:$I$1001,,0)</f>
        <v>No</v>
      </c>
    </row>
    <row r="34" spans="1:18" x14ac:dyDescent="0.35">
      <c r="A34" s="2" t="s">
        <v>661</v>
      </c>
      <c r="B34" s="3">
        <v>44464</v>
      </c>
      <c r="C34" s="2" t="s">
        <v>662</v>
      </c>
      <c r="D34" t="s">
        <v>6160</v>
      </c>
      <c r="E34" s="2">
        <v>6</v>
      </c>
      <c r="F34" s="2" t="str">
        <f>_xlfn.XLOOKUP(Orders[[#This Row],[Customer ID]],customers!$A$1:$A$1001,customers!$B$1:$B$1001,,0)</f>
        <v>Adrian Swaine</v>
      </c>
      <c r="G34" s="2" t="str">
        <f>IF(_xlfn.XLOOKUP(C34,customers!$A$1:$A$1001,customers!C33:C1033,,0)=0,"",_xlfn.XLOOKUP(C34,customers!$A$1:$A$1001,customers!C33:C1033,,0))</f>
        <v/>
      </c>
      <c r="H34" s="2" t="str">
        <f>_xlfn.XLOOKUP(Orders[[#This Row],[Customer ID]],customers!$A$1:$A$1001,customers!$G$1:$G$1001,,0)</f>
        <v>United States</v>
      </c>
      <c r="I34" s="2" t="str">
        <f>_xlfn.XLOOKUP(Orders[[#This Row],[Customer ID]],customers!$A$1:$A$1001,customers!$F$1:$F$1001,,0)</f>
        <v>Aurora</v>
      </c>
      <c r="J34" t="str">
        <f>INDEX(products!$A$1:$G$49,MATCH(orders!$D34,products!$A$1:$A$49,0),MATCH(orders!J$1,products!$A$1:$G$1,0))</f>
        <v>Lib</v>
      </c>
      <c r="K34" t="str">
        <f>INDEX(products!$A$1:$G$49,MATCH(orders!$D34,products!$A$1:$A$49,0),MATCH(orders!K$1,products!$A$1:$G$1,0))</f>
        <v>M</v>
      </c>
      <c r="L34" s="4">
        <f>INDEX(products!$A$1:$G$49,MATCH(orders!$D34,products!$A$1:$A$49,0),MATCH(orders!L$1,products!$A$1:$G$1,0))</f>
        <v>0.5</v>
      </c>
      <c r="M34" s="5">
        <f>INDEX(products!$A$1:$G$49,MATCH(orders!$D34,products!$A$1:$A$49,0),MATCH(orders!M$1,products!$A$1:$G$1,0))</f>
        <v>8.73</v>
      </c>
      <c r="N34" s="5">
        <f>Orders[[#This Row],[Quantity]]*(INDEX(products!$A$1:$G$49,MATCH(orders!$D34,products!$A$1:$A$49,0),MATCH(orders!N$1,products!$A$1:$G$1,0)))</f>
        <v>6.8094000000000001</v>
      </c>
      <c r="O34" s="5">
        <f>M34*E34</f>
        <v>52.38</v>
      </c>
      <c r="P34" t="str">
        <f t="shared" si="0"/>
        <v>Liberica</v>
      </c>
      <c r="Q34" t="str">
        <f t="shared" si="1"/>
        <v>Medium</v>
      </c>
      <c r="R34" t="str">
        <f>_xlfn.XLOOKUP(Orders[[#This Row],[Customer ID]],customers!$A$1:$A$1001,customers!$I$1:$I$1001,,0)</f>
        <v>No</v>
      </c>
    </row>
    <row r="35" spans="1:18" x14ac:dyDescent="0.35">
      <c r="A35" s="2" t="s">
        <v>676</v>
      </c>
      <c r="B35" s="3">
        <v>44394</v>
      </c>
      <c r="C35" s="2" t="s">
        <v>677</v>
      </c>
      <c r="D35" t="s">
        <v>6145</v>
      </c>
      <c r="E35" s="2">
        <v>5</v>
      </c>
      <c r="F35" s="2" t="str">
        <f>_xlfn.XLOOKUP(Orders[[#This Row],[Customer ID]],customers!$A$1:$A$1001,customers!$B$1:$B$1001,,0)</f>
        <v>Gallard Gatheral</v>
      </c>
      <c r="G35" s="2" t="str">
        <f>IF(_xlfn.XLOOKUP(C35,customers!$A$1:$A$1001,customers!C34:C1034,,0)=0,"",_xlfn.XLOOKUP(C35,customers!$A$1:$A$1001,customers!C34:C1034,,0))</f>
        <v>bumpleby1u@soundcloud.com</v>
      </c>
      <c r="H35" s="2" t="str">
        <f>_xlfn.XLOOKUP(Orders[[#This Row],[Customer ID]],customers!$A$1:$A$1001,customers!$G$1:$G$1001,,0)</f>
        <v>United States</v>
      </c>
      <c r="I35" s="2" t="str">
        <f>_xlfn.XLOOKUP(Orders[[#This Row],[Customer ID]],customers!$A$1:$A$1001,customers!$F$1:$F$1001,,0)</f>
        <v>Grand Forks</v>
      </c>
      <c r="J35" t="str">
        <f>INDEX(products!$A$1:$G$49,MATCH(orders!$D35,products!$A$1:$A$49,0),MATCH(orders!J$1,products!$A$1:$G$1,0))</f>
        <v>Lib</v>
      </c>
      <c r="K35" t="str">
        <f>INDEX(products!$A$1:$G$49,MATCH(orders!$D35,products!$A$1:$A$49,0),MATCH(orders!K$1,products!$A$1:$G$1,0))</f>
        <v>L</v>
      </c>
      <c r="L35" s="4">
        <f>INDEX(products!$A$1:$G$49,MATCH(orders!$D35,products!$A$1:$A$49,0),MATCH(orders!L$1,products!$A$1:$G$1,0))</f>
        <v>0.2</v>
      </c>
      <c r="M35" s="5">
        <f>INDEX(products!$A$1:$G$49,MATCH(orders!$D35,products!$A$1:$A$49,0),MATCH(orders!M$1,products!$A$1:$G$1,0))</f>
        <v>4.7549999999999999</v>
      </c>
      <c r="N35" s="5">
        <f>Orders[[#This Row],[Quantity]]*(INDEX(products!$A$1:$G$49,MATCH(orders!$D35,products!$A$1:$A$49,0),MATCH(orders!N$1,products!$A$1:$G$1,0)))</f>
        <v>3.0907499999999999</v>
      </c>
      <c r="O35" s="5">
        <f>M35*E35</f>
        <v>23.774999999999999</v>
      </c>
      <c r="P35" t="str">
        <f t="shared" si="0"/>
        <v>Liberica</v>
      </c>
      <c r="Q35" t="str">
        <f t="shared" si="1"/>
        <v>Light</v>
      </c>
      <c r="R35" t="str">
        <f>_xlfn.XLOOKUP(Orders[[#This Row],[Customer ID]],customers!$A$1:$A$1001,customers!$I$1:$I$1001,,0)</f>
        <v>No</v>
      </c>
    </row>
    <row r="36" spans="1:18" x14ac:dyDescent="0.35">
      <c r="A36" s="2" t="s">
        <v>681</v>
      </c>
      <c r="B36" s="3">
        <v>44011</v>
      </c>
      <c r="C36" s="2" t="s">
        <v>682</v>
      </c>
      <c r="D36" t="s">
        <v>6161</v>
      </c>
      <c r="E36" s="2">
        <v>6</v>
      </c>
      <c r="F36" s="2" t="str">
        <f>_xlfn.XLOOKUP(Orders[[#This Row],[Customer ID]],customers!$A$1:$A$1001,customers!$B$1:$B$1001,,0)</f>
        <v>Una Welberry</v>
      </c>
      <c r="G36" s="2" t="str">
        <f>IF(_xlfn.XLOOKUP(C36,customers!$A$1:$A$1001,customers!C35:C1035,,0)=0,"",_xlfn.XLOOKUP(C36,customers!$A$1:$A$1001,customers!C35:C1035,,0))</f>
        <v>hgoulter1w@abc.net.au</v>
      </c>
      <c r="H36" s="2" t="str">
        <f>_xlfn.XLOOKUP(Orders[[#This Row],[Customer ID]],customers!$A$1:$A$1001,customers!$G$1:$G$1001,,0)</f>
        <v>United Kingdom</v>
      </c>
      <c r="I36" s="2" t="str">
        <f>_xlfn.XLOOKUP(Orders[[#This Row],[Customer ID]],customers!$A$1:$A$1001,customers!$F$1:$F$1001,,0)</f>
        <v>Upton</v>
      </c>
      <c r="J36" t="str">
        <f>INDEX(products!$A$1:$G$49,MATCH(orders!$D36,products!$A$1:$A$49,0),MATCH(orders!J$1,products!$A$1:$G$1,0))</f>
        <v>Lib</v>
      </c>
      <c r="K36" t="str">
        <f>INDEX(products!$A$1:$G$49,MATCH(orders!$D36,products!$A$1:$A$49,0),MATCH(orders!K$1,products!$A$1:$G$1,0))</f>
        <v>L</v>
      </c>
      <c r="L36" s="4">
        <f>INDEX(products!$A$1:$G$49,MATCH(orders!$D36,products!$A$1:$A$49,0),MATCH(orders!L$1,products!$A$1:$G$1,0))</f>
        <v>0.5</v>
      </c>
      <c r="M36" s="5">
        <f>INDEX(products!$A$1:$G$49,MATCH(orders!$D36,products!$A$1:$A$49,0),MATCH(orders!M$1,products!$A$1:$G$1,0))</f>
        <v>9.51</v>
      </c>
      <c r="N36" s="5">
        <f>Orders[[#This Row],[Quantity]]*(INDEX(products!$A$1:$G$49,MATCH(orders!$D36,products!$A$1:$A$49,0),MATCH(orders!N$1,products!$A$1:$G$1,0)))</f>
        <v>7.4177999999999997</v>
      </c>
      <c r="O36" s="5">
        <f>M36*E36</f>
        <v>57.06</v>
      </c>
      <c r="P36" t="str">
        <f t="shared" si="0"/>
        <v>Liberica</v>
      </c>
      <c r="Q36" t="str">
        <f t="shared" si="1"/>
        <v>Light</v>
      </c>
      <c r="R36" t="str">
        <f>_xlfn.XLOOKUP(Orders[[#This Row],[Customer ID]],customers!$A$1:$A$1001,customers!$I$1:$I$1001,,0)</f>
        <v>Yes</v>
      </c>
    </row>
    <row r="37" spans="1:18" x14ac:dyDescent="0.35">
      <c r="A37" s="2" t="s">
        <v>687</v>
      </c>
      <c r="B37" s="3">
        <v>44348</v>
      </c>
      <c r="C37" s="2" t="s">
        <v>688</v>
      </c>
      <c r="D37" t="s">
        <v>6158</v>
      </c>
      <c r="E37" s="2">
        <v>6</v>
      </c>
      <c r="F37" s="2" t="str">
        <f>_xlfn.XLOOKUP(Orders[[#This Row],[Customer ID]],customers!$A$1:$A$1001,customers!$B$1:$B$1001,,0)</f>
        <v>Faber Eilhart</v>
      </c>
      <c r="G37" s="2" t="str">
        <f>IF(_xlfn.XLOOKUP(C37,customers!$A$1:$A$1001,customers!C36:C1036,,0)=0,"",_xlfn.XLOOKUP(C37,customers!$A$1:$A$1001,customers!C36:C1036,,0))</f>
        <v>slist1y@mapquest.com</v>
      </c>
      <c r="H37" s="2" t="str">
        <f>_xlfn.XLOOKUP(Orders[[#This Row],[Customer ID]],customers!$A$1:$A$1001,customers!$G$1:$G$1001,,0)</f>
        <v>United States</v>
      </c>
      <c r="I37" s="2" t="str">
        <f>_xlfn.XLOOKUP(Orders[[#This Row],[Customer ID]],customers!$A$1:$A$1001,customers!$F$1:$F$1001,,0)</f>
        <v>Charleston</v>
      </c>
      <c r="J37" t="str">
        <f>INDEX(products!$A$1:$G$49,MATCH(orders!$D37,products!$A$1:$A$49,0),MATCH(orders!J$1,products!$A$1:$G$1,0))</f>
        <v>Ara</v>
      </c>
      <c r="K37" t="str">
        <f>INDEX(products!$A$1:$G$49,MATCH(orders!$D37,products!$A$1:$A$49,0),MATCH(orders!K$1,products!$A$1:$G$1,0))</f>
        <v>D</v>
      </c>
      <c r="L37" s="4">
        <f>INDEX(products!$A$1:$G$49,MATCH(orders!$D37,products!$A$1:$A$49,0),MATCH(orders!L$1,products!$A$1:$G$1,0))</f>
        <v>0.5</v>
      </c>
      <c r="M37" s="5">
        <f>INDEX(products!$A$1:$G$49,MATCH(orders!$D37,products!$A$1:$A$49,0),MATCH(orders!M$1,products!$A$1:$G$1,0))</f>
        <v>5.97</v>
      </c>
      <c r="N37" s="5">
        <f>Orders[[#This Row],[Quantity]]*(INDEX(products!$A$1:$G$49,MATCH(orders!$D37,products!$A$1:$A$49,0),MATCH(orders!N$1,products!$A$1:$G$1,0)))</f>
        <v>3.2237999999999998</v>
      </c>
      <c r="O37" s="5">
        <f>M37*E37</f>
        <v>35.82</v>
      </c>
      <c r="P37" t="str">
        <f t="shared" si="0"/>
        <v>Arabica</v>
      </c>
      <c r="Q37" t="str">
        <f t="shared" si="1"/>
        <v>Dark</v>
      </c>
      <c r="R37" t="str">
        <f>_xlfn.XLOOKUP(Orders[[#This Row],[Customer ID]],customers!$A$1:$A$1001,customers!$I$1:$I$1001,,0)</f>
        <v>No</v>
      </c>
    </row>
    <row r="38" spans="1:18" x14ac:dyDescent="0.35">
      <c r="A38" s="2" t="s">
        <v>693</v>
      </c>
      <c r="B38" s="3">
        <v>44233</v>
      </c>
      <c r="C38" s="2" t="s">
        <v>694</v>
      </c>
      <c r="D38" t="s">
        <v>6159</v>
      </c>
      <c r="E38" s="2">
        <v>2</v>
      </c>
      <c r="F38" s="2" t="str">
        <f>_xlfn.XLOOKUP(Orders[[#This Row],[Customer ID]],customers!$A$1:$A$1001,customers!$B$1:$B$1001,,0)</f>
        <v>Zorina Ponting</v>
      </c>
      <c r="G38" s="2" t="str">
        <f>IF(_xlfn.XLOOKUP(C38,customers!$A$1:$A$1001,customers!C37:C1037,,0)=0,"",_xlfn.XLOOKUP(C38,customers!$A$1:$A$1001,customers!C37:C1037,,0))</f>
        <v/>
      </c>
      <c r="H38" s="2" t="str">
        <f>_xlfn.XLOOKUP(Orders[[#This Row],[Customer ID]],customers!$A$1:$A$1001,customers!$G$1:$G$1001,,0)</f>
        <v>United States</v>
      </c>
      <c r="I38" s="2" t="str">
        <f>_xlfn.XLOOKUP(Orders[[#This Row],[Customer ID]],customers!$A$1:$A$1001,customers!$F$1:$F$1001,,0)</f>
        <v>Little Rock</v>
      </c>
      <c r="J38" t="str">
        <f>INDEX(products!$A$1:$G$49,MATCH(orders!$D38,products!$A$1:$A$49,0),MATCH(orders!J$1,products!$A$1:$G$1,0))</f>
        <v>Lib</v>
      </c>
      <c r="K38" t="str">
        <f>INDEX(products!$A$1:$G$49,MATCH(orders!$D38,products!$A$1:$A$49,0),MATCH(orders!K$1,products!$A$1:$G$1,0))</f>
        <v>M</v>
      </c>
      <c r="L38" s="4">
        <f>INDEX(products!$A$1:$G$49,MATCH(orders!$D38,products!$A$1:$A$49,0),MATCH(orders!L$1,products!$A$1:$G$1,0))</f>
        <v>0.2</v>
      </c>
      <c r="M38" s="5">
        <f>INDEX(products!$A$1:$G$49,MATCH(orders!$D38,products!$A$1:$A$49,0),MATCH(orders!M$1,products!$A$1:$G$1,0))</f>
        <v>4.3650000000000002</v>
      </c>
      <c r="N38" s="5">
        <f>Orders[[#This Row],[Quantity]]*(INDEX(products!$A$1:$G$49,MATCH(orders!$D38,products!$A$1:$A$49,0),MATCH(orders!N$1,products!$A$1:$G$1,0)))</f>
        <v>1.1349</v>
      </c>
      <c r="O38" s="5">
        <f>M38*E38</f>
        <v>8.73</v>
      </c>
      <c r="P38" t="str">
        <f t="shared" si="0"/>
        <v>Liberica</v>
      </c>
      <c r="Q38" t="str">
        <f t="shared" si="1"/>
        <v>Medium</v>
      </c>
      <c r="R38" t="str">
        <f>_xlfn.XLOOKUP(Orders[[#This Row],[Customer ID]],customers!$A$1:$A$1001,customers!$I$1:$I$1001,,0)</f>
        <v>No</v>
      </c>
    </row>
    <row r="39" spans="1:18" x14ac:dyDescent="0.35">
      <c r="A39" s="2" t="s">
        <v>699</v>
      </c>
      <c r="B39" s="3">
        <v>43580</v>
      </c>
      <c r="C39" s="2" t="s">
        <v>700</v>
      </c>
      <c r="D39" t="s">
        <v>6161</v>
      </c>
      <c r="E39" s="2">
        <v>3</v>
      </c>
      <c r="F39" s="2" t="str">
        <f>_xlfn.XLOOKUP(Orders[[#This Row],[Customer ID]],customers!$A$1:$A$1001,customers!$B$1:$B$1001,,0)</f>
        <v>Silvio Strase</v>
      </c>
      <c r="G39" s="2" t="str">
        <f>IF(_xlfn.XLOOKUP(C39,customers!$A$1:$A$1001,customers!C38:C1038,,0)=0,"",_xlfn.XLOOKUP(C39,customers!$A$1:$A$1001,customers!C38:C1038,,0))</f>
        <v>jrangall22@newsvine.com</v>
      </c>
      <c r="H39" s="2" t="str">
        <f>_xlfn.XLOOKUP(Orders[[#This Row],[Customer ID]],customers!$A$1:$A$1001,customers!$G$1:$G$1001,,0)</f>
        <v>United States</v>
      </c>
      <c r="I39" s="2" t="str">
        <f>_xlfn.XLOOKUP(Orders[[#This Row],[Customer ID]],customers!$A$1:$A$1001,customers!$F$1:$F$1001,,0)</f>
        <v>Denver</v>
      </c>
      <c r="J39" t="str">
        <f>INDEX(products!$A$1:$G$49,MATCH(orders!$D39,products!$A$1:$A$49,0),MATCH(orders!J$1,products!$A$1:$G$1,0))</f>
        <v>Lib</v>
      </c>
      <c r="K39" t="str">
        <f>INDEX(products!$A$1:$G$49,MATCH(orders!$D39,products!$A$1:$A$49,0),MATCH(orders!K$1,products!$A$1:$G$1,0))</f>
        <v>L</v>
      </c>
      <c r="L39" s="4">
        <f>INDEX(products!$A$1:$G$49,MATCH(orders!$D39,products!$A$1:$A$49,0),MATCH(orders!L$1,products!$A$1:$G$1,0))</f>
        <v>0.5</v>
      </c>
      <c r="M39" s="5">
        <f>INDEX(products!$A$1:$G$49,MATCH(orders!$D39,products!$A$1:$A$49,0),MATCH(orders!M$1,products!$A$1:$G$1,0))</f>
        <v>9.51</v>
      </c>
      <c r="N39" s="5">
        <f>Orders[[#This Row],[Quantity]]*(INDEX(products!$A$1:$G$49,MATCH(orders!$D39,products!$A$1:$A$49,0),MATCH(orders!N$1,products!$A$1:$G$1,0)))</f>
        <v>3.7088999999999999</v>
      </c>
      <c r="O39" s="5">
        <f>M39*E39</f>
        <v>28.53</v>
      </c>
      <c r="P39" t="str">
        <f t="shared" si="0"/>
        <v>Liberica</v>
      </c>
      <c r="Q39" t="str">
        <f t="shared" si="1"/>
        <v>Light</v>
      </c>
      <c r="R39" t="str">
        <f>_xlfn.XLOOKUP(Orders[[#This Row],[Customer ID]],customers!$A$1:$A$1001,customers!$I$1:$I$1001,,0)</f>
        <v>No</v>
      </c>
    </row>
    <row r="40" spans="1:18" x14ac:dyDescent="0.35">
      <c r="A40" s="2" t="s">
        <v>705</v>
      </c>
      <c r="B40" s="3">
        <v>43946</v>
      </c>
      <c r="C40" s="2" t="s">
        <v>706</v>
      </c>
      <c r="D40" t="s">
        <v>6151</v>
      </c>
      <c r="E40" s="2">
        <v>5</v>
      </c>
      <c r="F40" s="2" t="str">
        <f>_xlfn.XLOOKUP(Orders[[#This Row],[Customer ID]],customers!$A$1:$A$1001,customers!$B$1:$B$1001,,0)</f>
        <v>Dorie de la Tremoille</v>
      </c>
      <c r="G40" s="2" t="str">
        <f>IF(_xlfn.XLOOKUP(C40,customers!$A$1:$A$1001,customers!C39:C1039,,0)=0,"",_xlfn.XLOOKUP(C40,customers!$A$1:$A$1001,customers!C39:C1039,,0))</f>
        <v/>
      </c>
      <c r="H40" s="2" t="str">
        <f>_xlfn.XLOOKUP(Orders[[#This Row],[Customer ID]],customers!$A$1:$A$1001,customers!$G$1:$G$1001,,0)</f>
        <v>United States</v>
      </c>
      <c r="I40" s="2" t="str">
        <f>_xlfn.XLOOKUP(Orders[[#This Row],[Customer ID]],customers!$A$1:$A$1001,customers!$F$1:$F$1001,,0)</f>
        <v>Minneapolis</v>
      </c>
      <c r="J40" t="str">
        <f>INDEX(products!$A$1:$G$49,MATCH(orders!$D40,products!$A$1:$A$49,0),MATCH(orders!J$1,products!$A$1:$G$1,0))</f>
        <v>Rob</v>
      </c>
      <c r="K40" t="str">
        <f>INDEX(products!$A$1:$G$49,MATCH(orders!$D40,products!$A$1:$A$49,0),MATCH(orders!K$1,products!$A$1:$G$1,0))</f>
        <v>M</v>
      </c>
      <c r="L40" s="4">
        <f>INDEX(products!$A$1:$G$49,MATCH(orders!$D40,products!$A$1:$A$49,0),MATCH(orders!L$1,products!$A$1:$G$1,0))</f>
        <v>2.5</v>
      </c>
      <c r="M40" s="5">
        <f>INDEX(products!$A$1:$G$49,MATCH(orders!$D40,products!$A$1:$A$49,0),MATCH(orders!M$1,products!$A$1:$G$1,0))</f>
        <v>22.884999999999998</v>
      </c>
      <c r="N40" s="5">
        <f>Orders[[#This Row],[Quantity]]*(INDEX(products!$A$1:$G$49,MATCH(orders!$D40,products!$A$1:$A$49,0),MATCH(orders!N$1,products!$A$1:$G$1,0)))</f>
        <v>6.865499999999999</v>
      </c>
      <c r="O40" s="5">
        <f>M40*E40</f>
        <v>114.42499999999998</v>
      </c>
      <c r="P40" t="str">
        <f t="shared" si="0"/>
        <v>Robusta</v>
      </c>
      <c r="Q40" t="str">
        <f t="shared" si="1"/>
        <v>Medium</v>
      </c>
      <c r="R40" t="str">
        <f>_xlfn.XLOOKUP(Orders[[#This Row],[Customer ID]],customers!$A$1:$A$1001,customers!$I$1:$I$1001,,0)</f>
        <v>No</v>
      </c>
    </row>
    <row r="41" spans="1:18" x14ac:dyDescent="0.35">
      <c r="A41" s="2" t="s">
        <v>711</v>
      </c>
      <c r="B41" s="3">
        <v>44524</v>
      </c>
      <c r="C41" s="2" t="s">
        <v>712</v>
      </c>
      <c r="D41" t="s">
        <v>6138</v>
      </c>
      <c r="E41" s="2">
        <v>6</v>
      </c>
      <c r="F41" s="2" t="str">
        <f>_xlfn.XLOOKUP(Orders[[#This Row],[Customer ID]],customers!$A$1:$A$1001,customers!$B$1:$B$1001,,0)</f>
        <v>Hy Zanetto</v>
      </c>
      <c r="G41" s="2" t="str">
        <f>IF(_xlfn.XLOOKUP(C41,customers!$A$1:$A$1001,customers!C40:C1040,,0)=0,"",_xlfn.XLOOKUP(C41,customers!$A$1:$A$1001,customers!C40:C1040,,0))</f>
        <v>lmizzi26@rakuten.co.jp</v>
      </c>
      <c r="H41" s="2" t="str">
        <f>_xlfn.XLOOKUP(Orders[[#This Row],[Customer ID]],customers!$A$1:$A$1001,customers!$G$1:$G$1001,,0)</f>
        <v>United States</v>
      </c>
      <c r="I41" s="2" t="str">
        <f>_xlfn.XLOOKUP(Orders[[#This Row],[Customer ID]],customers!$A$1:$A$1001,customers!$F$1:$F$1001,,0)</f>
        <v>Tucson</v>
      </c>
      <c r="J41" t="str">
        <f>INDEX(products!$A$1:$G$49,MATCH(orders!$D41,products!$A$1:$A$49,0),MATCH(orders!J$1,products!$A$1:$G$1,0))</f>
        <v>Rob</v>
      </c>
      <c r="K41" t="str">
        <f>INDEX(products!$A$1:$G$49,MATCH(orders!$D41,products!$A$1:$A$49,0),MATCH(orders!K$1,products!$A$1:$G$1,0))</f>
        <v>M</v>
      </c>
      <c r="L41" s="4">
        <f>INDEX(products!$A$1:$G$49,MATCH(orders!$D41,products!$A$1:$A$49,0),MATCH(orders!L$1,products!$A$1:$G$1,0))</f>
        <v>1</v>
      </c>
      <c r="M41" s="5">
        <f>INDEX(products!$A$1:$G$49,MATCH(orders!$D41,products!$A$1:$A$49,0),MATCH(orders!M$1,products!$A$1:$G$1,0))</f>
        <v>9.9499999999999993</v>
      </c>
      <c r="N41" s="5">
        <f>Orders[[#This Row],[Quantity]]*(INDEX(products!$A$1:$G$49,MATCH(orders!$D41,products!$A$1:$A$49,0),MATCH(orders!N$1,products!$A$1:$G$1,0)))</f>
        <v>3.5819999999999999</v>
      </c>
      <c r="O41" s="5">
        <f>M41*E41</f>
        <v>59.699999999999996</v>
      </c>
      <c r="P41" t="str">
        <f t="shared" si="0"/>
        <v>Robusta</v>
      </c>
      <c r="Q41" t="str">
        <f t="shared" si="1"/>
        <v>Medium</v>
      </c>
      <c r="R41" t="str">
        <f>_xlfn.XLOOKUP(Orders[[#This Row],[Customer ID]],customers!$A$1:$A$1001,customers!$I$1:$I$1001,,0)</f>
        <v>Yes</v>
      </c>
    </row>
    <row r="42" spans="1:18" x14ac:dyDescent="0.35">
      <c r="A42" s="2" t="s">
        <v>715</v>
      </c>
      <c r="B42" s="3">
        <v>44305</v>
      </c>
      <c r="C42" s="2" t="s">
        <v>716</v>
      </c>
      <c r="D42" t="s">
        <v>6162</v>
      </c>
      <c r="E42" s="2">
        <v>3</v>
      </c>
      <c r="F42" s="2" t="str">
        <f>_xlfn.XLOOKUP(Orders[[#This Row],[Customer ID]],customers!$A$1:$A$1001,customers!$B$1:$B$1001,,0)</f>
        <v>Jessica McNess</v>
      </c>
      <c r="G42" s="2" t="str">
        <f>IF(_xlfn.XLOOKUP(C42,customers!$A$1:$A$1001,customers!C41:C1041,,0)=0,"",_xlfn.XLOOKUP(C42,customers!$A$1:$A$1001,customers!C41:C1041,,0))</f>
        <v>aarnow28@arizona.edu</v>
      </c>
      <c r="H42" s="2" t="str">
        <f>_xlfn.XLOOKUP(Orders[[#This Row],[Customer ID]],customers!$A$1:$A$1001,customers!$G$1:$G$1001,,0)</f>
        <v>United States</v>
      </c>
      <c r="I42" s="2" t="str">
        <f>_xlfn.XLOOKUP(Orders[[#This Row],[Customer ID]],customers!$A$1:$A$1001,customers!$F$1:$F$1001,,0)</f>
        <v>New Orleans</v>
      </c>
      <c r="J42" t="str">
        <f>INDEX(products!$A$1:$G$49,MATCH(orders!$D42,products!$A$1:$A$49,0),MATCH(orders!J$1,products!$A$1:$G$1,0))</f>
        <v>Lib</v>
      </c>
      <c r="K42" t="str">
        <f>INDEX(products!$A$1:$G$49,MATCH(orders!$D42,products!$A$1:$A$49,0),MATCH(orders!K$1,products!$A$1:$G$1,0))</f>
        <v>M</v>
      </c>
      <c r="L42" s="4">
        <f>INDEX(products!$A$1:$G$49,MATCH(orders!$D42,products!$A$1:$A$49,0),MATCH(orders!L$1,products!$A$1:$G$1,0))</f>
        <v>1</v>
      </c>
      <c r="M42" s="5">
        <f>INDEX(products!$A$1:$G$49,MATCH(orders!$D42,products!$A$1:$A$49,0),MATCH(orders!M$1,products!$A$1:$G$1,0))</f>
        <v>14.55</v>
      </c>
      <c r="N42" s="5">
        <f>Orders[[#This Row],[Quantity]]*(INDEX(products!$A$1:$G$49,MATCH(orders!$D42,products!$A$1:$A$49,0),MATCH(orders!N$1,products!$A$1:$G$1,0)))</f>
        <v>5.6745000000000001</v>
      </c>
      <c r="O42" s="5">
        <f>M42*E42</f>
        <v>43.650000000000006</v>
      </c>
      <c r="P42" t="str">
        <f t="shared" si="0"/>
        <v>Liberica</v>
      </c>
      <c r="Q42" t="str">
        <f t="shared" si="1"/>
        <v>Medium</v>
      </c>
      <c r="R42" t="str">
        <f>_xlfn.XLOOKUP(Orders[[#This Row],[Customer ID]],customers!$A$1:$A$1001,customers!$I$1:$I$1001,,0)</f>
        <v>No</v>
      </c>
    </row>
    <row r="43" spans="1:18" x14ac:dyDescent="0.35">
      <c r="A43" s="2" t="s">
        <v>720</v>
      </c>
      <c r="B43" s="3">
        <v>44749</v>
      </c>
      <c r="C43" s="2" t="s">
        <v>721</v>
      </c>
      <c r="D43" t="s">
        <v>6153</v>
      </c>
      <c r="E43" s="2">
        <v>2</v>
      </c>
      <c r="F43" s="2" t="str">
        <f>_xlfn.XLOOKUP(Orders[[#This Row],[Customer ID]],customers!$A$1:$A$1001,customers!$B$1:$B$1001,,0)</f>
        <v>Lorenzo Yeoland</v>
      </c>
      <c r="G43" s="2" t="str">
        <f>IF(_xlfn.XLOOKUP(C43,customers!$A$1:$A$1001,customers!C42:C1042,,0)=0,"",_xlfn.XLOOKUP(C43,customers!$A$1:$A$1001,customers!C42:C1042,,0))</f>
        <v>bnaulls2a@tiny.cc</v>
      </c>
      <c r="H43" s="2" t="str">
        <f>_xlfn.XLOOKUP(Orders[[#This Row],[Customer ID]],customers!$A$1:$A$1001,customers!$G$1:$G$1001,,0)</f>
        <v>United States</v>
      </c>
      <c r="I43" s="2" t="str">
        <f>_xlfn.XLOOKUP(Orders[[#This Row],[Customer ID]],customers!$A$1:$A$1001,customers!$F$1:$F$1001,,0)</f>
        <v>Hartford</v>
      </c>
      <c r="J43" t="str">
        <f>INDEX(products!$A$1:$G$49,MATCH(orders!$D43,products!$A$1:$A$49,0),MATCH(orders!J$1,products!$A$1:$G$1,0))</f>
        <v>Exc</v>
      </c>
      <c r="K43" t="str">
        <f>INDEX(products!$A$1:$G$49,MATCH(orders!$D43,products!$A$1:$A$49,0),MATCH(orders!K$1,products!$A$1:$G$1,0))</f>
        <v>D</v>
      </c>
      <c r="L43" s="4">
        <f>INDEX(products!$A$1:$G$49,MATCH(orders!$D43,products!$A$1:$A$49,0),MATCH(orders!L$1,products!$A$1:$G$1,0))</f>
        <v>0.2</v>
      </c>
      <c r="M43" s="5">
        <f>INDEX(products!$A$1:$G$49,MATCH(orders!$D43,products!$A$1:$A$49,0),MATCH(orders!M$1,products!$A$1:$G$1,0))</f>
        <v>3.645</v>
      </c>
      <c r="N43" s="5">
        <f>Orders[[#This Row],[Quantity]]*(INDEX(products!$A$1:$G$49,MATCH(orders!$D43,products!$A$1:$A$49,0),MATCH(orders!N$1,products!$A$1:$G$1,0)))</f>
        <v>0.80190000000000006</v>
      </c>
      <c r="O43" s="5">
        <f>M43*E43</f>
        <v>7.29</v>
      </c>
      <c r="P43" t="str">
        <f t="shared" si="0"/>
        <v>Excelsa</v>
      </c>
      <c r="Q43" t="str">
        <f t="shared" si="1"/>
        <v>Dark</v>
      </c>
      <c r="R43" t="str">
        <f>_xlfn.XLOOKUP(Orders[[#This Row],[Customer ID]],customers!$A$1:$A$1001,customers!$I$1:$I$1001,,0)</f>
        <v>Yes</v>
      </c>
    </row>
    <row r="44" spans="1:18" x14ac:dyDescent="0.35">
      <c r="A44" s="2" t="s">
        <v>726</v>
      </c>
      <c r="B44" s="3">
        <v>43607</v>
      </c>
      <c r="C44" s="2" t="s">
        <v>727</v>
      </c>
      <c r="D44" t="s">
        <v>6163</v>
      </c>
      <c r="E44" s="2">
        <v>3</v>
      </c>
      <c r="F44" s="2" t="str">
        <f>_xlfn.XLOOKUP(Orders[[#This Row],[Customer ID]],customers!$A$1:$A$1001,customers!$B$1:$B$1001,,0)</f>
        <v>Abigail Tolworthy</v>
      </c>
      <c r="G44" s="2" t="str">
        <f>IF(_xlfn.XLOOKUP(C44,customers!$A$1:$A$1001,customers!C43:C1043,,0)=0,"",_xlfn.XLOOKUP(C44,customers!$A$1:$A$1001,customers!C43:C1043,,0))</f>
        <v>zsherewood2c@apache.org</v>
      </c>
      <c r="H44" s="2" t="str">
        <f>_xlfn.XLOOKUP(Orders[[#This Row],[Customer ID]],customers!$A$1:$A$1001,customers!$G$1:$G$1001,,0)</f>
        <v>United States</v>
      </c>
      <c r="I44" s="2" t="str">
        <f>_xlfn.XLOOKUP(Orders[[#This Row],[Customer ID]],customers!$A$1:$A$1001,customers!$F$1:$F$1001,,0)</f>
        <v>Ogden</v>
      </c>
      <c r="J44" t="str">
        <f>INDEX(products!$A$1:$G$49,MATCH(orders!$D44,products!$A$1:$A$49,0),MATCH(orders!J$1,products!$A$1:$G$1,0))</f>
        <v>Rob</v>
      </c>
      <c r="K44" t="str">
        <f>INDEX(products!$A$1:$G$49,MATCH(orders!$D44,products!$A$1:$A$49,0),MATCH(orders!K$1,products!$A$1:$G$1,0))</f>
        <v>D</v>
      </c>
      <c r="L44" s="4">
        <f>INDEX(products!$A$1:$G$49,MATCH(orders!$D44,products!$A$1:$A$49,0),MATCH(orders!L$1,products!$A$1:$G$1,0))</f>
        <v>0.2</v>
      </c>
      <c r="M44" s="5">
        <f>INDEX(products!$A$1:$G$49,MATCH(orders!$D44,products!$A$1:$A$49,0),MATCH(orders!M$1,products!$A$1:$G$1,0))</f>
        <v>2.6849999999999996</v>
      </c>
      <c r="N44" s="5">
        <f>Orders[[#This Row],[Quantity]]*(INDEX(products!$A$1:$G$49,MATCH(orders!$D44,products!$A$1:$A$49,0),MATCH(orders!N$1,products!$A$1:$G$1,0)))</f>
        <v>0.4832999999999999</v>
      </c>
      <c r="O44" s="5">
        <f>M44*E44</f>
        <v>8.0549999999999997</v>
      </c>
      <c r="P44" t="str">
        <f t="shared" si="0"/>
        <v>Robusta</v>
      </c>
      <c r="Q44" t="str">
        <f t="shared" si="1"/>
        <v>Dark</v>
      </c>
      <c r="R44" t="str">
        <f>_xlfn.XLOOKUP(Orders[[#This Row],[Customer ID]],customers!$A$1:$A$1001,customers!$I$1:$I$1001,,0)</f>
        <v>Yes</v>
      </c>
    </row>
    <row r="45" spans="1:18" x14ac:dyDescent="0.35">
      <c r="A45" s="2" t="s">
        <v>733</v>
      </c>
      <c r="B45" s="3">
        <v>44473</v>
      </c>
      <c r="C45" s="2" t="s">
        <v>734</v>
      </c>
      <c r="D45" t="s">
        <v>6164</v>
      </c>
      <c r="E45" s="2">
        <v>2</v>
      </c>
      <c r="F45" s="2" t="str">
        <f>_xlfn.XLOOKUP(Orders[[#This Row],[Customer ID]],customers!$A$1:$A$1001,customers!$B$1:$B$1001,,0)</f>
        <v>Maurie Bartol</v>
      </c>
      <c r="G45" s="2" t="str">
        <f>IF(_xlfn.XLOOKUP(C45,customers!$A$1:$A$1001,customers!C44:C1044,,0)=0,"",_xlfn.XLOOKUP(C45,customers!$A$1:$A$1001,customers!C44:C1044,,0))</f>
        <v>bmcamish2e@tripadvisor.com</v>
      </c>
      <c r="H45" s="2" t="str">
        <f>_xlfn.XLOOKUP(Orders[[#This Row],[Customer ID]],customers!$A$1:$A$1001,customers!$G$1:$G$1001,,0)</f>
        <v>United States</v>
      </c>
      <c r="I45" s="2" t="str">
        <f>_xlfn.XLOOKUP(Orders[[#This Row],[Customer ID]],customers!$A$1:$A$1001,customers!$F$1:$F$1001,,0)</f>
        <v>Boston</v>
      </c>
      <c r="J45" t="str">
        <f>INDEX(products!$A$1:$G$49,MATCH(orders!$D45,products!$A$1:$A$49,0),MATCH(orders!J$1,products!$A$1:$G$1,0))</f>
        <v>Lib</v>
      </c>
      <c r="K45" t="str">
        <f>INDEX(products!$A$1:$G$49,MATCH(orders!$D45,products!$A$1:$A$49,0),MATCH(orders!K$1,products!$A$1:$G$1,0))</f>
        <v>L</v>
      </c>
      <c r="L45" s="4">
        <f>INDEX(products!$A$1:$G$49,MATCH(orders!$D45,products!$A$1:$A$49,0),MATCH(orders!L$1,products!$A$1:$G$1,0))</f>
        <v>2.5</v>
      </c>
      <c r="M45" s="5">
        <f>INDEX(products!$A$1:$G$49,MATCH(orders!$D45,products!$A$1:$A$49,0),MATCH(orders!M$1,products!$A$1:$G$1,0))</f>
        <v>36.454999999999998</v>
      </c>
      <c r="N45" s="5">
        <f>Orders[[#This Row],[Quantity]]*(INDEX(products!$A$1:$G$49,MATCH(orders!$D45,products!$A$1:$A$49,0),MATCH(orders!N$1,products!$A$1:$G$1,0)))</f>
        <v>9.4782999999999991</v>
      </c>
      <c r="O45" s="5">
        <f>M45*E45</f>
        <v>72.91</v>
      </c>
      <c r="P45" t="str">
        <f t="shared" si="0"/>
        <v>Liberica</v>
      </c>
      <c r="Q45" t="str">
        <f t="shared" si="1"/>
        <v>Light</v>
      </c>
      <c r="R45" t="str">
        <f>_xlfn.XLOOKUP(Orders[[#This Row],[Customer ID]],customers!$A$1:$A$1001,customers!$I$1:$I$1001,,0)</f>
        <v>No</v>
      </c>
    </row>
    <row r="46" spans="1:18" x14ac:dyDescent="0.35">
      <c r="A46" s="2" t="s">
        <v>738</v>
      </c>
      <c r="B46" s="3">
        <v>43932</v>
      </c>
      <c r="C46" s="2" t="s">
        <v>739</v>
      </c>
      <c r="D46" t="s">
        <v>6139</v>
      </c>
      <c r="E46" s="2">
        <v>2</v>
      </c>
      <c r="F46" s="2" t="str">
        <f>_xlfn.XLOOKUP(Orders[[#This Row],[Customer ID]],customers!$A$1:$A$1001,customers!$B$1:$B$1001,,0)</f>
        <v>Olag Baudassi</v>
      </c>
      <c r="G46" s="2" t="str">
        <f>IF(_xlfn.XLOOKUP(C46,customers!$A$1:$A$1001,customers!C45:C1045,,0)=0,"",_xlfn.XLOOKUP(C46,customers!$A$1:$A$1001,customers!C45:C1045,,0))</f>
        <v>egrise2g@cargocollective.com</v>
      </c>
      <c r="H46" s="2" t="str">
        <f>_xlfn.XLOOKUP(Orders[[#This Row],[Customer ID]],customers!$A$1:$A$1001,customers!$G$1:$G$1001,,0)</f>
        <v>United States</v>
      </c>
      <c r="I46" s="2" t="str">
        <f>_xlfn.XLOOKUP(Orders[[#This Row],[Customer ID]],customers!$A$1:$A$1001,customers!$F$1:$F$1001,,0)</f>
        <v>Rochester</v>
      </c>
      <c r="J46" t="str">
        <f>INDEX(products!$A$1:$G$49,MATCH(orders!$D46,products!$A$1:$A$49,0),MATCH(orders!J$1,products!$A$1:$G$1,0))</f>
        <v>Exc</v>
      </c>
      <c r="K46" t="str">
        <f>INDEX(products!$A$1:$G$49,MATCH(orders!$D46,products!$A$1:$A$49,0),MATCH(orders!K$1,products!$A$1:$G$1,0))</f>
        <v>M</v>
      </c>
      <c r="L46" s="4">
        <f>INDEX(products!$A$1:$G$49,MATCH(orders!$D46,products!$A$1:$A$49,0),MATCH(orders!L$1,products!$A$1:$G$1,0))</f>
        <v>0.5</v>
      </c>
      <c r="M46" s="5">
        <f>INDEX(products!$A$1:$G$49,MATCH(orders!$D46,products!$A$1:$A$49,0),MATCH(orders!M$1,products!$A$1:$G$1,0))</f>
        <v>8.25</v>
      </c>
      <c r="N46" s="5">
        <f>Orders[[#This Row],[Quantity]]*(INDEX(products!$A$1:$G$49,MATCH(orders!$D46,products!$A$1:$A$49,0),MATCH(orders!N$1,products!$A$1:$G$1,0)))</f>
        <v>1.8149999999999999</v>
      </c>
      <c r="O46" s="5">
        <f>M46*E46</f>
        <v>16.5</v>
      </c>
      <c r="P46" t="str">
        <f t="shared" si="0"/>
        <v>Excelsa</v>
      </c>
      <c r="Q46" t="str">
        <f t="shared" si="1"/>
        <v>Medium</v>
      </c>
      <c r="R46" t="str">
        <f>_xlfn.XLOOKUP(Orders[[#This Row],[Customer ID]],customers!$A$1:$A$1001,customers!$I$1:$I$1001,,0)</f>
        <v>Yes</v>
      </c>
    </row>
    <row r="47" spans="1:18" x14ac:dyDescent="0.35">
      <c r="A47" s="2" t="s">
        <v>744</v>
      </c>
      <c r="B47" s="3">
        <v>44592</v>
      </c>
      <c r="C47" s="2" t="s">
        <v>745</v>
      </c>
      <c r="D47" t="s">
        <v>6165</v>
      </c>
      <c r="E47" s="2">
        <v>6</v>
      </c>
      <c r="F47" s="2" t="str">
        <f>_xlfn.XLOOKUP(Orders[[#This Row],[Customer ID]],customers!$A$1:$A$1001,customers!$B$1:$B$1001,,0)</f>
        <v>Petey Kingsbury</v>
      </c>
      <c r="G47" s="2" t="str">
        <f>IF(_xlfn.XLOOKUP(C47,customers!$A$1:$A$1001,customers!C46:C1046,,0)=0,"",_xlfn.XLOOKUP(C47,customers!$A$1:$A$1001,customers!C46:C1046,,0))</f>
        <v/>
      </c>
      <c r="H47" s="2" t="str">
        <f>_xlfn.XLOOKUP(Orders[[#This Row],[Customer ID]],customers!$A$1:$A$1001,customers!$G$1:$G$1001,,0)</f>
        <v>United States</v>
      </c>
      <c r="I47" s="2" t="str">
        <f>_xlfn.XLOOKUP(Orders[[#This Row],[Customer ID]],customers!$A$1:$A$1001,customers!$F$1:$F$1001,,0)</f>
        <v>Bronx</v>
      </c>
      <c r="J47" t="str">
        <f>INDEX(products!$A$1:$G$49,MATCH(orders!$D47,products!$A$1:$A$49,0),MATCH(orders!J$1,products!$A$1:$G$1,0))</f>
        <v>Lib</v>
      </c>
      <c r="K47" t="str">
        <f>INDEX(products!$A$1:$G$49,MATCH(orders!$D47,products!$A$1:$A$49,0),MATCH(orders!K$1,products!$A$1:$G$1,0))</f>
        <v>D</v>
      </c>
      <c r="L47" s="4">
        <f>INDEX(products!$A$1:$G$49,MATCH(orders!$D47,products!$A$1:$A$49,0),MATCH(orders!L$1,products!$A$1:$G$1,0))</f>
        <v>2.5</v>
      </c>
      <c r="M47" s="5">
        <f>INDEX(products!$A$1:$G$49,MATCH(orders!$D47,products!$A$1:$A$49,0),MATCH(orders!M$1,products!$A$1:$G$1,0))</f>
        <v>29.784999999999997</v>
      </c>
      <c r="N47" s="5">
        <f>Orders[[#This Row],[Quantity]]*(INDEX(products!$A$1:$G$49,MATCH(orders!$D47,products!$A$1:$A$49,0),MATCH(orders!N$1,products!$A$1:$G$1,0)))</f>
        <v>23.232299999999999</v>
      </c>
      <c r="O47" s="5">
        <f>M47*E47</f>
        <v>178.70999999999998</v>
      </c>
      <c r="P47" t="str">
        <f t="shared" si="0"/>
        <v>Liberica</v>
      </c>
      <c r="Q47" t="str">
        <f t="shared" si="1"/>
        <v>Dark</v>
      </c>
      <c r="R47" t="str">
        <f>_xlfn.XLOOKUP(Orders[[#This Row],[Customer ID]],customers!$A$1:$A$1001,customers!$I$1:$I$1001,,0)</f>
        <v>No</v>
      </c>
    </row>
    <row r="48" spans="1:18" x14ac:dyDescent="0.35">
      <c r="A48" s="2" t="s">
        <v>750</v>
      </c>
      <c r="B48" s="3">
        <v>43776</v>
      </c>
      <c r="C48" s="2" t="s">
        <v>751</v>
      </c>
      <c r="D48" t="s">
        <v>6166</v>
      </c>
      <c r="E48" s="2">
        <v>2</v>
      </c>
      <c r="F48" s="2" t="str">
        <f>_xlfn.XLOOKUP(Orders[[#This Row],[Customer ID]],customers!$A$1:$A$1001,customers!$B$1:$B$1001,,0)</f>
        <v>Donna Baskeyfied</v>
      </c>
      <c r="G48" s="2" t="str">
        <f>IF(_xlfn.XLOOKUP(C48,customers!$A$1:$A$1001,customers!C47:C1047,,0)=0,"",_xlfn.XLOOKUP(C48,customers!$A$1:$A$1001,customers!C47:C1047,,0))</f>
        <v/>
      </c>
      <c r="H48" s="2" t="str">
        <f>_xlfn.XLOOKUP(Orders[[#This Row],[Customer ID]],customers!$A$1:$A$1001,customers!$G$1:$G$1001,,0)</f>
        <v>United States</v>
      </c>
      <c r="I48" s="2" t="str">
        <f>_xlfn.XLOOKUP(Orders[[#This Row],[Customer ID]],customers!$A$1:$A$1001,customers!$F$1:$F$1001,,0)</f>
        <v>Birmingham</v>
      </c>
      <c r="J48" t="str">
        <f>INDEX(products!$A$1:$G$49,MATCH(orders!$D48,products!$A$1:$A$49,0),MATCH(orders!J$1,products!$A$1:$G$1,0))</f>
        <v>Exc</v>
      </c>
      <c r="K48" t="str">
        <f>INDEX(products!$A$1:$G$49,MATCH(orders!$D48,products!$A$1:$A$49,0),MATCH(orders!K$1,products!$A$1:$G$1,0))</f>
        <v>M</v>
      </c>
      <c r="L48" s="4">
        <f>INDEX(products!$A$1:$G$49,MATCH(orders!$D48,products!$A$1:$A$49,0),MATCH(orders!L$1,products!$A$1:$G$1,0))</f>
        <v>2.5</v>
      </c>
      <c r="M48" s="5">
        <f>INDEX(products!$A$1:$G$49,MATCH(orders!$D48,products!$A$1:$A$49,0),MATCH(orders!M$1,products!$A$1:$G$1,0))</f>
        <v>31.624999999999996</v>
      </c>
      <c r="N48" s="5">
        <f>Orders[[#This Row],[Quantity]]*(INDEX(products!$A$1:$G$49,MATCH(orders!$D48,products!$A$1:$A$49,0),MATCH(orders!N$1,products!$A$1:$G$1,0)))</f>
        <v>6.9574999999999996</v>
      </c>
      <c r="O48" s="5">
        <f>M48*E48</f>
        <v>63.249999999999993</v>
      </c>
      <c r="P48" t="str">
        <f t="shared" si="0"/>
        <v>Excelsa</v>
      </c>
      <c r="Q48" t="str">
        <f t="shared" si="1"/>
        <v>Medium</v>
      </c>
      <c r="R48" t="str">
        <f>_xlfn.XLOOKUP(Orders[[#This Row],[Customer ID]],customers!$A$1:$A$1001,customers!$I$1:$I$1001,,0)</f>
        <v>Yes</v>
      </c>
    </row>
    <row r="49" spans="1:18" x14ac:dyDescent="0.35">
      <c r="A49" s="2" t="s">
        <v>755</v>
      </c>
      <c r="B49" s="3">
        <v>43644</v>
      </c>
      <c r="C49" s="2" t="s">
        <v>756</v>
      </c>
      <c r="D49" t="s">
        <v>6167</v>
      </c>
      <c r="E49" s="2">
        <v>2</v>
      </c>
      <c r="F49" s="2" t="str">
        <f>_xlfn.XLOOKUP(Orders[[#This Row],[Customer ID]],customers!$A$1:$A$1001,customers!$B$1:$B$1001,,0)</f>
        <v>Arda Curley</v>
      </c>
      <c r="G49" s="2" t="str">
        <f>IF(_xlfn.XLOOKUP(C49,customers!$A$1:$A$1001,customers!C48:C1048,,0)=0,"",_xlfn.XLOOKUP(C49,customers!$A$1:$A$1001,customers!C48:C1048,,0))</f>
        <v/>
      </c>
      <c r="H49" s="2" t="str">
        <f>_xlfn.XLOOKUP(Orders[[#This Row],[Customer ID]],customers!$A$1:$A$1001,customers!$G$1:$G$1001,,0)</f>
        <v>United States</v>
      </c>
      <c r="I49" s="2" t="str">
        <f>_xlfn.XLOOKUP(Orders[[#This Row],[Customer ID]],customers!$A$1:$A$1001,customers!$F$1:$F$1001,,0)</f>
        <v>San Bernardino</v>
      </c>
      <c r="J49" t="str">
        <f>INDEX(products!$A$1:$G$49,MATCH(orders!$D49,products!$A$1:$A$49,0),MATCH(orders!J$1,products!$A$1:$G$1,0))</f>
        <v>Ara</v>
      </c>
      <c r="K49" t="str">
        <f>INDEX(products!$A$1:$G$49,MATCH(orders!$D49,products!$A$1:$A$49,0),MATCH(orders!K$1,products!$A$1:$G$1,0))</f>
        <v>L</v>
      </c>
      <c r="L49" s="4">
        <f>INDEX(products!$A$1:$G$49,MATCH(orders!$D49,products!$A$1:$A$49,0),MATCH(orders!L$1,products!$A$1:$G$1,0))</f>
        <v>0.2</v>
      </c>
      <c r="M49" s="5">
        <f>INDEX(products!$A$1:$G$49,MATCH(orders!$D49,products!$A$1:$A$49,0),MATCH(orders!M$1,products!$A$1:$G$1,0))</f>
        <v>3.8849999999999998</v>
      </c>
      <c r="N49" s="5">
        <f>Orders[[#This Row],[Quantity]]*(INDEX(products!$A$1:$G$49,MATCH(orders!$D49,products!$A$1:$A$49,0),MATCH(orders!N$1,products!$A$1:$G$1,0)))</f>
        <v>0.69929999999999992</v>
      </c>
      <c r="O49" s="5">
        <f>M49*E49</f>
        <v>7.77</v>
      </c>
      <c r="P49" t="str">
        <f t="shared" si="0"/>
        <v>Arabica</v>
      </c>
      <c r="Q49" t="str">
        <f t="shared" si="1"/>
        <v>Light</v>
      </c>
      <c r="R49" t="str">
        <f>_xlfn.XLOOKUP(Orders[[#This Row],[Customer ID]],customers!$A$1:$A$1001,customers!$I$1:$I$1001,,0)</f>
        <v>Yes</v>
      </c>
    </row>
    <row r="50" spans="1:18" x14ac:dyDescent="0.35">
      <c r="A50" s="2" t="s">
        <v>761</v>
      </c>
      <c r="B50" s="3">
        <v>44085</v>
      </c>
      <c r="C50" s="2" t="s">
        <v>762</v>
      </c>
      <c r="D50" t="s">
        <v>6168</v>
      </c>
      <c r="E50" s="2">
        <v>4</v>
      </c>
      <c r="F50" s="2" t="str">
        <f>_xlfn.XLOOKUP(Orders[[#This Row],[Customer ID]],customers!$A$1:$A$1001,customers!$B$1:$B$1001,,0)</f>
        <v>Raynor McGilvary</v>
      </c>
      <c r="G50" s="2" t="str">
        <f>IF(_xlfn.XLOOKUP(C50,customers!$A$1:$A$1001,customers!C49:C1049,,0)=0,"",_xlfn.XLOOKUP(C50,customers!$A$1:$A$1001,customers!C49:C1049,,0))</f>
        <v>vkirdsch2o@google.fr</v>
      </c>
      <c r="H50" s="2" t="str">
        <f>_xlfn.XLOOKUP(Orders[[#This Row],[Customer ID]],customers!$A$1:$A$1001,customers!$G$1:$G$1001,,0)</f>
        <v>United States</v>
      </c>
      <c r="I50" s="2" t="str">
        <f>_xlfn.XLOOKUP(Orders[[#This Row],[Customer ID]],customers!$A$1:$A$1001,customers!$F$1:$F$1001,,0)</f>
        <v>Norfolk</v>
      </c>
      <c r="J50" t="str">
        <f>INDEX(products!$A$1:$G$49,MATCH(orders!$D50,products!$A$1:$A$49,0),MATCH(orders!J$1,products!$A$1:$G$1,0))</f>
        <v>Ara</v>
      </c>
      <c r="K50" t="str">
        <f>INDEX(products!$A$1:$G$49,MATCH(orders!$D50,products!$A$1:$A$49,0),MATCH(orders!K$1,products!$A$1:$G$1,0))</f>
        <v>D</v>
      </c>
      <c r="L50" s="4">
        <f>INDEX(products!$A$1:$G$49,MATCH(orders!$D50,products!$A$1:$A$49,0),MATCH(orders!L$1,products!$A$1:$G$1,0))</f>
        <v>2.5</v>
      </c>
      <c r="M50" s="5">
        <f>INDEX(products!$A$1:$G$49,MATCH(orders!$D50,products!$A$1:$A$49,0),MATCH(orders!M$1,products!$A$1:$G$1,0))</f>
        <v>22.884999999999998</v>
      </c>
      <c r="N50" s="5">
        <f>Orders[[#This Row],[Quantity]]*(INDEX(products!$A$1:$G$49,MATCH(orders!$D50,products!$A$1:$A$49,0),MATCH(orders!N$1,products!$A$1:$G$1,0)))</f>
        <v>8.2385999999999981</v>
      </c>
      <c r="O50" s="5">
        <f>M50*E50</f>
        <v>91.539999999999992</v>
      </c>
      <c r="P50" t="str">
        <f t="shared" si="0"/>
        <v>Arabica</v>
      </c>
      <c r="Q50" t="str">
        <f t="shared" si="1"/>
        <v>Dark</v>
      </c>
      <c r="R50" t="str">
        <f>_xlfn.XLOOKUP(Orders[[#This Row],[Customer ID]],customers!$A$1:$A$1001,customers!$I$1:$I$1001,,0)</f>
        <v>No</v>
      </c>
    </row>
    <row r="51" spans="1:18" x14ac:dyDescent="0.35">
      <c r="A51" s="2" t="s">
        <v>766</v>
      </c>
      <c r="B51" s="3">
        <v>44790</v>
      </c>
      <c r="C51" s="2" t="s">
        <v>767</v>
      </c>
      <c r="D51" t="s">
        <v>6140</v>
      </c>
      <c r="E51" s="2">
        <v>3</v>
      </c>
      <c r="F51" s="2" t="str">
        <f>_xlfn.XLOOKUP(Orders[[#This Row],[Customer ID]],customers!$A$1:$A$1001,customers!$B$1:$B$1001,,0)</f>
        <v>Isis Pikett</v>
      </c>
      <c r="G51" s="2" t="str">
        <f>IF(_xlfn.XLOOKUP(C51,customers!$A$1:$A$1001,customers!C50:C1050,,0)=0,"",_xlfn.XLOOKUP(C51,customers!$A$1:$A$1001,customers!C50:C1050,,0))</f>
        <v/>
      </c>
      <c r="H51" s="2" t="str">
        <f>_xlfn.XLOOKUP(Orders[[#This Row],[Customer ID]],customers!$A$1:$A$1001,customers!$G$1:$G$1001,,0)</f>
        <v>United States</v>
      </c>
      <c r="I51" s="2" t="str">
        <f>_xlfn.XLOOKUP(Orders[[#This Row],[Customer ID]],customers!$A$1:$A$1001,customers!$F$1:$F$1001,,0)</f>
        <v>Washington</v>
      </c>
      <c r="J51" t="str">
        <f>INDEX(products!$A$1:$G$49,MATCH(orders!$D51,products!$A$1:$A$49,0),MATCH(orders!J$1,products!$A$1:$G$1,0))</f>
        <v>Ara</v>
      </c>
      <c r="K51" t="str">
        <f>INDEX(products!$A$1:$G$49,MATCH(orders!$D51,products!$A$1:$A$49,0),MATCH(orders!K$1,products!$A$1:$G$1,0))</f>
        <v>L</v>
      </c>
      <c r="L51" s="4">
        <f>INDEX(products!$A$1:$G$49,MATCH(orders!$D51,products!$A$1:$A$49,0),MATCH(orders!L$1,products!$A$1:$G$1,0))</f>
        <v>1</v>
      </c>
      <c r="M51" s="5">
        <f>INDEX(products!$A$1:$G$49,MATCH(orders!$D51,products!$A$1:$A$49,0),MATCH(orders!M$1,products!$A$1:$G$1,0))</f>
        <v>12.95</v>
      </c>
      <c r="N51" s="5">
        <f>Orders[[#This Row],[Quantity]]*(INDEX(products!$A$1:$G$49,MATCH(orders!$D51,products!$A$1:$A$49,0),MATCH(orders!N$1,products!$A$1:$G$1,0)))</f>
        <v>3.4965000000000002</v>
      </c>
      <c r="O51" s="5">
        <f>M51*E51</f>
        <v>38.849999999999994</v>
      </c>
      <c r="P51" t="str">
        <f t="shared" si="0"/>
        <v>Arabica</v>
      </c>
      <c r="Q51" t="str">
        <f t="shared" si="1"/>
        <v>Light</v>
      </c>
      <c r="R51" t="str">
        <f>_xlfn.XLOOKUP(Orders[[#This Row],[Customer ID]],customers!$A$1:$A$1001,customers!$I$1:$I$1001,,0)</f>
        <v>No</v>
      </c>
    </row>
    <row r="52" spans="1:18" x14ac:dyDescent="0.35">
      <c r="A52" s="2" t="s">
        <v>772</v>
      </c>
      <c r="B52" s="3">
        <v>44792</v>
      </c>
      <c r="C52" s="2" t="s">
        <v>773</v>
      </c>
      <c r="D52" t="s">
        <v>6169</v>
      </c>
      <c r="E52" s="2">
        <v>2</v>
      </c>
      <c r="F52" s="2" t="str">
        <f>_xlfn.XLOOKUP(Orders[[#This Row],[Customer ID]],customers!$A$1:$A$1001,customers!$B$1:$B$1001,,0)</f>
        <v>Inger Bouldon</v>
      </c>
      <c r="G52" s="2" t="str">
        <f>IF(_xlfn.XLOOKUP(C52,customers!$A$1:$A$1001,customers!C51:C1051,,0)=0,"",_xlfn.XLOOKUP(C52,customers!$A$1:$A$1001,customers!C51:C1051,,0))</f>
        <v/>
      </c>
      <c r="H52" s="2" t="str">
        <f>_xlfn.XLOOKUP(Orders[[#This Row],[Customer ID]],customers!$A$1:$A$1001,customers!$G$1:$G$1001,,0)</f>
        <v>United States</v>
      </c>
      <c r="I52" s="2" t="str">
        <f>_xlfn.XLOOKUP(Orders[[#This Row],[Customer ID]],customers!$A$1:$A$1001,customers!$F$1:$F$1001,,0)</f>
        <v>Fort Lauderdale</v>
      </c>
      <c r="J52" t="str">
        <f>INDEX(products!$A$1:$G$49,MATCH(orders!$D52,products!$A$1:$A$49,0),MATCH(orders!J$1,products!$A$1:$G$1,0))</f>
        <v>Lib</v>
      </c>
      <c r="K52" t="str">
        <f>INDEX(products!$A$1:$G$49,MATCH(orders!$D52,products!$A$1:$A$49,0),MATCH(orders!K$1,products!$A$1:$G$1,0))</f>
        <v>D</v>
      </c>
      <c r="L52" s="4">
        <f>INDEX(products!$A$1:$G$49,MATCH(orders!$D52,products!$A$1:$A$49,0),MATCH(orders!L$1,products!$A$1:$G$1,0))</f>
        <v>0.5</v>
      </c>
      <c r="M52" s="5">
        <f>INDEX(products!$A$1:$G$49,MATCH(orders!$D52,products!$A$1:$A$49,0),MATCH(orders!M$1,products!$A$1:$G$1,0))</f>
        <v>7.77</v>
      </c>
      <c r="N52" s="5">
        <f>Orders[[#This Row],[Quantity]]*(INDEX(products!$A$1:$G$49,MATCH(orders!$D52,products!$A$1:$A$49,0),MATCH(orders!N$1,products!$A$1:$G$1,0)))</f>
        <v>2.0202</v>
      </c>
      <c r="O52" s="5">
        <f>M52*E52</f>
        <v>15.54</v>
      </c>
      <c r="P52" t="str">
        <f t="shared" si="0"/>
        <v>Liberica</v>
      </c>
      <c r="Q52" t="str">
        <f t="shared" si="1"/>
        <v>Dark</v>
      </c>
      <c r="R52" t="str">
        <f>_xlfn.XLOOKUP(Orders[[#This Row],[Customer ID]],customers!$A$1:$A$1001,customers!$I$1:$I$1001,,0)</f>
        <v>No</v>
      </c>
    </row>
    <row r="53" spans="1:18" x14ac:dyDescent="0.35">
      <c r="A53" s="2" t="s">
        <v>778</v>
      </c>
      <c r="B53" s="3">
        <v>43600</v>
      </c>
      <c r="C53" s="2" t="s">
        <v>779</v>
      </c>
      <c r="D53" t="s">
        <v>6164</v>
      </c>
      <c r="E53" s="2">
        <v>4</v>
      </c>
      <c r="F53" s="2" t="str">
        <f>_xlfn.XLOOKUP(Orders[[#This Row],[Customer ID]],customers!$A$1:$A$1001,customers!$B$1:$B$1001,,0)</f>
        <v>Karry Flanders</v>
      </c>
      <c r="G53" s="2" t="str">
        <f>IF(_xlfn.XLOOKUP(C53,customers!$A$1:$A$1001,customers!C52:C1052,,0)=0,"",_xlfn.XLOOKUP(C53,customers!$A$1:$A$1001,customers!C52:C1052,,0))</f>
        <v>daizikovitz2u@answers.com</v>
      </c>
      <c r="H53" s="2" t="str">
        <f>_xlfn.XLOOKUP(Orders[[#This Row],[Customer ID]],customers!$A$1:$A$1001,customers!$G$1:$G$1001,,0)</f>
        <v>Ireland</v>
      </c>
      <c r="I53" s="2" t="str">
        <f>_xlfn.XLOOKUP(Orders[[#This Row],[Customer ID]],customers!$A$1:$A$1001,customers!$F$1:$F$1001,,0)</f>
        <v>Crumlin</v>
      </c>
      <c r="J53" t="str">
        <f>INDEX(products!$A$1:$G$49,MATCH(orders!$D53,products!$A$1:$A$49,0),MATCH(orders!J$1,products!$A$1:$G$1,0))</f>
        <v>Lib</v>
      </c>
      <c r="K53" t="str">
        <f>INDEX(products!$A$1:$G$49,MATCH(orders!$D53,products!$A$1:$A$49,0),MATCH(orders!K$1,products!$A$1:$G$1,0))</f>
        <v>L</v>
      </c>
      <c r="L53" s="4">
        <f>INDEX(products!$A$1:$G$49,MATCH(orders!$D53,products!$A$1:$A$49,0),MATCH(orders!L$1,products!$A$1:$G$1,0))</f>
        <v>2.5</v>
      </c>
      <c r="M53" s="5">
        <f>INDEX(products!$A$1:$G$49,MATCH(orders!$D53,products!$A$1:$A$49,0),MATCH(orders!M$1,products!$A$1:$G$1,0))</f>
        <v>36.454999999999998</v>
      </c>
      <c r="N53" s="5">
        <f>Orders[[#This Row],[Quantity]]*(INDEX(products!$A$1:$G$49,MATCH(orders!$D53,products!$A$1:$A$49,0),MATCH(orders!N$1,products!$A$1:$G$1,0)))</f>
        <v>18.956599999999998</v>
      </c>
      <c r="O53" s="5">
        <f>M53*E53</f>
        <v>145.82</v>
      </c>
      <c r="P53" t="str">
        <f t="shared" si="0"/>
        <v>Liberica</v>
      </c>
      <c r="Q53" t="str">
        <f t="shared" si="1"/>
        <v>Light</v>
      </c>
      <c r="R53" t="str">
        <f>_xlfn.XLOOKUP(Orders[[#This Row],[Customer ID]],customers!$A$1:$A$1001,customers!$I$1:$I$1001,,0)</f>
        <v>Yes</v>
      </c>
    </row>
    <row r="54" spans="1:18" x14ac:dyDescent="0.35">
      <c r="A54" s="2" t="s">
        <v>784</v>
      </c>
      <c r="B54" s="3">
        <v>43719</v>
      </c>
      <c r="C54" s="2" t="s">
        <v>785</v>
      </c>
      <c r="D54" t="s">
        <v>6146</v>
      </c>
      <c r="E54" s="2">
        <v>5</v>
      </c>
      <c r="F54" s="2" t="str">
        <f>_xlfn.XLOOKUP(Orders[[#This Row],[Customer ID]],customers!$A$1:$A$1001,customers!$B$1:$B$1001,,0)</f>
        <v>Hartley Mattioli</v>
      </c>
      <c r="G54" s="2" t="str">
        <f>IF(_xlfn.XLOOKUP(C54,customers!$A$1:$A$1001,customers!C53:C1053,,0)=0,"",_xlfn.XLOOKUP(C54,customers!$A$1:$A$1001,customers!C53:C1053,,0))</f>
        <v>epriddis2w@nationalgeographic.com</v>
      </c>
      <c r="H54" s="2" t="str">
        <f>_xlfn.XLOOKUP(Orders[[#This Row],[Customer ID]],customers!$A$1:$A$1001,customers!$G$1:$G$1001,,0)</f>
        <v>United Kingdom</v>
      </c>
      <c r="I54" s="2" t="str">
        <f>_xlfn.XLOOKUP(Orders[[#This Row],[Customer ID]],customers!$A$1:$A$1001,customers!$F$1:$F$1001,,0)</f>
        <v>Kinloch</v>
      </c>
      <c r="J54" t="str">
        <f>INDEX(products!$A$1:$G$49,MATCH(orders!$D54,products!$A$1:$A$49,0),MATCH(orders!J$1,products!$A$1:$G$1,0))</f>
        <v>Rob</v>
      </c>
      <c r="K54" t="str">
        <f>INDEX(products!$A$1:$G$49,MATCH(orders!$D54,products!$A$1:$A$49,0),MATCH(orders!K$1,products!$A$1:$G$1,0))</f>
        <v>M</v>
      </c>
      <c r="L54" s="4">
        <f>INDEX(products!$A$1:$G$49,MATCH(orders!$D54,products!$A$1:$A$49,0),MATCH(orders!L$1,products!$A$1:$G$1,0))</f>
        <v>0.5</v>
      </c>
      <c r="M54" s="5">
        <f>INDEX(products!$A$1:$G$49,MATCH(orders!$D54,products!$A$1:$A$49,0),MATCH(orders!M$1,products!$A$1:$G$1,0))</f>
        <v>5.97</v>
      </c>
      <c r="N54" s="5">
        <f>Orders[[#This Row],[Quantity]]*(INDEX(products!$A$1:$G$49,MATCH(orders!$D54,products!$A$1:$A$49,0),MATCH(orders!N$1,products!$A$1:$G$1,0)))</f>
        <v>1.7909999999999999</v>
      </c>
      <c r="O54" s="5">
        <f>M54*E54</f>
        <v>29.849999999999998</v>
      </c>
      <c r="P54" t="str">
        <f t="shared" si="0"/>
        <v>Robusta</v>
      </c>
      <c r="Q54" t="str">
        <f t="shared" si="1"/>
        <v>Medium</v>
      </c>
      <c r="R54" t="str">
        <f>_xlfn.XLOOKUP(Orders[[#This Row],[Customer ID]],customers!$A$1:$A$1001,customers!$I$1:$I$1001,,0)</f>
        <v>No</v>
      </c>
    </row>
    <row r="55" spans="1:18" x14ac:dyDescent="0.35">
      <c r="A55" s="2" t="s">
        <v>784</v>
      </c>
      <c r="B55" s="3">
        <v>43719</v>
      </c>
      <c r="C55" s="2" t="s">
        <v>785</v>
      </c>
      <c r="D55" t="s">
        <v>6164</v>
      </c>
      <c r="E55" s="2">
        <v>2</v>
      </c>
      <c r="F55" s="2" t="str">
        <f>_xlfn.XLOOKUP(Orders[[#This Row],[Customer ID]],customers!$A$1:$A$1001,customers!$B$1:$B$1001,,0)</f>
        <v>Hartley Mattioli</v>
      </c>
      <c r="G55" s="2" t="str">
        <f>IF(_xlfn.XLOOKUP(C55,customers!$A$1:$A$1001,customers!C54:C1054,,0)=0,"",_xlfn.XLOOKUP(C55,customers!$A$1:$A$1001,customers!C54:C1054,,0))</f>
        <v>qveel2x@jugem.jp</v>
      </c>
      <c r="H55" s="2" t="str">
        <f>_xlfn.XLOOKUP(Orders[[#This Row],[Customer ID]],customers!$A$1:$A$1001,customers!$G$1:$G$1001,,0)</f>
        <v>United Kingdom</v>
      </c>
      <c r="I55" s="2" t="str">
        <f>_xlfn.XLOOKUP(Orders[[#This Row],[Customer ID]],customers!$A$1:$A$1001,customers!$F$1:$F$1001,,0)</f>
        <v>Kinloch</v>
      </c>
      <c r="J55" t="str">
        <f>INDEX(products!$A$1:$G$49,MATCH(orders!$D55,products!$A$1:$A$49,0),MATCH(orders!J$1,products!$A$1:$G$1,0))</f>
        <v>Lib</v>
      </c>
      <c r="K55" t="str">
        <f>INDEX(products!$A$1:$G$49,MATCH(orders!$D55,products!$A$1:$A$49,0),MATCH(orders!K$1,products!$A$1:$G$1,0))</f>
        <v>L</v>
      </c>
      <c r="L55" s="4">
        <f>INDEX(products!$A$1:$G$49,MATCH(orders!$D55,products!$A$1:$A$49,0),MATCH(orders!L$1,products!$A$1:$G$1,0))</f>
        <v>2.5</v>
      </c>
      <c r="M55" s="5">
        <f>INDEX(products!$A$1:$G$49,MATCH(orders!$D55,products!$A$1:$A$49,0),MATCH(orders!M$1,products!$A$1:$G$1,0))</f>
        <v>36.454999999999998</v>
      </c>
      <c r="N55" s="5">
        <f>Orders[[#This Row],[Quantity]]*(INDEX(products!$A$1:$G$49,MATCH(orders!$D55,products!$A$1:$A$49,0),MATCH(orders!N$1,products!$A$1:$G$1,0)))</f>
        <v>9.4782999999999991</v>
      </c>
      <c r="O55" s="5">
        <f>M55*E55</f>
        <v>72.91</v>
      </c>
      <c r="P55" t="str">
        <f t="shared" si="0"/>
        <v>Liberica</v>
      </c>
      <c r="Q55" t="str">
        <f t="shared" si="1"/>
        <v>Light</v>
      </c>
      <c r="R55" t="str">
        <f>_xlfn.XLOOKUP(Orders[[#This Row],[Customer ID]],customers!$A$1:$A$1001,customers!$I$1:$I$1001,,0)</f>
        <v>No</v>
      </c>
    </row>
    <row r="56" spans="1:18" x14ac:dyDescent="0.35">
      <c r="A56" s="2" t="s">
        <v>794</v>
      </c>
      <c r="B56" s="3">
        <v>44271</v>
      </c>
      <c r="C56" s="2" t="s">
        <v>795</v>
      </c>
      <c r="D56" t="s">
        <v>6162</v>
      </c>
      <c r="E56" s="2">
        <v>5</v>
      </c>
      <c r="F56" s="2" t="str">
        <f>_xlfn.XLOOKUP(Orders[[#This Row],[Customer ID]],customers!$A$1:$A$1001,customers!$B$1:$B$1001,,0)</f>
        <v>Archambault Gillard</v>
      </c>
      <c r="G56" s="2" t="str">
        <f>IF(_xlfn.XLOOKUP(C56,customers!$A$1:$A$1001,customers!C55:C1055,,0)=0,"",_xlfn.XLOOKUP(C56,customers!$A$1:$A$1001,customers!C55:C1055,,0))</f>
        <v/>
      </c>
      <c r="H56" s="2" t="str">
        <f>_xlfn.XLOOKUP(Orders[[#This Row],[Customer ID]],customers!$A$1:$A$1001,customers!$G$1:$G$1001,,0)</f>
        <v>United States</v>
      </c>
      <c r="I56" s="2" t="str">
        <f>_xlfn.XLOOKUP(Orders[[#This Row],[Customer ID]],customers!$A$1:$A$1001,customers!$F$1:$F$1001,,0)</f>
        <v>Toledo</v>
      </c>
      <c r="J56" t="str">
        <f>INDEX(products!$A$1:$G$49,MATCH(orders!$D56,products!$A$1:$A$49,0),MATCH(orders!J$1,products!$A$1:$G$1,0))</f>
        <v>Lib</v>
      </c>
      <c r="K56" t="str">
        <f>INDEX(products!$A$1:$G$49,MATCH(orders!$D56,products!$A$1:$A$49,0),MATCH(orders!K$1,products!$A$1:$G$1,0))</f>
        <v>M</v>
      </c>
      <c r="L56" s="4">
        <f>INDEX(products!$A$1:$G$49,MATCH(orders!$D56,products!$A$1:$A$49,0),MATCH(orders!L$1,products!$A$1:$G$1,0))</f>
        <v>1</v>
      </c>
      <c r="M56" s="5">
        <f>INDEX(products!$A$1:$G$49,MATCH(orders!$D56,products!$A$1:$A$49,0),MATCH(orders!M$1,products!$A$1:$G$1,0))</f>
        <v>14.55</v>
      </c>
      <c r="N56" s="5">
        <f>Orders[[#This Row],[Quantity]]*(INDEX(products!$A$1:$G$49,MATCH(orders!$D56,products!$A$1:$A$49,0),MATCH(orders!N$1,products!$A$1:$G$1,0)))</f>
        <v>9.4575000000000014</v>
      </c>
      <c r="O56" s="5">
        <f>M56*E56</f>
        <v>72.75</v>
      </c>
      <c r="P56" t="str">
        <f t="shared" si="0"/>
        <v>Liberica</v>
      </c>
      <c r="Q56" t="str">
        <f t="shared" si="1"/>
        <v>Medium</v>
      </c>
      <c r="R56" t="str">
        <f>_xlfn.XLOOKUP(Orders[[#This Row],[Customer ID]],customers!$A$1:$A$1001,customers!$I$1:$I$1001,,0)</f>
        <v>No</v>
      </c>
    </row>
    <row r="57" spans="1:18" x14ac:dyDescent="0.35">
      <c r="A57" s="2" t="s">
        <v>800</v>
      </c>
      <c r="B57" s="3">
        <v>44168</v>
      </c>
      <c r="C57" s="2" t="s">
        <v>801</v>
      </c>
      <c r="D57" t="s">
        <v>6170</v>
      </c>
      <c r="E57" s="2">
        <v>3</v>
      </c>
      <c r="F57" s="2" t="str">
        <f>_xlfn.XLOOKUP(Orders[[#This Row],[Customer ID]],customers!$A$1:$A$1001,customers!$B$1:$B$1001,,0)</f>
        <v>Salomo Cushworth</v>
      </c>
      <c r="G57" s="2" t="str">
        <f>IF(_xlfn.XLOOKUP(C57,customers!$A$1:$A$1001,customers!C56:C1056,,0)=0,"",_xlfn.XLOOKUP(C57,customers!$A$1:$A$1001,customers!C56:C1056,,0))</f>
        <v>mredgrave32@cargocollective.com</v>
      </c>
      <c r="H57" s="2" t="str">
        <f>_xlfn.XLOOKUP(Orders[[#This Row],[Customer ID]],customers!$A$1:$A$1001,customers!$G$1:$G$1001,,0)</f>
        <v>United States</v>
      </c>
      <c r="I57" s="2" t="str">
        <f>_xlfn.XLOOKUP(Orders[[#This Row],[Customer ID]],customers!$A$1:$A$1001,customers!$F$1:$F$1001,,0)</f>
        <v>Trenton</v>
      </c>
      <c r="J57" t="str">
        <f>INDEX(products!$A$1:$G$49,MATCH(orders!$D57,products!$A$1:$A$49,0),MATCH(orders!J$1,products!$A$1:$G$1,0))</f>
        <v>Lib</v>
      </c>
      <c r="K57" t="str">
        <f>INDEX(products!$A$1:$G$49,MATCH(orders!$D57,products!$A$1:$A$49,0),MATCH(orders!K$1,products!$A$1:$G$1,0))</f>
        <v>L</v>
      </c>
      <c r="L57" s="4">
        <f>INDEX(products!$A$1:$G$49,MATCH(orders!$D57,products!$A$1:$A$49,0),MATCH(orders!L$1,products!$A$1:$G$1,0))</f>
        <v>1</v>
      </c>
      <c r="M57" s="5">
        <f>INDEX(products!$A$1:$G$49,MATCH(orders!$D57,products!$A$1:$A$49,0),MATCH(orders!M$1,products!$A$1:$G$1,0))</f>
        <v>15.85</v>
      </c>
      <c r="N57" s="5">
        <f>Orders[[#This Row],[Quantity]]*(INDEX(products!$A$1:$G$49,MATCH(orders!$D57,products!$A$1:$A$49,0),MATCH(orders!N$1,products!$A$1:$G$1,0)))</f>
        <v>6.1815000000000007</v>
      </c>
      <c r="O57" s="5">
        <f>M57*E57</f>
        <v>47.55</v>
      </c>
      <c r="P57" t="str">
        <f t="shared" si="0"/>
        <v>Liberica</v>
      </c>
      <c r="Q57" t="str">
        <f t="shared" si="1"/>
        <v>Light</v>
      </c>
      <c r="R57" t="str">
        <f>_xlfn.XLOOKUP(Orders[[#This Row],[Customer ID]],customers!$A$1:$A$1001,customers!$I$1:$I$1001,,0)</f>
        <v>No</v>
      </c>
    </row>
    <row r="58" spans="1:18" x14ac:dyDescent="0.35">
      <c r="A58" s="2" t="s">
        <v>805</v>
      </c>
      <c r="B58" s="3">
        <v>43857</v>
      </c>
      <c r="C58" s="2" t="s">
        <v>806</v>
      </c>
      <c r="D58" t="s">
        <v>6153</v>
      </c>
      <c r="E58" s="2">
        <v>3</v>
      </c>
      <c r="F58" s="2" t="str">
        <f>_xlfn.XLOOKUP(Orders[[#This Row],[Customer ID]],customers!$A$1:$A$1001,customers!$B$1:$B$1001,,0)</f>
        <v>Theda Grizard</v>
      </c>
      <c r="G58" s="2" t="str">
        <f>IF(_xlfn.XLOOKUP(C58,customers!$A$1:$A$1001,customers!C57:C1057,,0)=0,"",_xlfn.XLOOKUP(C58,customers!$A$1:$A$1001,customers!C57:C1057,,0))</f>
        <v>scritchlow34@un.org</v>
      </c>
      <c r="H58" s="2" t="str">
        <f>_xlfn.XLOOKUP(Orders[[#This Row],[Customer ID]],customers!$A$1:$A$1001,customers!$G$1:$G$1001,,0)</f>
        <v>United States</v>
      </c>
      <c r="I58" s="2" t="str">
        <f>_xlfn.XLOOKUP(Orders[[#This Row],[Customer ID]],customers!$A$1:$A$1001,customers!$F$1:$F$1001,,0)</f>
        <v>Tampa</v>
      </c>
      <c r="J58" t="str">
        <f>INDEX(products!$A$1:$G$49,MATCH(orders!$D58,products!$A$1:$A$49,0),MATCH(orders!J$1,products!$A$1:$G$1,0))</f>
        <v>Exc</v>
      </c>
      <c r="K58" t="str">
        <f>INDEX(products!$A$1:$G$49,MATCH(orders!$D58,products!$A$1:$A$49,0),MATCH(orders!K$1,products!$A$1:$G$1,0))</f>
        <v>D</v>
      </c>
      <c r="L58" s="4">
        <f>INDEX(products!$A$1:$G$49,MATCH(orders!$D58,products!$A$1:$A$49,0),MATCH(orders!L$1,products!$A$1:$G$1,0))</f>
        <v>0.2</v>
      </c>
      <c r="M58" s="5">
        <f>INDEX(products!$A$1:$G$49,MATCH(orders!$D58,products!$A$1:$A$49,0),MATCH(orders!M$1,products!$A$1:$G$1,0))</f>
        <v>3.645</v>
      </c>
      <c r="N58" s="5">
        <f>Orders[[#This Row],[Quantity]]*(INDEX(products!$A$1:$G$49,MATCH(orders!$D58,products!$A$1:$A$49,0),MATCH(orders!N$1,products!$A$1:$G$1,0)))</f>
        <v>1.2028500000000002</v>
      </c>
      <c r="O58" s="5">
        <f>M58*E58</f>
        <v>10.935</v>
      </c>
      <c r="P58" t="str">
        <f t="shared" si="0"/>
        <v>Excelsa</v>
      </c>
      <c r="Q58" t="str">
        <f t="shared" si="1"/>
        <v>Dark</v>
      </c>
      <c r="R58" t="str">
        <f>_xlfn.XLOOKUP(Orders[[#This Row],[Customer ID]],customers!$A$1:$A$1001,customers!$I$1:$I$1001,,0)</f>
        <v>Yes</v>
      </c>
    </row>
    <row r="59" spans="1:18" x14ac:dyDescent="0.35">
      <c r="A59" s="2" t="s">
        <v>811</v>
      </c>
      <c r="B59" s="3">
        <v>44759</v>
      </c>
      <c r="C59" s="2" t="s">
        <v>812</v>
      </c>
      <c r="D59" t="s">
        <v>6171</v>
      </c>
      <c r="E59" s="2">
        <v>4</v>
      </c>
      <c r="F59" s="2" t="str">
        <f>_xlfn.XLOOKUP(Orders[[#This Row],[Customer ID]],customers!$A$1:$A$1001,customers!$B$1:$B$1001,,0)</f>
        <v>Rozele Relton</v>
      </c>
      <c r="G59" s="2" t="str">
        <f>IF(_xlfn.XLOOKUP(C59,customers!$A$1:$A$1001,customers!C58:C1058,,0)=0,"",_xlfn.XLOOKUP(C59,customers!$A$1:$A$1001,customers!C58:C1058,,0))</f>
        <v/>
      </c>
      <c r="H59" s="2" t="str">
        <f>_xlfn.XLOOKUP(Orders[[#This Row],[Customer ID]],customers!$A$1:$A$1001,customers!$G$1:$G$1001,,0)</f>
        <v>United States</v>
      </c>
      <c r="I59" s="2" t="str">
        <f>_xlfn.XLOOKUP(Orders[[#This Row],[Customer ID]],customers!$A$1:$A$1001,customers!$F$1:$F$1001,,0)</f>
        <v>Pensacola</v>
      </c>
      <c r="J59" t="str">
        <f>INDEX(products!$A$1:$G$49,MATCH(orders!$D59,products!$A$1:$A$49,0),MATCH(orders!J$1,products!$A$1:$G$1,0))</f>
        <v>Exc</v>
      </c>
      <c r="K59" t="str">
        <f>INDEX(products!$A$1:$G$49,MATCH(orders!$D59,products!$A$1:$A$49,0),MATCH(orders!K$1,products!$A$1:$G$1,0))</f>
        <v>L</v>
      </c>
      <c r="L59" s="4">
        <f>INDEX(products!$A$1:$G$49,MATCH(orders!$D59,products!$A$1:$A$49,0),MATCH(orders!L$1,products!$A$1:$G$1,0))</f>
        <v>1</v>
      </c>
      <c r="M59" s="5">
        <f>INDEX(products!$A$1:$G$49,MATCH(orders!$D59,products!$A$1:$A$49,0),MATCH(orders!M$1,products!$A$1:$G$1,0))</f>
        <v>14.85</v>
      </c>
      <c r="N59" s="5">
        <f>Orders[[#This Row],[Quantity]]*(INDEX(products!$A$1:$G$49,MATCH(orders!$D59,products!$A$1:$A$49,0),MATCH(orders!N$1,products!$A$1:$G$1,0)))</f>
        <v>6.5339999999999998</v>
      </c>
      <c r="O59" s="5">
        <f>M59*E59</f>
        <v>59.4</v>
      </c>
      <c r="P59" t="str">
        <f t="shared" si="0"/>
        <v>Excelsa</v>
      </c>
      <c r="Q59" t="str">
        <f t="shared" si="1"/>
        <v>Light</v>
      </c>
      <c r="R59" t="str">
        <f>_xlfn.XLOOKUP(Orders[[#This Row],[Customer ID]],customers!$A$1:$A$1001,customers!$I$1:$I$1001,,0)</f>
        <v>No</v>
      </c>
    </row>
    <row r="60" spans="1:18" x14ac:dyDescent="0.35">
      <c r="A60" s="2" t="s">
        <v>817</v>
      </c>
      <c r="B60" s="3">
        <v>44624</v>
      </c>
      <c r="C60" s="2" t="s">
        <v>818</v>
      </c>
      <c r="D60" t="s">
        <v>6165</v>
      </c>
      <c r="E60" s="2">
        <v>3</v>
      </c>
      <c r="F60" s="2" t="str">
        <f>_xlfn.XLOOKUP(Orders[[#This Row],[Customer ID]],customers!$A$1:$A$1001,customers!$B$1:$B$1001,,0)</f>
        <v>Willa Rolling</v>
      </c>
      <c r="G60" s="2" t="str">
        <f>IF(_xlfn.XLOOKUP(C60,customers!$A$1:$A$1001,customers!C59:C1059,,0)=0,"",_xlfn.XLOOKUP(C60,customers!$A$1:$A$1001,customers!C59:C1059,,0))</f>
        <v>gstandley38@dion.ne.jp</v>
      </c>
      <c r="H60" s="2" t="str">
        <f>_xlfn.XLOOKUP(Orders[[#This Row],[Customer ID]],customers!$A$1:$A$1001,customers!$G$1:$G$1001,,0)</f>
        <v>United States</v>
      </c>
      <c r="I60" s="2" t="str">
        <f>_xlfn.XLOOKUP(Orders[[#This Row],[Customer ID]],customers!$A$1:$A$1001,customers!$F$1:$F$1001,,0)</f>
        <v>Zephyrhills</v>
      </c>
      <c r="J60" t="str">
        <f>INDEX(products!$A$1:$G$49,MATCH(orders!$D60,products!$A$1:$A$49,0),MATCH(orders!J$1,products!$A$1:$G$1,0))</f>
        <v>Lib</v>
      </c>
      <c r="K60" t="str">
        <f>INDEX(products!$A$1:$G$49,MATCH(orders!$D60,products!$A$1:$A$49,0),MATCH(orders!K$1,products!$A$1:$G$1,0))</f>
        <v>D</v>
      </c>
      <c r="L60" s="4">
        <f>INDEX(products!$A$1:$G$49,MATCH(orders!$D60,products!$A$1:$A$49,0),MATCH(orders!L$1,products!$A$1:$G$1,0))</f>
        <v>2.5</v>
      </c>
      <c r="M60" s="5">
        <f>INDEX(products!$A$1:$G$49,MATCH(orders!$D60,products!$A$1:$A$49,0),MATCH(orders!M$1,products!$A$1:$G$1,0))</f>
        <v>29.784999999999997</v>
      </c>
      <c r="N60" s="5">
        <f>Orders[[#This Row],[Quantity]]*(INDEX(products!$A$1:$G$49,MATCH(orders!$D60,products!$A$1:$A$49,0),MATCH(orders!N$1,products!$A$1:$G$1,0)))</f>
        <v>11.616149999999999</v>
      </c>
      <c r="O60" s="5">
        <f>M60*E60</f>
        <v>89.35499999999999</v>
      </c>
      <c r="P60" t="str">
        <f t="shared" si="0"/>
        <v>Liberica</v>
      </c>
      <c r="Q60" t="str">
        <f t="shared" si="1"/>
        <v>Dark</v>
      </c>
      <c r="R60" t="str">
        <f>_xlfn.XLOOKUP(Orders[[#This Row],[Customer ID]],customers!$A$1:$A$1001,customers!$I$1:$I$1001,,0)</f>
        <v>Yes</v>
      </c>
    </row>
    <row r="61" spans="1:18" x14ac:dyDescent="0.35">
      <c r="A61" s="2" t="s">
        <v>822</v>
      </c>
      <c r="B61" s="3">
        <v>44537</v>
      </c>
      <c r="C61" s="2" t="s">
        <v>823</v>
      </c>
      <c r="D61" t="s">
        <v>6160</v>
      </c>
      <c r="E61" s="2">
        <v>3</v>
      </c>
      <c r="F61" s="2" t="str">
        <f>_xlfn.XLOOKUP(Orders[[#This Row],[Customer ID]],customers!$A$1:$A$1001,customers!$B$1:$B$1001,,0)</f>
        <v>Stanislaus Gilroy</v>
      </c>
      <c r="G61" s="2" t="str">
        <f>IF(_xlfn.XLOOKUP(C61,customers!$A$1:$A$1001,customers!C60:C1060,,0)=0,"",_xlfn.XLOOKUP(C61,customers!$A$1:$A$1001,customers!C60:C1060,,0))</f>
        <v>myallop3a@fema.gov</v>
      </c>
      <c r="H61" s="2" t="str">
        <f>_xlfn.XLOOKUP(Orders[[#This Row],[Customer ID]],customers!$A$1:$A$1001,customers!$G$1:$G$1001,,0)</f>
        <v>United States</v>
      </c>
      <c r="I61" s="2" t="str">
        <f>_xlfn.XLOOKUP(Orders[[#This Row],[Customer ID]],customers!$A$1:$A$1001,customers!$F$1:$F$1001,,0)</f>
        <v>Saint Paul</v>
      </c>
      <c r="J61" t="str">
        <f>INDEX(products!$A$1:$G$49,MATCH(orders!$D61,products!$A$1:$A$49,0),MATCH(orders!J$1,products!$A$1:$G$1,0))</f>
        <v>Lib</v>
      </c>
      <c r="K61" t="str">
        <f>INDEX(products!$A$1:$G$49,MATCH(orders!$D61,products!$A$1:$A$49,0),MATCH(orders!K$1,products!$A$1:$G$1,0))</f>
        <v>M</v>
      </c>
      <c r="L61" s="4">
        <f>INDEX(products!$A$1:$G$49,MATCH(orders!$D61,products!$A$1:$A$49,0),MATCH(orders!L$1,products!$A$1:$G$1,0))</f>
        <v>0.5</v>
      </c>
      <c r="M61" s="5">
        <f>INDEX(products!$A$1:$G$49,MATCH(orders!$D61,products!$A$1:$A$49,0),MATCH(orders!M$1,products!$A$1:$G$1,0))</f>
        <v>8.73</v>
      </c>
      <c r="N61" s="5">
        <f>Orders[[#This Row],[Quantity]]*(INDEX(products!$A$1:$G$49,MATCH(orders!$D61,products!$A$1:$A$49,0),MATCH(orders!N$1,products!$A$1:$G$1,0)))</f>
        <v>3.4047000000000001</v>
      </c>
      <c r="O61" s="5">
        <f>M61*E61</f>
        <v>26.19</v>
      </c>
      <c r="P61" t="str">
        <f t="shared" si="0"/>
        <v>Liberica</v>
      </c>
      <c r="Q61" t="str">
        <f t="shared" si="1"/>
        <v>Medium</v>
      </c>
      <c r="R61" t="str">
        <f>_xlfn.XLOOKUP(Orders[[#This Row],[Customer ID]],customers!$A$1:$A$1001,customers!$I$1:$I$1001,,0)</f>
        <v>Yes</v>
      </c>
    </row>
    <row r="62" spans="1:18" x14ac:dyDescent="0.35">
      <c r="A62" s="2" t="s">
        <v>827</v>
      </c>
      <c r="B62" s="3">
        <v>44252</v>
      </c>
      <c r="C62" s="2" t="s">
        <v>828</v>
      </c>
      <c r="D62" t="s">
        <v>6168</v>
      </c>
      <c r="E62" s="2">
        <v>5</v>
      </c>
      <c r="F62" s="2" t="str">
        <f>_xlfn.XLOOKUP(Orders[[#This Row],[Customer ID]],customers!$A$1:$A$1001,customers!$B$1:$B$1001,,0)</f>
        <v>Correy Cottingham</v>
      </c>
      <c r="G62" s="2" t="str">
        <f>IF(_xlfn.XLOOKUP(C62,customers!$A$1:$A$1001,customers!C61:C1061,,0)=0,"",_xlfn.XLOOKUP(C62,customers!$A$1:$A$1001,customers!C61:C1061,,0))</f>
        <v>ehows3c@devhub.com</v>
      </c>
      <c r="H62" s="2" t="str">
        <f>_xlfn.XLOOKUP(Orders[[#This Row],[Customer ID]],customers!$A$1:$A$1001,customers!$G$1:$G$1001,,0)</f>
        <v>United States</v>
      </c>
      <c r="I62" s="2" t="str">
        <f>_xlfn.XLOOKUP(Orders[[#This Row],[Customer ID]],customers!$A$1:$A$1001,customers!$F$1:$F$1001,,0)</f>
        <v>Fort Wayne</v>
      </c>
      <c r="J62" t="str">
        <f>INDEX(products!$A$1:$G$49,MATCH(orders!$D62,products!$A$1:$A$49,0),MATCH(orders!J$1,products!$A$1:$G$1,0))</f>
        <v>Ara</v>
      </c>
      <c r="K62" t="str">
        <f>INDEX(products!$A$1:$G$49,MATCH(orders!$D62,products!$A$1:$A$49,0),MATCH(orders!K$1,products!$A$1:$G$1,0))</f>
        <v>D</v>
      </c>
      <c r="L62" s="4">
        <f>INDEX(products!$A$1:$G$49,MATCH(orders!$D62,products!$A$1:$A$49,0),MATCH(orders!L$1,products!$A$1:$G$1,0))</f>
        <v>2.5</v>
      </c>
      <c r="M62" s="5">
        <f>INDEX(products!$A$1:$G$49,MATCH(orders!$D62,products!$A$1:$A$49,0),MATCH(orders!M$1,products!$A$1:$G$1,0))</f>
        <v>22.884999999999998</v>
      </c>
      <c r="N62" s="5">
        <f>Orders[[#This Row],[Quantity]]*(INDEX(products!$A$1:$G$49,MATCH(orders!$D62,products!$A$1:$A$49,0),MATCH(orders!N$1,products!$A$1:$G$1,0)))</f>
        <v>10.298249999999998</v>
      </c>
      <c r="O62" s="5">
        <f>M62*E62</f>
        <v>114.42499999999998</v>
      </c>
      <c r="P62" t="str">
        <f t="shared" si="0"/>
        <v>Arabica</v>
      </c>
      <c r="Q62" t="str">
        <f t="shared" si="1"/>
        <v>Dark</v>
      </c>
      <c r="R62" t="str">
        <f>_xlfn.XLOOKUP(Orders[[#This Row],[Customer ID]],customers!$A$1:$A$1001,customers!$I$1:$I$1001,,0)</f>
        <v>No</v>
      </c>
    </row>
    <row r="63" spans="1:18" x14ac:dyDescent="0.35">
      <c r="A63" s="2" t="s">
        <v>833</v>
      </c>
      <c r="B63" s="3">
        <v>43521</v>
      </c>
      <c r="C63" s="2" t="s">
        <v>834</v>
      </c>
      <c r="D63" t="s">
        <v>6172</v>
      </c>
      <c r="E63" s="2">
        <v>5</v>
      </c>
      <c r="F63" s="2" t="str">
        <f>_xlfn.XLOOKUP(Orders[[#This Row],[Customer ID]],customers!$A$1:$A$1001,customers!$B$1:$B$1001,,0)</f>
        <v>Pammi Endacott</v>
      </c>
      <c r="G63" s="2" t="str">
        <f>IF(_xlfn.XLOOKUP(C63,customers!$A$1:$A$1001,customers!C62:C1062,,0)=0,"",_xlfn.XLOOKUP(C63,customers!$A$1:$A$1001,customers!C62:C1062,,0))</f>
        <v>mludwell3e@blogger.com</v>
      </c>
      <c r="H63" s="2" t="str">
        <f>_xlfn.XLOOKUP(Orders[[#This Row],[Customer ID]],customers!$A$1:$A$1001,customers!$G$1:$G$1001,,0)</f>
        <v>United Kingdom</v>
      </c>
      <c r="I63" s="2" t="str">
        <f>_xlfn.XLOOKUP(Orders[[#This Row],[Customer ID]],customers!$A$1:$A$1001,customers!$F$1:$F$1001,,0)</f>
        <v>Wootton</v>
      </c>
      <c r="J63" t="str">
        <f>INDEX(products!$A$1:$G$49,MATCH(orders!$D63,products!$A$1:$A$49,0),MATCH(orders!J$1,products!$A$1:$G$1,0))</f>
        <v>Rob</v>
      </c>
      <c r="K63" t="str">
        <f>INDEX(products!$A$1:$G$49,MATCH(orders!$D63,products!$A$1:$A$49,0),MATCH(orders!K$1,products!$A$1:$G$1,0))</f>
        <v>D</v>
      </c>
      <c r="L63" s="4">
        <f>INDEX(products!$A$1:$G$49,MATCH(orders!$D63,products!$A$1:$A$49,0),MATCH(orders!L$1,products!$A$1:$G$1,0))</f>
        <v>0.5</v>
      </c>
      <c r="M63" s="5">
        <f>INDEX(products!$A$1:$G$49,MATCH(orders!$D63,products!$A$1:$A$49,0),MATCH(orders!M$1,products!$A$1:$G$1,0))</f>
        <v>5.3699999999999992</v>
      </c>
      <c r="N63" s="5">
        <f>Orders[[#This Row],[Quantity]]*(INDEX(products!$A$1:$G$49,MATCH(orders!$D63,products!$A$1:$A$49,0),MATCH(orders!N$1,products!$A$1:$G$1,0)))</f>
        <v>1.6109999999999998</v>
      </c>
      <c r="O63" s="5">
        <f>M63*E63</f>
        <v>26.849999999999994</v>
      </c>
      <c r="P63" t="str">
        <f t="shared" si="0"/>
        <v>Robusta</v>
      </c>
      <c r="Q63" t="str">
        <f t="shared" si="1"/>
        <v>Dark</v>
      </c>
      <c r="R63" t="str">
        <f>_xlfn.XLOOKUP(Orders[[#This Row],[Customer ID]],customers!$A$1:$A$1001,customers!$I$1:$I$1001,,0)</f>
        <v>Yes</v>
      </c>
    </row>
    <row r="64" spans="1:18" x14ac:dyDescent="0.35">
      <c r="A64" s="2" t="s">
        <v>838</v>
      </c>
      <c r="B64" s="3">
        <v>43505</v>
      </c>
      <c r="C64" s="2" t="s">
        <v>839</v>
      </c>
      <c r="D64" t="s">
        <v>6145</v>
      </c>
      <c r="E64" s="2">
        <v>5</v>
      </c>
      <c r="F64" s="2" t="str">
        <f>_xlfn.XLOOKUP(Orders[[#This Row],[Customer ID]],customers!$A$1:$A$1001,customers!$B$1:$B$1001,,0)</f>
        <v>Nona Linklater</v>
      </c>
      <c r="G64" s="2" t="str">
        <f>IF(_xlfn.XLOOKUP(C64,customers!$A$1:$A$1001,customers!C63:C1063,,0)=0,"",_xlfn.XLOOKUP(C64,customers!$A$1:$A$1001,customers!C63:C1063,,0))</f>
        <v>srodliff3g@ted.com</v>
      </c>
      <c r="H64" s="2" t="str">
        <f>_xlfn.XLOOKUP(Orders[[#This Row],[Customer ID]],customers!$A$1:$A$1001,customers!$G$1:$G$1001,,0)</f>
        <v>United States</v>
      </c>
      <c r="I64" s="2" t="str">
        <f>_xlfn.XLOOKUP(Orders[[#This Row],[Customer ID]],customers!$A$1:$A$1001,customers!$F$1:$F$1001,,0)</f>
        <v>Naples</v>
      </c>
      <c r="J64" t="str">
        <f>INDEX(products!$A$1:$G$49,MATCH(orders!$D64,products!$A$1:$A$49,0),MATCH(orders!J$1,products!$A$1:$G$1,0))</f>
        <v>Lib</v>
      </c>
      <c r="K64" t="str">
        <f>INDEX(products!$A$1:$G$49,MATCH(orders!$D64,products!$A$1:$A$49,0),MATCH(orders!K$1,products!$A$1:$G$1,0))</f>
        <v>L</v>
      </c>
      <c r="L64" s="4">
        <f>INDEX(products!$A$1:$G$49,MATCH(orders!$D64,products!$A$1:$A$49,0),MATCH(orders!L$1,products!$A$1:$G$1,0))</f>
        <v>0.2</v>
      </c>
      <c r="M64" s="5">
        <f>INDEX(products!$A$1:$G$49,MATCH(orders!$D64,products!$A$1:$A$49,0),MATCH(orders!M$1,products!$A$1:$G$1,0))</f>
        <v>4.7549999999999999</v>
      </c>
      <c r="N64" s="5">
        <f>Orders[[#This Row],[Quantity]]*(INDEX(products!$A$1:$G$49,MATCH(orders!$D64,products!$A$1:$A$49,0),MATCH(orders!N$1,products!$A$1:$G$1,0)))</f>
        <v>3.0907499999999999</v>
      </c>
      <c r="O64" s="5">
        <f>M64*E64</f>
        <v>23.774999999999999</v>
      </c>
      <c r="P64" t="str">
        <f t="shared" si="0"/>
        <v>Liberica</v>
      </c>
      <c r="Q64" t="str">
        <f t="shared" si="1"/>
        <v>Light</v>
      </c>
      <c r="R64" t="str">
        <f>_xlfn.XLOOKUP(Orders[[#This Row],[Customer ID]],customers!$A$1:$A$1001,customers!$I$1:$I$1001,,0)</f>
        <v>Yes</v>
      </c>
    </row>
    <row r="65" spans="1:18" x14ac:dyDescent="0.35">
      <c r="A65" s="2" t="s">
        <v>843</v>
      </c>
      <c r="B65" s="3">
        <v>43868</v>
      </c>
      <c r="C65" s="2" t="s">
        <v>844</v>
      </c>
      <c r="D65" t="s">
        <v>6157</v>
      </c>
      <c r="E65" s="2">
        <v>1</v>
      </c>
      <c r="F65" s="2" t="str">
        <f>_xlfn.XLOOKUP(Orders[[#This Row],[Customer ID]],customers!$A$1:$A$1001,customers!$B$1:$B$1001,,0)</f>
        <v>Annadiane Dykes</v>
      </c>
      <c r="G65" s="2" t="str">
        <f>IF(_xlfn.XLOOKUP(C65,customers!$A$1:$A$1001,customers!C64:C1064,,0)=0,"",_xlfn.XLOOKUP(C65,customers!$A$1:$A$1001,customers!C64:C1064,,0))</f>
        <v>hsynnot3i@about.com</v>
      </c>
      <c r="H65" s="2" t="str">
        <f>_xlfn.XLOOKUP(Orders[[#This Row],[Customer ID]],customers!$A$1:$A$1001,customers!$G$1:$G$1001,,0)</f>
        <v>United States</v>
      </c>
      <c r="I65" s="2" t="str">
        <f>_xlfn.XLOOKUP(Orders[[#This Row],[Customer ID]],customers!$A$1:$A$1001,customers!$F$1:$F$1001,,0)</f>
        <v>Chicago</v>
      </c>
      <c r="J65" t="str">
        <f>INDEX(products!$A$1:$G$49,MATCH(orders!$D65,products!$A$1:$A$49,0),MATCH(orders!J$1,products!$A$1:$G$1,0))</f>
        <v>Ara</v>
      </c>
      <c r="K65" t="str">
        <f>INDEX(products!$A$1:$G$49,MATCH(orders!$D65,products!$A$1:$A$49,0),MATCH(orders!K$1,products!$A$1:$G$1,0))</f>
        <v>M</v>
      </c>
      <c r="L65" s="4">
        <f>INDEX(products!$A$1:$G$49,MATCH(orders!$D65,products!$A$1:$A$49,0),MATCH(orders!L$1,products!$A$1:$G$1,0))</f>
        <v>0.5</v>
      </c>
      <c r="M65" s="5">
        <f>INDEX(products!$A$1:$G$49,MATCH(orders!$D65,products!$A$1:$A$49,0),MATCH(orders!M$1,products!$A$1:$G$1,0))</f>
        <v>6.75</v>
      </c>
      <c r="N65" s="5">
        <f>Orders[[#This Row],[Quantity]]*(INDEX(products!$A$1:$G$49,MATCH(orders!$D65,products!$A$1:$A$49,0),MATCH(orders!N$1,products!$A$1:$G$1,0)))</f>
        <v>0.60749999999999993</v>
      </c>
      <c r="O65" s="5">
        <f>M65*E65</f>
        <v>6.75</v>
      </c>
      <c r="P65" t="str">
        <f t="shared" si="0"/>
        <v>Arabica</v>
      </c>
      <c r="Q65" t="str">
        <f t="shared" si="1"/>
        <v>Medium</v>
      </c>
      <c r="R65" t="str">
        <f>_xlfn.XLOOKUP(Orders[[#This Row],[Customer ID]],customers!$A$1:$A$1001,customers!$I$1:$I$1001,,0)</f>
        <v>No</v>
      </c>
    </row>
    <row r="66" spans="1:18" x14ac:dyDescent="0.35">
      <c r="A66" s="2" t="s">
        <v>849</v>
      </c>
      <c r="B66" s="3">
        <v>43913</v>
      </c>
      <c r="C66" s="2" t="s">
        <v>850</v>
      </c>
      <c r="D66" t="s">
        <v>6146</v>
      </c>
      <c r="E66" s="2">
        <v>6</v>
      </c>
      <c r="F66" s="2" t="str">
        <f>_xlfn.XLOOKUP(Orders[[#This Row],[Customer ID]],customers!$A$1:$A$1001,customers!$B$1:$B$1001,,0)</f>
        <v>Felecia Dodgson</v>
      </c>
      <c r="G66" s="2" t="str">
        <f>IF(_xlfn.XLOOKUP(C66,customers!$A$1:$A$1001,customers!C65:C1065,,0)=0,"",_xlfn.XLOOKUP(C66,customers!$A$1:$A$1001,customers!C65:C1065,,0))</f>
        <v>twoofinden3k@businesswire.com</v>
      </c>
      <c r="H66" s="2" t="str">
        <f>_xlfn.XLOOKUP(Orders[[#This Row],[Customer ID]],customers!$A$1:$A$1001,customers!$G$1:$G$1001,,0)</f>
        <v>United States</v>
      </c>
      <c r="I66" s="2" t="str">
        <f>_xlfn.XLOOKUP(Orders[[#This Row],[Customer ID]],customers!$A$1:$A$1001,customers!$F$1:$F$1001,,0)</f>
        <v>Newark</v>
      </c>
      <c r="J66" t="str">
        <f>INDEX(products!$A$1:$G$49,MATCH(orders!$D66,products!$A$1:$A$49,0),MATCH(orders!J$1,products!$A$1:$G$1,0))</f>
        <v>Rob</v>
      </c>
      <c r="K66" t="str">
        <f>INDEX(products!$A$1:$G$49,MATCH(orders!$D66,products!$A$1:$A$49,0),MATCH(orders!K$1,products!$A$1:$G$1,0))</f>
        <v>M</v>
      </c>
      <c r="L66" s="4">
        <f>INDEX(products!$A$1:$G$49,MATCH(orders!$D66,products!$A$1:$A$49,0),MATCH(orders!L$1,products!$A$1:$G$1,0))</f>
        <v>0.5</v>
      </c>
      <c r="M66" s="5">
        <f>INDEX(products!$A$1:$G$49,MATCH(orders!$D66,products!$A$1:$A$49,0),MATCH(orders!M$1,products!$A$1:$G$1,0))</f>
        <v>5.97</v>
      </c>
      <c r="N66" s="5">
        <f>Orders[[#This Row],[Quantity]]*(INDEX(products!$A$1:$G$49,MATCH(orders!$D66,products!$A$1:$A$49,0),MATCH(orders!N$1,products!$A$1:$G$1,0)))</f>
        <v>2.1491999999999996</v>
      </c>
      <c r="O66" s="5">
        <f>M66*E66</f>
        <v>35.82</v>
      </c>
      <c r="P66" t="str">
        <f t="shared" si="0"/>
        <v>Robusta</v>
      </c>
      <c r="Q66" t="str">
        <f t="shared" si="1"/>
        <v>Medium</v>
      </c>
      <c r="R66" t="str">
        <f>_xlfn.XLOOKUP(Orders[[#This Row],[Customer ID]],customers!$A$1:$A$1001,customers!$I$1:$I$1001,,0)</f>
        <v>Yes</v>
      </c>
    </row>
    <row r="67" spans="1:18" x14ac:dyDescent="0.35">
      <c r="A67" s="2" t="s">
        <v>854</v>
      </c>
      <c r="B67" s="3">
        <v>44626</v>
      </c>
      <c r="C67" s="2" t="s">
        <v>855</v>
      </c>
      <c r="D67" t="s">
        <v>6149</v>
      </c>
      <c r="E67" s="2">
        <v>4</v>
      </c>
      <c r="F67" s="2" t="str">
        <f>_xlfn.XLOOKUP(Orders[[#This Row],[Customer ID]],customers!$A$1:$A$1001,customers!$B$1:$B$1001,,0)</f>
        <v>Angelia Cockrem</v>
      </c>
      <c r="G67" s="2" t="str">
        <f>IF(_xlfn.XLOOKUP(C67,customers!$A$1:$A$1001,customers!C66:C1066,,0)=0,"",_xlfn.XLOOKUP(C67,customers!$A$1:$A$1001,customers!C66:C1066,,0))</f>
        <v/>
      </c>
      <c r="H67" s="2" t="str">
        <f>_xlfn.XLOOKUP(Orders[[#This Row],[Customer ID]],customers!$A$1:$A$1001,customers!$G$1:$G$1001,,0)</f>
        <v>United States</v>
      </c>
      <c r="I67" s="2" t="str">
        <f>_xlfn.XLOOKUP(Orders[[#This Row],[Customer ID]],customers!$A$1:$A$1001,customers!$F$1:$F$1001,,0)</f>
        <v>Vienna</v>
      </c>
      <c r="J67" t="str">
        <f>INDEX(products!$A$1:$G$49,MATCH(orders!$D67,products!$A$1:$A$49,0),MATCH(orders!J$1,products!$A$1:$G$1,0))</f>
        <v>Rob</v>
      </c>
      <c r="K67" t="str">
        <f>INDEX(products!$A$1:$G$49,MATCH(orders!$D67,products!$A$1:$A$49,0),MATCH(orders!K$1,products!$A$1:$G$1,0))</f>
        <v>D</v>
      </c>
      <c r="L67" s="4">
        <f>INDEX(products!$A$1:$G$49,MATCH(orders!$D67,products!$A$1:$A$49,0),MATCH(orders!L$1,products!$A$1:$G$1,0))</f>
        <v>2.5</v>
      </c>
      <c r="M67" s="5">
        <f>INDEX(products!$A$1:$G$49,MATCH(orders!$D67,products!$A$1:$A$49,0),MATCH(orders!M$1,products!$A$1:$G$1,0))</f>
        <v>20.584999999999997</v>
      </c>
      <c r="N67" s="5">
        <f>Orders[[#This Row],[Quantity]]*(INDEX(products!$A$1:$G$49,MATCH(orders!$D67,products!$A$1:$A$49,0),MATCH(orders!N$1,products!$A$1:$G$1,0)))</f>
        <v>4.9403999999999995</v>
      </c>
      <c r="O67" s="5">
        <f>M67*E67</f>
        <v>82.339999999999989</v>
      </c>
      <c r="P67" t="str">
        <f t="shared" ref="P67:P130" si="2">IF(J67="Rob","Robusta",IF(J67="Exc","Excelsa",IF(J67="Ara","Arabica",IF(J67="Lib","Liberica",""))))</f>
        <v>Robusta</v>
      </c>
      <c r="Q67" t="str">
        <f t="shared" ref="Q67:Q130" si="3">IF(K67="M", "Medium", IF(K67="L", "Light", IF(K67="D", "Dark", "")))</f>
        <v>Dark</v>
      </c>
      <c r="R67" t="str">
        <f>_xlfn.XLOOKUP(Orders[[#This Row],[Customer ID]],customers!$A$1:$A$1001,customers!$I$1:$I$1001,,0)</f>
        <v>Yes</v>
      </c>
    </row>
    <row r="68" spans="1:18" x14ac:dyDescent="0.35">
      <c r="A68" s="2" t="s">
        <v>860</v>
      </c>
      <c r="B68" s="3">
        <v>44666</v>
      </c>
      <c r="C68" s="2" t="s">
        <v>861</v>
      </c>
      <c r="D68" t="s">
        <v>6173</v>
      </c>
      <c r="E68" s="2">
        <v>1</v>
      </c>
      <c r="F68" s="2" t="str">
        <f>_xlfn.XLOOKUP(Orders[[#This Row],[Customer ID]],customers!$A$1:$A$1001,customers!$B$1:$B$1001,,0)</f>
        <v>Belvia Umpleby</v>
      </c>
      <c r="G68" s="2" t="str">
        <f>IF(_xlfn.XLOOKUP(C68,customers!$A$1:$A$1001,customers!C67:C1067,,0)=0,"",_xlfn.XLOOKUP(C68,customers!$A$1:$A$1001,customers!C67:C1067,,0))</f>
        <v>orobins3o@salon.com</v>
      </c>
      <c r="H68" s="2" t="str">
        <f>_xlfn.XLOOKUP(Orders[[#This Row],[Customer ID]],customers!$A$1:$A$1001,customers!$G$1:$G$1001,,0)</f>
        <v>United States</v>
      </c>
      <c r="I68" s="2" t="str">
        <f>_xlfn.XLOOKUP(Orders[[#This Row],[Customer ID]],customers!$A$1:$A$1001,customers!$F$1:$F$1001,,0)</f>
        <v>Fort Worth</v>
      </c>
      <c r="J68" t="str">
        <f>INDEX(products!$A$1:$G$49,MATCH(orders!$D68,products!$A$1:$A$49,0),MATCH(orders!J$1,products!$A$1:$G$1,0))</f>
        <v>Rob</v>
      </c>
      <c r="K68" t="str">
        <f>INDEX(products!$A$1:$G$49,MATCH(orders!$D68,products!$A$1:$A$49,0),MATCH(orders!K$1,products!$A$1:$G$1,0))</f>
        <v>L</v>
      </c>
      <c r="L68" s="4">
        <f>INDEX(products!$A$1:$G$49,MATCH(orders!$D68,products!$A$1:$A$49,0),MATCH(orders!L$1,products!$A$1:$G$1,0))</f>
        <v>0.5</v>
      </c>
      <c r="M68" s="5">
        <f>INDEX(products!$A$1:$G$49,MATCH(orders!$D68,products!$A$1:$A$49,0),MATCH(orders!M$1,products!$A$1:$G$1,0))</f>
        <v>7.169999999999999</v>
      </c>
      <c r="N68" s="5">
        <f>Orders[[#This Row],[Quantity]]*(INDEX(products!$A$1:$G$49,MATCH(orders!$D68,products!$A$1:$A$49,0),MATCH(orders!N$1,products!$A$1:$G$1,0)))</f>
        <v>0.43019999999999992</v>
      </c>
      <c r="O68" s="5">
        <f>M68*E68</f>
        <v>7.169999999999999</v>
      </c>
      <c r="P68" t="str">
        <f t="shared" si="2"/>
        <v>Robusta</v>
      </c>
      <c r="Q68" t="str">
        <f t="shared" si="3"/>
        <v>Light</v>
      </c>
      <c r="R68" t="str">
        <f>_xlfn.XLOOKUP(Orders[[#This Row],[Customer ID]],customers!$A$1:$A$1001,customers!$I$1:$I$1001,,0)</f>
        <v>Yes</v>
      </c>
    </row>
    <row r="69" spans="1:18" x14ac:dyDescent="0.35">
      <c r="A69" s="2" t="s">
        <v>866</v>
      </c>
      <c r="B69" s="3">
        <v>44519</v>
      </c>
      <c r="C69" s="2" t="s">
        <v>867</v>
      </c>
      <c r="D69" t="s">
        <v>6145</v>
      </c>
      <c r="E69" s="2">
        <v>2</v>
      </c>
      <c r="F69" s="2" t="str">
        <f>_xlfn.XLOOKUP(Orders[[#This Row],[Customer ID]],customers!$A$1:$A$1001,customers!$B$1:$B$1001,,0)</f>
        <v>Nat Saleway</v>
      </c>
      <c r="G69" s="2" t="str">
        <f>IF(_xlfn.XLOOKUP(C69,customers!$A$1:$A$1001,customers!C68:C1068,,0)=0,"",_xlfn.XLOOKUP(C69,customers!$A$1:$A$1001,customers!C68:C1068,,0))</f>
        <v/>
      </c>
      <c r="H69" s="2" t="str">
        <f>_xlfn.XLOOKUP(Orders[[#This Row],[Customer ID]],customers!$A$1:$A$1001,customers!$G$1:$G$1001,,0)</f>
        <v>United States</v>
      </c>
      <c r="I69" s="2" t="str">
        <f>_xlfn.XLOOKUP(Orders[[#This Row],[Customer ID]],customers!$A$1:$A$1001,customers!$F$1:$F$1001,,0)</f>
        <v>Burbank</v>
      </c>
      <c r="J69" t="str">
        <f>INDEX(products!$A$1:$G$49,MATCH(orders!$D69,products!$A$1:$A$49,0),MATCH(orders!J$1,products!$A$1:$G$1,0))</f>
        <v>Lib</v>
      </c>
      <c r="K69" t="str">
        <f>INDEX(products!$A$1:$G$49,MATCH(orders!$D69,products!$A$1:$A$49,0),MATCH(orders!K$1,products!$A$1:$G$1,0))</f>
        <v>L</v>
      </c>
      <c r="L69" s="4">
        <f>INDEX(products!$A$1:$G$49,MATCH(orders!$D69,products!$A$1:$A$49,0),MATCH(orders!L$1,products!$A$1:$G$1,0))</f>
        <v>0.2</v>
      </c>
      <c r="M69" s="5">
        <f>INDEX(products!$A$1:$G$49,MATCH(orders!$D69,products!$A$1:$A$49,0),MATCH(orders!M$1,products!$A$1:$G$1,0))</f>
        <v>4.7549999999999999</v>
      </c>
      <c r="N69" s="5">
        <f>Orders[[#This Row],[Quantity]]*(INDEX(products!$A$1:$G$49,MATCH(orders!$D69,products!$A$1:$A$49,0),MATCH(orders!N$1,products!$A$1:$G$1,0)))</f>
        <v>1.2363</v>
      </c>
      <c r="O69" s="5">
        <f>M69*E69</f>
        <v>9.51</v>
      </c>
      <c r="P69" t="str">
        <f t="shared" si="2"/>
        <v>Liberica</v>
      </c>
      <c r="Q69" t="str">
        <f t="shared" si="3"/>
        <v>Light</v>
      </c>
      <c r="R69" t="str">
        <f>_xlfn.XLOOKUP(Orders[[#This Row],[Customer ID]],customers!$A$1:$A$1001,customers!$I$1:$I$1001,,0)</f>
        <v>No</v>
      </c>
    </row>
    <row r="70" spans="1:18" x14ac:dyDescent="0.35">
      <c r="A70" s="2" t="s">
        <v>872</v>
      </c>
      <c r="B70" s="3">
        <v>43754</v>
      </c>
      <c r="C70" s="2" t="s">
        <v>873</v>
      </c>
      <c r="D70" t="s">
        <v>6174</v>
      </c>
      <c r="E70" s="2">
        <v>1</v>
      </c>
      <c r="F70" s="2" t="str">
        <f>_xlfn.XLOOKUP(Orders[[#This Row],[Customer ID]],customers!$A$1:$A$1001,customers!$B$1:$B$1001,,0)</f>
        <v>Hayward Goulter</v>
      </c>
      <c r="G70" s="2" t="str">
        <f>IF(_xlfn.XLOOKUP(C70,customers!$A$1:$A$1001,customers!C69:C1069,,0)=0,"",_xlfn.XLOOKUP(C70,customers!$A$1:$A$1001,customers!C69:C1069,,0))</f>
        <v>lkeenleyside3s@topsy.com</v>
      </c>
      <c r="H70" s="2" t="str">
        <f>_xlfn.XLOOKUP(Orders[[#This Row],[Customer ID]],customers!$A$1:$A$1001,customers!$G$1:$G$1001,,0)</f>
        <v>United States</v>
      </c>
      <c r="I70" s="2" t="str">
        <f>_xlfn.XLOOKUP(Orders[[#This Row],[Customer ID]],customers!$A$1:$A$1001,customers!$F$1:$F$1001,,0)</f>
        <v>Kingsport</v>
      </c>
      <c r="J70" t="str">
        <f>INDEX(products!$A$1:$G$49,MATCH(orders!$D70,products!$A$1:$A$49,0),MATCH(orders!J$1,products!$A$1:$G$1,0))</f>
        <v>Rob</v>
      </c>
      <c r="K70" t="str">
        <f>INDEX(products!$A$1:$G$49,MATCH(orders!$D70,products!$A$1:$A$49,0),MATCH(orders!K$1,products!$A$1:$G$1,0))</f>
        <v>M</v>
      </c>
      <c r="L70" s="4">
        <f>INDEX(products!$A$1:$G$49,MATCH(orders!$D70,products!$A$1:$A$49,0),MATCH(orders!L$1,products!$A$1:$G$1,0))</f>
        <v>0.2</v>
      </c>
      <c r="M70" s="5">
        <f>INDEX(products!$A$1:$G$49,MATCH(orders!$D70,products!$A$1:$A$49,0),MATCH(orders!M$1,products!$A$1:$G$1,0))</f>
        <v>2.9849999999999999</v>
      </c>
      <c r="N70" s="5">
        <f>Orders[[#This Row],[Quantity]]*(INDEX(products!$A$1:$G$49,MATCH(orders!$D70,products!$A$1:$A$49,0),MATCH(orders!N$1,products!$A$1:$G$1,0)))</f>
        <v>0.17909999999999998</v>
      </c>
      <c r="O70" s="5">
        <f>M70*E70</f>
        <v>2.9849999999999999</v>
      </c>
      <c r="P70" t="str">
        <f t="shared" si="2"/>
        <v>Robusta</v>
      </c>
      <c r="Q70" t="str">
        <f t="shared" si="3"/>
        <v>Medium</v>
      </c>
      <c r="R70" t="str">
        <f>_xlfn.XLOOKUP(Orders[[#This Row],[Customer ID]],customers!$A$1:$A$1001,customers!$I$1:$I$1001,,0)</f>
        <v>No</v>
      </c>
    </row>
    <row r="71" spans="1:18" x14ac:dyDescent="0.35">
      <c r="A71" s="2" t="s">
        <v>878</v>
      </c>
      <c r="B71" s="3">
        <v>43795</v>
      </c>
      <c r="C71" s="2" t="s">
        <v>879</v>
      </c>
      <c r="D71" t="s">
        <v>6138</v>
      </c>
      <c r="E71" s="2">
        <v>6</v>
      </c>
      <c r="F71" s="2" t="str">
        <f>_xlfn.XLOOKUP(Orders[[#This Row],[Customer ID]],customers!$A$1:$A$1001,customers!$B$1:$B$1001,,0)</f>
        <v>Gay Rizzello</v>
      </c>
      <c r="G71" s="2" t="str">
        <f>IF(_xlfn.XLOOKUP(C71,customers!$A$1:$A$1001,customers!C70:C1070,,0)=0,"",_xlfn.XLOOKUP(C71,customers!$A$1:$A$1001,customers!C70:C1070,,0))</f>
        <v/>
      </c>
      <c r="H71" s="2" t="str">
        <f>_xlfn.XLOOKUP(Orders[[#This Row],[Customer ID]],customers!$A$1:$A$1001,customers!$G$1:$G$1001,,0)</f>
        <v>United Kingdom</v>
      </c>
      <c r="I71" s="2" t="str">
        <f>_xlfn.XLOOKUP(Orders[[#This Row],[Customer ID]],customers!$A$1:$A$1001,customers!$F$1:$F$1001,,0)</f>
        <v>Liverpool</v>
      </c>
      <c r="J71" t="str">
        <f>INDEX(products!$A$1:$G$49,MATCH(orders!$D71,products!$A$1:$A$49,0),MATCH(orders!J$1,products!$A$1:$G$1,0))</f>
        <v>Rob</v>
      </c>
      <c r="K71" t="str">
        <f>INDEX(products!$A$1:$G$49,MATCH(orders!$D71,products!$A$1:$A$49,0),MATCH(orders!K$1,products!$A$1:$G$1,0))</f>
        <v>M</v>
      </c>
      <c r="L71" s="4">
        <f>INDEX(products!$A$1:$G$49,MATCH(orders!$D71,products!$A$1:$A$49,0),MATCH(orders!L$1,products!$A$1:$G$1,0))</f>
        <v>1</v>
      </c>
      <c r="M71" s="5">
        <f>INDEX(products!$A$1:$G$49,MATCH(orders!$D71,products!$A$1:$A$49,0),MATCH(orders!M$1,products!$A$1:$G$1,0))</f>
        <v>9.9499999999999993</v>
      </c>
      <c r="N71" s="5">
        <f>Orders[[#This Row],[Quantity]]*(INDEX(products!$A$1:$G$49,MATCH(orders!$D71,products!$A$1:$A$49,0),MATCH(orders!N$1,products!$A$1:$G$1,0)))</f>
        <v>3.5819999999999999</v>
      </c>
      <c r="O71" s="5">
        <f>M71*E71</f>
        <v>59.699999999999996</v>
      </c>
      <c r="P71" t="str">
        <f t="shared" si="2"/>
        <v>Robusta</v>
      </c>
      <c r="Q71" t="str">
        <f t="shared" si="3"/>
        <v>Medium</v>
      </c>
      <c r="R71" t="str">
        <f>_xlfn.XLOOKUP(Orders[[#This Row],[Customer ID]],customers!$A$1:$A$1001,customers!$I$1:$I$1001,,0)</f>
        <v>Yes</v>
      </c>
    </row>
    <row r="72" spans="1:18" x14ac:dyDescent="0.35">
      <c r="A72" s="2" t="s">
        <v>885</v>
      </c>
      <c r="B72" s="3">
        <v>43646</v>
      </c>
      <c r="C72" s="2" t="s">
        <v>886</v>
      </c>
      <c r="D72" t="s">
        <v>6148</v>
      </c>
      <c r="E72" s="2">
        <v>4</v>
      </c>
      <c r="F72" s="2" t="str">
        <f>_xlfn.XLOOKUP(Orders[[#This Row],[Customer ID]],customers!$A$1:$A$1001,customers!$B$1:$B$1001,,0)</f>
        <v>Shannon List</v>
      </c>
      <c r="G72" s="2" t="str">
        <f>IF(_xlfn.XLOOKUP(C72,customers!$A$1:$A$1001,customers!C71:C1071,,0)=0,"",_xlfn.XLOOKUP(C72,customers!$A$1:$A$1001,customers!C71:C1071,,0))</f>
        <v>vkundt3w@bigcartel.com</v>
      </c>
      <c r="H72" s="2" t="str">
        <f>_xlfn.XLOOKUP(Orders[[#This Row],[Customer ID]],customers!$A$1:$A$1001,customers!$G$1:$G$1001,,0)</f>
        <v>United States</v>
      </c>
      <c r="I72" s="2" t="str">
        <f>_xlfn.XLOOKUP(Orders[[#This Row],[Customer ID]],customers!$A$1:$A$1001,customers!$F$1:$F$1001,,0)</f>
        <v>Columbus</v>
      </c>
      <c r="J72" t="str">
        <f>INDEX(products!$A$1:$G$49,MATCH(orders!$D72,products!$A$1:$A$49,0),MATCH(orders!J$1,products!$A$1:$G$1,0))</f>
        <v>Exc</v>
      </c>
      <c r="K72" t="str">
        <f>INDEX(products!$A$1:$G$49,MATCH(orders!$D72,products!$A$1:$A$49,0),MATCH(orders!K$1,products!$A$1:$G$1,0))</f>
        <v>L</v>
      </c>
      <c r="L72" s="4">
        <f>INDEX(products!$A$1:$G$49,MATCH(orders!$D72,products!$A$1:$A$49,0),MATCH(orders!L$1,products!$A$1:$G$1,0))</f>
        <v>2.5</v>
      </c>
      <c r="M72" s="5">
        <f>INDEX(products!$A$1:$G$49,MATCH(orders!$D72,products!$A$1:$A$49,0),MATCH(orders!M$1,products!$A$1:$G$1,0))</f>
        <v>34.154999999999994</v>
      </c>
      <c r="N72" s="5">
        <f>Orders[[#This Row],[Quantity]]*(INDEX(products!$A$1:$G$49,MATCH(orders!$D72,products!$A$1:$A$49,0),MATCH(orders!N$1,products!$A$1:$G$1,0)))</f>
        <v>15.028199999999998</v>
      </c>
      <c r="O72" s="5">
        <f>M72*E72</f>
        <v>136.61999999999998</v>
      </c>
      <c r="P72" t="str">
        <f t="shared" si="2"/>
        <v>Excelsa</v>
      </c>
      <c r="Q72" t="str">
        <f t="shared" si="3"/>
        <v>Light</v>
      </c>
      <c r="R72" t="str">
        <f>_xlfn.XLOOKUP(Orders[[#This Row],[Customer ID]],customers!$A$1:$A$1001,customers!$I$1:$I$1001,,0)</f>
        <v>No</v>
      </c>
    </row>
    <row r="73" spans="1:18" x14ac:dyDescent="0.35">
      <c r="A73" s="2" t="s">
        <v>891</v>
      </c>
      <c r="B73" s="3">
        <v>44200</v>
      </c>
      <c r="C73" s="2" t="s">
        <v>892</v>
      </c>
      <c r="D73" t="s">
        <v>6145</v>
      </c>
      <c r="E73" s="2">
        <v>2</v>
      </c>
      <c r="F73" s="2" t="str">
        <f>_xlfn.XLOOKUP(Orders[[#This Row],[Customer ID]],customers!$A$1:$A$1001,customers!$B$1:$B$1001,,0)</f>
        <v>Shirlene Edmondson</v>
      </c>
      <c r="G73" s="2" t="str">
        <f>IF(_xlfn.XLOOKUP(C73,customers!$A$1:$A$1001,customers!C72:C1072,,0)=0,"",_xlfn.XLOOKUP(C73,customers!$A$1:$A$1001,customers!C72:C1072,,0))</f>
        <v/>
      </c>
      <c r="H73" s="2" t="str">
        <f>_xlfn.XLOOKUP(Orders[[#This Row],[Customer ID]],customers!$A$1:$A$1001,customers!$G$1:$G$1001,,0)</f>
        <v>Ireland</v>
      </c>
      <c r="I73" s="2" t="str">
        <f>_xlfn.XLOOKUP(Orders[[#This Row],[Customer ID]],customers!$A$1:$A$1001,customers!$F$1:$F$1001,,0)</f>
        <v>Newmarket on Fergus</v>
      </c>
      <c r="J73" t="str">
        <f>INDEX(products!$A$1:$G$49,MATCH(orders!$D73,products!$A$1:$A$49,0),MATCH(orders!J$1,products!$A$1:$G$1,0))</f>
        <v>Lib</v>
      </c>
      <c r="K73" t="str">
        <f>INDEX(products!$A$1:$G$49,MATCH(orders!$D73,products!$A$1:$A$49,0),MATCH(orders!K$1,products!$A$1:$G$1,0))</f>
        <v>L</v>
      </c>
      <c r="L73" s="4">
        <f>INDEX(products!$A$1:$G$49,MATCH(orders!$D73,products!$A$1:$A$49,0),MATCH(orders!L$1,products!$A$1:$G$1,0))</f>
        <v>0.2</v>
      </c>
      <c r="M73" s="5">
        <f>INDEX(products!$A$1:$G$49,MATCH(orders!$D73,products!$A$1:$A$49,0),MATCH(orders!M$1,products!$A$1:$G$1,0))</f>
        <v>4.7549999999999999</v>
      </c>
      <c r="N73" s="5">
        <f>Orders[[#This Row],[Quantity]]*(INDEX(products!$A$1:$G$49,MATCH(orders!$D73,products!$A$1:$A$49,0),MATCH(orders!N$1,products!$A$1:$G$1,0)))</f>
        <v>1.2363</v>
      </c>
      <c r="O73" s="5">
        <f>M73*E73</f>
        <v>9.51</v>
      </c>
      <c r="P73" t="str">
        <f t="shared" si="2"/>
        <v>Liberica</v>
      </c>
      <c r="Q73" t="str">
        <f t="shared" si="3"/>
        <v>Light</v>
      </c>
      <c r="R73" t="str">
        <f>_xlfn.XLOOKUP(Orders[[#This Row],[Customer ID]],customers!$A$1:$A$1001,customers!$I$1:$I$1001,,0)</f>
        <v>No</v>
      </c>
    </row>
    <row r="74" spans="1:18" x14ac:dyDescent="0.35">
      <c r="A74" s="2" t="s">
        <v>897</v>
      </c>
      <c r="B74" s="3">
        <v>44131</v>
      </c>
      <c r="C74" s="2" t="s">
        <v>898</v>
      </c>
      <c r="D74" t="s">
        <v>6175</v>
      </c>
      <c r="E74" s="2">
        <v>3</v>
      </c>
      <c r="F74" s="2" t="str">
        <f>_xlfn.XLOOKUP(Orders[[#This Row],[Customer ID]],customers!$A$1:$A$1001,customers!$B$1:$B$1001,,0)</f>
        <v>Aurlie McCarl</v>
      </c>
      <c r="G74" s="2" t="str">
        <f>IF(_xlfn.XLOOKUP(C74,customers!$A$1:$A$1001,customers!C73:C1073,,0)=0,"",_xlfn.XLOOKUP(C74,customers!$A$1:$A$1001,customers!C73:C1073,,0))</f>
        <v>wkeyse40@apple.com</v>
      </c>
      <c r="H74" s="2" t="str">
        <f>_xlfn.XLOOKUP(Orders[[#This Row],[Customer ID]],customers!$A$1:$A$1001,customers!$G$1:$G$1001,,0)</f>
        <v>United States</v>
      </c>
      <c r="I74" s="2" t="str">
        <f>_xlfn.XLOOKUP(Orders[[#This Row],[Customer ID]],customers!$A$1:$A$1001,customers!$F$1:$F$1001,,0)</f>
        <v>New Orleans</v>
      </c>
      <c r="J74" t="str">
        <f>INDEX(products!$A$1:$G$49,MATCH(orders!$D74,products!$A$1:$A$49,0),MATCH(orders!J$1,products!$A$1:$G$1,0))</f>
        <v>Ara</v>
      </c>
      <c r="K74" t="str">
        <f>INDEX(products!$A$1:$G$49,MATCH(orders!$D74,products!$A$1:$A$49,0),MATCH(orders!K$1,products!$A$1:$G$1,0))</f>
        <v>M</v>
      </c>
      <c r="L74" s="4">
        <f>INDEX(products!$A$1:$G$49,MATCH(orders!$D74,products!$A$1:$A$49,0),MATCH(orders!L$1,products!$A$1:$G$1,0))</f>
        <v>2.5</v>
      </c>
      <c r="M74" s="5">
        <f>INDEX(products!$A$1:$G$49,MATCH(orders!$D74,products!$A$1:$A$49,0),MATCH(orders!M$1,products!$A$1:$G$1,0))</f>
        <v>25.874999999999996</v>
      </c>
      <c r="N74" s="5">
        <f>Orders[[#This Row],[Quantity]]*(INDEX(products!$A$1:$G$49,MATCH(orders!$D74,products!$A$1:$A$49,0),MATCH(orders!N$1,products!$A$1:$G$1,0)))</f>
        <v>6.9862499999999983</v>
      </c>
      <c r="O74" s="5">
        <f>M74*E74</f>
        <v>77.624999999999986</v>
      </c>
      <c r="P74" t="str">
        <f t="shared" si="2"/>
        <v>Arabica</v>
      </c>
      <c r="Q74" t="str">
        <f t="shared" si="3"/>
        <v>Medium</v>
      </c>
      <c r="R74" t="str">
        <f>_xlfn.XLOOKUP(Orders[[#This Row],[Customer ID]],customers!$A$1:$A$1001,customers!$I$1:$I$1001,,0)</f>
        <v>No</v>
      </c>
    </row>
    <row r="75" spans="1:18" x14ac:dyDescent="0.35">
      <c r="A75" s="2" t="s">
        <v>902</v>
      </c>
      <c r="B75" s="3">
        <v>44362</v>
      </c>
      <c r="C75" s="2" t="s">
        <v>903</v>
      </c>
      <c r="D75" t="s">
        <v>6159</v>
      </c>
      <c r="E75" s="2">
        <v>5</v>
      </c>
      <c r="F75" s="2" t="str">
        <f>_xlfn.XLOOKUP(Orders[[#This Row],[Customer ID]],customers!$A$1:$A$1001,customers!$B$1:$B$1001,,0)</f>
        <v>Alikee Carryer</v>
      </c>
      <c r="G75" s="2" t="str">
        <f>IF(_xlfn.XLOOKUP(C75,customers!$A$1:$A$1001,customers!C74:C1074,,0)=0,"",_xlfn.XLOOKUP(C75,customers!$A$1:$A$1001,customers!C74:C1074,,0))</f>
        <v>lfrancisco42@fema.gov</v>
      </c>
      <c r="H75" s="2" t="str">
        <f>_xlfn.XLOOKUP(Orders[[#This Row],[Customer ID]],customers!$A$1:$A$1001,customers!$G$1:$G$1001,,0)</f>
        <v>United States</v>
      </c>
      <c r="I75" s="2" t="str">
        <f>_xlfn.XLOOKUP(Orders[[#This Row],[Customer ID]],customers!$A$1:$A$1001,customers!$F$1:$F$1001,,0)</f>
        <v>Charlotte</v>
      </c>
      <c r="J75" t="str">
        <f>INDEX(products!$A$1:$G$49,MATCH(orders!$D75,products!$A$1:$A$49,0),MATCH(orders!J$1,products!$A$1:$G$1,0))</f>
        <v>Lib</v>
      </c>
      <c r="K75" t="str">
        <f>INDEX(products!$A$1:$G$49,MATCH(orders!$D75,products!$A$1:$A$49,0),MATCH(orders!K$1,products!$A$1:$G$1,0))</f>
        <v>M</v>
      </c>
      <c r="L75" s="4">
        <f>INDEX(products!$A$1:$G$49,MATCH(orders!$D75,products!$A$1:$A$49,0),MATCH(orders!L$1,products!$A$1:$G$1,0))</f>
        <v>0.2</v>
      </c>
      <c r="M75" s="5">
        <f>INDEX(products!$A$1:$G$49,MATCH(orders!$D75,products!$A$1:$A$49,0),MATCH(orders!M$1,products!$A$1:$G$1,0))</f>
        <v>4.3650000000000002</v>
      </c>
      <c r="N75" s="5">
        <f>Orders[[#This Row],[Quantity]]*(INDEX(products!$A$1:$G$49,MATCH(orders!$D75,products!$A$1:$A$49,0),MATCH(orders!N$1,products!$A$1:$G$1,0)))</f>
        <v>2.83725</v>
      </c>
      <c r="O75" s="5">
        <f>M75*E75</f>
        <v>21.825000000000003</v>
      </c>
      <c r="P75" t="str">
        <f t="shared" si="2"/>
        <v>Liberica</v>
      </c>
      <c r="Q75" t="str">
        <f t="shared" si="3"/>
        <v>Medium</v>
      </c>
      <c r="R75" t="str">
        <f>_xlfn.XLOOKUP(Orders[[#This Row],[Customer ID]],customers!$A$1:$A$1001,customers!$I$1:$I$1001,,0)</f>
        <v>Yes</v>
      </c>
    </row>
    <row r="76" spans="1:18" x14ac:dyDescent="0.35">
      <c r="A76" s="2" t="s">
        <v>907</v>
      </c>
      <c r="B76" s="3">
        <v>44396</v>
      </c>
      <c r="C76" s="2" t="s">
        <v>908</v>
      </c>
      <c r="D76" t="s">
        <v>6176</v>
      </c>
      <c r="E76" s="2">
        <v>2</v>
      </c>
      <c r="F76" s="2" t="str">
        <f>_xlfn.XLOOKUP(Orders[[#This Row],[Customer ID]],customers!$A$1:$A$1001,customers!$B$1:$B$1001,,0)</f>
        <v>Jennifer Rangall</v>
      </c>
      <c r="G76" s="2" t="str">
        <f>IF(_xlfn.XLOOKUP(C76,customers!$A$1:$A$1001,customers!C75:C1075,,0)=0,"",_xlfn.XLOOKUP(C76,customers!$A$1:$A$1001,customers!C75:C1075,,0))</f>
        <v>gskingle44@clickbank.net</v>
      </c>
      <c r="H76" s="2" t="str">
        <f>_xlfn.XLOOKUP(Orders[[#This Row],[Customer ID]],customers!$A$1:$A$1001,customers!$G$1:$G$1001,,0)</f>
        <v>United States</v>
      </c>
      <c r="I76" s="2" t="str">
        <f>_xlfn.XLOOKUP(Orders[[#This Row],[Customer ID]],customers!$A$1:$A$1001,customers!$F$1:$F$1001,,0)</f>
        <v>Springfield</v>
      </c>
      <c r="J76" t="str">
        <f>INDEX(products!$A$1:$G$49,MATCH(orders!$D76,products!$A$1:$A$49,0),MATCH(orders!J$1,products!$A$1:$G$1,0))</f>
        <v>Exc</v>
      </c>
      <c r="K76" t="str">
        <f>INDEX(products!$A$1:$G$49,MATCH(orders!$D76,products!$A$1:$A$49,0),MATCH(orders!K$1,products!$A$1:$G$1,0))</f>
        <v>L</v>
      </c>
      <c r="L76" s="4">
        <f>INDEX(products!$A$1:$G$49,MATCH(orders!$D76,products!$A$1:$A$49,0),MATCH(orders!L$1,products!$A$1:$G$1,0))</f>
        <v>0.5</v>
      </c>
      <c r="M76" s="5">
        <f>INDEX(products!$A$1:$G$49,MATCH(orders!$D76,products!$A$1:$A$49,0),MATCH(orders!M$1,products!$A$1:$G$1,0))</f>
        <v>8.91</v>
      </c>
      <c r="N76" s="5">
        <f>Orders[[#This Row],[Quantity]]*(INDEX(products!$A$1:$G$49,MATCH(orders!$D76,products!$A$1:$A$49,0),MATCH(orders!N$1,products!$A$1:$G$1,0)))</f>
        <v>1.9601999999999999</v>
      </c>
      <c r="O76" s="5">
        <f>M76*E76</f>
        <v>17.82</v>
      </c>
      <c r="P76" t="str">
        <f t="shared" si="2"/>
        <v>Excelsa</v>
      </c>
      <c r="Q76" t="str">
        <f t="shared" si="3"/>
        <v>Light</v>
      </c>
      <c r="R76" t="str">
        <f>_xlfn.XLOOKUP(Orders[[#This Row],[Customer ID]],customers!$A$1:$A$1001,customers!$I$1:$I$1001,,0)</f>
        <v>Yes</v>
      </c>
    </row>
    <row r="77" spans="1:18" x14ac:dyDescent="0.35">
      <c r="A77" s="2" t="s">
        <v>913</v>
      </c>
      <c r="B77" s="3">
        <v>44400</v>
      </c>
      <c r="C77" s="2" t="s">
        <v>914</v>
      </c>
      <c r="D77" t="s">
        <v>6177</v>
      </c>
      <c r="E77" s="2">
        <v>6</v>
      </c>
      <c r="F77" s="2" t="str">
        <f>_xlfn.XLOOKUP(Orders[[#This Row],[Customer ID]],customers!$A$1:$A$1001,customers!$B$1:$B$1001,,0)</f>
        <v>Kipper Boorn</v>
      </c>
      <c r="G77" s="2" t="str">
        <f>IF(_xlfn.XLOOKUP(C77,customers!$A$1:$A$1001,customers!C76:C1076,,0)=0,"",_xlfn.XLOOKUP(C77,customers!$A$1:$A$1001,customers!C76:C1076,,0))</f>
        <v>jbalsillie46@princeton.edu</v>
      </c>
      <c r="H77" s="2" t="str">
        <f>_xlfn.XLOOKUP(Orders[[#This Row],[Customer ID]],customers!$A$1:$A$1001,customers!$G$1:$G$1001,,0)</f>
        <v>Ireland</v>
      </c>
      <c r="I77" s="2" t="str">
        <f>_xlfn.XLOOKUP(Orders[[#This Row],[Customer ID]],customers!$A$1:$A$1001,customers!$F$1:$F$1001,,0)</f>
        <v>Listowel</v>
      </c>
      <c r="J77" t="str">
        <f>INDEX(products!$A$1:$G$49,MATCH(orders!$D77,products!$A$1:$A$49,0),MATCH(orders!J$1,products!$A$1:$G$1,0))</f>
        <v>Rob</v>
      </c>
      <c r="K77" t="str">
        <f>INDEX(products!$A$1:$G$49,MATCH(orders!$D77,products!$A$1:$A$49,0),MATCH(orders!K$1,products!$A$1:$G$1,0))</f>
        <v>D</v>
      </c>
      <c r="L77" s="4">
        <f>INDEX(products!$A$1:$G$49,MATCH(orders!$D77,products!$A$1:$A$49,0),MATCH(orders!L$1,products!$A$1:$G$1,0))</f>
        <v>1</v>
      </c>
      <c r="M77" s="5">
        <f>INDEX(products!$A$1:$G$49,MATCH(orders!$D77,products!$A$1:$A$49,0),MATCH(orders!M$1,products!$A$1:$G$1,0))</f>
        <v>8.9499999999999993</v>
      </c>
      <c r="N77" s="5">
        <f>Orders[[#This Row],[Quantity]]*(INDEX(products!$A$1:$G$49,MATCH(orders!$D77,products!$A$1:$A$49,0),MATCH(orders!N$1,products!$A$1:$G$1,0)))</f>
        <v>3.2219999999999995</v>
      </c>
      <c r="O77" s="5">
        <f>M77*E77</f>
        <v>53.699999999999996</v>
      </c>
      <c r="P77" t="str">
        <f t="shared" si="2"/>
        <v>Robusta</v>
      </c>
      <c r="Q77" t="str">
        <f t="shared" si="3"/>
        <v>Dark</v>
      </c>
      <c r="R77" t="str">
        <f>_xlfn.XLOOKUP(Orders[[#This Row],[Customer ID]],customers!$A$1:$A$1001,customers!$I$1:$I$1001,,0)</f>
        <v>Yes</v>
      </c>
    </row>
    <row r="78" spans="1:18" x14ac:dyDescent="0.35">
      <c r="A78" s="2" t="s">
        <v>919</v>
      </c>
      <c r="B78" s="3">
        <v>43855</v>
      </c>
      <c r="C78" s="2" t="s">
        <v>920</v>
      </c>
      <c r="D78" t="s">
        <v>6178</v>
      </c>
      <c r="E78" s="2">
        <v>1</v>
      </c>
      <c r="F78" s="2" t="str">
        <f>_xlfn.XLOOKUP(Orders[[#This Row],[Customer ID]],customers!$A$1:$A$1001,customers!$B$1:$B$1001,,0)</f>
        <v>Melania Beadle</v>
      </c>
      <c r="G78" s="2" t="str">
        <f>IF(_xlfn.XLOOKUP(C78,customers!$A$1:$A$1001,customers!C77:C1077,,0)=0,"",_xlfn.XLOOKUP(C78,customers!$A$1:$A$1001,customers!C77:C1077,,0))</f>
        <v>bleffek48@ning.com</v>
      </c>
      <c r="H78" s="2" t="str">
        <f>_xlfn.XLOOKUP(Orders[[#This Row],[Customer ID]],customers!$A$1:$A$1001,customers!$G$1:$G$1001,,0)</f>
        <v>Ireland</v>
      </c>
      <c r="I78" s="2" t="str">
        <f>_xlfn.XLOOKUP(Orders[[#This Row],[Customer ID]],customers!$A$1:$A$1001,customers!$F$1:$F$1001,,0)</f>
        <v>Moycullen</v>
      </c>
      <c r="J78" t="str">
        <f>INDEX(products!$A$1:$G$49,MATCH(orders!$D78,products!$A$1:$A$49,0),MATCH(orders!J$1,products!$A$1:$G$1,0))</f>
        <v>Rob</v>
      </c>
      <c r="K78" t="str">
        <f>INDEX(products!$A$1:$G$49,MATCH(orders!$D78,products!$A$1:$A$49,0),MATCH(orders!K$1,products!$A$1:$G$1,0))</f>
        <v>L</v>
      </c>
      <c r="L78" s="4">
        <f>INDEX(products!$A$1:$G$49,MATCH(orders!$D78,products!$A$1:$A$49,0),MATCH(orders!L$1,products!$A$1:$G$1,0))</f>
        <v>0.2</v>
      </c>
      <c r="M78" s="5">
        <f>INDEX(products!$A$1:$G$49,MATCH(orders!$D78,products!$A$1:$A$49,0),MATCH(orders!M$1,products!$A$1:$G$1,0))</f>
        <v>3.5849999999999995</v>
      </c>
      <c r="N78" s="5">
        <f>Orders[[#This Row],[Quantity]]*(INDEX(products!$A$1:$G$49,MATCH(orders!$D78,products!$A$1:$A$49,0),MATCH(orders!N$1,products!$A$1:$G$1,0)))</f>
        <v>0.21509999999999996</v>
      </c>
      <c r="O78" s="5">
        <f>M78*E78</f>
        <v>3.5849999999999995</v>
      </c>
      <c r="P78" t="str">
        <f t="shared" si="2"/>
        <v>Robusta</v>
      </c>
      <c r="Q78" t="str">
        <f t="shared" si="3"/>
        <v>Light</v>
      </c>
      <c r="R78" t="str">
        <f>_xlfn.XLOOKUP(Orders[[#This Row],[Customer ID]],customers!$A$1:$A$1001,customers!$I$1:$I$1001,,0)</f>
        <v>Yes</v>
      </c>
    </row>
    <row r="79" spans="1:18" x14ac:dyDescent="0.35">
      <c r="A79" s="2" t="s">
        <v>924</v>
      </c>
      <c r="B79" s="3">
        <v>43594</v>
      </c>
      <c r="C79" s="2" t="s">
        <v>925</v>
      </c>
      <c r="D79" t="s">
        <v>6153</v>
      </c>
      <c r="E79" s="2">
        <v>2</v>
      </c>
      <c r="F79" s="2" t="str">
        <f>_xlfn.XLOOKUP(Orders[[#This Row],[Customer ID]],customers!$A$1:$A$1001,customers!$B$1:$B$1001,,0)</f>
        <v>Colene Elgey</v>
      </c>
      <c r="G79" s="2" t="str">
        <f>IF(_xlfn.XLOOKUP(C79,customers!$A$1:$A$1001,customers!C78:C1078,,0)=0,"",_xlfn.XLOOKUP(C79,customers!$A$1:$A$1001,customers!C78:C1078,,0))</f>
        <v>jpray4a@youtube.com</v>
      </c>
      <c r="H79" s="2" t="str">
        <f>_xlfn.XLOOKUP(Orders[[#This Row],[Customer ID]],customers!$A$1:$A$1001,customers!$G$1:$G$1001,,0)</f>
        <v>United States</v>
      </c>
      <c r="I79" s="2" t="str">
        <f>_xlfn.XLOOKUP(Orders[[#This Row],[Customer ID]],customers!$A$1:$A$1001,customers!$F$1:$F$1001,,0)</f>
        <v>Midland</v>
      </c>
      <c r="J79" t="str">
        <f>INDEX(products!$A$1:$G$49,MATCH(orders!$D79,products!$A$1:$A$49,0),MATCH(orders!J$1,products!$A$1:$G$1,0))</f>
        <v>Exc</v>
      </c>
      <c r="K79" t="str">
        <f>INDEX(products!$A$1:$G$49,MATCH(orders!$D79,products!$A$1:$A$49,0),MATCH(orders!K$1,products!$A$1:$G$1,0))</f>
        <v>D</v>
      </c>
      <c r="L79" s="4">
        <f>INDEX(products!$A$1:$G$49,MATCH(orders!$D79,products!$A$1:$A$49,0),MATCH(orders!L$1,products!$A$1:$G$1,0))</f>
        <v>0.2</v>
      </c>
      <c r="M79" s="5">
        <f>INDEX(products!$A$1:$G$49,MATCH(orders!$D79,products!$A$1:$A$49,0),MATCH(orders!M$1,products!$A$1:$G$1,0))</f>
        <v>3.645</v>
      </c>
      <c r="N79" s="5">
        <f>Orders[[#This Row],[Quantity]]*(INDEX(products!$A$1:$G$49,MATCH(orders!$D79,products!$A$1:$A$49,0),MATCH(orders!N$1,products!$A$1:$G$1,0)))</f>
        <v>0.80190000000000006</v>
      </c>
      <c r="O79" s="5">
        <f>M79*E79</f>
        <v>7.29</v>
      </c>
      <c r="P79" t="str">
        <f t="shared" si="2"/>
        <v>Excelsa</v>
      </c>
      <c r="Q79" t="str">
        <f t="shared" si="3"/>
        <v>Dark</v>
      </c>
      <c r="R79" t="str">
        <f>_xlfn.XLOOKUP(Orders[[#This Row],[Customer ID]],customers!$A$1:$A$1001,customers!$I$1:$I$1001,,0)</f>
        <v>No</v>
      </c>
    </row>
    <row r="80" spans="1:18" x14ac:dyDescent="0.35">
      <c r="A80" s="2" t="s">
        <v>930</v>
      </c>
      <c r="B80" s="3">
        <v>43920</v>
      </c>
      <c r="C80" s="2" t="s">
        <v>931</v>
      </c>
      <c r="D80" t="s">
        <v>6157</v>
      </c>
      <c r="E80" s="2">
        <v>6</v>
      </c>
      <c r="F80" s="2" t="str">
        <f>_xlfn.XLOOKUP(Orders[[#This Row],[Customer ID]],customers!$A$1:$A$1001,customers!$B$1:$B$1001,,0)</f>
        <v>Lothaire Mizzi</v>
      </c>
      <c r="G80" s="2" t="str">
        <f>IF(_xlfn.XLOOKUP(C80,customers!$A$1:$A$1001,customers!C79:C1079,,0)=0,"",_xlfn.XLOOKUP(C80,customers!$A$1:$A$1001,customers!C79:C1079,,0))</f>
        <v>fkeinrat4c@dailymail.co.uk</v>
      </c>
      <c r="H80" s="2" t="str">
        <f>_xlfn.XLOOKUP(Orders[[#This Row],[Customer ID]],customers!$A$1:$A$1001,customers!$G$1:$G$1001,,0)</f>
        <v>United States</v>
      </c>
      <c r="I80" s="2" t="str">
        <f>_xlfn.XLOOKUP(Orders[[#This Row],[Customer ID]],customers!$A$1:$A$1001,customers!$F$1:$F$1001,,0)</f>
        <v>Dallas</v>
      </c>
      <c r="J80" t="str">
        <f>INDEX(products!$A$1:$G$49,MATCH(orders!$D80,products!$A$1:$A$49,0),MATCH(orders!J$1,products!$A$1:$G$1,0))</f>
        <v>Ara</v>
      </c>
      <c r="K80" t="str">
        <f>INDEX(products!$A$1:$G$49,MATCH(orders!$D80,products!$A$1:$A$49,0),MATCH(orders!K$1,products!$A$1:$G$1,0))</f>
        <v>M</v>
      </c>
      <c r="L80" s="4">
        <f>INDEX(products!$A$1:$G$49,MATCH(orders!$D80,products!$A$1:$A$49,0),MATCH(orders!L$1,products!$A$1:$G$1,0))</f>
        <v>0.5</v>
      </c>
      <c r="M80" s="5">
        <f>INDEX(products!$A$1:$G$49,MATCH(orders!$D80,products!$A$1:$A$49,0),MATCH(orders!M$1,products!$A$1:$G$1,0))</f>
        <v>6.75</v>
      </c>
      <c r="N80" s="5">
        <f>Orders[[#This Row],[Quantity]]*(INDEX(products!$A$1:$G$49,MATCH(orders!$D80,products!$A$1:$A$49,0),MATCH(orders!N$1,products!$A$1:$G$1,0)))</f>
        <v>3.6449999999999996</v>
      </c>
      <c r="O80" s="5">
        <f>M80*E80</f>
        <v>40.5</v>
      </c>
      <c r="P80" t="str">
        <f t="shared" si="2"/>
        <v>Arabica</v>
      </c>
      <c r="Q80" t="str">
        <f t="shared" si="3"/>
        <v>Medium</v>
      </c>
      <c r="R80" t="str">
        <f>_xlfn.XLOOKUP(Orders[[#This Row],[Customer ID]],customers!$A$1:$A$1001,customers!$I$1:$I$1001,,0)</f>
        <v>Yes</v>
      </c>
    </row>
    <row r="81" spans="1:18" x14ac:dyDescent="0.35">
      <c r="A81" s="2" t="s">
        <v>936</v>
      </c>
      <c r="B81" s="3">
        <v>44633</v>
      </c>
      <c r="C81" s="2" t="s">
        <v>937</v>
      </c>
      <c r="D81" t="s">
        <v>6179</v>
      </c>
      <c r="E81" s="2">
        <v>4</v>
      </c>
      <c r="F81" s="2" t="str">
        <f>_xlfn.XLOOKUP(Orders[[#This Row],[Customer ID]],customers!$A$1:$A$1001,customers!$B$1:$B$1001,,0)</f>
        <v>Cletis Giacomazzo</v>
      </c>
      <c r="G81" s="2" t="str">
        <f>IF(_xlfn.XLOOKUP(C81,customers!$A$1:$A$1001,customers!C80:C1080,,0)=0,"",_xlfn.XLOOKUP(C81,customers!$A$1:$A$1001,customers!C80:C1080,,0))</f>
        <v/>
      </c>
      <c r="H81" s="2" t="str">
        <f>_xlfn.XLOOKUP(Orders[[#This Row],[Customer ID]],customers!$A$1:$A$1001,customers!$G$1:$G$1001,,0)</f>
        <v>United States</v>
      </c>
      <c r="I81" s="2" t="str">
        <f>_xlfn.XLOOKUP(Orders[[#This Row],[Customer ID]],customers!$A$1:$A$1001,customers!$F$1:$F$1001,,0)</f>
        <v>Dulles</v>
      </c>
      <c r="J81" t="str">
        <f>INDEX(products!$A$1:$G$49,MATCH(orders!$D81,products!$A$1:$A$49,0),MATCH(orders!J$1,products!$A$1:$G$1,0))</f>
        <v>Rob</v>
      </c>
      <c r="K81" t="str">
        <f>INDEX(products!$A$1:$G$49,MATCH(orders!$D81,products!$A$1:$A$49,0),MATCH(orders!K$1,products!$A$1:$G$1,0))</f>
        <v>L</v>
      </c>
      <c r="L81" s="4">
        <f>INDEX(products!$A$1:$G$49,MATCH(orders!$D81,products!$A$1:$A$49,0),MATCH(orders!L$1,products!$A$1:$G$1,0))</f>
        <v>1</v>
      </c>
      <c r="M81" s="5">
        <f>INDEX(products!$A$1:$G$49,MATCH(orders!$D81,products!$A$1:$A$49,0),MATCH(orders!M$1,products!$A$1:$G$1,0))</f>
        <v>11.95</v>
      </c>
      <c r="N81" s="5">
        <f>Orders[[#This Row],[Quantity]]*(INDEX(products!$A$1:$G$49,MATCH(orders!$D81,products!$A$1:$A$49,0),MATCH(orders!N$1,products!$A$1:$G$1,0)))</f>
        <v>2.8679999999999999</v>
      </c>
      <c r="O81" s="5">
        <f>M81*E81</f>
        <v>47.8</v>
      </c>
      <c r="P81" t="str">
        <f t="shared" si="2"/>
        <v>Robusta</v>
      </c>
      <c r="Q81" t="str">
        <f t="shared" si="3"/>
        <v>Light</v>
      </c>
      <c r="R81" t="str">
        <f>_xlfn.XLOOKUP(Orders[[#This Row],[Customer ID]],customers!$A$1:$A$1001,customers!$I$1:$I$1001,,0)</f>
        <v>No</v>
      </c>
    </row>
    <row r="82" spans="1:18" x14ac:dyDescent="0.35">
      <c r="A82" s="2" t="s">
        <v>942</v>
      </c>
      <c r="B82" s="3">
        <v>43572</v>
      </c>
      <c r="C82" s="2" t="s">
        <v>943</v>
      </c>
      <c r="D82" t="s">
        <v>6180</v>
      </c>
      <c r="E82" s="2">
        <v>5</v>
      </c>
      <c r="F82" s="2" t="str">
        <f>_xlfn.XLOOKUP(Orders[[#This Row],[Customer ID]],customers!$A$1:$A$1001,customers!$B$1:$B$1001,,0)</f>
        <v>Ami Arnow</v>
      </c>
      <c r="G82" s="2" t="str">
        <f>IF(_xlfn.XLOOKUP(C82,customers!$A$1:$A$1001,customers!C81:C1081,,0)=0,"",_xlfn.XLOOKUP(C82,customers!$A$1:$A$1001,customers!C81:C1081,,0))</f>
        <v>kswede4g@addthis.com</v>
      </c>
      <c r="H82" s="2" t="str">
        <f>_xlfn.XLOOKUP(Orders[[#This Row],[Customer ID]],customers!$A$1:$A$1001,customers!$G$1:$G$1001,,0)</f>
        <v>United States</v>
      </c>
      <c r="I82" s="2" t="str">
        <f>_xlfn.XLOOKUP(Orders[[#This Row],[Customer ID]],customers!$A$1:$A$1001,customers!$F$1:$F$1001,,0)</f>
        <v>Oakland</v>
      </c>
      <c r="J82" t="str">
        <f>INDEX(products!$A$1:$G$49,MATCH(orders!$D82,products!$A$1:$A$49,0),MATCH(orders!J$1,products!$A$1:$G$1,0))</f>
        <v>Ara</v>
      </c>
      <c r="K82" t="str">
        <f>INDEX(products!$A$1:$G$49,MATCH(orders!$D82,products!$A$1:$A$49,0),MATCH(orders!K$1,products!$A$1:$G$1,0))</f>
        <v>L</v>
      </c>
      <c r="L82" s="4">
        <f>INDEX(products!$A$1:$G$49,MATCH(orders!$D82,products!$A$1:$A$49,0),MATCH(orders!L$1,products!$A$1:$G$1,0))</f>
        <v>0.5</v>
      </c>
      <c r="M82" s="5">
        <f>INDEX(products!$A$1:$G$49,MATCH(orders!$D82,products!$A$1:$A$49,0),MATCH(orders!M$1,products!$A$1:$G$1,0))</f>
        <v>7.77</v>
      </c>
      <c r="N82" s="5">
        <f>Orders[[#This Row],[Quantity]]*(INDEX(products!$A$1:$G$49,MATCH(orders!$D82,products!$A$1:$A$49,0),MATCH(orders!N$1,products!$A$1:$G$1,0)))</f>
        <v>3.4964999999999997</v>
      </c>
      <c r="O82" s="5">
        <f>M82*E82</f>
        <v>38.849999999999994</v>
      </c>
      <c r="P82" t="str">
        <f t="shared" si="2"/>
        <v>Arabica</v>
      </c>
      <c r="Q82" t="str">
        <f t="shared" si="3"/>
        <v>Light</v>
      </c>
      <c r="R82" t="str">
        <f>_xlfn.XLOOKUP(Orders[[#This Row],[Customer ID]],customers!$A$1:$A$1001,customers!$I$1:$I$1001,,0)</f>
        <v>Yes</v>
      </c>
    </row>
    <row r="83" spans="1:18" x14ac:dyDescent="0.35">
      <c r="A83" s="2" t="s">
        <v>948</v>
      </c>
      <c r="B83" s="3">
        <v>43763</v>
      </c>
      <c r="C83" s="2" t="s">
        <v>949</v>
      </c>
      <c r="D83" t="s">
        <v>6164</v>
      </c>
      <c r="E83" s="2">
        <v>3</v>
      </c>
      <c r="F83" s="2" t="str">
        <f>_xlfn.XLOOKUP(Orders[[#This Row],[Customer ID]],customers!$A$1:$A$1001,customers!$B$1:$B$1001,,0)</f>
        <v>Sheppard Yann</v>
      </c>
      <c r="G83" s="2" t="str">
        <f>IF(_xlfn.XLOOKUP(C83,customers!$A$1:$A$1001,customers!C82:C1082,,0)=0,"",_xlfn.XLOOKUP(C83,customers!$A$1:$A$1001,customers!C82:C1082,,0))</f>
        <v>dtift4i@netvibes.com</v>
      </c>
      <c r="H83" s="2" t="str">
        <f>_xlfn.XLOOKUP(Orders[[#This Row],[Customer ID]],customers!$A$1:$A$1001,customers!$G$1:$G$1001,,0)</f>
        <v>United States</v>
      </c>
      <c r="I83" s="2" t="str">
        <f>_xlfn.XLOOKUP(Orders[[#This Row],[Customer ID]],customers!$A$1:$A$1001,customers!$F$1:$F$1001,,0)</f>
        <v>Colorado Springs</v>
      </c>
      <c r="J83" t="str">
        <f>INDEX(products!$A$1:$G$49,MATCH(orders!$D83,products!$A$1:$A$49,0),MATCH(orders!J$1,products!$A$1:$G$1,0))</f>
        <v>Lib</v>
      </c>
      <c r="K83" t="str">
        <f>INDEX(products!$A$1:$G$49,MATCH(orders!$D83,products!$A$1:$A$49,0),MATCH(orders!K$1,products!$A$1:$G$1,0))</f>
        <v>L</v>
      </c>
      <c r="L83" s="4">
        <f>INDEX(products!$A$1:$G$49,MATCH(orders!$D83,products!$A$1:$A$49,0),MATCH(orders!L$1,products!$A$1:$G$1,0))</f>
        <v>2.5</v>
      </c>
      <c r="M83" s="5">
        <f>INDEX(products!$A$1:$G$49,MATCH(orders!$D83,products!$A$1:$A$49,0),MATCH(orders!M$1,products!$A$1:$G$1,0))</f>
        <v>36.454999999999998</v>
      </c>
      <c r="N83" s="5">
        <f>Orders[[#This Row],[Quantity]]*(INDEX(products!$A$1:$G$49,MATCH(orders!$D83,products!$A$1:$A$49,0),MATCH(orders!N$1,products!$A$1:$G$1,0)))</f>
        <v>14.217449999999999</v>
      </c>
      <c r="O83" s="5">
        <f>M83*E83</f>
        <v>109.36499999999999</v>
      </c>
      <c r="P83" t="str">
        <f t="shared" si="2"/>
        <v>Liberica</v>
      </c>
      <c r="Q83" t="str">
        <f t="shared" si="3"/>
        <v>Light</v>
      </c>
      <c r="R83" t="str">
        <f>_xlfn.XLOOKUP(Orders[[#This Row],[Customer ID]],customers!$A$1:$A$1001,customers!$I$1:$I$1001,,0)</f>
        <v>Yes</v>
      </c>
    </row>
    <row r="84" spans="1:18" x14ac:dyDescent="0.35">
      <c r="A84" s="2" t="s">
        <v>954</v>
      </c>
      <c r="B84" s="3">
        <v>43721</v>
      </c>
      <c r="C84" s="2" t="s">
        <v>955</v>
      </c>
      <c r="D84" t="s">
        <v>6181</v>
      </c>
      <c r="E84" s="2">
        <v>3</v>
      </c>
      <c r="F84" s="2" t="str">
        <f>_xlfn.XLOOKUP(Orders[[#This Row],[Customer ID]],customers!$A$1:$A$1001,customers!$B$1:$B$1001,,0)</f>
        <v>Bunny Naulls</v>
      </c>
      <c r="G84" s="2" t="str">
        <f>IF(_xlfn.XLOOKUP(C84,customers!$A$1:$A$1001,customers!C83:C1083,,0)=0,"",_xlfn.XLOOKUP(C84,customers!$A$1:$A$1001,customers!C83:C1083,,0))</f>
        <v>cfeye4k@google.co.jp</v>
      </c>
      <c r="H84" s="2" t="str">
        <f>_xlfn.XLOOKUP(Orders[[#This Row],[Customer ID]],customers!$A$1:$A$1001,customers!$G$1:$G$1001,,0)</f>
        <v>Ireland</v>
      </c>
      <c r="I84" s="2" t="str">
        <f>_xlfn.XLOOKUP(Orders[[#This Row],[Customer ID]],customers!$A$1:$A$1001,customers!$F$1:$F$1001,,0)</f>
        <v>Adare</v>
      </c>
      <c r="J84" t="str">
        <f>INDEX(products!$A$1:$G$49,MATCH(orders!$D84,products!$A$1:$A$49,0),MATCH(orders!J$1,products!$A$1:$G$1,0))</f>
        <v>Lib</v>
      </c>
      <c r="K84" t="str">
        <f>INDEX(products!$A$1:$G$49,MATCH(orders!$D84,products!$A$1:$A$49,0),MATCH(orders!K$1,products!$A$1:$G$1,0))</f>
        <v>M</v>
      </c>
      <c r="L84" s="4">
        <f>INDEX(products!$A$1:$G$49,MATCH(orders!$D84,products!$A$1:$A$49,0),MATCH(orders!L$1,products!$A$1:$G$1,0))</f>
        <v>2.5</v>
      </c>
      <c r="M84" s="5">
        <f>INDEX(products!$A$1:$G$49,MATCH(orders!$D84,products!$A$1:$A$49,0),MATCH(orders!M$1,products!$A$1:$G$1,0))</f>
        <v>33.464999999999996</v>
      </c>
      <c r="N84" s="5">
        <f>Orders[[#This Row],[Quantity]]*(INDEX(products!$A$1:$G$49,MATCH(orders!$D84,products!$A$1:$A$49,0),MATCH(orders!N$1,products!$A$1:$G$1,0)))</f>
        <v>13.051349999999999</v>
      </c>
      <c r="O84" s="5">
        <f>M84*E84</f>
        <v>100.39499999999998</v>
      </c>
      <c r="P84" t="str">
        <f t="shared" si="2"/>
        <v>Liberica</v>
      </c>
      <c r="Q84" t="str">
        <f t="shared" si="3"/>
        <v>Medium</v>
      </c>
      <c r="R84" t="str">
        <f>_xlfn.XLOOKUP(Orders[[#This Row],[Customer ID]],customers!$A$1:$A$1001,customers!$I$1:$I$1001,,0)</f>
        <v>Yes</v>
      </c>
    </row>
    <row r="85" spans="1:18" x14ac:dyDescent="0.35">
      <c r="A85" s="2" t="s">
        <v>960</v>
      </c>
      <c r="B85" s="3">
        <v>43933</v>
      </c>
      <c r="C85" s="2" t="s">
        <v>961</v>
      </c>
      <c r="D85" t="s">
        <v>6149</v>
      </c>
      <c r="E85" s="2">
        <v>4</v>
      </c>
      <c r="F85" s="2" t="str">
        <f>_xlfn.XLOOKUP(Orders[[#This Row],[Customer ID]],customers!$A$1:$A$1001,customers!$B$1:$B$1001,,0)</f>
        <v>Hally Lorait</v>
      </c>
      <c r="G85" s="2" t="str">
        <f>IF(_xlfn.XLOOKUP(C85,customers!$A$1:$A$1001,customers!C84:C1084,,0)=0,"",_xlfn.XLOOKUP(C85,customers!$A$1:$A$1001,customers!C84:C1084,,0))</f>
        <v/>
      </c>
      <c r="H85" s="2" t="str">
        <f>_xlfn.XLOOKUP(Orders[[#This Row],[Customer ID]],customers!$A$1:$A$1001,customers!$G$1:$G$1001,,0)</f>
        <v>United States</v>
      </c>
      <c r="I85" s="2" t="str">
        <f>_xlfn.XLOOKUP(Orders[[#This Row],[Customer ID]],customers!$A$1:$A$1001,customers!$F$1:$F$1001,,0)</f>
        <v>Buffalo</v>
      </c>
      <c r="J85" t="str">
        <f>INDEX(products!$A$1:$G$49,MATCH(orders!$D85,products!$A$1:$A$49,0),MATCH(orders!J$1,products!$A$1:$G$1,0))</f>
        <v>Rob</v>
      </c>
      <c r="K85" t="str">
        <f>INDEX(products!$A$1:$G$49,MATCH(orders!$D85,products!$A$1:$A$49,0),MATCH(orders!K$1,products!$A$1:$G$1,0))</f>
        <v>D</v>
      </c>
      <c r="L85" s="4">
        <f>INDEX(products!$A$1:$G$49,MATCH(orders!$D85,products!$A$1:$A$49,0),MATCH(orders!L$1,products!$A$1:$G$1,0))</f>
        <v>2.5</v>
      </c>
      <c r="M85" s="5">
        <f>INDEX(products!$A$1:$G$49,MATCH(orders!$D85,products!$A$1:$A$49,0),MATCH(orders!M$1,products!$A$1:$G$1,0))</f>
        <v>20.584999999999997</v>
      </c>
      <c r="N85" s="5">
        <f>Orders[[#This Row],[Quantity]]*(INDEX(products!$A$1:$G$49,MATCH(orders!$D85,products!$A$1:$A$49,0),MATCH(orders!N$1,products!$A$1:$G$1,0)))</f>
        <v>4.9403999999999995</v>
      </c>
      <c r="O85" s="5">
        <f>M85*E85</f>
        <v>82.339999999999989</v>
      </c>
      <c r="P85" t="str">
        <f t="shared" si="2"/>
        <v>Robusta</v>
      </c>
      <c r="Q85" t="str">
        <f t="shared" si="3"/>
        <v>Dark</v>
      </c>
      <c r="R85" t="str">
        <f>_xlfn.XLOOKUP(Orders[[#This Row],[Customer ID]],customers!$A$1:$A$1001,customers!$I$1:$I$1001,,0)</f>
        <v>Yes</v>
      </c>
    </row>
    <row r="86" spans="1:18" x14ac:dyDescent="0.35">
      <c r="A86" s="2" t="s">
        <v>965</v>
      </c>
      <c r="B86" s="3">
        <v>43783</v>
      </c>
      <c r="C86" s="2" t="s">
        <v>966</v>
      </c>
      <c r="D86" t="s">
        <v>6161</v>
      </c>
      <c r="E86" s="2">
        <v>1</v>
      </c>
      <c r="F86" s="2" t="str">
        <f>_xlfn.XLOOKUP(Orders[[#This Row],[Customer ID]],customers!$A$1:$A$1001,customers!$B$1:$B$1001,,0)</f>
        <v>Zaccaria Sherewood</v>
      </c>
      <c r="G86" s="2" t="str">
        <f>IF(_xlfn.XLOOKUP(C86,customers!$A$1:$A$1001,customers!C85:C1085,,0)=0,"",_xlfn.XLOOKUP(C86,customers!$A$1:$A$1001,customers!C85:C1085,,0))</f>
        <v/>
      </c>
      <c r="H86" s="2" t="str">
        <f>_xlfn.XLOOKUP(Orders[[#This Row],[Customer ID]],customers!$A$1:$A$1001,customers!$G$1:$G$1001,,0)</f>
        <v>United States</v>
      </c>
      <c r="I86" s="2" t="str">
        <f>_xlfn.XLOOKUP(Orders[[#This Row],[Customer ID]],customers!$A$1:$A$1001,customers!$F$1:$F$1001,,0)</f>
        <v>Fresno</v>
      </c>
      <c r="J86" t="str">
        <f>INDEX(products!$A$1:$G$49,MATCH(orders!$D86,products!$A$1:$A$49,0),MATCH(orders!J$1,products!$A$1:$G$1,0))</f>
        <v>Lib</v>
      </c>
      <c r="K86" t="str">
        <f>INDEX(products!$A$1:$G$49,MATCH(orders!$D86,products!$A$1:$A$49,0),MATCH(orders!K$1,products!$A$1:$G$1,0))</f>
        <v>L</v>
      </c>
      <c r="L86" s="4">
        <f>INDEX(products!$A$1:$G$49,MATCH(orders!$D86,products!$A$1:$A$49,0),MATCH(orders!L$1,products!$A$1:$G$1,0))</f>
        <v>0.5</v>
      </c>
      <c r="M86" s="5">
        <f>INDEX(products!$A$1:$G$49,MATCH(orders!$D86,products!$A$1:$A$49,0),MATCH(orders!M$1,products!$A$1:$G$1,0))</f>
        <v>9.51</v>
      </c>
      <c r="N86" s="5">
        <f>Orders[[#This Row],[Quantity]]*(INDEX(products!$A$1:$G$49,MATCH(orders!$D86,products!$A$1:$A$49,0),MATCH(orders!N$1,products!$A$1:$G$1,0)))</f>
        <v>1.2363</v>
      </c>
      <c r="O86" s="5">
        <f>M86*E86</f>
        <v>9.51</v>
      </c>
      <c r="P86" t="str">
        <f t="shared" si="2"/>
        <v>Liberica</v>
      </c>
      <c r="Q86" t="str">
        <f t="shared" si="3"/>
        <v>Light</v>
      </c>
      <c r="R86" t="str">
        <f>_xlfn.XLOOKUP(Orders[[#This Row],[Customer ID]],customers!$A$1:$A$1001,customers!$I$1:$I$1001,,0)</f>
        <v>No</v>
      </c>
    </row>
    <row r="87" spans="1:18" x14ac:dyDescent="0.35">
      <c r="A87" s="2" t="s">
        <v>971</v>
      </c>
      <c r="B87" s="3">
        <v>43664</v>
      </c>
      <c r="C87" s="2" t="s">
        <v>972</v>
      </c>
      <c r="D87" t="s">
        <v>6182</v>
      </c>
      <c r="E87" s="2">
        <v>3</v>
      </c>
      <c r="F87" s="2" t="str">
        <f>_xlfn.XLOOKUP(Orders[[#This Row],[Customer ID]],customers!$A$1:$A$1001,customers!$B$1:$B$1001,,0)</f>
        <v>Jeffrey Dufaire</v>
      </c>
      <c r="G87" s="2" t="str">
        <f>IF(_xlfn.XLOOKUP(C87,customers!$A$1:$A$1001,customers!C86:C1086,,0)=0,"",_xlfn.XLOOKUP(C87,customers!$A$1:$A$1001,customers!C86:C1086,,0))</f>
        <v>searley4q@youku.com</v>
      </c>
      <c r="H87" s="2" t="str">
        <f>_xlfn.XLOOKUP(Orders[[#This Row],[Customer ID]],customers!$A$1:$A$1001,customers!$G$1:$G$1001,,0)</f>
        <v>United States</v>
      </c>
      <c r="I87" s="2" t="str">
        <f>_xlfn.XLOOKUP(Orders[[#This Row],[Customer ID]],customers!$A$1:$A$1001,customers!$F$1:$F$1001,,0)</f>
        <v>Fort Worth</v>
      </c>
      <c r="J87" t="str">
        <f>INDEX(products!$A$1:$G$49,MATCH(orders!$D87,products!$A$1:$A$49,0),MATCH(orders!J$1,products!$A$1:$G$1,0))</f>
        <v>Ara</v>
      </c>
      <c r="K87" t="str">
        <f>INDEX(products!$A$1:$G$49,MATCH(orders!$D87,products!$A$1:$A$49,0),MATCH(orders!K$1,products!$A$1:$G$1,0))</f>
        <v>L</v>
      </c>
      <c r="L87" s="4">
        <f>INDEX(products!$A$1:$G$49,MATCH(orders!$D87,products!$A$1:$A$49,0),MATCH(orders!L$1,products!$A$1:$G$1,0))</f>
        <v>2.5</v>
      </c>
      <c r="M87" s="5">
        <f>INDEX(products!$A$1:$G$49,MATCH(orders!$D87,products!$A$1:$A$49,0),MATCH(orders!M$1,products!$A$1:$G$1,0))</f>
        <v>29.784999999999997</v>
      </c>
      <c r="N87" s="5">
        <f>Orders[[#This Row],[Quantity]]*(INDEX(products!$A$1:$G$49,MATCH(orders!$D87,products!$A$1:$A$49,0),MATCH(orders!N$1,products!$A$1:$G$1,0)))</f>
        <v>8.0419499999999982</v>
      </c>
      <c r="O87" s="5">
        <f>M87*E87</f>
        <v>89.35499999999999</v>
      </c>
      <c r="P87" t="str">
        <f t="shared" si="2"/>
        <v>Arabica</v>
      </c>
      <c r="Q87" t="str">
        <f t="shared" si="3"/>
        <v>Light</v>
      </c>
      <c r="R87" t="str">
        <f>_xlfn.XLOOKUP(Orders[[#This Row],[Customer ID]],customers!$A$1:$A$1001,customers!$I$1:$I$1001,,0)</f>
        <v>No</v>
      </c>
    </row>
    <row r="88" spans="1:18" x14ac:dyDescent="0.35">
      <c r="A88" s="2" t="s">
        <v>971</v>
      </c>
      <c r="B88" s="3">
        <v>43664</v>
      </c>
      <c r="C88" s="2" t="s">
        <v>972</v>
      </c>
      <c r="D88" t="s">
        <v>6154</v>
      </c>
      <c r="E88" s="2">
        <v>4</v>
      </c>
      <c r="F88" s="2" t="str">
        <f>_xlfn.XLOOKUP(Orders[[#This Row],[Customer ID]],customers!$A$1:$A$1001,customers!$B$1:$B$1001,,0)</f>
        <v>Jeffrey Dufaire</v>
      </c>
      <c r="G88" s="2" t="str">
        <f>IF(_xlfn.XLOOKUP(C88,customers!$A$1:$A$1001,customers!C87:C1087,,0)=0,"",_xlfn.XLOOKUP(C88,customers!$A$1:$A$1001,customers!C87:C1087,,0))</f>
        <v>mchamberlayne4r@bigcartel.com</v>
      </c>
      <c r="H88" s="2" t="str">
        <f>_xlfn.XLOOKUP(Orders[[#This Row],[Customer ID]],customers!$A$1:$A$1001,customers!$G$1:$G$1001,,0)</f>
        <v>United States</v>
      </c>
      <c r="I88" s="2" t="str">
        <f>_xlfn.XLOOKUP(Orders[[#This Row],[Customer ID]],customers!$A$1:$A$1001,customers!$F$1:$F$1001,,0)</f>
        <v>Fort Worth</v>
      </c>
      <c r="J88" t="str">
        <f>INDEX(products!$A$1:$G$49,MATCH(orders!$D88,products!$A$1:$A$49,0),MATCH(orders!J$1,products!$A$1:$G$1,0))</f>
        <v>Ara</v>
      </c>
      <c r="K88" t="str">
        <f>INDEX(products!$A$1:$G$49,MATCH(orders!$D88,products!$A$1:$A$49,0),MATCH(orders!K$1,products!$A$1:$G$1,0))</f>
        <v>D</v>
      </c>
      <c r="L88" s="4">
        <f>INDEX(products!$A$1:$G$49,MATCH(orders!$D88,products!$A$1:$A$49,0),MATCH(orders!L$1,products!$A$1:$G$1,0))</f>
        <v>0.2</v>
      </c>
      <c r="M88" s="5">
        <f>INDEX(products!$A$1:$G$49,MATCH(orders!$D88,products!$A$1:$A$49,0),MATCH(orders!M$1,products!$A$1:$G$1,0))</f>
        <v>2.9849999999999999</v>
      </c>
      <c r="N88" s="5">
        <f>Orders[[#This Row],[Quantity]]*(INDEX(products!$A$1:$G$49,MATCH(orders!$D88,products!$A$1:$A$49,0),MATCH(orders!N$1,products!$A$1:$G$1,0)))</f>
        <v>1.0746</v>
      </c>
      <c r="O88" s="5">
        <f>M88*E88</f>
        <v>11.94</v>
      </c>
      <c r="P88" t="str">
        <f t="shared" si="2"/>
        <v>Arabica</v>
      </c>
      <c r="Q88" t="str">
        <f t="shared" si="3"/>
        <v>Dark</v>
      </c>
      <c r="R88" t="str">
        <f>_xlfn.XLOOKUP(Orders[[#This Row],[Customer ID]],customers!$A$1:$A$1001,customers!$I$1:$I$1001,,0)</f>
        <v>No</v>
      </c>
    </row>
    <row r="89" spans="1:18" x14ac:dyDescent="0.35">
      <c r="A89" s="2" t="s">
        <v>980</v>
      </c>
      <c r="B89" s="3">
        <v>44289</v>
      </c>
      <c r="C89" s="2" t="s">
        <v>981</v>
      </c>
      <c r="D89" t="s">
        <v>6155</v>
      </c>
      <c r="E89" s="2">
        <v>3</v>
      </c>
      <c r="F89" s="2" t="str">
        <f>_xlfn.XLOOKUP(Orders[[#This Row],[Customer ID]],customers!$A$1:$A$1001,customers!$B$1:$B$1001,,0)</f>
        <v>Beitris Keaveney</v>
      </c>
      <c r="G89" s="2" t="str">
        <f>IF(_xlfn.XLOOKUP(C89,customers!$A$1:$A$1001,customers!C88:C1088,,0)=0,"",_xlfn.XLOOKUP(C89,customers!$A$1:$A$1001,customers!C88:C1088,,0))</f>
        <v/>
      </c>
      <c r="H89" s="2" t="str">
        <f>_xlfn.XLOOKUP(Orders[[#This Row],[Customer ID]],customers!$A$1:$A$1001,customers!$G$1:$G$1001,,0)</f>
        <v>United States</v>
      </c>
      <c r="I89" s="2" t="str">
        <f>_xlfn.XLOOKUP(Orders[[#This Row],[Customer ID]],customers!$A$1:$A$1001,customers!$F$1:$F$1001,,0)</f>
        <v>Beaumont</v>
      </c>
      <c r="J89" t="str">
        <f>INDEX(products!$A$1:$G$49,MATCH(orders!$D89,products!$A$1:$A$49,0),MATCH(orders!J$1,products!$A$1:$G$1,0))</f>
        <v>Ara</v>
      </c>
      <c r="K89" t="str">
        <f>INDEX(products!$A$1:$G$49,MATCH(orders!$D89,products!$A$1:$A$49,0),MATCH(orders!K$1,products!$A$1:$G$1,0))</f>
        <v>M</v>
      </c>
      <c r="L89" s="4">
        <f>INDEX(products!$A$1:$G$49,MATCH(orders!$D89,products!$A$1:$A$49,0),MATCH(orders!L$1,products!$A$1:$G$1,0))</f>
        <v>1</v>
      </c>
      <c r="M89" s="5">
        <f>INDEX(products!$A$1:$G$49,MATCH(orders!$D89,products!$A$1:$A$49,0),MATCH(orders!M$1,products!$A$1:$G$1,0))</f>
        <v>11.25</v>
      </c>
      <c r="N89" s="5">
        <f>Orders[[#This Row],[Quantity]]*(INDEX(products!$A$1:$G$49,MATCH(orders!$D89,products!$A$1:$A$49,0),MATCH(orders!N$1,products!$A$1:$G$1,0)))</f>
        <v>3.0374999999999996</v>
      </c>
      <c r="O89" s="5">
        <f>M89*E89</f>
        <v>33.75</v>
      </c>
      <c r="P89" t="str">
        <f t="shared" si="2"/>
        <v>Arabica</v>
      </c>
      <c r="Q89" t="str">
        <f t="shared" si="3"/>
        <v>Medium</v>
      </c>
      <c r="R89" t="str">
        <f>_xlfn.XLOOKUP(Orders[[#This Row],[Customer ID]],customers!$A$1:$A$1001,customers!$I$1:$I$1001,,0)</f>
        <v>No</v>
      </c>
    </row>
    <row r="90" spans="1:18" x14ac:dyDescent="0.35">
      <c r="A90" s="2" t="s">
        <v>985</v>
      </c>
      <c r="B90" s="3">
        <v>44284</v>
      </c>
      <c r="C90" s="2" t="s">
        <v>986</v>
      </c>
      <c r="D90" t="s">
        <v>6179</v>
      </c>
      <c r="E90" s="2">
        <v>3</v>
      </c>
      <c r="F90" s="2" t="str">
        <f>_xlfn.XLOOKUP(Orders[[#This Row],[Customer ID]],customers!$A$1:$A$1001,customers!$B$1:$B$1001,,0)</f>
        <v>Elna Grise</v>
      </c>
      <c r="G90" s="2" t="str">
        <f>IF(_xlfn.XLOOKUP(C90,customers!$A$1:$A$1001,customers!C89:C1089,,0)=0,"",_xlfn.XLOOKUP(C90,customers!$A$1:$A$1001,customers!C89:C1089,,0))</f>
        <v>othynne4w@auda.org.au</v>
      </c>
      <c r="H90" s="2" t="str">
        <f>_xlfn.XLOOKUP(Orders[[#This Row],[Customer ID]],customers!$A$1:$A$1001,customers!$G$1:$G$1001,,0)</f>
        <v>United States</v>
      </c>
      <c r="I90" s="2" t="str">
        <f>_xlfn.XLOOKUP(Orders[[#This Row],[Customer ID]],customers!$A$1:$A$1001,customers!$F$1:$F$1001,,0)</f>
        <v>Reno</v>
      </c>
      <c r="J90" t="str">
        <f>INDEX(products!$A$1:$G$49,MATCH(orders!$D90,products!$A$1:$A$49,0),MATCH(orders!J$1,products!$A$1:$G$1,0))</f>
        <v>Rob</v>
      </c>
      <c r="K90" t="str">
        <f>INDEX(products!$A$1:$G$49,MATCH(orders!$D90,products!$A$1:$A$49,0),MATCH(orders!K$1,products!$A$1:$G$1,0))</f>
        <v>L</v>
      </c>
      <c r="L90" s="4">
        <f>INDEX(products!$A$1:$G$49,MATCH(orders!$D90,products!$A$1:$A$49,0),MATCH(orders!L$1,products!$A$1:$G$1,0))</f>
        <v>1</v>
      </c>
      <c r="M90" s="5">
        <f>INDEX(products!$A$1:$G$49,MATCH(orders!$D90,products!$A$1:$A$49,0),MATCH(orders!M$1,products!$A$1:$G$1,0))</f>
        <v>11.95</v>
      </c>
      <c r="N90" s="5">
        <f>Orders[[#This Row],[Quantity]]*(INDEX(products!$A$1:$G$49,MATCH(orders!$D90,products!$A$1:$A$49,0),MATCH(orders!N$1,products!$A$1:$G$1,0)))</f>
        <v>2.1509999999999998</v>
      </c>
      <c r="O90" s="5">
        <f>M90*E90</f>
        <v>35.849999999999994</v>
      </c>
      <c r="P90" t="str">
        <f t="shared" si="2"/>
        <v>Robusta</v>
      </c>
      <c r="Q90" t="str">
        <f t="shared" si="3"/>
        <v>Light</v>
      </c>
      <c r="R90" t="str">
        <f>_xlfn.XLOOKUP(Orders[[#This Row],[Customer ID]],customers!$A$1:$A$1001,customers!$I$1:$I$1001,,0)</f>
        <v>No</v>
      </c>
    </row>
    <row r="91" spans="1:18" x14ac:dyDescent="0.35">
      <c r="A91" s="2" t="s">
        <v>990</v>
      </c>
      <c r="B91" s="3">
        <v>44545</v>
      </c>
      <c r="C91" s="2" t="s">
        <v>991</v>
      </c>
      <c r="D91" t="s">
        <v>6140</v>
      </c>
      <c r="E91" s="2">
        <v>6</v>
      </c>
      <c r="F91" s="2" t="str">
        <f>_xlfn.XLOOKUP(Orders[[#This Row],[Customer ID]],customers!$A$1:$A$1001,customers!$B$1:$B$1001,,0)</f>
        <v>Torie Gottelier</v>
      </c>
      <c r="G91" s="2" t="str">
        <f>IF(_xlfn.XLOOKUP(C91,customers!$A$1:$A$1001,customers!C90:C1090,,0)=0,"",_xlfn.XLOOKUP(C91,customers!$A$1:$A$1001,customers!C90:C1090,,0))</f>
        <v>kmelloi4y@imdb.com</v>
      </c>
      <c r="H91" s="2" t="str">
        <f>_xlfn.XLOOKUP(Orders[[#This Row],[Customer ID]],customers!$A$1:$A$1001,customers!$G$1:$G$1001,,0)</f>
        <v>United States</v>
      </c>
      <c r="I91" s="2" t="str">
        <f>_xlfn.XLOOKUP(Orders[[#This Row],[Customer ID]],customers!$A$1:$A$1001,customers!$F$1:$F$1001,,0)</f>
        <v>Kansas City</v>
      </c>
      <c r="J91" t="str">
        <f>INDEX(products!$A$1:$G$49,MATCH(orders!$D91,products!$A$1:$A$49,0),MATCH(orders!J$1,products!$A$1:$G$1,0))</f>
        <v>Ara</v>
      </c>
      <c r="K91" t="str">
        <f>INDEX(products!$A$1:$G$49,MATCH(orders!$D91,products!$A$1:$A$49,0),MATCH(orders!K$1,products!$A$1:$G$1,0))</f>
        <v>L</v>
      </c>
      <c r="L91" s="4">
        <f>INDEX(products!$A$1:$G$49,MATCH(orders!$D91,products!$A$1:$A$49,0),MATCH(orders!L$1,products!$A$1:$G$1,0))</f>
        <v>1</v>
      </c>
      <c r="M91" s="5">
        <f>INDEX(products!$A$1:$G$49,MATCH(orders!$D91,products!$A$1:$A$49,0),MATCH(orders!M$1,products!$A$1:$G$1,0))</f>
        <v>12.95</v>
      </c>
      <c r="N91" s="5">
        <f>Orders[[#This Row],[Quantity]]*(INDEX(products!$A$1:$G$49,MATCH(orders!$D91,products!$A$1:$A$49,0),MATCH(orders!N$1,products!$A$1:$G$1,0)))</f>
        <v>6.9930000000000003</v>
      </c>
      <c r="O91" s="5">
        <f>M91*E91</f>
        <v>77.699999999999989</v>
      </c>
      <c r="P91" t="str">
        <f t="shared" si="2"/>
        <v>Arabica</v>
      </c>
      <c r="Q91" t="str">
        <f t="shared" si="3"/>
        <v>Light</v>
      </c>
      <c r="R91" t="str">
        <f>_xlfn.XLOOKUP(Orders[[#This Row],[Customer ID]],customers!$A$1:$A$1001,customers!$I$1:$I$1001,,0)</f>
        <v>No</v>
      </c>
    </row>
    <row r="92" spans="1:18" x14ac:dyDescent="0.35">
      <c r="A92" s="2" t="s">
        <v>996</v>
      </c>
      <c r="B92" s="3">
        <v>43971</v>
      </c>
      <c r="C92" s="2" t="s">
        <v>997</v>
      </c>
      <c r="D92" t="s">
        <v>6140</v>
      </c>
      <c r="E92" s="2">
        <v>4</v>
      </c>
      <c r="F92" s="2" t="str">
        <f>_xlfn.XLOOKUP(Orders[[#This Row],[Customer ID]],customers!$A$1:$A$1001,customers!$B$1:$B$1001,,0)</f>
        <v>Loydie Langlais</v>
      </c>
      <c r="G92" s="2" t="str">
        <f>IF(_xlfn.XLOOKUP(C92,customers!$A$1:$A$1001,customers!C91:C1091,,0)=0,"",_xlfn.XLOOKUP(C92,customers!$A$1:$A$1001,customers!C91:C1091,,0))</f>
        <v>amussen50@51.la</v>
      </c>
      <c r="H92" s="2" t="str">
        <f>_xlfn.XLOOKUP(Orders[[#This Row],[Customer ID]],customers!$A$1:$A$1001,customers!$G$1:$G$1001,,0)</f>
        <v>Ireland</v>
      </c>
      <c r="I92" s="2" t="str">
        <f>_xlfn.XLOOKUP(Orders[[#This Row],[Customer ID]],customers!$A$1:$A$1001,customers!$F$1:$F$1001,,0)</f>
        <v>Crumlin</v>
      </c>
      <c r="J92" t="str">
        <f>INDEX(products!$A$1:$G$49,MATCH(orders!$D92,products!$A$1:$A$49,0),MATCH(orders!J$1,products!$A$1:$G$1,0))</f>
        <v>Ara</v>
      </c>
      <c r="K92" t="str">
        <f>INDEX(products!$A$1:$G$49,MATCH(orders!$D92,products!$A$1:$A$49,0),MATCH(orders!K$1,products!$A$1:$G$1,0))</f>
        <v>L</v>
      </c>
      <c r="L92" s="4">
        <f>INDEX(products!$A$1:$G$49,MATCH(orders!$D92,products!$A$1:$A$49,0),MATCH(orders!L$1,products!$A$1:$G$1,0))</f>
        <v>1</v>
      </c>
      <c r="M92" s="5">
        <f>INDEX(products!$A$1:$G$49,MATCH(orders!$D92,products!$A$1:$A$49,0),MATCH(orders!M$1,products!$A$1:$G$1,0))</f>
        <v>12.95</v>
      </c>
      <c r="N92" s="5">
        <f>Orders[[#This Row],[Quantity]]*(INDEX(products!$A$1:$G$49,MATCH(orders!$D92,products!$A$1:$A$49,0),MATCH(orders!N$1,products!$A$1:$G$1,0)))</f>
        <v>4.6619999999999999</v>
      </c>
      <c r="O92" s="5">
        <f>M92*E92</f>
        <v>51.8</v>
      </c>
      <c r="P92" t="str">
        <f t="shared" si="2"/>
        <v>Arabica</v>
      </c>
      <c r="Q92" t="str">
        <f t="shared" si="3"/>
        <v>Light</v>
      </c>
      <c r="R92" t="str">
        <f>_xlfn.XLOOKUP(Orders[[#This Row],[Customer ID]],customers!$A$1:$A$1001,customers!$I$1:$I$1001,,0)</f>
        <v>Yes</v>
      </c>
    </row>
    <row r="93" spans="1:18" x14ac:dyDescent="0.35">
      <c r="A93" s="2" t="s">
        <v>1001</v>
      </c>
      <c r="B93" s="3">
        <v>44137</v>
      </c>
      <c r="C93" s="2" t="s">
        <v>1002</v>
      </c>
      <c r="D93" t="s">
        <v>6175</v>
      </c>
      <c r="E93" s="2">
        <v>4</v>
      </c>
      <c r="F93" s="2" t="str">
        <f>_xlfn.XLOOKUP(Orders[[#This Row],[Customer ID]],customers!$A$1:$A$1001,customers!$B$1:$B$1001,,0)</f>
        <v>Adham Greenhead</v>
      </c>
      <c r="G93" s="2" t="str">
        <f>IF(_xlfn.XLOOKUP(C93,customers!$A$1:$A$1001,customers!C92:C1092,,0)=0,"",_xlfn.XLOOKUP(C93,customers!$A$1:$A$1001,customers!C92:C1092,,0))</f>
        <v>amundford52@nbcnews.com</v>
      </c>
      <c r="H93" s="2" t="str">
        <f>_xlfn.XLOOKUP(Orders[[#This Row],[Customer ID]],customers!$A$1:$A$1001,customers!$G$1:$G$1001,,0)</f>
        <v>United States</v>
      </c>
      <c r="I93" s="2" t="str">
        <f>_xlfn.XLOOKUP(Orders[[#This Row],[Customer ID]],customers!$A$1:$A$1001,customers!$F$1:$F$1001,,0)</f>
        <v>Corona</v>
      </c>
      <c r="J93" t="str">
        <f>INDEX(products!$A$1:$G$49,MATCH(orders!$D93,products!$A$1:$A$49,0),MATCH(orders!J$1,products!$A$1:$G$1,0))</f>
        <v>Ara</v>
      </c>
      <c r="K93" t="str">
        <f>INDEX(products!$A$1:$G$49,MATCH(orders!$D93,products!$A$1:$A$49,0),MATCH(orders!K$1,products!$A$1:$G$1,0))</f>
        <v>M</v>
      </c>
      <c r="L93" s="4">
        <f>INDEX(products!$A$1:$G$49,MATCH(orders!$D93,products!$A$1:$A$49,0),MATCH(orders!L$1,products!$A$1:$G$1,0))</f>
        <v>2.5</v>
      </c>
      <c r="M93" s="5">
        <f>INDEX(products!$A$1:$G$49,MATCH(orders!$D93,products!$A$1:$A$49,0),MATCH(orders!M$1,products!$A$1:$G$1,0))</f>
        <v>25.874999999999996</v>
      </c>
      <c r="N93" s="5">
        <f>Orders[[#This Row],[Quantity]]*(INDEX(products!$A$1:$G$49,MATCH(orders!$D93,products!$A$1:$A$49,0),MATCH(orders!N$1,products!$A$1:$G$1,0)))</f>
        <v>9.3149999999999977</v>
      </c>
      <c r="O93" s="5">
        <f>M93*E93</f>
        <v>103.49999999999999</v>
      </c>
      <c r="P93" t="str">
        <f t="shared" si="2"/>
        <v>Arabica</v>
      </c>
      <c r="Q93" t="str">
        <f t="shared" si="3"/>
        <v>Medium</v>
      </c>
      <c r="R93" t="str">
        <f>_xlfn.XLOOKUP(Orders[[#This Row],[Customer ID]],customers!$A$1:$A$1001,customers!$I$1:$I$1001,,0)</f>
        <v>No</v>
      </c>
    </row>
    <row r="94" spans="1:18" x14ac:dyDescent="0.35">
      <c r="A94" s="2" t="s">
        <v>1007</v>
      </c>
      <c r="B94" s="3">
        <v>44037</v>
      </c>
      <c r="C94" s="2" t="s">
        <v>1008</v>
      </c>
      <c r="D94" t="s">
        <v>6171</v>
      </c>
      <c r="E94" s="2">
        <v>3</v>
      </c>
      <c r="F94" s="2" t="str">
        <f>_xlfn.XLOOKUP(Orders[[#This Row],[Customer ID]],customers!$A$1:$A$1001,customers!$B$1:$B$1001,,0)</f>
        <v>Hamish MacSherry</v>
      </c>
      <c r="G94" s="2" t="str">
        <f>IF(_xlfn.XLOOKUP(C94,customers!$A$1:$A$1001,customers!C93:C1093,,0)=0,"",_xlfn.XLOOKUP(C94,customers!$A$1:$A$1001,customers!C93:C1093,,0))</f>
        <v>iblazewicz54@thetimes.co.uk</v>
      </c>
      <c r="H94" s="2" t="str">
        <f>_xlfn.XLOOKUP(Orders[[#This Row],[Customer ID]],customers!$A$1:$A$1001,customers!$G$1:$G$1001,,0)</f>
        <v>United States</v>
      </c>
      <c r="I94" s="2" t="str">
        <f>_xlfn.XLOOKUP(Orders[[#This Row],[Customer ID]],customers!$A$1:$A$1001,customers!$F$1:$F$1001,,0)</f>
        <v>Austin</v>
      </c>
      <c r="J94" t="str">
        <f>INDEX(products!$A$1:$G$49,MATCH(orders!$D94,products!$A$1:$A$49,0),MATCH(orders!J$1,products!$A$1:$G$1,0))</f>
        <v>Exc</v>
      </c>
      <c r="K94" t="str">
        <f>INDEX(products!$A$1:$G$49,MATCH(orders!$D94,products!$A$1:$A$49,0),MATCH(orders!K$1,products!$A$1:$G$1,0))</f>
        <v>L</v>
      </c>
      <c r="L94" s="4">
        <f>INDEX(products!$A$1:$G$49,MATCH(orders!$D94,products!$A$1:$A$49,0),MATCH(orders!L$1,products!$A$1:$G$1,0))</f>
        <v>1</v>
      </c>
      <c r="M94" s="5">
        <f>INDEX(products!$A$1:$G$49,MATCH(orders!$D94,products!$A$1:$A$49,0),MATCH(orders!M$1,products!$A$1:$G$1,0))</f>
        <v>14.85</v>
      </c>
      <c r="N94" s="5">
        <f>Orders[[#This Row],[Quantity]]*(INDEX(products!$A$1:$G$49,MATCH(orders!$D94,products!$A$1:$A$49,0),MATCH(orders!N$1,products!$A$1:$G$1,0)))</f>
        <v>4.9005000000000001</v>
      </c>
      <c r="O94" s="5">
        <f>M94*E94</f>
        <v>44.55</v>
      </c>
      <c r="P94" t="str">
        <f t="shared" si="2"/>
        <v>Excelsa</v>
      </c>
      <c r="Q94" t="str">
        <f t="shared" si="3"/>
        <v>Light</v>
      </c>
      <c r="R94" t="str">
        <f>_xlfn.XLOOKUP(Orders[[#This Row],[Customer ID]],customers!$A$1:$A$1001,customers!$I$1:$I$1001,,0)</f>
        <v>Yes</v>
      </c>
    </row>
    <row r="95" spans="1:18" x14ac:dyDescent="0.35">
      <c r="A95" s="2" t="s">
        <v>1012</v>
      </c>
      <c r="B95" s="3">
        <v>43538</v>
      </c>
      <c r="C95" s="2" t="s">
        <v>1013</v>
      </c>
      <c r="D95" t="s">
        <v>6176</v>
      </c>
      <c r="E95" s="2">
        <v>4</v>
      </c>
      <c r="F95" s="2" t="str">
        <f>_xlfn.XLOOKUP(Orders[[#This Row],[Customer ID]],customers!$A$1:$A$1001,customers!$B$1:$B$1001,,0)</f>
        <v>Else Langcaster</v>
      </c>
      <c r="G95" s="2" t="str">
        <f>IF(_xlfn.XLOOKUP(C95,customers!$A$1:$A$1001,customers!C94:C1094,,0)=0,"",_xlfn.XLOOKUP(C95,customers!$A$1:$A$1001,customers!C94:C1094,,0))</f>
        <v>mmeriet56@noaa.gov</v>
      </c>
      <c r="H95" s="2" t="str">
        <f>_xlfn.XLOOKUP(Orders[[#This Row],[Customer ID]],customers!$A$1:$A$1001,customers!$G$1:$G$1001,,0)</f>
        <v>United Kingdom</v>
      </c>
      <c r="I95" s="2" t="str">
        <f>_xlfn.XLOOKUP(Orders[[#This Row],[Customer ID]],customers!$A$1:$A$1001,customers!$F$1:$F$1001,,0)</f>
        <v>Normanton</v>
      </c>
      <c r="J95" t="str">
        <f>INDEX(products!$A$1:$G$49,MATCH(orders!$D95,products!$A$1:$A$49,0),MATCH(orders!J$1,products!$A$1:$G$1,0))</f>
        <v>Exc</v>
      </c>
      <c r="K95" t="str">
        <f>INDEX(products!$A$1:$G$49,MATCH(orders!$D95,products!$A$1:$A$49,0),MATCH(orders!K$1,products!$A$1:$G$1,0))</f>
        <v>L</v>
      </c>
      <c r="L95" s="4">
        <f>INDEX(products!$A$1:$G$49,MATCH(orders!$D95,products!$A$1:$A$49,0),MATCH(orders!L$1,products!$A$1:$G$1,0))</f>
        <v>0.5</v>
      </c>
      <c r="M95" s="5">
        <f>INDEX(products!$A$1:$G$49,MATCH(orders!$D95,products!$A$1:$A$49,0),MATCH(orders!M$1,products!$A$1:$G$1,0))</f>
        <v>8.91</v>
      </c>
      <c r="N95" s="5">
        <f>Orders[[#This Row],[Quantity]]*(INDEX(products!$A$1:$G$49,MATCH(orders!$D95,products!$A$1:$A$49,0),MATCH(orders!N$1,products!$A$1:$G$1,0)))</f>
        <v>3.9203999999999999</v>
      </c>
      <c r="O95" s="5">
        <f>M95*E95</f>
        <v>35.64</v>
      </c>
      <c r="P95" t="str">
        <f t="shared" si="2"/>
        <v>Excelsa</v>
      </c>
      <c r="Q95" t="str">
        <f t="shared" si="3"/>
        <v>Light</v>
      </c>
      <c r="R95" t="str">
        <f>_xlfn.XLOOKUP(Orders[[#This Row],[Customer ID]],customers!$A$1:$A$1001,customers!$I$1:$I$1001,,0)</f>
        <v>Yes</v>
      </c>
    </row>
    <row r="96" spans="1:18" x14ac:dyDescent="0.35">
      <c r="A96" s="2" t="s">
        <v>1018</v>
      </c>
      <c r="B96" s="3">
        <v>44014</v>
      </c>
      <c r="C96" s="2" t="s">
        <v>1019</v>
      </c>
      <c r="D96" t="s">
        <v>6154</v>
      </c>
      <c r="E96" s="2">
        <v>6</v>
      </c>
      <c r="F96" s="2" t="str">
        <f>_xlfn.XLOOKUP(Orders[[#This Row],[Customer ID]],customers!$A$1:$A$1001,customers!$B$1:$B$1001,,0)</f>
        <v>Rudy Farquharson</v>
      </c>
      <c r="G96" s="2" t="str">
        <f>IF(_xlfn.XLOOKUP(C96,customers!$A$1:$A$1001,customers!C95:C1095,,0)=0,"",_xlfn.XLOOKUP(C96,customers!$A$1:$A$1001,customers!C95:C1095,,0))</f>
        <v>akitchingham58@com.com</v>
      </c>
      <c r="H96" s="2" t="str">
        <f>_xlfn.XLOOKUP(Orders[[#This Row],[Customer ID]],customers!$A$1:$A$1001,customers!$G$1:$G$1001,,0)</f>
        <v>Ireland</v>
      </c>
      <c r="I96" s="2" t="str">
        <f>_xlfn.XLOOKUP(Orders[[#This Row],[Customer ID]],customers!$A$1:$A$1001,customers!$F$1:$F$1001,,0)</f>
        <v>Charlesland</v>
      </c>
      <c r="J96" t="str">
        <f>INDEX(products!$A$1:$G$49,MATCH(orders!$D96,products!$A$1:$A$49,0),MATCH(orders!J$1,products!$A$1:$G$1,0))</f>
        <v>Ara</v>
      </c>
      <c r="K96" t="str">
        <f>INDEX(products!$A$1:$G$49,MATCH(orders!$D96,products!$A$1:$A$49,0),MATCH(orders!K$1,products!$A$1:$G$1,0))</f>
        <v>D</v>
      </c>
      <c r="L96" s="4">
        <f>INDEX(products!$A$1:$G$49,MATCH(orders!$D96,products!$A$1:$A$49,0),MATCH(orders!L$1,products!$A$1:$G$1,0))</f>
        <v>0.2</v>
      </c>
      <c r="M96" s="5">
        <f>INDEX(products!$A$1:$G$49,MATCH(orders!$D96,products!$A$1:$A$49,0),MATCH(orders!M$1,products!$A$1:$G$1,0))</f>
        <v>2.9849999999999999</v>
      </c>
      <c r="N96" s="5">
        <f>Orders[[#This Row],[Quantity]]*(INDEX(products!$A$1:$G$49,MATCH(orders!$D96,products!$A$1:$A$49,0),MATCH(orders!N$1,products!$A$1:$G$1,0)))</f>
        <v>1.6118999999999999</v>
      </c>
      <c r="O96" s="5">
        <f>M96*E96</f>
        <v>17.91</v>
      </c>
      <c r="P96" t="str">
        <f t="shared" si="2"/>
        <v>Arabica</v>
      </c>
      <c r="Q96" t="str">
        <f t="shared" si="3"/>
        <v>Dark</v>
      </c>
      <c r="R96" t="str">
        <f>_xlfn.XLOOKUP(Orders[[#This Row],[Customer ID]],customers!$A$1:$A$1001,customers!$I$1:$I$1001,,0)</f>
        <v>Yes</v>
      </c>
    </row>
    <row r="97" spans="1:18" x14ac:dyDescent="0.35">
      <c r="A97" s="2" t="s">
        <v>1022</v>
      </c>
      <c r="B97" s="3">
        <v>43816</v>
      </c>
      <c r="C97" s="2" t="s">
        <v>1023</v>
      </c>
      <c r="D97" t="s">
        <v>6175</v>
      </c>
      <c r="E97" s="2">
        <v>6</v>
      </c>
      <c r="F97" s="2" t="str">
        <f>_xlfn.XLOOKUP(Orders[[#This Row],[Customer ID]],customers!$A$1:$A$1001,customers!$B$1:$B$1001,,0)</f>
        <v>Norene Magauran</v>
      </c>
      <c r="G97" s="2" t="str">
        <f>IF(_xlfn.XLOOKUP(C97,customers!$A$1:$A$1001,customers!C96:C1096,,0)=0,"",_xlfn.XLOOKUP(C97,customers!$A$1:$A$1001,customers!C96:C1096,,0))</f>
        <v>mprinn5a@usa.gov</v>
      </c>
      <c r="H97" s="2" t="str">
        <f>_xlfn.XLOOKUP(Orders[[#This Row],[Customer ID]],customers!$A$1:$A$1001,customers!$G$1:$G$1001,,0)</f>
        <v>United States</v>
      </c>
      <c r="I97" s="2" t="str">
        <f>_xlfn.XLOOKUP(Orders[[#This Row],[Customer ID]],customers!$A$1:$A$1001,customers!$F$1:$F$1001,,0)</f>
        <v>Fresno</v>
      </c>
      <c r="J97" t="str">
        <f>INDEX(products!$A$1:$G$49,MATCH(orders!$D97,products!$A$1:$A$49,0),MATCH(orders!J$1,products!$A$1:$G$1,0))</f>
        <v>Ara</v>
      </c>
      <c r="K97" t="str">
        <f>INDEX(products!$A$1:$G$49,MATCH(orders!$D97,products!$A$1:$A$49,0),MATCH(orders!K$1,products!$A$1:$G$1,0))</f>
        <v>M</v>
      </c>
      <c r="L97" s="4">
        <f>INDEX(products!$A$1:$G$49,MATCH(orders!$D97,products!$A$1:$A$49,0),MATCH(orders!L$1,products!$A$1:$G$1,0))</f>
        <v>2.5</v>
      </c>
      <c r="M97" s="5">
        <f>INDEX(products!$A$1:$G$49,MATCH(orders!$D97,products!$A$1:$A$49,0),MATCH(orders!M$1,products!$A$1:$G$1,0))</f>
        <v>25.874999999999996</v>
      </c>
      <c r="N97" s="5">
        <f>Orders[[#This Row],[Quantity]]*(INDEX(products!$A$1:$G$49,MATCH(orders!$D97,products!$A$1:$A$49,0),MATCH(orders!N$1,products!$A$1:$G$1,0)))</f>
        <v>13.972499999999997</v>
      </c>
      <c r="O97" s="5">
        <f>M97*E97</f>
        <v>155.24999999999997</v>
      </c>
      <c r="P97" t="str">
        <f t="shared" si="2"/>
        <v>Arabica</v>
      </c>
      <c r="Q97" t="str">
        <f t="shared" si="3"/>
        <v>Medium</v>
      </c>
      <c r="R97" t="str">
        <f>_xlfn.XLOOKUP(Orders[[#This Row],[Customer ID]],customers!$A$1:$A$1001,customers!$I$1:$I$1001,,0)</f>
        <v>No</v>
      </c>
    </row>
    <row r="98" spans="1:18" x14ac:dyDescent="0.35">
      <c r="A98" s="2" t="s">
        <v>1027</v>
      </c>
      <c r="B98" s="3">
        <v>44171</v>
      </c>
      <c r="C98" s="2" t="s">
        <v>1028</v>
      </c>
      <c r="D98" t="s">
        <v>6154</v>
      </c>
      <c r="E98" s="2">
        <v>2</v>
      </c>
      <c r="F98" s="2" t="str">
        <f>_xlfn.XLOOKUP(Orders[[#This Row],[Customer ID]],customers!$A$1:$A$1001,customers!$B$1:$B$1001,,0)</f>
        <v>Vicki Kirdsch</v>
      </c>
      <c r="G98" s="2" t="str">
        <f>IF(_xlfn.XLOOKUP(C98,customers!$A$1:$A$1001,customers!C97:C1097,,0)=0,"",_xlfn.XLOOKUP(C98,customers!$A$1:$A$1001,customers!C97:C1097,,0))</f>
        <v>ppetrushanko5c@blinklist.com</v>
      </c>
      <c r="H98" s="2" t="str">
        <f>_xlfn.XLOOKUP(Orders[[#This Row],[Customer ID]],customers!$A$1:$A$1001,customers!$G$1:$G$1001,,0)</f>
        <v>United States</v>
      </c>
      <c r="I98" s="2" t="str">
        <f>_xlfn.XLOOKUP(Orders[[#This Row],[Customer ID]],customers!$A$1:$A$1001,customers!$F$1:$F$1001,,0)</f>
        <v>Saint Louis</v>
      </c>
      <c r="J98" t="str">
        <f>INDEX(products!$A$1:$G$49,MATCH(orders!$D98,products!$A$1:$A$49,0),MATCH(orders!J$1,products!$A$1:$G$1,0))</f>
        <v>Ara</v>
      </c>
      <c r="K98" t="str">
        <f>INDEX(products!$A$1:$G$49,MATCH(orders!$D98,products!$A$1:$A$49,0),MATCH(orders!K$1,products!$A$1:$G$1,0))</f>
        <v>D</v>
      </c>
      <c r="L98" s="4">
        <f>INDEX(products!$A$1:$G$49,MATCH(orders!$D98,products!$A$1:$A$49,0),MATCH(orders!L$1,products!$A$1:$G$1,0))</f>
        <v>0.2</v>
      </c>
      <c r="M98" s="5">
        <f>INDEX(products!$A$1:$G$49,MATCH(orders!$D98,products!$A$1:$A$49,0),MATCH(orders!M$1,products!$A$1:$G$1,0))</f>
        <v>2.9849999999999999</v>
      </c>
      <c r="N98" s="5">
        <f>Orders[[#This Row],[Quantity]]*(INDEX(products!$A$1:$G$49,MATCH(orders!$D98,products!$A$1:$A$49,0),MATCH(orders!N$1,products!$A$1:$G$1,0)))</f>
        <v>0.5373</v>
      </c>
      <c r="O98" s="5">
        <f>M98*E98</f>
        <v>5.97</v>
      </c>
      <c r="P98" t="str">
        <f t="shared" si="2"/>
        <v>Arabica</v>
      </c>
      <c r="Q98" t="str">
        <f t="shared" si="3"/>
        <v>Dark</v>
      </c>
      <c r="R98" t="str">
        <f>_xlfn.XLOOKUP(Orders[[#This Row],[Customer ID]],customers!$A$1:$A$1001,customers!$I$1:$I$1001,,0)</f>
        <v>No</v>
      </c>
    </row>
    <row r="99" spans="1:18" x14ac:dyDescent="0.35">
      <c r="A99" s="2" t="s">
        <v>1032</v>
      </c>
      <c r="B99" s="3">
        <v>44259</v>
      </c>
      <c r="C99" s="2" t="s">
        <v>1033</v>
      </c>
      <c r="D99" t="s">
        <v>6157</v>
      </c>
      <c r="E99" s="2">
        <v>2</v>
      </c>
      <c r="F99" s="2" t="str">
        <f>_xlfn.XLOOKUP(Orders[[#This Row],[Customer ID]],customers!$A$1:$A$1001,customers!$B$1:$B$1001,,0)</f>
        <v>Ilysa Whapple</v>
      </c>
      <c r="G99" s="2" t="str">
        <f>IF(_xlfn.XLOOKUP(C99,customers!$A$1:$A$1001,customers!C98:C1098,,0)=0,"",_xlfn.XLOOKUP(C99,customers!$A$1:$A$1001,customers!C98:C1098,,0))</f>
        <v>elaird5e@bing.com</v>
      </c>
      <c r="H99" s="2" t="str">
        <f>_xlfn.XLOOKUP(Orders[[#This Row],[Customer ID]],customers!$A$1:$A$1001,customers!$G$1:$G$1001,,0)</f>
        <v>United States</v>
      </c>
      <c r="I99" s="2" t="str">
        <f>_xlfn.XLOOKUP(Orders[[#This Row],[Customer ID]],customers!$A$1:$A$1001,customers!$F$1:$F$1001,,0)</f>
        <v>Fresno</v>
      </c>
      <c r="J99" t="str">
        <f>INDEX(products!$A$1:$G$49,MATCH(orders!$D99,products!$A$1:$A$49,0),MATCH(orders!J$1,products!$A$1:$G$1,0))</f>
        <v>Ara</v>
      </c>
      <c r="K99" t="str">
        <f>INDEX(products!$A$1:$G$49,MATCH(orders!$D99,products!$A$1:$A$49,0),MATCH(orders!K$1,products!$A$1:$G$1,0))</f>
        <v>M</v>
      </c>
      <c r="L99" s="4">
        <f>INDEX(products!$A$1:$G$49,MATCH(orders!$D99,products!$A$1:$A$49,0),MATCH(orders!L$1,products!$A$1:$G$1,0))</f>
        <v>0.5</v>
      </c>
      <c r="M99" s="5">
        <f>INDEX(products!$A$1:$G$49,MATCH(orders!$D99,products!$A$1:$A$49,0),MATCH(orders!M$1,products!$A$1:$G$1,0))</f>
        <v>6.75</v>
      </c>
      <c r="N99" s="5">
        <f>Orders[[#This Row],[Quantity]]*(INDEX(products!$A$1:$G$49,MATCH(orders!$D99,products!$A$1:$A$49,0),MATCH(orders!N$1,products!$A$1:$G$1,0)))</f>
        <v>1.2149999999999999</v>
      </c>
      <c r="O99" s="5">
        <f>M99*E99</f>
        <v>13.5</v>
      </c>
      <c r="P99" t="str">
        <f t="shared" si="2"/>
        <v>Arabica</v>
      </c>
      <c r="Q99" t="str">
        <f t="shared" si="3"/>
        <v>Medium</v>
      </c>
      <c r="R99" t="str">
        <f>_xlfn.XLOOKUP(Orders[[#This Row],[Customer ID]],customers!$A$1:$A$1001,customers!$I$1:$I$1001,,0)</f>
        <v>No</v>
      </c>
    </row>
    <row r="100" spans="1:18" x14ac:dyDescent="0.35">
      <c r="A100" s="2" t="s">
        <v>1038</v>
      </c>
      <c r="B100" s="3">
        <v>44394</v>
      </c>
      <c r="C100" s="2" t="s">
        <v>1039</v>
      </c>
      <c r="D100" t="s">
        <v>6154</v>
      </c>
      <c r="E100" s="2">
        <v>1</v>
      </c>
      <c r="F100" s="2" t="str">
        <f>_xlfn.XLOOKUP(Orders[[#This Row],[Customer ID]],customers!$A$1:$A$1001,customers!$B$1:$B$1001,,0)</f>
        <v>Ruy Cancellieri</v>
      </c>
      <c r="G100" s="2" t="str">
        <f>IF(_xlfn.XLOOKUP(C100,customers!$A$1:$A$1001,customers!C99:C1099,,0)=0,"",_xlfn.XLOOKUP(C100,customers!$A$1:$A$1001,customers!C99:C1099,,0))</f>
        <v>ncuttler5g@parallels.com</v>
      </c>
      <c r="H100" s="2" t="str">
        <f>_xlfn.XLOOKUP(Orders[[#This Row],[Customer ID]],customers!$A$1:$A$1001,customers!$G$1:$G$1001,,0)</f>
        <v>Ireland</v>
      </c>
      <c r="I100" s="2" t="str">
        <f>_xlfn.XLOOKUP(Orders[[#This Row],[Customer ID]],customers!$A$1:$A$1001,customers!$F$1:$F$1001,,0)</f>
        <v>Confey</v>
      </c>
      <c r="J100" t="str">
        <f>INDEX(products!$A$1:$G$49,MATCH(orders!$D100,products!$A$1:$A$49,0),MATCH(orders!J$1,products!$A$1:$G$1,0))</f>
        <v>Ara</v>
      </c>
      <c r="K100" t="str">
        <f>INDEX(products!$A$1:$G$49,MATCH(orders!$D100,products!$A$1:$A$49,0),MATCH(orders!K$1,products!$A$1:$G$1,0))</f>
        <v>D</v>
      </c>
      <c r="L100" s="4">
        <f>INDEX(products!$A$1:$G$49,MATCH(orders!$D100,products!$A$1:$A$49,0),MATCH(orders!L$1,products!$A$1:$G$1,0))</f>
        <v>0.2</v>
      </c>
      <c r="M100" s="5">
        <f>INDEX(products!$A$1:$G$49,MATCH(orders!$D100,products!$A$1:$A$49,0),MATCH(orders!M$1,products!$A$1:$G$1,0))</f>
        <v>2.9849999999999999</v>
      </c>
      <c r="N100" s="5">
        <f>Orders[[#This Row],[Quantity]]*(INDEX(products!$A$1:$G$49,MATCH(orders!$D100,products!$A$1:$A$49,0),MATCH(orders!N$1,products!$A$1:$G$1,0)))</f>
        <v>0.26865</v>
      </c>
      <c r="O100" s="5">
        <f>M100*E100</f>
        <v>2.9849999999999999</v>
      </c>
      <c r="P100" t="str">
        <f t="shared" si="2"/>
        <v>Arabica</v>
      </c>
      <c r="Q100" t="str">
        <f t="shared" si="3"/>
        <v>Dark</v>
      </c>
      <c r="R100" t="str">
        <f>_xlfn.XLOOKUP(Orders[[#This Row],[Customer ID]],customers!$A$1:$A$1001,customers!$I$1:$I$1001,,0)</f>
        <v>No</v>
      </c>
    </row>
    <row r="101" spans="1:18" x14ac:dyDescent="0.35">
      <c r="A101" s="2" t="s">
        <v>1043</v>
      </c>
      <c r="B101" s="3">
        <v>44139</v>
      </c>
      <c r="C101" s="2" t="s">
        <v>1044</v>
      </c>
      <c r="D101" t="s">
        <v>6159</v>
      </c>
      <c r="E101" s="2">
        <v>3</v>
      </c>
      <c r="F101" s="2" t="str">
        <f>_xlfn.XLOOKUP(Orders[[#This Row],[Customer ID]],customers!$A$1:$A$1001,customers!$B$1:$B$1001,,0)</f>
        <v>Aube Follett</v>
      </c>
      <c r="G101" s="2" t="str">
        <f>IF(_xlfn.XLOOKUP(C101,customers!$A$1:$A$1001,customers!C100:C1100,,0)=0,"",_xlfn.XLOOKUP(C101,customers!$A$1:$A$1001,customers!C100:C1100,,0))</f>
        <v>jmunnings5i@springer.com</v>
      </c>
      <c r="H101" s="2" t="str">
        <f>_xlfn.XLOOKUP(Orders[[#This Row],[Customer ID]],customers!$A$1:$A$1001,customers!$G$1:$G$1001,,0)</f>
        <v>United States</v>
      </c>
      <c r="I101" s="2" t="str">
        <f>_xlfn.XLOOKUP(Orders[[#This Row],[Customer ID]],customers!$A$1:$A$1001,customers!$F$1:$F$1001,,0)</f>
        <v>Columbus</v>
      </c>
      <c r="J101" t="str">
        <f>INDEX(products!$A$1:$G$49,MATCH(orders!$D101,products!$A$1:$A$49,0),MATCH(orders!J$1,products!$A$1:$G$1,0))</f>
        <v>Lib</v>
      </c>
      <c r="K101" t="str">
        <f>INDEX(products!$A$1:$G$49,MATCH(orders!$D101,products!$A$1:$A$49,0),MATCH(orders!K$1,products!$A$1:$G$1,0))</f>
        <v>M</v>
      </c>
      <c r="L101" s="4">
        <f>INDEX(products!$A$1:$G$49,MATCH(orders!$D101,products!$A$1:$A$49,0),MATCH(orders!L$1,products!$A$1:$G$1,0))</f>
        <v>0.2</v>
      </c>
      <c r="M101" s="5">
        <f>INDEX(products!$A$1:$G$49,MATCH(orders!$D101,products!$A$1:$A$49,0),MATCH(orders!M$1,products!$A$1:$G$1,0))</f>
        <v>4.3650000000000002</v>
      </c>
      <c r="N101" s="5">
        <f>Orders[[#This Row],[Quantity]]*(INDEX(products!$A$1:$G$49,MATCH(orders!$D101,products!$A$1:$A$49,0),MATCH(orders!N$1,products!$A$1:$G$1,0)))</f>
        <v>1.70235</v>
      </c>
      <c r="O101" s="5">
        <f>M101*E101</f>
        <v>13.095000000000001</v>
      </c>
      <c r="P101" t="str">
        <f t="shared" si="2"/>
        <v>Liberica</v>
      </c>
      <c r="Q101" t="str">
        <f t="shared" si="3"/>
        <v>Medium</v>
      </c>
      <c r="R101" t="str">
        <f>_xlfn.XLOOKUP(Orders[[#This Row],[Customer ID]],customers!$A$1:$A$1001,customers!$I$1:$I$1001,,0)</f>
        <v>Yes</v>
      </c>
    </row>
    <row r="102" spans="1:18" x14ac:dyDescent="0.35">
      <c r="A102" s="2" t="s">
        <v>1048</v>
      </c>
      <c r="B102" s="3">
        <v>44291</v>
      </c>
      <c r="C102" s="2" t="s">
        <v>1049</v>
      </c>
      <c r="D102" t="s">
        <v>6167</v>
      </c>
      <c r="E102" s="2">
        <v>2</v>
      </c>
      <c r="F102" s="2" t="str">
        <f>_xlfn.XLOOKUP(Orders[[#This Row],[Customer ID]],customers!$A$1:$A$1001,customers!$B$1:$B$1001,,0)</f>
        <v>Rudiger Di Bartolomeo</v>
      </c>
      <c r="G102" s="2" t="str">
        <f>IF(_xlfn.XLOOKUP(C102,customers!$A$1:$A$1001,customers!C101:C1101,,0)=0,"",_xlfn.XLOOKUP(C102,customers!$A$1:$A$1001,customers!C101:C1101,,0))</f>
        <v>idunwoody5k@sourceforge.net</v>
      </c>
      <c r="H102" s="2" t="str">
        <f>_xlfn.XLOOKUP(Orders[[#This Row],[Customer ID]],customers!$A$1:$A$1001,customers!$G$1:$G$1001,,0)</f>
        <v>United States</v>
      </c>
      <c r="I102" s="2" t="str">
        <f>_xlfn.XLOOKUP(Orders[[#This Row],[Customer ID]],customers!$A$1:$A$1001,customers!$F$1:$F$1001,,0)</f>
        <v>Stockton</v>
      </c>
      <c r="J102" t="str">
        <f>INDEX(products!$A$1:$G$49,MATCH(orders!$D102,products!$A$1:$A$49,0),MATCH(orders!J$1,products!$A$1:$G$1,0))</f>
        <v>Ara</v>
      </c>
      <c r="K102" t="str">
        <f>INDEX(products!$A$1:$G$49,MATCH(orders!$D102,products!$A$1:$A$49,0),MATCH(orders!K$1,products!$A$1:$G$1,0))</f>
        <v>L</v>
      </c>
      <c r="L102" s="4">
        <f>INDEX(products!$A$1:$G$49,MATCH(orders!$D102,products!$A$1:$A$49,0),MATCH(orders!L$1,products!$A$1:$G$1,0))</f>
        <v>0.2</v>
      </c>
      <c r="M102" s="5">
        <f>INDEX(products!$A$1:$G$49,MATCH(orders!$D102,products!$A$1:$A$49,0),MATCH(orders!M$1,products!$A$1:$G$1,0))</f>
        <v>3.8849999999999998</v>
      </c>
      <c r="N102" s="5">
        <f>Orders[[#This Row],[Quantity]]*(INDEX(products!$A$1:$G$49,MATCH(orders!$D102,products!$A$1:$A$49,0),MATCH(orders!N$1,products!$A$1:$G$1,0)))</f>
        <v>0.69929999999999992</v>
      </c>
      <c r="O102" s="5">
        <f>M102*E102</f>
        <v>7.77</v>
      </c>
      <c r="P102" t="str">
        <f t="shared" si="2"/>
        <v>Arabica</v>
      </c>
      <c r="Q102" t="str">
        <f t="shared" si="3"/>
        <v>Light</v>
      </c>
      <c r="R102" t="str">
        <f>_xlfn.XLOOKUP(Orders[[#This Row],[Customer ID]],customers!$A$1:$A$1001,customers!$I$1:$I$1001,,0)</f>
        <v>Yes</v>
      </c>
    </row>
    <row r="103" spans="1:18" x14ac:dyDescent="0.35">
      <c r="A103" s="2" t="s">
        <v>1053</v>
      </c>
      <c r="B103" s="3">
        <v>43891</v>
      </c>
      <c r="C103" s="2" t="s">
        <v>1054</v>
      </c>
      <c r="D103" t="s">
        <v>6165</v>
      </c>
      <c r="E103" s="2">
        <v>5</v>
      </c>
      <c r="F103" s="2" t="str">
        <f>_xlfn.XLOOKUP(Orders[[#This Row],[Customer ID]],customers!$A$1:$A$1001,customers!$B$1:$B$1001,,0)</f>
        <v>Nickey Youles</v>
      </c>
      <c r="G103" s="2" t="str">
        <f>IF(_xlfn.XLOOKUP(C103,customers!$A$1:$A$1001,customers!C102:C1102,,0)=0,"",_xlfn.XLOOKUP(C103,customers!$A$1:$A$1001,customers!C102:C1102,,0))</f>
        <v>tfelip5m@typepad.com</v>
      </c>
      <c r="H103" s="2" t="str">
        <f>_xlfn.XLOOKUP(Orders[[#This Row],[Customer ID]],customers!$A$1:$A$1001,customers!$G$1:$G$1001,,0)</f>
        <v>Ireland</v>
      </c>
      <c r="I103" s="2" t="str">
        <f>_xlfn.XLOOKUP(Orders[[#This Row],[Customer ID]],customers!$A$1:$A$1001,customers!$F$1:$F$1001,,0)</f>
        <v>Edgeworthstown</v>
      </c>
      <c r="J103" t="str">
        <f>INDEX(products!$A$1:$G$49,MATCH(orders!$D103,products!$A$1:$A$49,0),MATCH(orders!J$1,products!$A$1:$G$1,0))</f>
        <v>Lib</v>
      </c>
      <c r="K103" t="str">
        <f>INDEX(products!$A$1:$G$49,MATCH(orders!$D103,products!$A$1:$A$49,0),MATCH(orders!K$1,products!$A$1:$G$1,0))</f>
        <v>D</v>
      </c>
      <c r="L103" s="4">
        <f>INDEX(products!$A$1:$G$49,MATCH(orders!$D103,products!$A$1:$A$49,0),MATCH(orders!L$1,products!$A$1:$G$1,0))</f>
        <v>2.5</v>
      </c>
      <c r="M103" s="5">
        <f>INDEX(products!$A$1:$G$49,MATCH(orders!$D103,products!$A$1:$A$49,0),MATCH(orders!M$1,products!$A$1:$G$1,0))</f>
        <v>29.784999999999997</v>
      </c>
      <c r="N103" s="5">
        <f>Orders[[#This Row],[Quantity]]*(INDEX(products!$A$1:$G$49,MATCH(orders!$D103,products!$A$1:$A$49,0),MATCH(orders!N$1,products!$A$1:$G$1,0)))</f>
        <v>19.360250000000001</v>
      </c>
      <c r="O103" s="5">
        <f>M103*E103</f>
        <v>148.92499999999998</v>
      </c>
      <c r="P103" t="str">
        <f t="shared" si="2"/>
        <v>Liberica</v>
      </c>
      <c r="Q103" t="str">
        <f t="shared" si="3"/>
        <v>Dark</v>
      </c>
      <c r="R103" t="str">
        <f>_xlfn.XLOOKUP(Orders[[#This Row],[Customer ID]],customers!$A$1:$A$1001,customers!$I$1:$I$1001,,0)</f>
        <v>Yes</v>
      </c>
    </row>
    <row r="104" spans="1:18" x14ac:dyDescent="0.35">
      <c r="A104" s="2" t="s">
        <v>1059</v>
      </c>
      <c r="B104" s="3">
        <v>44488</v>
      </c>
      <c r="C104" s="2" t="s">
        <v>1060</v>
      </c>
      <c r="D104" t="s">
        <v>6143</v>
      </c>
      <c r="E104" s="2">
        <v>3</v>
      </c>
      <c r="F104" s="2" t="str">
        <f>_xlfn.XLOOKUP(Orders[[#This Row],[Customer ID]],customers!$A$1:$A$1001,customers!$B$1:$B$1001,,0)</f>
        <v>Dyanna Aizikovitz</v>
      </c>
      <c r="G104" s="2" t="str">
        <f>IF(_xlfn.XLOOKUP(C104,customers!$A$1:$A$1001,customers!C103:C1103,,0)=0,"",_xlfn.XLOOKUP(C104,customers!$A$1:$A$1001,customers!C103:C1103,,0))</f>
        <v/>
      </c>
      <c r="H104" s="2" t="str">
        <f>_xlfn.XLOOKUP(Orders[[#This Row],[Customer ID]],customers!$A$1:$A$1001,customers!$G$1:$G$1001,,0)</f>
        <v>Ireland</v>
      </c>
      <c r="I104" s="2" t="str">
        <f>_xlfn.XLOOKUP(Orders[[#This Row],[Customer ID]],customers!$A$1:$A$1001,customers!$F$1:$F$1001,,0)</f>
        <v>Leixlip</v>
      </c>
      <c r="J104" t="str">
        <f>INDEX(products!$A$1:$G$49,MATCH(orders!$D104,products!$A$1:$A$49,0),MATCH(orders!J$1,products!$A$1:$G$1,0))</f>
        <v>Lib</v>
      </c>
      <c r="K104" t="str">
        <f>INDEX(products!$A$1:$G$49,MATCH(orders!$D104,products!$A$1:$A$49,0),MATCH(orders!K$1,products!$A$1:$G$1,0))</f>
        <v>D</v>
      </c>
      <c r="L104" s="4">
        <f>INDEX(products!$A$1:$G$49,MATCH(orders!$D104,products!$A$1:$A$49,0),MATCH(orders!L$1,products!$A$1:$G$1,0))</f>
        <v>1</v>
      </c>
      <c r="M104" s="5">
        <f>INDEX(products!$A$1:$G$49,MATCH(orders!$D104,products!$A$1:$A$49,0),MATCH(orders!M$1,products!$A$1:$G$1,0))</f>
        <v>12.95</v>
      </c>
      <c r="N104" s="5">
        <f>Orders[[#This Row],[Quantity]]*(INDEX(products!$A$1:$G$49,MATCH(orders!$D104,products!$A$1:$A$49,0),MATCH(orders!N$1,products!$A$1:$G$1,0)))</f>
        <v>5.0504999999999995</v>
      </c>
      <c r="O104" s="5">
        <f>M104*E104</f>
        <v>38.849999999999994</v>
      </c>
      <c r="P104" t="str">
        <f t="shared" si="2"/>
        <v>Liberica</v>
      </c>
      <c r="Q104" t="str">
        <f t="shared" si="3"/>
        <v>Dark</v>
      </c>
      <c r="R104" t="str">
        <f>_xlfn.XLOOKUP(Orders[[#This Row],[Customer ID]],customers!$A$1:$A$1001,customers!$I$1:$I$1001,,0)</f>
        <v>Yes</v>
      </c>
    </row>
    <row r="105" spans="1:18" x14ac:dyDescent="0.35">
      <c r="A105" s="2" t="s">
        <v>1065</v>
      </c>
      <c r="B105" s="3">
        <v>44750</v>
      </c>
      <c r="C105" s="2" t="s">
        <v>1066</v>
      </c>
      <c r="D105" t="s">
        <v>6174</v>
      </c>
      <c r="E105" s="2">
        <v>4</v>
      </c>
      <c r="F105" s="2" t="str">
        <f>_xlfn.XLOOKUP(Orders[[#This Row],[Customer ID]],customers!$A$1:$A$1001,customers!$B$1:$B$1001,,0)</f>
        <v>Bram Revel</v>
      </c>
      <c r="G105" s="2" t="str">
        <f>IF(_xlfn.XLOOKUP(C105,customers!$A$1:$A$1001,customers!C104:C1104,,0)=0,"",_xlfn.XLOOKUP(C105,customers!$A$1:$A$1001,customers!C104:C1104,,0))</f>
        <v>npoolman5q@howstuffworks.com</v>
      </c>
      <c r="H105" s="2" t="str">
        <f>_xlfn.XLOOKUP(Orders[[#This Row],[Customer ID]],customers!$A$1:$A$1001,customers!$G$1:$G$1001,,0)</f>
        <v>United States</v>
      </c>
      <c r="I105" s="2" t="str">
        <f>_xlfn.XLOOKUP(Orders[[#This Row],[Customer ID]],customers!$A$1:$A$1001,customers!$F$1:$F$1001,,0)</f>
        <v>Rochester</v>
      </c>
      <c r="J105" t="str">
        <f>INDEX(products!$A$1:$G$49,MATCH(orders!$D105,products!$A$1:$A$49,0),MATCH(orders!J$1,products!$A$1:$G$1,0))</f>
        <v>Rob</v>
      </c>
      <c r="K105" t="str">
        <f>INDEX(products!$A$1:$G$49,MATCH(orders!$D105,products!$A$1:$A$49,0),MATCH(orders!K$1,products!$A$1:$G$1,0))</f>
        <v>M</v>
      </c>
      <c r="L105" s="4">
        <f>INDEX(products!$A$1:$G$49,MATCH(orders!$D105,products!$A$1:$A$49,0),MATCH(orders!L$1,products!$A$1:$G$1,0))</f>
        <v>0.2</v>
      </c>
      <c r="M105" s="5">
        <f>INDEX(products!$A$1:$G$49,MATCH(orders!$D105,products!$A$1:$A$49,0),MATCH(orders!M$1,products!$A$1:$G$1,0))</f>
        <v>2.9849999999999999</v>
      </c>
      <c r="N105" s="5">
        <f>Orders[[#This Row],[Quantity]]*(INDEX(products!$A$1:$G$49,MATCH(orders!$D105,products!$A$1:$A$49,0),MATCH(orders!N$1,products!$A$1:$G$1,0)))</f>
        <v>0.71639999999999993</v>
      </c>
      <c r="O105" s="5">
        <f>M105*E105</f>
        <v>11.94</v>
      </c>
      <c r="P105" t="str">
        <f t="shared" si="2"/>
        <v>Robusta</v>
      </c>
      <c r="Q105" t="str">
        <f t="shared" si="3"/>
        <v>Medium</v>
      </c>
      <c r="R105" t="str">
        <f>_xlfn.XLOOKUP(Orders[[#This Row],[Customer ID]],customers!$A$1:$A$1001,customers!$I$1:$I$1001,,0)</f>
        <v>No</v>
      </c>
    </row>
    <row r="106" spans="1:18" x14ac:dyDescent="0.35">
      <c r="A106" s="2" t="s">
        <v>1071</v>
      </c>
      <c r="B106" s="3">
        <v>43694</v>
      </c>
      <c r="C106" s="2" t="s">
        <v>1072</v>
      </c>
      <c r="D106" t="s">
        <v>6162</v>
      </c>
      <c r="E106" s="2">
        <v>6</v>
      </c>
      <c r="F106" s="2" t="str">
        <f>_xlfn.XLOOKUP(Orders[[#This Row],[Customer ID]],customers!$A$1:$A$1001,customers!$B$1:$B$1001,,0)</f>
        <v>Emiline Priddis</v>
      </c>
      <c r="G106" s="2" t="str">
        <f>IF(_xlfn.XLOOKUP(C106,customers!$A$1:$A$1001,customers!C105:C1105,,0)=0,"",_xlfn.XLOOKUP(C106,customers!$A$1:$A$1001,customers!C105:C1105,,0))</f>
        <v>chalfhide5s@google.ru</v>
      </c>
      <c r="H106" s="2" t="str">
        <f>_xlfn.XLOOKUP(Orders[[#This Row],[Customer ID]],customers!$A$1:$A$1001,customers!$G$1:$G$1001,,0)</f>
        <v>United States</v>
      </c>
      <c r="I106" s="2" t="str">
        <f>_xlfn.XLOOKUP(Orders[[#This Row],[Customer ID]],customers!$A$1:$A$1001,customers!$F$1:$F$1001,,0)</f>
        <v>Tuscaloosa</v>
      </c>
      <c r="J106" t="str">
        <f>INDEX(products!$A$1:$G$49,MATCH(orders!$D106,products!$A$1:$A$49,0),MATCH(orders!J$1,products!$A$1:$G$1,0))</f>
        <v>Lib</v>
      </c>
      <c r="K106" t="str">
        <f>INDEX(products!$A$1:$G$49,MATCH(orders!$D106,products!$A$1:$A$49,0),MATCH(orders!K$1,products!$A$1:$G$1,0))</f>
        <v>M</v>
      </c>
      <c r="L106" s="4">
        <f>INDEX(products!$A$1:$G$49,MATCH(orders!$D106,products!$A$1:$A$49,0),MATCH(orders!L$1,products!$A$1:$G$1,0))</f>
        <v>1</v>
      </c>
      <c r="M106" s="5">
        <f>INDEX(products!$A$1:$G$49,MATCH(orders!$D106,products!$A$1:$A$49,0),MATCH(orders!M$1,products!$A$1:$G$1,0))</f>
        <v>14.55</v>
      </c>
      <c r="N106" s="5">
        <f>Orders[[#This Row],[Quantity]]*(INDEX(products!$A$1:$G$49,MATCH(orders!$D106,products!$A$1:$A$49,0),MATCH(orders!N$1,products!$A$1:$G$1,0)))</f>
        <v>11.349</v>
      </c>
      <c r="O106" s="5">
        <f>M106*E106</f>
        <v>87.300000000000011</v>
      </c>
      <c r="P106" t="str">
        <f t="shared" si="2"/>
        <v>Liberica</v>
      </c>
      <c r="Q106" t="str">
        <f t="shared" si="3"/>
        <v>Medium</v>
      </c>
      <c r="R106" t="str">
        <f>_xlfn.XLOOKUP(Orders[[#This Row],[Customer ID]],customers!$A$1:$A$1001,customers!$I$1:$I$1001,,0)</f>
        <v>No</v>
      </c>
    </row>
    <row r="107" spans="1:18" x14ac:dyDescent="0.35">
      <c r="A107" s="2" t="s">
        <v>1077</v>
      </c>
      <c r="B107" s="3">
        <v>43982</v>
      </c>
      <c r="C107" s="2" t="s">
        <v>1078</v>
      </c>
      <c r="D107" t="s">
        <v>6157</v>
      </c>
      <c r="E107" s="2">
        <v>6</v>
      </c>
      <c r="F107" s="2" t="str">
        <f>_xlfn.XLOOKUP(Orders[[#This Row],[Customer ID]],customers!$A$1:$A$1001,customers!$B$1:$B$1001,,0)</f>
        <v>Queenie Veel</v>
      </c>
      <c r="G107" s="2" t="str">
        <f>IF(_xlfn.XLOOKUP(C107,customers!$A$1:$A$1001,customers!C106:C1106,,0)=0,"",_xlfn.XLOOKUP(C107,customers!$A$1:$A$1001,customers!C106:C1106,,0))</f>
        <v>aattwater5u@wikia.com</v>
      </c>
      <c r="H107" s="2" t="str">
        <f>_xlfn.XLOOKUP(Orders[[#This Row],[Customer ID]],customers!$A$1:$A$1001,customers!$G$1:$G$1001,,0)</f>
        <v>United States</v>
      </c>
      <c r="I107" s="2" t="str">
        <f>_xlfn.XLOOKUP(Orders[[#This Row],[Customer ID]],customers!$A$1:$A$1001,customers!$F$1:$F$1001,,0)</f>
        <v>Houston</v>
      </c>
      <c r="J107" t="str">
        <f>INDEX(products!$A$1:$G$49,MATCH(orders!$D107,products!$A$1:$A$49,0),MATCH(orders!J$1,products!$A$1:$G$1,0))</f>
        <v>Ara</v>
      </c>
      <c r="K107" t="str">
        <f>INDEX(products!$A$1:$G$49,MATCH(orders!$D107,products!$A$1:$A$49,0),MATCH(orders!K$1,products!$A$1:$G$1,0))</f>
        <v>M</v>
      </c>
      <c r="L107" s="4">
        <f>INDEX(products!$A$1:$G$49,MATCH(orders!$D107,products!$A$1:$A$49,0),MATCH(orders!L$1,products!$A$1:$G$1,0))</f>
        <v>0.5</v>
      </c>
      <c r="M107" s="5">
        <f>INDEX(products!$A$1:$G$49,MATCH(orders!$D107,products!$A$1:$A$49,0),MATCH(orders!M$1,products!$A$1:$G$1,0))</f>
        <v>6.75</v>
      </c>
      <c r="N107" s="5">
        <f>Orders[[#This Row],[Quantity]]*(INDEX(products!$A$1:$G$49,MATCH(orders!$D107,products!$A$1:$A$49,0),MATCH(orders!N$1,products!$A$1:$G$1,0)))</f>
        <v>3.6449999999999996</v>
      </c>
      <c r="O107" s="5">
        <f>M107*E107</f>
        <v>40.5</v>
      </c>
      <c r="P107" t="str">
        <f t="shared" si="2"/>
        <v>Arabica</v>
      </c>
      <c r="Q107" t="str">
        <f t="shared" si="3"/>
        <v>Medium</v>
      </c>
      <c r="R107" t="str">
        <f>_xlfn.XLOOKUP(Orders[[#This Row],[Customer ID]],customers!$A$1:$A$1001,customers!$I$1:$I$1001,,0)</f>
        <v>Yes</v>
      </c>
    </row>
    <row r="108" spans="1:18" x14ac:dyDescent="0.35">
      <c r="A108" s="2" t="s">
        <v>1083</v>
      </c>
      <c r="B108" s="3">
        <v>43956</v>
      </c>
      <c r="C108" s="2" t="s">
        <v>1084</v>
      </c>
      <c r="D108" t="s">
        <v>6183</v>
      </c>
      <c r="E108" s="2">
        <v>2</v>
      </c>
      <c r="F108" s="2" t="str">
        <f>_xlfn.XLOOKUP(Orders[[#This Row],[Customer ID]],customers!$A$1:$A$1001,customers!$B$1:$B$1001,,0)</f>
        <v>Lind Conyers</v>
      </c>
      <c r="G108" s="2" t="str">
        <f>IF(_xlfn.XLOOKUP(C108,customers!$A$1:$A$1001,customers!C107:C1107,,0)=0,"",_xlfn.XLOOKUP(C108,customers!$A$1:$A$1001,customers!C107:C1107,,0))</f>
        <v>dcamilletti5w@businesswire.com</v>
      </c>
      <c r="H108" s="2" t="str">
        <f>_xlfn.XLOOKUP(Orders[[#This Row],[Customer ID]],customers!$A$1:$A$1001,customers!$G$1:$G$1001,,0)</f>
        <v>United States</v>
      </c>
      <c r="I108" s="2" t="str">
        <f>_xlfn.XLOOKUP(Orders[[#This Row],[Customer ID]],customers!$A$1:$A$1001,customers!$F$1:$F$1001,,0)</f>
        <v>El Paso</v>
      </c>
      <c r="J108" t="str">
        <f>INDEX(products!$A$1:$G$49,MATCH(orders!$D108,products!$A$1:$A$49,0),MATCH(orders!J$1,products!$A$1:$G$1,0))</f>
        <v>Exc</v>
      </c>
      <c r="K108" t="str">
        <f>INDEX(products!$A$1:$G$49,MATCH(orders!$D108,products!$A$1:$A$49,0),MATCH(orders!K$1,products!$A$1:$G$1,0))</f>
        <v>D</v>
      </c>
      <c r="L108" s="4">
        <f>INDEX(products!$A$1:$G$49,MATCH(orders!$D108,products!$A$1:$A$49,0),MATCH(orders!L$1,products!$A$1:$G$1,0))</f>
        <v>1</v>
      </c>
      <c r="M108" s="5">
        <f>INDEX(products!$A$1:$G$49,MATCH(orders!$D108,products!$A$1:$A$49,0),MATCH(orders!M$1,products!$A$1:$G$1,0))</f>
        <v>12.15</v>
      </c>
      <c r="N108" s="5">
        <f>Orders[[#This Row],[Quantity]]*(INDEX(products!$A$1:$G$49,MATCH(orders!$D108,products!$A$1:$A$49,0),MATCH(orders!N$1,products!$A$1:$G$1,0)))</f>
        <v>2.673</v>
      </c>
      <c r="O108" s="5">
        <f>M108*E108</f>
        <v>24.3</v>
      </c>
      <c r="P108" t="str">
        <f t="shared" si="2"/>
        <v>Excelsa</v>
      </c>
      <c r="Q108" t="str">
        <f t="shared" si="3"/>
        <v>Dark</v>
      </c>
      <c r="R108" t="str">
        <f>_xlfn.XLOOKUP(Orders[[#This Row],[Customer ID]],customers!$A$1:$A$1001,customers!$I$1:$I$1001,,0)</f>
        <v>No</v>
      </c>
    </row>
    <row r="109" spans="1:18" x14ac:dyDescent="0.35">
      <c r="A109" s="2" t="s">
        <v>1089</v>
      </c>
      <c r="B109" s="3">
        <v>43569</v>
      </c>
      <c r="C109" s="2" t="s">
        <v>1090</v>
      </c>
      <c r="D109" t="s">
        <v>6146</v>
      </c>
      <c r="E109" s="2">
        <v>3</v>
      </c>
      <c r="F109" s="2" t="str">
        <f>_xlfn.XLOOKUP(Orders[[#This Row],[Customer ID]],customers!$A$1:$A$1001,customers!$B$1:$B$1001,,0)</f>
        <v>Pen Wye</v>
      </c>
      <c r="G109" s="2" t="str">
        <f>IF(_xlfn.XLOOKUP(C109,customers!$A$1:$A$1001,customers!C108:C1108,,0)=0,"",_xlfn.XLOOKUP(C109,customers!$A$1:$A$1001,customers!C108:C1108,,0))</f>
        <v>mhame5y@newsvine.com</v>
      </c>
      <c r="H109" s="2" t="str">
        <f>_xlfn.XLOOKUP(Orders[[#This Row],[Customer ID]],customers!$A$1:$A$1001,customers!$G$1:$G$1001,,0)</f>
        <v>United States</v>
      </c>
      <c r="I109" s="2" t="str">
        <f>_xlfn.XLOOKUP(Orders[[#This Row],[Customer ID]],customers!$A$1:$A$1001,customers!$F$1:$F$1001,,0)</f>
        <v>Colorado Springs</v>
      </c>
      <c r="J109" t="str">
        <f>INDEX(products!$A$1:$G$49,MATCH(orders!$D109,products!$A$1:$A$49,0),MATCH(orders!J$1,products!$A$1:$G$1,0))</f>
        <v>Rob</v>
      </c>
      <c r="K109" t="str">
        <f>INDEX(products!$A$1:$G$49,MATCH(orders!$D109,products!$A$1:$A$49,0),MATCH(orders!K$1,products!$A$1:$G$1,0))</f>
        <v>M</v>
      </c>
      <c r="L109" s="4">
        <f>INDEX(products!$A$1:$G$49,MATCH(orders!$D109,products!$A$1:$A$49,0),MATCH(orders!L$1,products!$A$1:$G$1,0))</f>
        <v>0.5</v>
      </c>
      <c r="M109" s="5">
        <f>INDEX(products!$A$1:$G$49,MATCH(orders!$D109,products!$A$1:$A$49,0),MATCH(orders!M$1,products!$A$1:$G$1,0))</f>
        <v>5.97</v>
      </c>
      <c r="N109" s="5">
        <f>Orders[[#This Row],[Quantity]]*(INDEX(products!$A$1:$G$49,MATCH(orders!$D109,products!$A$1:$A$49,0),MATCH(orders!N$1,products!$A$1:$G$1,0)))</f>
        <v>1.0745999999999998</v>
      </c>
      <c r="O109" s="5">
        <f>M109*E109</f>
        <v>17.91</v>
      </c>
      <c r="P109" t="str">
        <f t="shared" si="2"/>
        <v>Robusta</v>
      </c>
      <c r="Q109" t="str">
        <f t="shared" si="3"/>
        <v>Medium</v>
      </c>
      <c r="R109" t="str">
        <f>_xlfn.XLOOKUP(Orders[[#This Row],[Customer ID]],customers!$A$1:$A$1001,customers!$I$1:$I$1001,,0)</f>
        <v>Yes</v>
      </c>
    </row>
    <row r="110" spans="1:18" x14ac:dyDescent="0.35">
      <c r="A110" s="2" t="s">
        <v>1095</v>
      </c>
      <c r="B110" s="3">
        <v>44041</v>
      </c>
      <c r="C110" s="2" t="s">
        <v>1096</v>
      </c>
      <c r="D110" t="s">
        <v>6157</v>
      </c>
      <c r="E110" s="2">
        <v>4</v>
      </c>
      <c r="F110" s="2" t="str">
        <f>_xlfn.XLOOKUP(Orders[[#This Row],[Customer ID]],customers!$A$1:$A$1001,customers!$B$1:$B$1001,,0)</f>
        <v>Isahella Hagland</v>
      </c>
      <c r="G110" s="2" t="str">
        <f>IF(_xlfn.XLOOKUP(C110,customers!$A$1:$A$1001,customers!C109:C1109,,0)=0,"",_xlfn.XLOOKUP(C110,customers!$A$1:$A$1001,customers!C109:C1109,,0))</f>
        <v>asnowding60@comsenz.com</v>
      </c>
      <c r="H110" s="2" t="str">
        <f>_xlfn.XLOOKUP(Orders[[#This Row],[Customer ID]],customers!$A$1:$A$1001,customers!$G$1:$G$1001,,0)</f>
        <v>United States</v>
      </c>
      <c r="I110" s="2" t="str">
        <f>_xlfn.XLOOKUP(Orders[[#This Row],[Customer ID]],customers!$A$1:$A$1001,customers!$F$1:$F$1001,,0)</f>
        <v>Fort Wayne</v>
      </c>
      <c r="J110" t="str">
        <f>INDEX(products!$A$1:$G$49,MATCH(orders!$D110,products!$A$1:$A$49,0),MATCH(orders!J$1,products!$A$1:$G$1,0))</f>
        <v>Ara</v>
      </c>
      <c r="K110" t="str">
        <f>INDEX(products!$A$1:$G$49,MATCH(orders!$D110,products!$A$1:$A$49,0),MATCH(orders!K$1,products!$A$1:$G$1,0))</f>
        <v>M</v>
      </c>
      <c r="L110" s="4">
        <f>INDEX(products!$A$1:$G$49,MATCH(orders!$D110,products!$A$1:$A$49,0),MATCH(orders!L$1,products!$A$1:$G$1,0))</f>
        <v>0.5</v>
      </c>
      <c r="M110" s="5">
        <f>INDEX(products!$A$1:$G$49,MATCH(orders!$D110,products!$A$1:$A$49,0),MATCH(orders!M$1,products!$A$1:$G$1,0))</f>
        <v>6.75</v>
      </c>
      <c r="N110" s="5">
        <f>Orders[[#This Row],[Quantity]]*(INDEX(products!$A$1:$G$49,MATCH(orders!$D110,products!$A$1:$A$49,0),MATCH(orders!N$1,products!$A$1:$G$1,0)))</f>
        <v>2.4299999999999997</v>
      </c>
      <c r="O110" s="5">
        <f>M110*E110</f>
        <v>27</v>
      </c>
      <c r="P110" t="str">
        <f t="shared" si="2"/>
        <v>Arabica</v>
      </c>
      <c r="Q110" t="str">
        <f t="shared" si="3"/>
        <v>Medium</v>
      </c>
      <c r="R110" t="str">
        <f>_xlfn.XLOOKUP(Orders[[#This Row],[Customer ID]],customers!$A$1:$A$1001,customers!$I$1:$I$1001,,0)</f>
        <v>No</v>
      </c>
    </row>
    <row r="111" spans="1:18" x14ac:dyDescent="0.35">
      <c r="A111" s="2" t="s">
        <v>1100</v>
      </c>
      <c r="B111" s="3">
        <v>43811</v>
      </c>
      <c r="C111" s="2" t="s">
        <v>1101</v>
      </c>
      <c r="D111" t="s">
        <v>6169</v>
      </c>
      <c r="E111" s="2">
        <v>1</v>
      </c>
      <c r="F111" s="2" t="str">
        <f>_xlfn.XLOOKUP(Orders[[#This Row],[Customer ID]],customers!$A$1:$A$1001,customers!$B$1:$B$1001,,0)</f>
        <v>Terry Sheryn</v>
      </c>
      <c r="G111" s="2" t="str">
        <f>IF(_xlfn.XLOOKUP(C111,customers!$A$1:$A$1001,customers!C110:C1110,,0)=0,"",_xlfn.XLOOKUP(C111,customers!$A$1:$A$1001,customers!C110:C1110,,0))</f>
        <v>rfurman62@t.co</v>
      </c>
      <c r="H111" s="2" t="str">
        <f>_xlfn.XLOOKUP(Orders[[#This Row],[Customer ID]],customers!$A$1:$A$1001,customers!$G$1:$G$1001,,0)</f>
        <v>United States</v>
      </c>
      <c r="I111" s="2" t="str">
        <f>_xlfn.XLOOKUP(Orders[[#This Row],[Customer ID]],customers!$A$1:$A$1001,customers!$F$1:$F$1001,,0)</f>
        <v>Port Washington</v>
      </c>
      <c r="J111" t="str">
        <f>INDEX(products!$A$1:$G$49,MATCH(orders!$D111,products!$A$1:$A$49,0),MATCH(orders!J$1,products!$A$1:$G$1,0))</f>
        <v>Lib</v>
      </c>
      <c r="K111" t="str">
        <f>INDEX(products!$A$1:$G$49,MATCH(orders!$D111,products!$A$1:$A$49,0),MATCH(orders!K$1,products!$A$1:$G$1,0))</f>
        <v>D</v>
      </c>
      <c r="L111" s="4">
        <f>INDEX(products!$A$1:$G$49,MATCH(orders!$D111,products!$A$1:$A$49,0),MATCH(orders!L$1,products!$A$1:$G$1,0))</f>
        <v>0.5</v>
      </c>
      <c r="M111" s="5">
        <f>INDEX(products!$A$1:$G$49,MATCH(orders!$D111,products!$A$1:$A$49,0),MATCH(orders!M$1,products!$A$1:$G$1,0))</f>
        <v>7.77</v>
      </c>
      <c r="N111" s="5">
        <f>Orders[[#This Row],[Quantity]]*(INDEX(products!$A$1:$G$49,MATCH(orders!$D111,products!$A$1:$A$49,0),MATCH(orders!N$1,products!$A$1:$G$1,0)))</f>
        <v>1.0101</v>
      </c>
      <c r="O111" s="5">
        <f>M111*E111</f>
        <v>7.77</v>
      </c>
      <c r="P111" t="str">
        <f t="shared" si="2"/>
        <v>Liberica</v>
      </c>
      <c r="Q111" t="str">
        <f t="shared" si="3"/>
        <v>Dark</v>
      </c>
      <c r="R111" t="str">
        <f>_xlfn.XLOOKUP(Orders[[#This Row],[Customer ID]],customers!$A$1:$A$1001,customers!$I$1:$I$1001,,0)</f>
        <v>Yes</v>
      </c>
    </row>
    <row r="112" spans="1:18" x14ac:dyDescent="0.35">
      <c r="A112" s="2" t="s">
        <v>1106</v>
      </c>
      <c r="B112" s="3">
        <v>44727</v>
      </c>
      <c r="C112" s="2" t="s">
        <v>1107</v>
      </c>
      <c r="D112" t="s">
        <v>6184</v>
      </c>
      <c r="E112" s="2">
        <v>3</v>
      </c>
      <c r="F112" s="2" t="str">
        <f>_xlfn.XLOOKUP(Orders[[#This Row],[Customer ID]],customers!$A$1:$A$1001,customers!$B$1:$B$1001,,0)</f>
        <v>Marie-jeanne Redgrave</v>
      </c>
      <c r="G112" s="2" t="str">
        <f>IF(_xlfn.XLOOKUP(C112,customers!$A$1:$A$1001,customers!C111:C1111,,0)=0,"",_xlfn.XLOOKUP(C112,customers!$A$1:$A$1001,customers!C111:C1111,,0))</f>
        <v>mpercifull64@netlog.com</v>
      </c>
      <c r="H112" s="2" t="str">
        <f>_xlfn.XLOOKUP(Orders[[#This Row],[Customer ID]],customers!$A$1:$A$1001,customers!$G$1:$G$1001,,0)</f>
        <v>United States</v>
      </c>
      <c r="I112" s="2" t="str">
        <f>_xlfn.XLOOKUP(Orders[[#This Row],[Customer ID]],customers!$A$1:$A$1001,customers!$F$1:$F$1001,,0)</f>
        <v>Springfield</v>
      </c>
      <c r="J112" t="str">
        <f>INDEX(products!$A$1:$G$49,MATCH(orders!$D112,products!$A$1:$A$49,0),MATCH(orders!J$1,products!$A$1:$G$1,0))</f>
        <v>Exc</v>
      </c>
      <c r="K112" t="str">
        <f>INDEX(products!$A$1:$G$49,MATCH(orders!$D112,products!$A$1:$A$49,0),MATCH(orders!K$1,products!$A$1:$G$1,0))</f>
        <v>L</v>
      </c>
      <c r="L112" s="4">
        <f>INDEX(products!$A$1:$G$49,MATCH(orders!$D112,products!$A$1:$A$49,0),MATCH(orders!L$1,products!$A$1:$G$1,0))</f>
        <v>0.2</v>
      </c>
      <c r="M112" s="5">
        <f>INDEX(products!$A$1:$G$49,MATCH(orders!$D112,products!$A$1:$A$49,0),MATCH(orders!M$1,products!$A$1:$G$1,0))</f>
        <v>4.4550000000000001</v>
      </c>
      <c r="N112" s="5">
        <f>Orders[[#This Row],[Quantity]]*(INDEX(products!$A$1:$G$49,MATCH(orders!$D112,products!$A$1:$A$49,0),MATCH(orders!N$1,products!$A$1:$G$1,0)))</f>
        <v>1.4701499999999998</v>
      </c>
      <c r="O112" s="5">
        <f>M112*E112</f>
        <v>13.365</v>
      </c>
      <c r="P112" t="str">
        <f t="shared" si="2"/>
        <v>Excelsa</v>
      </c>
      <c r="Q112" t="str">
        <f t="shared" si="3"/>
        <v>Light</v>
      </c>
      <c r="R112" t="str">
        <f>_xlfn.XLOOKUP(Orders[[#This Row],[Customer ID]],customers!$A$1:$A$1001,customers!$I$1:$I$1001,,0)</f>
        <v>Yes</v>
      </c>
    </row>
    <row r="113" spans="1:18" x14ac:dyDescent="0.35">
      <c r="A113" s="2" t="s">
        <v>1112</v>
      </c>
      <c r="B113" s="3">
        <v>43642</v>
      </c>
      <c r="C113" s="2" t="s">
        <v>1113</v>
      </c>
      <c r="D113" t="s">
        <v>6172</v>
      </c>
      <c r="E113" s="2">
        <v>5</v>
      </c>
      <c r="F113" s="2" t="str">
        <f>_xlfn.XLOOKUP(Orders[[#This Row],[Customer ID]],customers!$A$1:$A$1001,customers!$B$1:$B$1001,,0)</f>
        <v>Betty Fominov</v>
      </c>
      <c r="G113" s="2" t="str">
        <f>IF(_xlfn.XLOOKUP(C113,customers!$A$1:$A$1001,customers!C112:C1112,,0)=0,"",_xlfn.XLOOKUP(C113,customers!$A$1:$A$1001,customers!C112:C1112,,0))</f>
        <v>wedinborough66@github.io</v>
      </c>
      <c r="H113" s="2" t="str">
        <f>_xlfn.XLOOKUP(Orders[[#This Row],[Customer ID]],customers!$A$1:$A$1001,customers!$G$1:$G$1001,,0)</f>
        <v>United States</v>
      </c>
      <c r="I113" s="2" t="str">
        <f>_xlfn.XLOOKUP(Orders[[#This Row],[Customer ID]],customers!$A$1:$A$1001,customers!$F$1:$F$1001,,0)</f>
        <v>Pensacola</v>
      </c>
      <c r="J113" t="str">
        <f>INDEX(products!$A$1:$G$49,MATCH(orders!$D113,products!$A$1:$A$49,0),MATCH(orders!J$1,products!$A$1:$G$1,0))</f>
        <v>Rob</v>
      </c>
      <c r="K113" t="str">
        <f>INDEX(products!$A$1:$G$49,MATCH(orders!$D113,products!$A$1:$A$49,0),MATCH(orders!K$1,products!$A$1:$G$1,0))</f>
        <v>D</v>
      </c>
      <c r="L113" s="4">
        <f>INDEX(products!$A$1:$G$49,MATCH(orders!$D113,products!$A$1:$A$49,0),MATCH(orders!L$1,products!$A$1:$G$1,0))</f>
        <v>0.5</v>
      </c>
      <c r="M113" s="5">
        <f>INDEX(products!$A$1:$G$49,MATCH(orders!$D113,products!$A$1:$A$49,0),MATCH(orders!M$1,products!$A$1:$G$1,0))</f>
        <v>5.3699999999999992</v>
      </c>
      <c r="N113" s="5">
        <f>Orders[[#This Row],[Quantity]]*(INDEX(products!$A$1:$G$49,MATCH(orders!$D113,products!$A$1:$A$49,0),MATCH(orders!N$1,products!$A$1:$G$1,0)))</f>
        <v>1.6109999999999998</v>
      </c>
      <c r="O113" s="5">
        <f>M113*E113</f>
        <v>26.849999999999994</v>
      </c>
      <c r="P113" t="str">
        <f t="shared" si="2"/>
        <v>Robusta</v>
      </c>
      <c r="Q113" t="str">
        <f t="shared" si="3"/>
        <v>Dark</v>
      </c>
      <c r="R113" t="str">
        <f>_xlfn.XLOOKUP(Orders[[#This Row],[Customer ID]],customers!$A$1:$A$1001,customers!$I$1:$I$1001,,0)</f>
        <v>No</v>
      </c>
    </row>
    <row r="114" spans="1:18" x14ac:dyDescent="0.35">
      <c r="A114" s="2" t="s">
        <v>1117</v>
      </c>
      <c r="B114" s="3">
        <v>44481</v>
      </c>
      <c r="C114" s="2" t="s">
        <v>1118</v>
      </c>
      <c r="D114" t="s">
        <v>6155</v>
      </c>
      <c r="E114" s="2">
        <v>1</v>
      </c>
      <c r="F114" s="2" t="str">
        <f>_xlfn.XLOOKUP(Orders[[#This Row],[Customer ID]],customers!$A$1:$A$1001,customers!$B$1:$B$1001,,0)</f>
        <v>Shawnee Critchlow</v>
      </c>
      <c r="G114" s="2" t="str">
        <f>IF(_xlfn.XLOOKUP(C114,customers!$A$1:$A$1001,customers!C113:C1113,,0)=0,"",_xlfn.XLOOKUP(C114,customers!$A$1:$A$1001,customers!C113:C1113,,0))</f>
        <v>kbromehead68@un.org</v>
      </c>
      <c r="H114" s="2" t="str">
        <f>_xlfn.XLOOKUP(Orders[[#This Row],[Customer ID]],customers!$A$1:$A$1001,customers!$G$1:$G$1001,,0)</f>
        <v>United States</v>
      </c>
      <c r="I114" s="2" t="str">
        <f>_xlfn.XLOOKUP(Orders[[#This Row],[Customer ID]],customers!$A$1:$A$1001,customers!$F$1:$F$1001,,0)</f>
        <v>Richmond</v>
      </c>
      <c r="J114" t="str">
        <f>INDEX(products!$A$1:$G$49,MATCH(orders!$D114,products!$A$1:$A$49,0),MATCH(orders!J$1,products!$A$1:$G$1,0))</f>
        <v>Ara</v>
      </c>
      <c r="K114" t="str">
        <f>INDEX(products!$A$1:$G$49,MATCH(orders!$D114,products!$A$1:$A$49,0),MATCH(orders!K$1,products!$A$1:$G$1,0))</f>
        <v>M</v>
      </c>
      <c r="L114" s="4">
        <f>INDEX(products!$A$1:$G$49,MATCH(orders!$D114,products!$A$1:$A$49,0),MATCH(orders!L$1,products!$A$1:$G$1,0))</f>
        <v>1</v>
      </c>
      <c r="M114" s="5">
        <f>INDEX(products!$A$1:$G$49,MATCH(orders!$D114,products!$A$1:$A$49,0),MATCH(orders!M$1,products!$A$1:$G$1,0))</f>
        <v>11.25</v>
      </c>
      <c r="N114" s="5">
        <f>Orders[[#This Row],[Quantity]]*(INDEX(products!$A$1:$G$49,MATCH(orders!$D114,products!$A$1:$A$49,0),MATCH(orders!N$1,products!$A$1:$G$1,0)))</f>
        <v>1.0125</v>
      </c>
      <c r="O114" s="5">
        <f>M114*E114</f>
        <v>11.25</v>
      </c>
      <c r="P114" t="str">
        <f t="shared" si="2"/>
        <v>Arabica</v>
      </c>
      <c r="Q114" t="str">
        <f t="shared" si="3"/>
        <v>Medium</v>
      </c>
      <c r="R114" t="str">
        <f>_xlfn.XLOOKUP(Orders[[#This Row],[Customer ID]],customers!$A$1:$A$1001,customers!$I$1:$I$1001,,0)</f>
        <v>No</v>
      </c>
    </row>
    <row r="115" spans="1:18" x14ac:dyDescent="0.35">
      <c r="A115" s="2" t="s">
        <v>1123</v>
      </c>
      <c r="B115" s="3">
        <v>43556</v>
      </c>
      <c r="C115" s="2" t="s">
        <v>1124</v>
      </c>
      <c r="D115" t="s">
        <v>6162</v>
      </c>
      <c r="E115" s="2">
        <v>1</v>
      </c>
      <c r="F115" s="2" t="str">
        <f>_xlfn.XLOOKUP(Orders[[#This Row],[Customer ID]],customers!$A$1:$A$1001,customers!$B$1:$B$1001,,0)</f>
        <v>Merrel Steptow</v>
      </c>
      <c r="G115" s="2" t="str">
        <f>IF(_xlfn.XLOOKUP(C115,customers!$A$1:$A$1001,customers!C114:C1114,,0)=0,"",_xlfn.XLOOKUP(C115,customers!$A$1:$A$1001,customers!C114:C1114,,0))</f>
        <v>ahutchens6a@amazonaws.com</v>
      </c>
      <c r="H115" s="2" t="str">
        <f>_xlfn.XLOOKUP(Orders[[#This Row],[Customer ID]],customers!$A$1:$A$1001,customers!$G$1:$G$1001,,0)</f>
        <v>Ireland</v>
      </c>
      <c r="I115" s="2" t="str">
        <f>_xlfn.XLOOKUP(Orders[[#This Row],[Customer ID]],customers!$A$1:$A$1001,customers!$F$1:$F$1001,,0)</f>
        <v>Cherryville</v>
      </c>
      <c r="J115" t="str">
        <f>INDEX(products!$A$1:$G$49,MATCH(orders!$D115,products!$A$1:$A$49,0),MATCH(orders!J$1,products!$A$1:$G$1,0))</f>
        <v>Lib</v>
      </c>
      <c r="K115" t="str">
        <f>INDEX(products!$A$1:$G$49,MATCH(orders!$D115,products!$A$1:$A$49,0),MATCH(orders!K$1,products!$A$1:$G$1,0))</f>
        <v>M</v>
      </c>
      <c r="L115" s="4">
        <f>INDEX(products!$A$1:$G$49,MATCH(orders!$D115,products!$A$1:$A$49,0),MATCH(orders!L$1,products!$A$1:$G$1,0))</f>
        <v>1</v>
      </c>
      <c r="M115" s="5">
        <f>INDEX(products!$A$1:$G$49,MATCH(orders!$D115,products!$A$1:$A$49,0),MATCH(orders!M$1,products!$A$1:$G$1,0))</f>
        <v>14.55</v>
      </c>
      <c r="N115" s="5">
        <f>Orders[[#This Row],[Quantity]]*(INDEX(products!$A$1:$G$49,MATCH(orders!$D115,products!$A$1:$A$49,0),MATCH(orders!N$1,products!$A$1:$G$1,0)))</f>
        <v>1.8915000000000002</v>
      </c>
      <c r="O115" s="5">
        <f>M115*E115</f>
        <v>14.55</v>
      </c>
      <c r="P115" t="str">
        <f t="shared" si="2"/>
        <v>Liberica</v>
      </c>
      <c r="Q115" t="str">
        <f t="shared" si="3"/>
        <v>Medium</v>
      </c>
      <c r="R115" t="str">
        <f>_xlfn.XLOOKUP(Orders[[#This Row],[Customer ID]],customers!$A$1:$A$1001,customers!$I$1:$I$1001,,0)</f>
        <v>No</v>
      </c>
    </row>
    <row r="116" spans="1:18" x14ac:dyDescent="0.35">
      <c r="A116" s="2" t="s">
        <v>1129</v>
      </c>
      <c r="B116" s="3">
        <v>44265</v>
      </c>
      <c r="C116" s="2" t="s">
        <v>1130</v>
      </c>
      <c r="D116" t="s">
        <v>6178</v>
      </c>
      <c r="E116" s="2">
        <v>4</v>
      </c>
      <c r="F116" s="2" t="str">
        <f>_xlfn.XLOOKUP(Orders[[#This Row],[Customer ID]],customers!$A$1:$A$1001,customers!$B$1:$B$1001,,0)</f>
        <v>Carmina Hubbuck</v>
      </c>
      <c r="G116" s="2" t="str">
        <f>IF(_xlfn.XLOOKUP(C116,customers!$A$1:$A$1001,customers!C115:C1115,,0)=0,"",_xlfn.XLOOKUP(C116,customers!$A$1:$A$1001,customers!C115:C1115,,0))</f>
        <v>bmathon6c@barnesandnoble.com</v>
      </c>
      <c r="H116" s="2" t="str">
        <f>_xlfn.XLOOKUP(Orders[[#This Row],[Customer ID]],customers!$A$1:$A$1001,customers!$G$1:$G$1001,,0)</f>
        <v>United States</v>
      </c>
      <c r="I116" s="2" t="str">
        <f>_xlfn.XLOOKUP(Orders[[#This Row],[Customer ID]],customers!$A$1:$A$1001,customers!$F$1:$F$1001,,0)</f>
        <v>Huntington</v>
      </c>
      <c r="J116" t="str">
        <f>INDEX(products!$A$1:$G$49,MATCH(orders!$D116,products!$A$1:$A$49,0),MATCH(orders!J$1,products!$A$1:$G$1,0))</f>
        <v>Rob</v>
      </c>
      <c r="K116" t="str">
        <f>INDEX(products!$A$1:$G$49,MATCH(orders!$D116,products!$A$1:$A$49,0),MATCH(orders!K$1,products!$A$1:$G$1,0))</f>
        <v>L</v>
      </c>
      <c r="L116" s="4">
        <f>INDEX(products!$A$1:$G$49,MATCH(orders!$D116,products!$A$1:$A$49,0),MATCH(orders!L$1,products!$A$1:$G$1,0))</f>
        <v>0.2</v>
      </c>
      <c r="M116" s="5">
        <f>INDEX(products!$A$1:$G$49,MATCH(orders!$D116,products!$A$1:$A$49,0),MATCH(orders!M$1,products!$A$1:$G$1,0))</f>
        <v>3.5849999999999995</v>
      </c>
      <c r="N116" s="5">
        <f>Orders[[#This Row],[Quantity]]*(INDEX(products!$A$1:$G$49,MATCH(orders!$D116,products!$A$1:$A$49,0),MATCH(orders!N$1,products!$A$1:$G$1,0)))</f>
        <v>0.86039999999999983</v>
      </c>
      <c r="O116" s="5">
        <f>M116*E116</f>
        <v>14.339999999999998</v>
      </c>
      <c r="P116" t="str">
        <f t="shared" si="2"/>
        <v>Robusta</v>
      </c>
      <c r="Q116" t="str">
        <f t="shared" si="3"/>
        <v>Light</v>
      </c>
      <c r="R116" t="str">
        <f>_xlfn.XLOOKUP(Orders[[#This Row],[Customer ID]],customers!$A$1:$A$1001,customers!$I$1:$I$1001,,0)</f>
        <v>No</v>
      </c>
    </row>
    <row r="117" spans="1:18" x14ac:dyDescent="0.35">
      <c r="A117" s="2" t="s">
        <v>1134</v>
      </c>
      <c r="B117" s="3">
        <v>43693</v>
      </c>
      <c r="C117" s="2" t="s">
        <v>1135</v>
      </c>
      <c r="D117" t="s">
        <v>6170</v>
      </c>
      <c r="E117" s="2">
        <v>1</v>
      </c>
      <c r="F117" s="2" t="str">
        <f>_xlfn.XLOOKUP(Orders[[#This Row],[Customer ID]],customers!$A$1:$A$1001,customers!$B$1:$B$1001,,0)</f>
        <v>Ingeberg Mulliner</v>
      </c>
      <c r="G117" s="2" t="str">
        <f>IF(_xlfn.XLOOKUP(C117,customers!$A$1:$A$1001,customers!C116:C1116,,0)=0,"",_xlfn.XLOOKUP(C117,customers!$A$1:$A$1001,customers!C116:C1116,,0))</f>
        <v>pcutchie6e@globo.com</v>
      </c>
      <c r="H117" s="2" t="str">
        <f>_xlfn.XLOOKUP(Orders[[#This Row],[Customer ID]],customers!$A$1:$A$1001,customers!$G$1:$G$1001,,0)</f>
        <v>United Kingdom</v>
      </c>
      <c r="I117" s="2" t="str">
        <f>_xlfn.XLOOKUP(Orders[[#This Row],[Customer ID]],customers!$A$1:$A$1001,customers!$F$1:$F$1001,,0)</f>
        <v>Birmingham</v>
      </c>
      <c r="J117" t="str">
        <f>INDEX(products!$A$1:$G$49,MATCH(orders!$D117,products!$A$1:$A$49,0),MATCH(orders!J$1,products!$A$1:$G$1,0))</f>
        <v>Lib</v>
      </c>
      <c r="K117" t="str">
        <f>INDEX(products!$A$1:$G$49,MATCH(orders!$D117,products!$A$1:$A$49,0),MATCH(orders!K$1,products!$A$1:$G$1,0))</f>
        <v>L</v>
      </c>
      <c r="L117" s="4">
        <f>INDEX(products!$A$1:$G$49,MATCH(orders!$D117,products!$A$1:$A$49,0),MATCH(orders!L$1,products!$A$1:$G$1,0))</f>
        <v>1</v>
      </c>
      <c r="M117" s="5">
        <f>INDEX(products!$A$1:$G$49,MATCH(orders!$D117,products!$A$1:$A$49,0),MATCH(orders!M$1,products!$A$1:$G$1,0))</f>
        <v>15.85</v>
      </c>
      <c r="N117" s="5">
        <f>Orders[[#This Row],[Quantity]]*(INDEX(products!$A$1:$G$49,MATCH(orders!$D117,products!$A$1:$A$49,0),MATCH(orders!N$1,products!$A$1:$G$1,0)))</f>
        <v>2.0605000000000002</v>
      </c>
      <c r="O117" s="5">
        <f>M117*E117</f>
        <v>15.85</v>
      </c>
      <c r="P117" t="str">
        <f t="shared" si="2"/>
        <v>Liberica</v>
      </c>
      <c r="Q117" t="str">
        <f t="shared" si="3"/>
        <v>Light</v>
      </c>
      <c r="R117" t="str">
        <f>_xlfn.XLOOKUP(Orders[[#This Row],[Customer ID]],customers!$A$1:$A$1001,customers!$I$1:$I$1001,,0)</f>
        <v>No</v>
      </c>
    </row>
    <row r="118" spans="1:18" x14ac:dyDescent="0.35">
      <c r="A118" s="2" t="s">
        <v>1140</v>
      </c>
      <c r="B118" s="3">
        <v>44054</v>
      </c>
      <c r="C118" s="2" t="s">
        <v>1141</v>
      </c>
      <c r="D118" t="s">
        <v>6145</v>
      </c>
      <c r="E118" s="2">
        <v>4</v>
      </c>
      <c r="F118" s="2" t="str">
        <f>_xlfn.XLOOKUP(Orders[[#This Row],[Customer ID]],customers!$A$1:$A$1001,customers!$B$1:$B$1001,,0)</f>
        <v>Geneva Standley</v>
      </c>
      <c r="G118" s="2" t="str">
        <f>IF(_xlfn.XLOOKUP(C118,customers!$A$1:$A$1001,customers!C117:C1117,,0)=0,"",_xlfn.XLOOKUP(C118,customers!$A$1:$A$1001,customers!C117:C1117,,0))</f>
        <v>cgheraldi6g@opera.com</v>
      </c>
      <c r="H118" s="2" t="str">
        <f>_xlfn.XLOOKUP(Orders[[#This Row],[Customer ID]],customers!$A$1:$A$1001,customers!$G$1:$G$1001,,0)</f>
        <v>Ireland</v>
      </c>
      <c r="I118" s="2" t="str">
        <f>_xlfn.XLOOKUP(Orders[[#This Row],[Customer ID]],customers!$A$1:$A$1001,customers!$F$1:$F$1001,,0)</f>
        <v>Killorglin</v>
      </c>
      <c r="J118" t="str">
        <f>INDEX(products!$A$1:$G$49,MATCH(orders!$D118,products!$A$1:$A$49,0),MATCH(orders!J$1,products!$A$1:$G$1,0))</f>
        <v>Lib</v>
      </c>
      <c r="K118" t="str">
        <f>INDEX(products!$A$1:$G$49,MATCH(orders!$D118,products!$A$1:$A$49,0),MATCH(orders!K$1,products!$A$1:$G$1,0))</f>
        <v>L</v>
      </c>
      <c r="L118" s="4">
        <f>INDEX(products!$A$1:$G$49,MATCH(orders!$D118,products!$A$1:$A$49,0),MATCH(orders!L$1,products!$A$1:$G$1,0))</f>
        <v>0.2</v>
      </c>
      <c r="M118" s="5">
        <f>INDEX(products!$A$1:$G$49,MATCH(orders!$D118,products!$A$1:$A$49,0),MATCH(orders!M$1,products!$A$1:$G$1,0))</f>
        <v>4.7549999999999999</v>
      </c>
      <c r="N118" s="5">
        <f>Orders[[#This Row],[Quantity]]*(INDEX(products!$A$1:$G$49,MATCH(orders!$D118,products!$A$1:$A$49,0),MATCH(orders!N$1,products!$A$1:$G$1,0)))</f>
        <v>2.4725999999999999</v>
      </c>
      <c r="O118" s="5">
        <f>M118*E118</f>
        <v>19.02</v>
      </c>
      <c r="P118" t="str">
        <f t="shared" si="2"/>
        <v>Liberica</v>
      </c>
      <c r="Q118" t="str">
        <f t="shared" si="3"/>
        <v>Light</v>
      </c>
      <c r="R118" t="str">
        <f>_xlfn.XLOOKUP(Orders[[#This Row],[Customer ID]],customers!$A$1:$A$1001,customers!$I$1:$I$1001,,0)</f>
        <v>Yes</v>
      </c>
    </row>
    <row r="119" spans="1:18" x14ac:dyDescent="0.35">
      <c r="A119" s="2" t="s">
        <v>1146</v>
      </c>
      <c r="B119" s="3">
        <v>44656</v>
      </c>
      <c r="C119" s="2" t="s">
        <v>1147</v>
      </c>
      <c r="D119" t="s">
        <v>6161</v>
      </c>
      <c r="E119" s="2">
        <v>4</v>
      </c>
      <c r="F119" s="2" t="str">
        <f>_xlfn.XLOOKUP(Orders[[#This Row],[Customer ID]],customers!$A$1:$A$1001,customers!$B$1:$B$1001,,0)</f>
        <v>Brook Drage</v>
      </c>
      <c r="G119" s="2" t="str">
        <f>IF(_xlfn.XLOOKUP(C119,customers!$A$1:$A$1001,customers!C118:C1118,,0)=0,"",_xlfn.XLOOKUP(C119,customers!$A$1:$A$1001,customers!C118:C1118,,0))</f>
        <v>tsutty6i@google.es</v>
      </c>
      <c r="H119" s="2" t="str">
        <f>_xlfn.XLOOKUP(Orders[[#This Row],[Customer ID]],customers!$A$1:$A$1001,customers!$G$1:$G$1001,,0)</f>
        <v>United States</v>
      </c>
      <c r="I119" s="2" t="str">
        <f>_xlfn.XLOOKUP(Orders[[#This Row],[Customer ID]],customers!$A$1:$A$1001,customers!$F$1:$F$1001,,0)</f>
        <v>Dayton</v>
      </c>
      <c r="J119" t="str">
        <f>INDEX(products!$A$1:$G$49,MATCH(orders!$D119,products!$A$1:$A$49,0),MATCH(orders!J$1,products!$A$1:$G$1,0))</f>
        <v>Lib</v>
      </c>
      <c r="K119" t="str">
        <f>INDEX(products!$A$1:$G$49,MATCH(orders!$D119,products!$A$1:$A$49,0),MATCH(orders!K$1,products!$A$1:$G$1,0))</f>
        <v>L</v>
      </c>
      <c r="L119" s="4">
        <f>INDEX(products!$A$1:$G$49,MATCH(orders!$D119,products!$A$1:$A$49,0),MATCH(orders!L$1,products!$A$1:$G$1,0))</f>
        <v>0.5</v>
      </c>
      <c r="M119" s="5">
        <f>INDEX(products!$A$1:$G$49,MATCH(orders!$D119,products!$A$1:$A$49,0),MATCH(orders!M$1,products!$A$1:$G$1,0))</f>
        <v>9.51</v>
      </c>
      <c r="N119" s="5">
        <f>Orders[[#This Row],[Quantity]]*(INDEX(products!$A$1:$G$49,MATCH(orders!$D119,products!$A$1:$A$49,0),MATCH(orders!N$1,products!$A$1:$G$1,0)))</f>
        <v>4.9451999999999998</v>
      </c>
      <c r="O119" s="5">
        <f>M119*E119</f>
        <v>38.04</v>
      </c>
      <c r="P119" t="str">
        <f t="shared" si="2"/>
        <v>Liberica</v>
      </c>
      <c r="Q119" t="str">
        <f t="shared" si="3"/>
        <v>Light</v>
      </c>
      <c r="R119" t="str">
        <f>_xlfn.XLOOKUP(Orders[[#This Row],[Customer ID]],customers!$A$1:$A$1001,customers!$I$1:$I$1001,,0)</f>
        <v>No</v>
      </c>
    </row>
    <row r="120" spans="1:18" x14ac:dyDescent="0.35">
      <c r="A120" s="2" t="s">
        <v>1152</v>
      </c>
      <c r="B120" s="3">
        <v>43760</v>
      </c>
      <c r="C120" s="2" t="s">
        <v>1153</v>
      </c>
      <c r="D120" t="s">
        <v>6144</v>
      </c>
      <c r="E120" s="2">
        <v>3</v>
      </c>
      <c r="F120" s="2" t="str">
        <f>_xlfn.XLOOKUP(Orders[[#This Row],[Customer ID]],customers!$A$1:$A$1001,customers!$B$1:$B$1001,,0)</f>
        <v>Muffin Yallop</v>
      </c>
      <c r="G120" s="2" t="str">
        <f>IF(_xlfn.XLOOKUP(C120,customers!$A$1:$A$1001,customers!C119:C1119,,0)=0,"",_xlfn.XLOOKUP(C120,customers!$A$1:$A$1001,customers!C119:C1119,,0))</f>
        <v>charce6k@cafepress.com</v>
      </c>
      <c r="H120" s="2" t="str">
        <f>_xlfn.XLOOKUP(Orders[[#This Row],[Customer ID]],customers!$A$1:$A$1001,customers!$G$1:$G$1001,,0)</f>
        <v>United States</v>
      </c>
      <c r="I120" s="2" t="str">
        <f>_xlfn.XLOOKUP(Orders[[#This Row],[Customer ID]],customers!$A$1:$A$1001,customers!$F$1:$F$1001,,0)</f>
        <v>Anchorage</v>
      </c>
      <c r="J120" t="str">
        <f>INDEX(products!$A$1:$G$49,MATCH(orders!$D120,products!$A$1:$A$49,0),MATCH(orders!J$1,products!$A$1:$G$1,0))</f>
        <v>Exc</v>
      </c>
      <c r="K120" t="str">
        <f>INDEX(products!$A$1:$G$49,MATCH(orders!$D120,products!$A$1:$A$49,0),MATCH(orders!K$1,products!$A$1:$G$1,0))</f>
        <v>D</v>
      </c>
      <c r="L120" s="4">
        <f>INDEX(products!$A$1:$G$49,MATCH(orders!$D120,products!$A$1:$A$49,0),MATCH(orders!L$1,products!$A$1:$G$1,0))</f>
        <v>0.5</v>
      </c>
      <c r="M120" s="5">
        <f>INDEX(products!$A$1:$G$49,MATCH(orders!$D120,products!$A$1:$A$49,0),MATCH(orders!M$1,products!$A$1:$G$1,0))</f>
        <v>7.29</v>
      </c>
      <c r="N120" s="5">
        <f>Orders[[#This Row],[Quantity]]*(INDEX(products!$A$1:$G$49,MATCH(orders!$D120,products!$A$1:$A$49,0),MATCH(orders!N$1,products!$A$1:$G$1,0)))</f>
        <v>2.4057000000000004</v>
      </c>
      <c r="O120" s="5">
        <f>M120*E120</f>
        <v>21.87</v>
      </c>
      <c r="P120" t="str">
        <f t="shared" si="2"/>
        <v>Excelsa</v>
      </c>
      <c r="Q120" t="str">
        <f t="shared" si="3"/>
        <v>Dark</v>
      </c>
      <c r="R120" t="str">
        <f>_xlfn.XLOOKUP(Orders[[#This Row],[Customer ID]],customers!$A$1:$A$1001,customers!$I$1:$I$1001,,0)</f>
        <v>Yes</v>
      </c>
    </row>
    <row r="121" spans="1:18" x14ac:dyDescent="0.35">
      <c r="A121" s="2" t="s">
        <v>1158</v>
      </c>
      <c r="B121" s="3">
        <v>44471</v>
      </c>
      <c r="C121" s="2" t="s">
        <v>1159</v>
      </c>
      <c r="D121" t="s">
        <v>6156</v>
      </c>
      <c r="E121" s="2">
        <v>1</v>
      </c>
      <c r="F121" s="2" t="str">
        <f>_xlfn.XLOOKUP(Orders[[#This Row],[Customer ID]],customers!$A$1:$A$1001,customers!$B$1:$B$1001,,0)</f>
        <v>Cordi Switsur</v>
      </c>
      <c r="G121" s="2" t="str">
        <f>IF(_xlfn.XLOOKUP(C121,customers!$A$1:$A$1001,customers!C120:C1120,,0)=0,"",_xlfn.XLOOKUP(C121,customers!$A$1:$A$1001,customers!C120:C1120,,0))</f>
        <v>fdrysdale6m@symantec.com</v>
      </c>
      <c r="H121" s="2" t="str">
        <f>_xlfn.XLOOKUP(Orders[[#This Row],[Customer ID]],customers!$A$1:$A$1001,customers!$G$1:$G$1001,,0)</f>
        <v>United States</v>
      </c>
      <c r="I121" s="2" t="str">
        <f>_xlfn.XLOOKUP(Orders[[#This Row],[Customer ID]],customers!$A$1:$A$1001,customers!$F$1:$F$1001,,0)</f>
        <v>Nashville</v>
      </c>
      <c r="J121" t="str">
        <f>INDEX(products!$A$1:$G$49,MATCH(orders!$D121,products!$A$1:$A$49,0),MATCH(orders!J$1,products!$A$1:$G$1,0))</f>
        <v>Exc</v>
      </c>
      <c r="K121" t="str">
        <f>INDEX(products!$A$1:$G$49,MATCH(orders!$D121,products!$A$1:$A$49,0),MATCH(orders!K$1,products!$A$1:$G$1,0))</f>
        <v>M</v>
      </c>
      <c r="L121" s="4">
        <f>INDEX(products!$A$1:$G$49,MATCH(orders!$D121,products!$A$1:$A$49,0),MATCH(orders!L$1,products!$A$1:$G$1,0))</f>
        <v>0.2</v>
      </c>
      <c r="M121" s="5">
        <f>INDEX(products!$A$1:$G$49,MATCH(orders!$D121,products!$A$1:$A$49,0),MATCH(orders!M$1,products!$A$1:$G$1,0))</f>
        <v>4.125</v>
      </c>
      <c r="N121" s="5">
        <f>Orders[[#This Row],[Quantity]]*(INDEX(products!$A$1:$G$49,MATCH(orders!$D121,products!$A$1:$A$49,0),MATCH(orders!N$1,products!$A$1:$G$1,0)))</f>
        <v>0.45374999999999999</v>
      </c>
      <c r="O121" s="5">
        <f>M121*E121</f>
        <v>4.125</v>
      </c>
      <c r="P121" t="str">
        <f t="shared" si="2"/>
        <v>Excelsa</v>
      </c>
      <c r="Q121" t="str">
        <f t="shared" si="3"/>
        <v>Medium</v>
      </c>
      <c r="R121" t="str">
        <f>_xlfn.XLOOKUP(Orders[[#This Row],[Customer ID]],customers!$A$1:$A$1001,customers!$I$1:$I$1001,,0)</f>
        <v>No</v>
      </c>
    </row>
    <row r="122" spans="1:18" x14ac:dyDescent="0.35">
      <c r="A122" s="2" t="s">
        <v>1158</v>
      </c>
      <c r="B122" s="3">
        <v>44471</v>
      </c>
      <c r="C122" s="2" t="s">
        <v>1159</v>
      </c>
      <c r="D122" t="s">
        <v>6167</v>
      </c>
      <c r="E122" s="2">
        <v>1</v>
      </c>
      <c r="F122" s="2" t="str">
        <f>_xlfn.XLOOKUP(Orders[[#This Row],[Customer ID]],customers!$A$1:$A$1001,customers!$B$1:$B$1001,,0)</f>
        <v>Cordi Switsur</v>
      </c>
      <c r="G122" s="2" t="str">
        <f>IF(_xlfn.XLOOKUP(C122,customers!$A$1:$A$1001,customers!C121:C1121,,0)=0,"",_xlfn.XLOOKUP(C122,customers!$A$1:$A$1001,customers!C121:C1121,,0))</f>
        <v>dmagowan6n@fc2.com</v>
      </c>
      <c r="H122" s="2" t="str">
        <f>_xlfn.XLOOKUP(Orders[[#This Row],[Customer ID]],customers!$A$1:$A$1001,customers!$G$1:$G$1001,,0)</f>
        <v>United States</v>
      </c>
      <c r="I122" s="2" t="str">
        <f>_xlfn.XLOOKUP(Orders[[#This Row],[Customer ID]],customers!$A$1:$A$1001,customers!$F$1:$F$1001,,0)</f>
        <v>Nashville</v>
      </c>
      <c r="J122" t="str">
        <f>INDEX(products!$A$1:$G$49,MATCH(orders!$D122,products!$A$1:$A$49,0),MATCH(orders!J$1,products!$A$1:$G$1,0))</f>
        <v>Ara</v>
      </c>
      <c r="K122" t="str">
        <f>INDEX(products!$A$1:$G$49,MATCH(orders!$D122,products!$A$1:$A$49,0),MATCH(orders!K$1,products!$A$1:$G$1,0))</f>
        <v>L</v>
      </c>
      <c r="L122" s="4">
        <f>INDEX(products!$A$1:$G$49,MATCH(orders!$D122,products!$A$1:$A$49,0),MATCH(orders!L$1,products!$A$1:$G$1,0))</f>
        <v>0.2</v>
      </c>
      <c r="M122" s="5">
        <f>INDEX(products!$A$1:$G$49,MATCH(orders!$D122,products!$A$1:$A$49,0),MATCH(orders!M$1,products!$A$1:$G$1,0))</f>
        <v>3.8849999999999998</v>
      </c>
      <c r="N122" s="5">
        <f>Orders[[#This Row],[Quantity]]*(INDEX(products!$A$1:$G$49,MATCH(orders!$D122,products!$A$1:$A$49,0),MATCH(orders!N$1,products!$A$1:$G$1,0)))</f>
        <v>0.34964999999999996</v>
      </c>
      <c r="O122" s="5">
        <f>M122*E122</f>
        <v>3.8849999999999998</v>
      </c>
      <c r="P122" t="str">
        <f t="shared" si="2"/>
        <v>Arabica</v>
      </c>
      <c r="Q122" t="str">
        <f t="shared" si="3"/>
        <v>Light</v>
      </c>
      <c r="R122" t="str">
        <f>_xlfn.XLOOKUP(Orders[[#This Row],[Customer ID]],customers!$A$1:$A$1001,customers!$I$1:$I$1001,,0)</f>
        <v>No</v>
      </c>
    </row>
    <row r="123" spans="1:18" x14ac:dyDescent="0.35">
      <c r="A123" s="2" t="s">
        <v>1158</v>
      </c>
      <c r="B123" s="3">
        <v>44471</v>
      </c>
      <c r="C123" s="2" t="s">
        <v>1159</v>
      </c>
      <c r="D123" t="s">
        <v>6141</v>
      </c>
      <c r="E123" s="2">
        <v>5</v>
      </c>
      <c r="F123" s="2" t="str">
        <f>_xlfn.XLOOKUP(Orders[[#This Row],[Customer ID]],customers!$A$1:$A$1001,customers!$B$1:$B$1001,,0)</f>
        <v>Cordi Switsur</v>
      </c>
      <c r="G123" s="2" t="str">
        <f>IF(_xlfn.XLOOKUP(C123,customers!$A$1:$A$1001,customers!C122:C1122,,0)=0,"",_xlfn.XLOOKUP(C123,customers!$A$1:$A$1001,customers!C122:C1122,,0))</f>
        <v/>
      </c>
      <c r="H123" s="2" t="str">
        <f>_xlfn.XLOOKUP(Orders[[#This Row],[Customer ID]],customers!$A$1:$A$1001,customers!$G$1:$G$1001,,0)</f>
        <v>United States</v>
      </c>
      <c r="I123" s="2" t="str">
        <f>_xlfn.XLOOKUP(Orders[[#This Row],[Customer ID]],customers!$A$1:$A$1001,customers!$F$1:$F$1001,,0)</f>
        <v>Nashville</v>
      </c>
      <c r="J123" t="str">
        <f>INDEX(products!$A$1:$G$49,MATCH(orders!$D123,products!$A$1:$A$49,0),MATCH(orders!J$1,products!$A$1:$G$1,0))</f>
        <v>Exc</v>
      </c>
      <c r="K123" t="str">
        <f>INDEX(products!$A$1:$G$49,MATCH(orders!$D123,products!$A$1:$A$49,0),MATCH(orders!K$1,products!$A$1:$G$1,0))</f>
        <v>M</v>
      </c>
      <c r="L123" s="4">
        <f>INDEX(products!$A$1:$G$49,MATCH(orders!$D123,products!$A$1:$A$49,0),MATCH(orders!L$1,products!$A$1:$G$1,0))</f>
        <v>1</v>
      </c>
      <c r="M123" s="5">
        <f>INDEX(products!$A$1:$G$49,MATCH(orders!$D123,products!$A$1:$A$49,0),MATCH(orders!M$1,products!$A$1:$G$1,0))</f>
        <v>13.75</v>
      </c>
      <c r="N123" s="5">
        <f>Orders[[#This Row],[Quantity]]*(INDEX(products!$A$1:$G$49,MATCH(orders!$D123,products!$A$1:$A$49,0),MATCH(orders!N$1,products!$A$1:$G$1,0)))</f>
        <v>7.5625</v>
      </c>
      <c r="O123" s="5">
        <f>M123*E123</f>
        <v>68.75</v>
      </c>
      <c r="P123" t="str">
        <f t="shared" si="2"/>
        <v>Excelsa</v>
      </c>
      <c r="Q123" t="str">
        <f t="shared" si="3"/>
        <v>Medium</v>
      </c>
      <c r="R123" t="str">
        <f>_xlfn.XLOOKUP(Orders[[#This Row],[Customer ID]],customers!$A$1:$A$1001,customers!$I$1:$I$1001,,0)</f>
        <v>No</v>
      </c>
    </row>
    <row r="124" spans="1:18" x14ac:dyDescent="0.35">
      <c r="A124" s="2" t="s">
        <v>1174</v>
      </c>
      <c r="B124" s="3">
        <v>44268</v>
      </c>
      <c r="C124" s="2" t="s">
        <v>1175</v>
      </c>
      <c r="D124" t="s">
        <v>6158</v>
      </c>
      <c r="E124" s="2">
        <v>4</v>
      </c>
      <c r="F124" s="2" t="str">
        <f>_xlfn.XLOOKUP(Orders[[#This Row],[Customer ID]],customers!$A$1:$A$1001,customers!$B$1:$B$1001,,0)</f>
        <v>Mahala Ludwell</v>
      </c>
      <c r="G124" s="2" t="str">
        <f>IF(_xlfn.XLOOKUP(C124,customers!$A$1:$A$1001,customers!C123:C1123,,0)=0,"",_xlfn.XLOOKUP(C124,customers!$A$1:$A$1001,customers!C123:C1123,,0))</f>
        <v>eyurkov6s@hud.gov</v>
      </c>
      <c r="H124" s="2" t="str">
        <f>_xlfn.XLOOKUP(Orders[[#This Row],[Customer ID]],customers!$A$1:$A$1001,customers!$G$1:$G$1001,,0)</f>
        <v>United States</v>
      </c>
      <c r="I124" s="2" t="str">
        <f>_xlfn.XLOOKUP(Orders[[#This Row],[Customer ID]],customers!$A$1:$A$1001,customers!$F$1:$F$1001,,0)</f>
        <v>Denver</v>
      </c>
      <c r="J124" t="str">
        <f>INDEX(products!$A$1:$G$49,MATCH(orders!$D124,products!$A$1:$A$49,0),MATCH(orders!J$1,products!$A$1:$G$1,0))</f>
        <v>Ara</v>
      </c>
      <c r="K124" t="str">
        <f>INDEX(products!$A$1:$G$49,MATCH(orders!$D124,products!$A$1:$A$49,0),MATCH(orders!K$1,products!$A$1:$G$1,0))</f>
        <v>D</v>
      </c>
      <c r="L124" s="4">
        <f>INDEX(products!$A$1:$G$49,MATCH(orders!$D124,products!$A$1:$A$49,0),MATCH(orders!L$1,products!$A$1:$G$1,0))</f>
        <v>0.5</v>
      </c>
      <c r="M124" s="5">
        <f>INDEX(products!$A$1:$G$49,MATCH(orders!$D124,products!$A$1:$A$49,0),MATCH(orders!M$1,products!$A$1:$G$1,0))</f>
        <v>5.97</v>
      </c>
      <c r="N124" s="5">
        <f>Orders[[#This Row],[Quantity]]*(INDEX(products!$A$1:$G$49,MATCH(orders!$D124,products!$A$1:$A$49,0),MATCH(orders!N$1,products!$A$1:$G$1,0)))</f>
        <v>2.1492</v>
      </c>
      <c r="O124" s="5">
        <f>M124*E124</f>
        <v>23.88</v>
      </c>
      <c r="P124" t="str">
        <f t="shared" si="2"/>
        <v>Arabica</v>
      </c>
      <c r="Q124" t="str">
        <f t="shared" si="3"/>
        <v>Dark</v>
      </c>
      <c r="R124" t="str">
        <f>_xlfn.XLOOKUP(Orders[[#This Row],[Customer ID]],customers!$A$1:$A$1001,customers!$I$1:$I$1001,,0)</f>
        <v>Yes</v>
      </c>
    </row>
    <row r="125" spans="1:18" x14ac:dyDescent="0.35">
      <c r="A125" s="2" t="s">
        <v>1180</v>
      </c>
      <c r="B125" s="3">
        <v>44724</v>
      </c>
      <c r="C125" s="2" t="s">
        <v>1181</v>
      </c>
      <c r="D125" t="s">
        <v>6164</v>
      </c>
      <c r="E125" s="2">
        <v>4</v>
      </c>
      <c r="F125" s="2" t="str">
        <f>_xlfn.XLOOKUP(Orders[[#This Row],[Customer ID]],customers!$A$1:$A$1001,customers!$B$1:$B$1001,,0)</f>
        <v>Doll Beauchamp</v>
      </c>
      <c r="G125" s="2" t="str">
        <f>IF(_xlfn.XLOOKUP(C125,customers!$A$1:$A$1001,customers!C124:C1124,,0)=0,"",_xlfn.XLOOKUP(C125,customers!$A$1:$A$1001,customers!C124:C1124,,0))</f>
        <v>gbentjens6u@netlog.com</v>
      </c>
      <c r="H125" s="2" t="str">
        <f>_xlfn.XLOOKUP(Orders[[#This Row],[Customer ID]],customers!$A$1:$A$1001,customers!$G$1:$G$1001,,0)</f>
        <v>United States</v>
      </c>
      <c r="I125" s="2" t="str">
        <f>_xlfn.XLOOKUP(Orders[[#This Row],[Customer ID]],customers!$A$1:$A$1001,customers!$F$1:$F$1001,,0)</f>
        <v>Stamford</v>
      </c>
      <c r="J125" t="str">
        <f>INDEX(products!$A$1:$G$49,MATCH(orders!$D125,products!$A$1:$A$49,0),MATCH(orders!J$1,products!$A$1:$G$1,0))</f>
        <v>Lib</v>
      </c>
      <c r="K125" t="str">
        <f>INDEX(products!$A$1:$G$49,MATCH(orders!$D125,products!$A$1:$A$49,0),MATCH(orders!K$1,products!$A$1:$G$1,0))</f>
        <v>L</v>
      </c>
      <c r="L125" s="4">
        <f>INDEX(products!$A$1:$G$49,MATCH(orders!$D125,products!$A$1:$A$49,0),MATCH(orders!L$1,products!$A$1:$G$1,0))</f>
        <v>2.5</v>
      </c>
      <c r="M125" s="5">
        <f>INDEX(products!$A$1:$G$49,MATCH(orders!$D125,products!$A$1:$A$49,0),MATCH(orders!M$1,products!$A$1:$G$1,0))</f>
        <v>36.454999999999998</v>
      </c>
      <c r="N125" s="5">
        <f>Orders[[#This Row],[Quantity]]*(INDEX(products!$A$1:$G$49,MATCH(orders!$D125,products!$A$1:$A$49,0),MATCH(orders!N$1,products!$A$1:$G$1,0)))</f>
        <v>18.956599999999998</v>
      </c>
      <c r="O125" s="5">
        <f>M125*E125</f>
        <v>145.82</v>
      </c>
      <c r="P125" t="str">
        <f t="shared" si="2"/>
        <v>Liberica</v>
      </c>
      <c r="Q125" t="str">
        <f t="shared" si="3"/>
        <v>Light</v>
      </c>
      <c r="R125" t="str">
        <f>_xlfn.XLOOKUP(Orders[[#This Row],[Customer ID]],customers!$A$1:$A$1001,customers!$I$1:$I$1001,,0)</f>
        <v>No</v>
      </c>
    </row>
    <row r="126" spans="1:18" x14ac:dyDescent="0.35">
      <c r="A126" s="2" t="s">
        <v>1186</v>
      </c>
      <c r="B126" s="3">
        <v>43582</v>
      </c>
      <c r="C126" s="2" t="s">
        <v>1187</v>
      </c>
      <c r="D126" t="s">
        <v>6159</v>
      </c>
      <c r="E126" s="2">
        <v>5</v>
      </c>
      <c r="F126" s="2" t="str">
        <f>_xlfn.XLOOKUP(Orders[[#This Row],[Customer ID]],customers!$A$1:$A$1001,customers!$B$1:$B$1001,,0)</f>
        <v>Stanford Rodliff</v>
      </c>
      <c r="G126" s="2" t="str">
        <f>IF(_xlfn.XLOOKUP(C126,customers!$A$1:$A$1001,customers!C125:C1125,,0)=0,"",_xlfn.XLOOKUP(C126,customers!$A$1:$A$1001,customers!C125:C1125,,0))</f>
        <v>lentwistle6w@omniture.com</v>
      </c>
      <c r="H126" s="2" t="str">
        <f>_xlfn.XLOOKUP(Orders[[#This Row],[Customer ID]],customers!$A$1:$A$1001,customers!$G$1:$G$1001,,0)</f>
        <v>United States</v>
      </c>
      <c r="I126" s="2" t="str">
        <f>_xlfn.XLOOKUP(Orders[[#This Row],[Customer ID]],customers!$A$1:$A$1001,customers!$F$1:$F$1001,,0)</f>
        <v>Newport News</v>
      </c>
      <c r="J126" t="str">
        <f>INDEX(products!$A$1:$G$49,MATCH(orders!$D126,products!$A$1:$A$49,0),MATCH(orders!J$1,products!$A$1:$G$1,0))</f>
        <v>Lib</v>
      </c>
      <c r="K126" t="str">
        <f>INDEX(products!$A$1:$G$49,MATCH(orders!$D126,products!$A$1:$A$49,0),MATCH(orders!K$1,products!$A$1:$G$1,0))</f>
        <v>M</v>
      </c>
      <c r="L126" s="4">
        <f>INDEX(products!$A$1:$G$49,MATCH(orders!$D126,products!$A$1:$A$49,0),MATCH(orders!L$1,products!$A$1:$G$1,0))</f>
        <v>0.2</v>
      </c>
      <c r="M126" s="5">
        <f>INDEX(products!$A$1:$G$49,MATCH(orders!$D126,products!$A$1:$A$49,0),MATCH(orders!M$1,products!$A$1:$G$1,0))</f>
        <v>4.3650000000000002</v>
      </c>
      <c r="N126" s="5">
        <f>Orders[[#This Row],[Quantity]]*(INDEX(products!$A$1:$G$49,MATCH(orders!$D126,products!$A$1:$A$49,0),MATCH(orders!N$1,products!$A$1:$G$1,0)))</f>
        <v>2.83725</v>
      </c>
      <c r="O126" s="5">
        <f>M126*E126</f>
        <v>21.825000000000003</v>
      </c>
      <c r="P126" t="str">
        <f t="shared" si="2"/>
        <v>Liberica</v>
      </c>
      <c r="Q126" t="str">
        <f t="shared" si="3"/>
        <v>Medium</v>
      </c>
      <c r="R126" t="str">
        <f>_xlfn.XLOOKUP(Orders[[#This Row],[Customer ID]],customers!$A$1:$A$1001,customers!$I$1:$I$1001,,0)</f>
        <v>Yes</v>
      </c>
    </row>
    <row r="127" spans="1:18" x14ac:dyDescent="0.35">
      <c r="A127" s="2" t="s">
        <v>1192</v>
      </c>
      <c r="B127" s="3">
        <v>43608</v>
      </c>
      <c r="C127" s="2" t="s">
        <v>1193</v>
      </c>
      <c r="D127" t="s">
        <v>6160</v>
      </c>
      <c r="E127" s="2">
        <v>3</v>
      </c>
      <c r="F127" s="2" t="str">
        <f>_xlfn.XLOOKUP(Orders[[#This Row],[Customer ID]],customers!$A$1:$A$1001,customers!$B$1:$B$1001,,0)</f>
        <v>Stevana Woodham</v>
      </c>
      <c r="G127" s="2" t="str">
        <f>IF(_xlfn.XLOOKUP(C127,customers!$A$1:$A$1001,customers!C126:C1126,,0)=0,"",_xlfn.XLOOKUP(C127,customers!$A$1:$A$1001,customers!C126:C1126,,0))</f>
        <v>macott6y@pagesperso-orange.fr</v>
      </c>
      <c r="H127" s="2" t="str">
        <f>_xlfn.XLOOKUP(Orders[[#This Row],[Customer ID]],customers!$A$1:$A$1001,customers!$G$1:$G$1001,,0)</f>
        <v>Ireland</v>
      </c>
      <c r="I127" s="2" t="str">
        <f>_xlfn.XLOOKUP(Orders[[#This Row],[Customer ID]],customers!$A$1:$A$1001,customers!$F$1:$F$1001,,0)</f>
        <v>Drumcondra</v>
      </c>
      <c r="J127" t="str">
        <f>INDEX(products!$A$1:$G$49,MATCH(orders!$D127,products!$A$1:$A$49,0),MATCH(orders!J$1,products!$A$1:$G$1,0))</f>
        <v>Lib</v>
      </c>
      <c r="K127" t="str">
        <f>INDEX(products!$A$1:$G$49,MATCH(orders!$D127,products!$A$1:$A$49,0),MATCH(orders!K$1,products!$A$1:$G$1,0))</f>
        <v>M</v>
      </c>
      <c r="L127" s="4">
        <f>INDEX(products!$A$1:$G$49,MATCH(orders!$D127,products!$A$1:$A$49,0),MATCH(orders!L$1,products!$A$1:$G$1,0))</f>
        <v>0.5</v>
      </c>
      <c r="M127" s="5">
        <f>INDEX(products!$A$1:$G$49,MATCH(orders!$D127,products!$A$1:$A$49,0),MATCH(orders!M$1,products!$A$1:$G$1,0))</f>
        <v>8.73</v>
      </c>
      <c r="N127" s="5">
        <f>Orders[[#This Row],[Quantity]]*(INDEX(products!$A$1:$G$49,MATCH(orders!$D127,products!$A$1:$A$49,0),MATCH(orders!N$1,products!$A$1:$G$1,0)))</f>
        <v>3.4047000000000001</v>
      </c>
      <c r="O127" s="5">
        <f>M127*E127</f>
        <v>26.19</v>
      </c>
      <c r="P127" t="str">
        <f t="shared" si="2"/>
        <v>Liberica</v>
      </c>
      <c r="Q127" t="str">
        <f t="shared" si="3"/>
        <v>Medium</v>
      </c>
      <c r="R127" t="str">
        <f>_xlfn.XLOOKUP(Orders[[#This Row],[Customer ID]],customers!$A$1:$A$1001,customers!$I$1:$I$1001,,0)</f>
        <v>Yes</v>
      </c>
    </row>
    <row r="128" spans="1:18" x14ac:dyDescent="0.35">
      <c r="A128" s="2" t="s">
        <v>1198</v>
      </c>
      <c r="B128" s="3">
        <v>44026</v>
      </c>
      <c r="C128" s="2" t="s">
        <v>1199</v>
      </c>
      <c r="D128" t="s">
        <v>6155</v>
      </c>
      <c r="E128" s="2">
        <v>1</v>
      </c>
      <c r="F128" s="2" t="str">
        <f>_xlfn.XLOOKUP(Orders[[#This Row],[Customer ID]],customers!$A$1:$A$1001,customers!$B$1:$B$1001,,0)</f>
        <v>Hewet Synnot</v>
      </c>
      <c r="G128" s="2" t="str">
        <f>IF(_xlfn.XLOOKUP(C128,customers!$A$1:$A$1001,customers!C127:C1127,,0)=0,"",_xlfn.XLOOKUP(C128,customers!$A$1:$A$1001,customers!C127:C1127,,0))</f>
        <v/>
      </c>
      <c r="H128" s="2" t="str">
        <f>_xlfn.XLOOKUP(Orders[[#This Row],[Customer ID]],customers!$A$1:$A$1001,customers!$G$1:$G$1001,,0)</f>
        <v>United States</v>
      </c>
      <c r="I128" s="2" t="str">
        <f>_xlfn.XLOOKUP(Orders[[#This Row],[Customer ID]],customers!$A$1:$A$1001,customers!$F$1:$F$1001,,0)</f>
        <v>Anchorage</v>
      </c>
      <c r="J128" t="str">
        <f>INDEX(products!$A$1:$G$49,MATCH(orders!$D128,products!$A$1:$A$49,0),MATCH(orders!J$1,products!$A$1:$G$1,0))</f>
        <v>Ara</v>
      </c>
      <c r="K128" t="str">
        <f>INDEX(products!$A$1:$G$49,MATCH(orders!$D128,products!$A$1:$A$49,0),MATCH(orders!K$1,products!$A$1:$G$1,0))</f>
        <v>M</v>
      </c>
      <c r="L128" s="4">
        <f>INDEX(products!$A$1:$G$49,MATCH(orders!$D128,products!$A$1:$A$49,0),MATCH(orders!L$1,products!$A$1:$G$1,0))</f>
        <v>1</v>
      </c>
      <c r="M128" s="5">
        <f>INDEX(products!$A$1:$G$49,MATCH(orders!$D128,products!$A$1:$A$49,0),MATCH(orders!M$1,products!$A$1:$G$1,0))</f>
        <v>11.25</v>
      </c>
      <c r="N128" s="5">
        <f>Orders[[#This Row],[Quantity]]*(INDEX(products!$A$1:$G$49,MATCH(orders!$D128,products!$A$1:$A$49,0),MATCH(orders!N$1,products!$A$1:$G$1,0)))</f>
        <v>1.0125</v>
      </c>
      <c r="O128" s="5">
        <f>M128*E128</f>
        <v>11.25</v>
      </c>
      <c r="P128" t="str">
        <f t="shared" si="2"/>
        <v>Arabica</v>
      </c>
      <c r="Q128" t="str">
        <f t="shared" si="3"/>
        <v>Medium</v>
      </c>
      <c r="R128" t="str">
        <f>_xlfn.XLOOKUP(Orders[[#This Row],[Customer ID]],customers!$A$1:$A$1001,customers!$I$1:$I$1001,,0)</f>
        <v>No</v>
      </c>
    </row>
    <row r="129" spans="1:18" x14ac:dyDescent="0.35">
      <c r="A129" s="2" t="s">
        <v>1204</v>
      </c>
      <c r="B129" s="3">
        <v>44510</v>
      </c>
      <c r="C129" s="2" t="s">
        <v>1205</v>
      </c>
      <c r="D129" t="s">
        <v>6143</v>
      </c>
      <c r="E129" s="2">
        <v>6</v>
      </c>
      <c r="F129" s="2" t="str">
        <f>_xlfn.XLOOKUP(Orders[[#This Row],[Customer ID]],customers!$A$1:$A$1001,customers!$B$1:$B$1001,,0)</f>
        <v>Raleigh Lepere</v>
      </c>
      <c r="G129" s="2" t="str">
        <f>IF(_xlfn.XLOOKUP(C129,customers!$A$1:$A$1001,customers!C128:C1128,,0)=0,"",_xlfn.XLOOKUP(C129,customers!$A$1:$A$1001,customers!C128:C1128,,0))</f>
        <v>rmclae72@dailymotion.com</v>
      </c>
      <c r="H129" s="2" t="str">
        <f>_xlfn.XLOOKUP(Orders[[#This Row],[Customer ID]],customers!$A$1:$A$1001,customers!$G$1:$G$1001,,0)</f>
        <v>Ireland</v>
      </c>
      <c r="I129" s="2" t="str">
        <f>_xlfn.XLOOKUP(Orders[[#This Row],[Customer ID]],customers!$A$1:$A$1001,customers!$F$1:$F$1001,,0)</f>
        <v>Beaumont</v>
      </c>
      <c r="J129" t="str">
        <f>INDEX(products!$A$1:$G$49,MATCH(orders!$D129,products!$A$1:$A$49,0),MATCH(orders!J$1,products!$A$1:$G$1,0))</f>
        <v>Lib</v>
      </c>
      <c r="K129" t="str">
        <f>INDEX(products!$A$1:$G$49,MATCH(orders!$D129,products!$A$1:$A$49,0),MATCH(orders!K$1,products!$A$1:$G$1,0))</f>
        <v>D</v>
      </c>
      <c r="L129" s="4">
        <f>INDEX(products!$A$1:$G$49,MATCH(orders!$D129,products!$A$1:$A$49,0),MATCH(orders!L$1,products!$A$1:$G$1,0))</f>
        <v>1</v>
      </c>
      <c r="M129" s="5">
        <f>INDEX(products!$A$1:$G$49,MATCH(orders!$D129,products!$A$1:$A$49,0),MATCH(orders!M$1,products!$A$1:$G$1,0))</f>
        <v>12.95</v>
      </c>
      <c r="N129" s="5">
        <f>Orders[[#This Row],[Quantity]]*(INDEX(products!$A$1:$G$49,MATCH(orders!$D129,products!$A$1:$A$49,0),MATCH(orders!N$1,products!$A$1:$G$1,0)))</f>
        <v>10.100999999999999</v>
      </c>
      <c r="O129" s="5">
        <f>M129*E129</f>
        <v>77.699999999999989</v>
      </c>
      <c r="P129" t="str">
        <f t="shared" si="2"/>
        <v>Liberica</v>
      </c>
      <c r="Q129" t="str">
        <f t="shared" si="3"/>
        <v>Dark</v>
      </c>
      <c r="R129" t="str">
        <f>_xlfn.XLOOKUP(Orders[[#This Row],[Customer ID]],customers!$A$1:$A$1001,customers!$I$1:$I$1001,,0)</f>
        <v>No</v>
      </c>
    </row>
    <row r="130" spans="1:18" x14ac:dyDescent="0.35">
      <c r="A130" s="2" t="s">
        <v>1210</v>
      </c>
      <c r="B130" s="3">
        <v>44439</v>
      </c>
      <c r="C130" s="2" t="s">
        <v>1211</v>
      </c>
      <c r="D130" t="s">
        <v>6157</v>
      </c>
      <c r="E130" s="2">
        <v>1</v>
      </c>
      <c r="F130" s="2" t="str">
        <f>_xlfn.XLOOKUP(Orders[[#This Row],[Customer ID]],customers!$A$1:$A$1001,customers!$B$1:$B$1001,,0)</f>
        <v>Timofei Woofinden</v>
      </c>
      <c r="G130" s="2" t="str">
        <f>IF(_xlfn.XLOOKUP(C130,customers!$A$1:$A$1001,customers!C129:C1129,,0)=0,"",_xlfn.XLOOKUP(C130,customers!$A$1:$A$1001,customers!C129:C1129,,0))</f>
        <v>zkiffe74@cyberchimps.com</v>
      </c>
      <c r="H130" s="2" t="str">
        <f>_xlfn.XLOOKUP(Orders[[#This Row],[Customer ID]],customers!$A$1:$A$1001,customers!$G$1:$G$1001,,0)</f>
        <v>United States</v>
      </c>
      <c r="I130" s="2" t="str">
        <f>_xlfn.XLOOKUP(Orders[[#This Row],[Customer ID]],customers!$A$1:$A$1001,customers!$F$1:$F$1001,,0)</f>
        <v>Fargo</v>
      </c>
      <c r="J130" t="str">
        <f>INDEX(products!$A$1:$G$49,MATCH(orders!$D130,products!$A$1:$A$49,0),MATCH(orders!J$1,products!$A$1:$G$1,0))</f>
        <v>Ara</v>
      </c>
      <c r="K130" t="str">
        <f>INDEX(products!$A$1:$G$49,MATCH(orders!$D130,products!$A$1:$A$49,0),MATCH(orders!K$1,products!$A$1:$G$1,0))</f>
        <v>M</v>
      </c>
      <c r="L130" s="4">
        <f>INDEX(products!$A$1:$G$49,MATCH(orders!$D130,products!$A$1:$A$49,0),MATCH(orders!L$1,products!$A$1:$G$1,0))</f>
        <v>0.5</v>
      </c>
      <c r="M130" s="5">
        <f>INDEX(products!$A$1:$G$49,MATCH(orders!$D130,products!$A$1:$A$49,0),MATCH(orders!M$1,products!$A$1:$G$1,0))</f>
        <v>6.75</v>
      </c>
      <c r="N130" s="5">
        <f>Orders[[#This Row],[Quantity]]*(INDEX(products!$A$1:$G$49,MATCH(orders!$D130,products!$A$1:$A$49,0),MATCH(orders!N$1,products!$A$1:$G$1,0)))</f>
        <v>0.60749999999999993</v>
      </c>
      <c r="O130" s="5">
        <f>M130*E130</f>
        <v>6.75</v>
      </c>
      <c r="P130" t="str">
        <f t="shared" si="2"/>
        <v>Arabica</v>
      </c>
      <c r="Q130" t="str">
        <f t="shared" si="3"/>
        <v>Medium</v>
      </c>
      <c r="R130" t="str">
        <f>_xlfn.XLOOKUP(Orders[[#This Row],[Customer ID]],customers!$A$1:$A$1001,customers!$I$1:$I$1001,,0)</f>
        <v>No</v>
      </c>
    </row>
    <row r="131" spans="1:18" x14ac:dyDescent="0.35">
      <c r="A131" s="2" t="s">
        <v>1216</v>
      </c>
      <c r="B131" s="3">
        <v>43652</v>
      </c>
      <c r="C131" s="2" t="s">
        <v>1217</v>
      </c>
      <c r="D131" t="s">
        <v>6183</v>
      </c>
      <c r="E131" s="2">
        <v>1</v>
      </c>
      <c r="F131" s="2" t="str">
        <f>_xlfn.XLOOKUP(Orders[[#This Row],[Customer ID]],customers!$A$1:$A$1001,customers!$B$1:$B$1001,,0)</f>
        <v>Evelina Dacca</v>
      </c>
      <c r="G131" s="2" t="str">
        <f>IF(_xlfn.XLOOKUP(C131,customers!$A$1:$A$1001,customers!C130:C1130,,0)=0,"",_xlfn.XLOOKUP(C131,customers!$A$1:$A$1001,customers!C130:C1130,,0))</f>
        <v>ccromwell76@desdev.cn</v>
      </c>
      <c r="H131" s="2" t="str">
        <f>_xlfn.XLOOKUP(Orders[[#This Row],[Customer ID]],customers!$A$1:$A$1001,customers!$G$1:$G$1001,,0)</f>
        <v>United States</v>
      </c>
      <c r="I131" s="2" t="str">
        <f>_xlfn.XLOOKUP(Orders[[#This Row],[Customer ID]],customers!$A$1:$A$1001,customers!$F$1:$F$1001,,0)</f>
        <v>Evansville</v>
      </c>
      <c r="J131" t="str">
        <f>INDEX(products!$A$1:$G$49,MATCH(orders!$D131,products!$A$1:$A$49,0),MATCH(orders!J$1,products!$A$1:$G$1,0))</f>
        <v>Exc</v>
      </c>
      <c r="K131" t="str">
        <f>INDEX(products!$A$1:$G$49,MATCH(orders!$D131,products!$A$1:$A$49,0),MATCH(orders!K$1,products!$A$1:$G$1,0))</f>
        <v>D</v>
      </c>
      <c r="L131" s="4">
        <f>INDEX(products!$A$1:$G$49,MATCH(orders!$D131,products!$A$1:$A$49,0),MATCH(orders!L$1,products!$A$1:$G$1,0))</f>
        <v>1</v>
      </c>
      <c r="M131" s="5">
        <f>INDEX(products!$A$1:$G$49,MATCH(orders!$D131,products!$A$1:$A$49,0),MATCH(orders!M$1,products!$A$1:$G$1,0))</f>
        <v>12.15</v>
      </c>
      <c r="N131" s="5">
        <f>Orders[[#This Row],[Quantity]]*(INDEX(products!$A$1:$G$49,MATCH(orders!$D131,products!$A$1:$A$49,0),MATCH(orders!N$1,products!$A$1:$G$1,0)))</f>
        <v>1.3365</v>
      </c>
      <c r="O131" s="5">
        <f>M131*E131</f>
        <v>12.15</v>
      </c>
      <c r="P131" t="str">
        <f t="shared" ref="P131:P194" si="4">IF(J131="Rob","Robusta",IF(J131="Exc","Excelsa",IF(J131="Ara","Arabica",IF(J131="Lib","Liberica",""))))</f>
        <v>Excelsa</v>
      </c>
      <c r="Q131" t="str">
        <f t="shared" ref="Q131:Q194" si="5">IF(K131="M", "Medium", IF(K131="L", "Light", IF(K131="D", "Dark", "")))</f>
        <v>Dark</v>
      </c>
      <c r="R131" t="str">
        <f>_xlfn.XLOOKUP(Orders[[#This Row],[Customer ID]],customers!$A$1:$A$1001,customers!$I$1:$I$1001,,0)</f>
        <v>Yes</v>
      </c>
    </row>
    <row r="132" spans="1:18" x14ac:dyDescent="0.35">
      <c r="A132" s="2" t="s">
        <v>1222</v>
      </c>
      <c r="B132" s="3">
        <v>44624</v>
      </c>
      <c r="C132" s="2" t="s">
        <v>1223</v>
      </c>
      <c r="D132" t="s">
        <v>6182</v>
      </c>
      <c r="E132" s="2">
        <v>5</v>
      </c>
      <c r="F132" s="2" t="str">
        <f>_xlfn.XLOOKUP(Orders[[#This Row],[Customer ID]],customers!$A$1:$A$1001,customers!$B$1:$B$1001,,0)</f>
        <v>Bidget Tremellier</v>
      </c>
      <c r="G132" s="2" t="str">
        <f>IF(_xlfn.XLOOKUP(C132,customers!$A$1:$A$1001,customers!C131:C1131,,0)=0,"",_xlfn.XLOOKUP(C132,customers!$A$1:$A$1001,customers!C131:C1131,,0))</f>
        <v>ttaffarello78@sciencedaily.com</v>
      </c>
      <c r="H132" s="2" t="str">
        <f>_xlfn.XLOOKUP(Orders[[#This Row],[Customer ID]],customers!$A$1:$A$1001,customers!$G$1:$G$1001,,0)</f>
        <v>Ireland</v>
      </c>
      <c r="I132" s="2" t="str">
        <f>_xlfn.XLOOKUP(Orders[[#This Row],[Customer ID]],customers!$A$1:$A$1001,customers!$F$1:$F$1001,,0)</f>
        <v>Cherryville</v>
      </c>
      <c r="J132" t="str">
        <f>INDEX(products!$A$1:$G$49,MATCH(orders!$D132,products!$A$1:$A$49,0),MATCH(orders!J$1,products!$A$1:$G$1,0))</f>
        <v>Ara</v>
      </c>
      <c r="K132" t="str">
        <f>INDEX(products!$A$1:$G$49,MATCH(orders!$D132,products!$A$1:$A$49,0),MATCH(orders!K$1,products!$A$1:$G$1,0))</f>
        <v>L</v>
      </c>
      <c r="L132" s="4">
        <f>INDEX(products!$A$1:$G$49,MATCH(orders!$D132,products!$A$1:$A$49,0),MATCH(orders!L$1,products!$A$1:$G$1,0))</f>
        <v>2.5</v>
      </c>
      <c r="M132" s="5">
        <f>INDEX(products!$A$1:$G$49,MATCH(orders!$D132,products!$A$1:$A$49,0),MATCH(orders!M$1,products!$A$1:$G$1,0))</f>
        <v>29.784999999999997</v>
      </c>
      <c r="N132" s="5">
        <f>Orders[[#This Row],[Quantity]]*(INDEX(products!$A$1:$G$49,MATCH(orders!$D132,products!$A$1:$A$49,0),MATCH(orders!N$1,products!$A$1:$G$1,0)))</f>
        <v>13.403249999999998</v>
      </c>
      <c r="O132" s="5">
        <f>M132*E132</f>
        <v>148.92499999999998</v>
      </c>
      <c r="P132" t="str">
        <f t="shared" si="4"/>
        <v>Arabica</v>
      </c>
      <c r="Q132" t="str">
        <f t="shared" si="5"/>
        <v>Light</v>
      </c>
      <c r="R132" t="str">
        <f>_xlfn.XLOOKUP(Orders[[#This Row],[Customer ID]],customers!$A$1:$A$1001,customers!$I$1:$I$1001,,0)</f>
        <v>Yes</v>
      </c>
    </row>
    <row r="133" spans="1:18" x14ac:dyDescent="0.35">
      <c r="A133" s="2" t="s">
        <v>1227</v>
      </c>
      <c r="B133" s="3">
        <v>44196</v>
      </c>
      <c r="C133" s="2" t="s">
        <v>1228</v>
      </c>
      <c r="D133" t="s">
        <v>6144</v>
      </c>
      <c r="E133" s="2">
        <v>2</v>
      </c>
      <c r="F133" s="2" t="str">
        <f>_xlfn.XLOOKUP(Orders[[#This Row],[Customer ID]],customers!$A$1:$A$1001,customers!$B$1:$B$1001,,0)</f>
        <v>Bobinette Hindsberg</v>
      </c>
      <c r="G133" s="2" t="str">
        <f>IF(_xlfn.XLOOKUP(C133,customers!$A$1:$A$1001,customers!C132:C1132,,0)=0,"",_xlfn.XLOOKUP(C133,customers!$A$1:$A$1001,customers!C132:C1132,,0))</f>
        <v>jkopke7a@auda.org.au</v>
      </c>
      <c r="H133" s="2" t="str">
        <f>_xlfn.XLOOKUP(Orders[[#This Row],[Customer ID]],customers!$A$1:$A$1001,customers!$G$1:$G$1001,,0)</f>
        <v>United States</v>
      </c>
      <c r="I133" s="2" t="str">
        <f>_xlfn.XLOOKUP(Orders[[#This Row],[Customer ID]],customers!$A$1:$A$1001,customers!$F$1:$F$1001,,0)</f>
        <v>Charlotte</v>
      </c>
      <c r="J133" t="str">
        <f>INDEX(products!$A$1:$G$49,MATCH(orders!$D133,products!$A$1:$A$49,0),MATCH(orders!J$1,products!$A$1:$G$1,0))</f>
        <v>Exc</v>
      </c>
      <c r="K133" t="str">
        <f>INDEX(products!$A$1:$G$49,MATCH(orders!$D133,products!$A$1:$A$49,0),MATCH(orders!K$1,products!$A$1:$G$1,0))</f>
        <v>D</v>
      </c>
      <c r="L133" s="4">
        <f>INDEX(products!$A$1:$G$49,MATCH(orders!$D133,products!$A$1:$A$49,0),MATCH(orders!L$1,products!$A$1:$G$1,0))</f>
        <v>0.5</v>
      </c>
      <c r="M133" s="5">
        <f>INDEX(products!$A$1:$G$49,MATCH(orders!$D133,products!$A$1:$A$49,0),MATCH(orders!M$1,products!$A$1:$G$1,0))</f>
        <v>7.29</v>
      </c>
      <c r="N133" s="5">
        <f>Orders[[#This Row],[Quantity]]*(INDEX(products!$A$1:$G$49,MATCH(orders!$D133,products!$A$1:$A$49,0),MATCH(orders!N$1,products!$A$1:$G$1,0)))</f>
        <v>1.6038000000000001</v>
      </c>
      <c r="O133" s="5">
        <f>M133*E133</f>
        <v>14.58</v>
      </c>
      <c r="P133" t="str">
        <f t="shared" si="4"/>
        <v>Excelsa</v>
      </c>
      <c r="Q133" t="str">
        <f t="shared" si="5"/>
        <v>Dark</v>
      </c>
      <c r="R133" t="str">
        <f>_xlfn.XLOOKUP(Orders[[#This Row],[Customer ID]],customers!$A$1:$A$1001,customers!$I$1:$I$1001,,0)</f>
        <v>Yes</v>
      </c>
    </row>
    <row r="134" spans="1:18" x14ac:dyDescent="0.35">
      <c r="A134" s="2" t="s">
        <v>1233</v>
      </c>
      <c r="B134" s="3">
        <v>44043</v>
      </c>
      <c r="C134" s="2" t="s">
        <v>1234</v>
      </c>
      <c r="D134" t="s">
        <v>6182</v>
      </c>
      <c r="E134" s="2">
        <v>5</v>
      </c>
      <c r="F134" s="2" t="str">
        <f>_xlfn.XLOOKUP(Orders[[#This Row],[Customer ID]],customers!$A$1:$A$1001,customers!$B$1:$B$1001,,0)</f>
        <v>Osbert Robins</v>
      </c>
      <c r="G134" s="2" t="str">
        <f>IF(_xlfn.XLOOKUP(C134,customers!$A$1:$A$1001,customers!C133:C1133,,0)=0,"",_xlfn.XLOOKUP(C134,customers!$A$1:$A$1001,customers!C133:C1133,,0))</f>
        <v/>
      </c>
      <c r="H134" s="2" t="str">
        <f>_xlfn.XLOOKUP(Orders[[#This Row],[Customer ID]],customers!$A$1:$A$1001,customers!$G$1:$G$1001,,0)</f>
        <v>United States</v>
      </c>
      <c r="I134" s="2" t="str">
        <f>_xlfn.XLOOKUP(Orders[[#This Row],[Customer ID]],customers!$A$1:$A$1001,customers!$F$1:$F$1001,,0)</f>
        <v>Huntsville</v>
      </c>
      <c r="J134" t="str">
        <f>INDEX(products!$A$1:$G$49,MATCH(orders!$D134,products!$A$1:$A$49,0),MATCH(orders!J$1,products!$A$1:$G$1,0))</f>
        <v>Ara</v>
      </c>
      <c r="K134" t="str">
        <f>INDEX(products!$A$1:$G$49,MATCH(orders!$D134,products!$A$1:$A$49,0),MATCH(orders!K$1,products!$A$1:$G$1,0))</f>
        <v>L</v>
      </c>
      <c r="L134" s="4">
        <f>INDEX(products!$A$1:$G$49,MATCH(orders!$D134,products!$A$1:$A$49,0),MATCH(orders!L$1,products!$A$1:$G$1,0))</f>
        <v>2.5</v>
      </c>
      <c r="M134" s="5">
        <f>INDEX(products!$A$1:$G$49,MATCH(orders!$D134,products!$A$1:$A$49,0),MATCH(orders!M$1,products!$A$1:$G$1,0))</f>
        <v>29.784999999999997</v>
      </c>
      <c r="N134" s="5">
        <f>Orders[[#This Row],[Quantity]]*(INDEX(products!$A$1:$G$49,MATCH(orders!$D134,products!$A$1:$A$49,0),MATCH(orders!N$1,products!$A$1:$G$1,0)))</f>
        <v>13.403249999999998</v>
      </c>
      <c r="O134" s="5">
        <f>M134*E134</f>
        <v>148.92499999999998</v>
      </c>
      <c r="P134" t="str">
        <f t="shared" si="4"/>
        <v>Arabica</v>
      </c>
      <c r="Q134" t="str">
        <f t="shared" si="5"/>
        <v>Light</v>
      </c>
      <c r="R134" t="str">
        <f>_xlfn.XLOOKUP(Orders[[#This Row],[Customer ID]],customers!$A$1:$A$1001,customers!$I$1:$I$1001,,0)</f>
        <v>Yes</v>
      </c>
    </row>
    <row r="135" spans="1:18" x14ac:dyDescent="0.35">
      <c r="A135" s="2" t="s">
        <v>1239</v>
      </c>
      <c r="B135" s="3">
        <v>44340</v>
      </c>
      <c r="C135" s="2" t="s">
        <v>1240</v>
      </c>
      <c r="D135" t="s">
        <v>6143</v>
      </c>
      <c r="E135" s="2">
        <v>1</v>
      </c>
      <c r="F135" s="2" t="str">
        <f>_xlfn.XLOOKUP(Orders[[#This Row],[Customer ID]],customers!$A$1:$A$1001,customers!$B$1:$B$1001,,0)</f>
        <v>Othello Syseland</v>
      </c>
      <c r="G135" s="2" t="str">
        <f>IF(_xlfn.XLOOKUP(C135,customers!$A$1:$A$1001,customers!C134:C1134,,0)=0,"",_xlfn.XLOOKUP(C135,customers!$A$1:$A$1001,customers!C134:C1134,,0))</f>
        <v>mseawright7e@nbcnews.com</v>
      </c>
      <c r="H135" s="2" t="str">
        <f>_xlfn.XLOOKUP(Orders[[#This Row],[Customer ID]],customers!$A$1:$A$1001,customers!$G$1:$G$1001,,0)</f>
        <v>United States</v>
      </c>
      <c r="I135" s="2" t="str">
        <f>_xlfn.XLOOKUP(Orders[[#This Row],[Customer ID]],customers!$A$1:$A$1001,customers!$F$1:$F$1001,,0)</f>
        <v>Santa Ana</v>
      </c>
      <c r="J135" t="str">
        <f>INDEX(products!$A$1:$G$49,MATCH(orders!$D135,products!$A$1:$A$49,0),MATCH(orders!J$1,products!$A$1:$G$1,0))</f>
        <v>Lib</v>
      </c>
      <c r="K135" t="str">
        <f>INDEX(products!$A$1:$G$49,MATCH(orders!$D135,products!$A$1:$A$49,0),MATCH(orders!K$1,products!$A$1:$G$1,0))</f>
        <v>D</v>
      </c>
      <c r="L135" s="4">
        <f>INDEX(products!$A$1:$G$49,MATCH(orders!$D135,products!$A$1:$A$49,0),MATCH(orders!L$1,products!$A$1:$G$1,0))</f>
        <v>1</v>
      </c>
      <c r="M135" s="5">
        <f>INDEX(products!$A$1:$G$49,MATCH(orders!$D135,products!$A$1:$A$49,0),MATCH(orders!M$1,products!$A$1:$G$1,0))</f>
        <v>12.95</v>
      </c>
      <c r="N135" s="5">
        <f>Orders[[#This Row],[Quantity]]*(INDEX(products!$A$1:$G$49,MATCH(orders!$D135,products!$A$1:$A$49,0),MATCH(orders!N$1,products!$A$1:$G$1,0)))</f>
        <v>1.6835</v>
      </c>
      <c r="O135" s="5">
        <f>M135*E135</f>
        <v>12.95</v>
      </c>
      <c r="P135" t="str">
        <f t="shared" si="4"/>
        <v>Liberica</v>
      </c>
      <c r="Q135" t="str">
        <f t="shared" si="5"/>
        <v>Dark</v>
      </c>
      <c r="R135" t="str">
        <f>_xlfn.XLOOKUP(Orders[[#This Row],[Customer ID]],customers!$A$1:$A$1001,customers!$I$1:$I$1001,,0)</f>
        <v>No</v>
      </c>
    </row>
    <row r="136" spans="1:18" x14ac:dyDescent="0.35">
      <c r="A136" s="2" t="s">
        <v>1245</v>
      </c>
      <c r="B136" s="3">
        <v>44758</v>
      </c>
      <c r="C136" s="2" t="s">
        <v>1246</v>
      </c>
      <c r="D136" t="s">
        <v>6166</v>
      </c>
      <c r="E136" s="2">
        <v>3</v>
      </c>
      <c r="F136" s="2" t="str">
        <f>_xlfn.XLOOKUP(Orders[[#This Row],[Customer ID]],customers!$A$1:$A$1001,customers!$B$1:$B$1001,,0)</f>
        <v>Ewell Hanby</v>
      </c>
      <c r="G136" s="2" t="str">
        <f>IF(_xlfn.XLOOKUP(C136,customers!$A$1:$A$1001,customers!C135:C1135,,0)=0,"",_xlfn.XLOOKUP(C136,customers!$A$1:$A$1001,customers!C135:C1135,,0))</f>
        <v/>
      </c>
      <c r="H136" s="2" t="str">
        <f>_xlfn.XLOOKUP(Orders[[#This Row],[Customer ID]],customers!$A$1:$A$1001,customers!$G$1:$G$1001,,0)</f>
        <v>United States</v>
      </c>
      <c r="I136" s="2" t="str">
        <f>_xlfn.XLOOKUP(Orders[[#This Row],[Customer ID]],customers!$A$1:$A$1001,customers!$F$1:$F$1001,,0)</f>
        <v>Washington</v>
      </c>
      <c r="J136" t="str">
        <f>INDEX(products!$A$1:$G$49,MATCH(orders!$D136,products!$A$1:$A$49,0),MATCH(orders!J$1,products!$A$1:$G$1,0))</f>
        <v>Exc</v>
      </c>
      <c r="K136" t="str">
        <f>INDEX(products!$A$1:$G$49,MATCH(orders!$D136,products!$A$1:$A$49,0),MATCH(orders!K$1,products!$A$1:$G$1,0))</f>
        <v>M</v>
      </c>
      <c r="L136" s="4">
        <f>INDEX(products!$A$1:$G$49,MATCH(orders!$D136,products!$A$1:$A$49,0),MATCH(orders!L$1,products!$A$1:$G$1,0))</f>
        <v>2.5</v>
      </c>
      <c r="M136" s="5">
        <f>INDEX(products!$A$1:$G$49,MATCH(orders!$D136,products!$A$1:$A$49,0),MATCH(orders!M$1,products!$A$1:$G$1,0))</f>
        <v>31.624999999999996</v>
      </c>
      <c r="N136" s="5">
        <f>Orders[[#This Row],[Quantity]]*(INDEX(products!$A$1:$G$49,MATCH(orders!$D136,products!$A$1:$A$49,0),MATCH(orders!N$1,products!$A$1:$G$1,0)))</f>
        <v>10.436249999999999</v>
      </c>
      <c r="O136" s="5">
        <f>M136*E136</f>
        <v>94.874999999999986</v>
      </c>
      <c r="P136" t="str">
        <f t="shared" si="4"/>
        <v>Excelsa</v>
      </c>
      <c r="Q136" t="str">
        <f t="shared" si="5"/>
        <v>Medium</v>
      </c>
      <c r="R136" t="str">
        <f>_xlfn.XLOOKUP(Orders[[#This Row],[Customer ID]],customers!$A$1:$A$1001,customers!$I$1:$I$1001,,0)</f>
        <v>Yes</v>
      </c>
    </row>
    <row r="137" spans="1:18" x14ac:dyDescent="0.35">
      <c r="A137" s="2" t="s">
        <v>1249</v>
      </c>
      <c r="B137" s="3">
        <v>44232</v>
      </c>
      <c r="C137" s="2" t="s">
        <v>976</v>
      </c>
      <c r="D137" t="s">
        <v>6180</v>
      </c>
      <c r="E137" s="2">
        <v>5</v>
      </c>
      <c r="F137" s="2" t="str">
        <f>_xlfn.XLOOKUP(Orders[[#This Row],[Customer ID]],customers!$A$1:$A$1001,customers!$B$1:$B$1001,,0)</f>
        <v>Blancha McAmish</v>
      </c>
      <c r="G137" s="2" t="str">
        <f>IF(_xlfn.XLOOKUP(C137,customers!$A$1:$A$1001,customers!C136:C1136,,0)=0,"",_xlfn.XLOOKUP(C137,customers!$A$1:$A$1001,customers!C136:C1136,,0))</f>
        <v>lrushmer65@europa.eu</v>
      </c>
      <c r="H137" s="2" t="str">
        <f>_xlfn.XLOOKUP(Orders[[#This Row],[Customer ID]],customers!$A$1:$A$1001,customers!$G$1:$G$1001,,0)</f>
        <v>United States</v>
      </c>
      <c r="I137" s="2" t="str">
        <f>_xlfn.XLOOKUP(Orders[[#This Row],[Customer ID]],customers!$A$1:$A$1001,customers!$F$1:$F$1001,,0)</f>
        <v>Oklahoma City</v>
      </c>
      <c r="J137" t="str">
        <f>INDEX(products!$A$1:$G$49,MATCH(orders!$D137,products!$A$1:$A$49,0),MATCH(orders!J$1,products!$A$1:$G$1,0))</f>
        <v>Ara</v>
      </c>
      <c r="K137" t="str">
        <f>INDEX(products!$A$1:$G$49,MATCH(orders!$D137,products!$A$1:$A$49,0),MATCH(orders!K$1,products!$A$1:$G$1,0))</f>
        <v>L</v>
      </c>
      <c r="L137" s="4">
        <f>INDEX(products!$A$1:$G$49,MATCH(orders!$D137,products!$A$1:$A$49,0),MATCH(orders!L$1,products!$A$1:$G$1,0))</f>
        <v>0.5</v>
      </c>
      <c r="M137" s="5">
        <f>INDEX(products!$A$1:$G$49,MATCH(orders!$D137,products!$A$1:$A$49,0),MATCH(orders!M$1,products!$A$1:$G$1,0))</f>
        <v>7.77</v>
      </c>
      <c r="N137" s="5">
        <f>Orders[[#This Row],[Quantity]]*(INDEX(products!$A$1:$G$49,MATCH(orders!$D137,products!$A$1:$A$49,0),MATCH(orders!N$1,products!$A$1:$G$1,0)))</f>
        <v>3.4964999999999997</v>
      </c>
      <c r="O137" s="5">
        <f>M137*E137</f>
        <v>38.849999999999994</v>
      </c>
      <c r="P137" t="str">
        <f t="shared" si="4"/>
        <v>Arabica</v>
      </c>
      <c r="Q137" t="str">
        <f t="shared" si="5"/>
        <v>Light</v>
      </c>
      <c r="R137" t="str">
        <f>_xlfn.XLOOKUP(Orders[[#This Row],[Customer ID]],customers!$A$1:$A$1001,customers!$I$1:$I$1001,,0)</f>
        <v>Yes</v>
      </c>
    </row>
    <row r="138" spans="1:18" x14ac:dyDescent="0.35">
      <c r="A138" s="2" t="s">
        <v>1255</v>
      </c>
      <c r="B138" s="3">
        <v>44406</v>
      </c>
      <c r="C138" s="2" t="s">
        <v>1256</v>
      </c>
      <c r="D138" t="s">
        <v>6154</v>
      </c>
      <c r="E138" s="2">
        <v>4</v>
      </c>
      <c r="F138" s="2" t="str">
        <f>_xlfn.XLOOKUP(Orders[[#This Row],[Customer ID]],customers!$A$1:$A$1001,customers!$B$1:$B$1001,,0)</f>
        <v>Lowell Keenleyside</v>
      </c>
      <c r="G138" s="2" t="str">
        <f>IF(_xlfn.XLOOKUP(C138,customers!$A$1:$A$1001,customers!C137:C1137,,0)=0,"",_xlfn.XLOOKUP(C138,customers!$A$1:$A$1001,customers!C137:C1137,,0))</f>
        <v>zcarlson7k@bigcartel.com</v>
      </c>
      <c r="H138" s="2" t="str">
        <f>_xlfn.XLOOKUP(Orders[[#This Row],[Customer ID]],customers!$A$1:$A$1001,customers!$G$1:$G$1001,,0)</f>
        <v>United States</v>
      </c>
      <c r="I138" s="2" t="str">
        <f>_xlfn.XLOOKUP(Orders[[#This Row],[Customer ID]],customers!$A$1:$A$1001,customers!$F$1:$F$1001,,0)</f>
        <v>Saint Louis</v>
      </c>
      <c r="J138" t="str">
        <f>INDEX(products!$A$1:$G$49,MATCH(orders!$D138,products!$A$1:$A$49,0),MATCH(orders!J$1,products!$A$1:$G$1,0))</f>
        <v>Ara</v>
      </c>
      <c r="K138" t="str">
        <f>INDEX(products!$A$1:$G$49,MATCH(orders!$D138,products!$A$1:$A$49,0),MATCH(orders!K$1,products!$A$1:$G$1,0))</f>
        <v>D</v>
      </c>
      <c r="L138" s="4">
        <f>INDEX(products!$A$1:$G$49,MATCH(orders!$D138,products!$A$1:$A$49,0),MATCH(orders!L$1,products!$A$1:$G$1,0))</f>
        <v>0.2</v>
      </c>
      <c r="M138" s="5">
        <f>INDEX(products!$A$1:$G$49,MATCH(orders!$D138,products!$A$1:$A$49,0),MATCH(orders!M$1,products!$A$1:$G$1,0))</f>
        <v>2.9849999999999999</v>
      </c>
      <c r="N138" s="5">
        <f>Orders[[#This Row],[Quantity]]*(INDEX(products!$A$1:$G$49,MATCH(orders!$D138,products!$A$1:$A$49,0),MATCH(orders!N$1,products!$A$1:$G$1,0)))</f>
        <v>1.0746</v>
      </c>
      <c r="O138" s="5">
        <f>M138*E138</f>
        <v>11.94</v>
      </c>
      <c r="P138" t="str">
        <f t="shared" si="4"/>
        <v>Arabica</v>
      </c>
      <c r="Q138" t="str">
        <f t="shared" si="5"/>
        <v>Dark</v>
      </c>
      <c r="R138" t="str">
        <f>_xlfn.XLOOKUP(Orders[[#This Row],[Customer ID]],customers!$A$1:$A$1001,customers!$I$1:$I$1001,,0)</f>
        <v>No</v>
      </c>
    </row>
    <row r="139" spans="1:18" x14ac:dyDescent="0.35">
      <c r="A139" s="2" t="s">
        <v>1261</v>
      </c>
      <c r="B139" s="3">
        <v>44637</v>
      </c>
      <c r="C139" s="2" t="s">
        <v>1262</v>
      </c>
      <c r="D139" t="s">
        <v>6148</v>
      </c>
      <c r="E139" s="2">
        <v>3</v>
      </c>
      <c r="F139" s="2" t="str">
        <f>_xlfn.XLOOKUP(Orders[[#This Row],[Customer ID]],customers!$A$1:$A$1001,customers!$B$1:$B$1001,,0)</f>
        <v>Elonore Joliffe</v>
      </c>
      <c r="G139" s="2" t="str">
        <f>IF(_xlfn.XLOOKUP(C139,customers!$A$1:$A$1001,customers!C138:C1138,,0)=0,"",_xlfn.XLOOKUP(C139,customers!$A$1:$A$1001,customers!C138:C1138,,0))</f>
        <v>dhedlestone7m@craigslist.org</v>
      </c>
      <c r="H139" s="2" t="str">
        <f>_xlfn.XLOOKUP(Orders[[#This Row],[Customer ID]],customers!$A$1:$A$1001,customers!$G$1:$G$1001,,0)</f>
        <v>Ireland</v>
      </c>
      <c r="I139" s="2" t="str">
        <f>_xlfn.XLOOKUP(Orders[[#This Row],[Customer ID]],customers!$A$1:$A$1001,customers!$F$1:$F$1001,,0)</f>
        <v>Bailieborough</v>
      </c>
      <c r="J139" t="str">
        <f>INDEX(products!$A$1:$G$49,MATCH(orders!$D139,products!$A$1:$A$49,0),MATCH(orders!J$1,products!$A$1:$G$1,0))</f>
        <v>Exc</v>
      </c>
      <c r="K139" t="str">
        <f>INDEX(products!$A$1:$G$49,MATCH(orders!$D139,products!$A$1:$A$49,0),MATCH(orders!K$1,products!$A$1:$G$1,0))</f>
        <v>L</v>
      </c>
      <c r="L139" s="4">
        <f>INDEX(products!$A$1:$G$49,MATCH(orders!$D139,products!$A$1:$A$49,0),MATCH(orders!L$1,products!$A$1:$G$1,0))</f>
        <v>2.5</v>
      </c>
      <c r="M139" s="5">
        <f>INDEX(products!$A$1:$G$49,MATCH(orders!$D139,products!$A$1:$A$49,0),MATCH(orders!M$1,products!$A$1:$G$1,0))</f>
        <v>34.154999999999994</v>
      </c>
      <c r="N139" s="5">
        <f>Orders[[#This Row],[Quantity]]*(INDEX(products!$A$1:$G$49,MATCH(orders!$D139,products!$A$1:$A$49,0),MATCH(orders!N$1,products!$A$1:$G$1,0)))</f>
        <v>11.271149999999999</v>
      </c>
      <c r="O139" s="5">
        <f>M139*E139</f>
        <v>102.46499999999997</v>
      </c>
      <c r="P139" t="str">
        <f t="shared" si="4"/>
        <v>Excelsa</v>
      </c>
      <c r="Q139" t="str">
        <f t="shared" si="5"/>
        <v>Light</v>
      </c>
      <c r="R139" t="str">
        <f>_xlfn.XLOOKUP(Orders[[#This Row],[Customer ID]],customers!$A$1:$A$1001,customers!$I$1:$I$1001,,0)</f>
        <v>No</v>
      </c>
    </row>
    <row r="140" spans="1:18" x14ac:dyDescent="0.35">
      <c r="A140" s="2" t="s">
        <v>1266</v>
      </c>
      <c r="B140" s="3">
        <v>44238</v>
      </c>
      <c r="C140" s="2" t="s">
        <v>1267</v>
      </c>
      <c r="D140" t="s">
        <v>6183</v>
      </c>
      <c r="E140" s="2">
        <v>4</v>
      </c>
      <c r="F140" s="2" t="str">
        <f>_xlfn.XLOOKUP(Orders[[#This Row],[Customer ID]],customers!$A$1:$A$1001,customers!$B$1:$B$1001,,0)</f>
        <v>Abraham Coleman</v>
      </c>
      <c r="G140" s="2" t="str">
        <f>IF(_xlfn.XLOOKUP(C140,customers!$A$1:$A$1001,customers!C139:C1139,,0)=0,"",_xlfn.XLOOKUP(C140,customers!$A$1:$A$1001,customers!C139:C1139,,0))</f>
        <v>dbury7o@tinyurl.com</v>
      </c>
      <c r="H140" s="2" t="str">
        <f>_xlfn.XLOOKUP(Orders[[#This Row],[Customer ID]],customers!$A$1:$A$1001,customers!$G$1:$G$1001,,0)</f>
        <v>United States</v>
      </c>
      <c r="I140" s="2" t="str">
        <f>_xlfn.XLOOKUP(Orders[[#This Row],[Customer ID]],customers!$A$1:$A$1001,customers!$F$1:$F$1001,,0)</f>
        <v>Honolulu</v>
      </c>
      <c r="J140" t="str">
        <f>INDEX(products!$A$1:$G$49,MATCH(orders!$D140,products!$A$1:$A$49,0),MATCH(orders!J$1,products!$A$1:$G$1,0))</f>
        <v>Exc</v>
      </c>
      <c r="K140" t="str">
        <f>INDEX(products!$A$1:$G$49,MATCH(orders!$D140,products!$A$1:$A$49,0),MATCH(orders!K$1,products!$A$1:$G$1,0))</f>
        <v>D</v>
      </c>
      <c r="L140" s="4">
        <f>INDEX(products!$A$1:$G$49,MATCH(orders!$D140,products!$A$1:$A$49,0),MATCH(orders!L$1,products!$A$1:$G$1,0))</f>
        <v>1</v>
      </c>
      <c r="M140" s="5">
        <f>INDEX(products!$A$1:$G$49,MATCH(orders!$D140,products!$A$1:$A$49,0),MATCH(orders!M$1,products!$A$1:$G$1,0))</f>
        <v>12.15</v>
      </c>
      <c r="N140" s="5">
        <f>Orders[[#This Row],[Quantity]]*(INDEX(products!$A$1:$G$49,MATCH(orders!$D140,products!$A$1:$A$49,0),MATCH(orders!N$1,products!$A$1:$G$1,0)))</f>
        <v>5.3460000000000001</v>
      </c>
      <c r="O140" s="5">
        <f>M140*E140</f>
        <v>48.6</v>
      </c>
      <c r="P140" t="str">
        <f t="shared" si="4"/>
        <v>Excelsa</v>
      </c>
      <c r="Q140" t="str">
        <f t="shared" si="5"/>
        <v>Dark</v>
      </c>
      <c r="R140" t="str">
        <f>_xlfn.XLOOKUP(Orders[[#This Row],[Customer ID]],customers!$A$1:$A$1001,customers!$I$1:$I$1001,,0)</f>
        <v>No</v>
      </c>
    </row>
    <row r="141" spans="1:18" x14ac:dyDescent="0.35">
      <c r="A141" s="2" t="s">
        <v>1271</v>
      </c>
      <c r="B141" s="3">
        <v>43509</v>
      </c>
      <c r="C141" s="2" t="s">
        <v>1272</v>
      </c>
      <c r="D141" t="s">
        <v>6143</v>
      </c>
      <c r="E141" s="2">
        <v>6</v>
      </c>
      <c r="F141" s="2" t="str">
        <f>_xlfn.XLOOKUP(Orders[[#This Row],[Customer ID]],customers!$A$1:$A$1001,customers!$B$1:$B$1001,,0)</f>
        <v>Rivy Farington</v>
      </c>
      <c r="G141" s="2" t="str">
        <f>IF(_xlfn.XLOOKUP(C141,customers!$A$1:$A$1001,customers!C140:C1140,,0)=0,"",_xlfn.XLOOKUP(C141,customers!$A$1:$A$1001,customers!C140:C1140,,0))</f>
        <v>epalfrey7q@devhub.com</v>
      </c>
      <c r="H141" s="2" t="str">
        <f>_xlfn.XLOOKUP(Orders[[#This Row],[Customer ID]],customers!$A$1:$A$1001,customers!$G$1:$G$1001,,0)</f>
        <v>United States</v>
      </c>
      <c r="I141" s="2" t="str">
        <f>_xlfn.XLOOKUP(Orders[[#This Row],[Customer ID]],customers!$A$1:$A$1001,customers!$F$1:$F$1001,,0)</f>
        <v>Corona</v>
      </c>
      <c r="J141" t="str">
        <f>INDEX(products!$A$1:$G$49,MATCH(orders!$D141,products!$A$1:$A$49,0),MATCH(orders!J$1,products!$A$1:$G$1,0))</f>
        <v>Lib</v>
      </c>
      <c r="K141" t="str">
        <f>INDEX(products!$A$1:$G$49,MATCH(orders!$D141,products!$A$1:$A$49,0),MATCH(orders!K$1,products!$A$1:$G$1,0))</f>
        <v>D</v>
      </c>
      <c r="L141" s="4">
        <f>INDEX(products!$A$1:$G$49,MATCH(orders!$D141,products!$A$1:$A$49,0),MATCH(orders!L$1,products!$A$1:$G$1,0))</f>
        <v>1</v>
      </c>
      <c r="M141" s="5">
        <f>INDEX(products!$A$1:$G$49,MATCH(orders!$D141,products!$A$1:$A$49,0),MATCH(orders!M$1,products!$A$1:$G$1,0))</f>
        <v>12.95</v>
      </c>
      <c r="N141" s="5">
        <f>Orders[[#This Row],[Quantity]]*(INDEX(products!$A$1:$G$49,MATCH(orders!$D141,products!$A$1:$A$49,0),MATCH(orders!N$1,products!$A$1:$G$1,0)))</f>
        <v>10.100999999999999</v>
      </c>
      <c r="O141" s="5">
        <f>M141*E141</f>
        <v>77.699999999999989</v>
      </c>
      <c r="P141" t="str">
        <f t="shared" si="4"/>
        <v>Liberica</v>
      </c>
      <c r="Q141" t="str">
        <f t="shared" si="5"/>
        <v>Dark</v>
      </c>
      <c r="R141" t="str">
        <f>_xlfn.XLOOKUP(Orders[[#This Row],[Customer ID]],customers!$A$1:$A$1001,customers!$I$1:$I$1001,,0)</f>
        <v>Yes</v>
      </c>
    </row>
    <row r="142" spans="1:18" x14ac:dyDescent="0.35">
      <c r="A142" s="2" t="s">
        <v>1276</v>
      </c>
      <c r="B142" s="3">
        <v>44694</v>
      </c>
      <c r="C142" s="2" t="s">
        <v>1277</v>
      </c>
      <c r="D142" t="s">
        <v>6165</v>
      </c>
      <c r="E142" s="2">
        <v>1</v>
      </c>
      <c r="F142" s="2" t="str">
        <f>_xlfn.XLOOKUP(Orders[[#This Row],[Customer ID]],customers!$A$1:$A$1001,customers!$B$1:$B$1001,,0)</f>
        <v>Vallie Kundt</v>
      </c>
      <c r="G142" s="2" t="str">
        <f>IF(_xlfn.XLOOKUP(C142,customers!$A$1:$A$1001,customers!C141:C1141,,0)=0,"",_xlfn.XLOOKUP(C142,customers!$A$1:$A$1001,customers!C141:C1141,,0))</f>
        <v/>
      </c>
      <c r="H142" s="2" t="str">
        <f>_xlfn.XLOOKUP(Orders[[#This Row],[Customer ID]],customers!$A$1:$A$1001,customers!$G$1:$G$1001,,0)</f>
        <v>Ireland</v>
      </c>
      <c r="I142" s="2" t="str">
        <f>_xlfn.XLOOKUP(Orders[[#This Row],[Customer ID]],customers!$A$1:$A$1001,customers!$F$1:$F$1001,,0)</f>
        <v>Ballivor</v>
      </c>
      <c r="J142" t="str">
        <f>INDEX(products!$A$1:$G$49,MATCH(orders!$D142,products!$A$1:$A$49,0),MATCH(orders!J$1,products!$A$1:$G$1,0))</f>
        <v>Lib</v>
      </c>
      <c r="K142" t="str">
        <f>INDEX(products!$A$1:$G$49,MATCH(orders!$D142,products!$A$1:$A$49,0),MATCH(orders!K$1,products!$A$1:$G$1,0))</f>
        <v>D</v>
      </c>
      <c r="L142" s="4">
        <f>INDEX(products!$A$1:$G$49,MATCH(orders!$D142,products!$A$1:$A$49,0),MATCH(orders!L$1,products!$A$1:$G$1,0))</f>
        <v>2.5</v>
      </c>
      <c r="M142" s="5">
        <f>INDEX(products!$A$1:$G$49,MATCH(orders!$D142,products!$A$1:$A$49,0),MATCH(orders!M$1,products!$A$1:$G$1,0))</f>
        <v>29.784999999999997</v>
      </c>
      <c r="N142" s="5">
        <f>Orders[[#This Row],[Quantity]]*(INDEX(products!$A$1:$G$49,MATCH(orders!$D142,products!$A$1:$A$49,0),MATCH(orders!N$1,products!$A$1:$G$1,0)))</f>
        <v>3.8720499999999998</v>
      </c>
      <c r="O142" s="5">
        <f>M142*E142</f>
        <v>29.784999999999997</v>
      </c>
      <c r="P142" t="str">
        <f t="shared" si="4"/>
        <v>Liberica</v>
      </c>
      <c r="Q142" t="str">
        <f t="shared" si="5"/>
        <v>Dark</v>
      </c>
      <c r="R142" t="str">
        <f>_xlfn.XLOOKUP(Orders[[#This Row],[Customer ID]],customers!$A$1:$A$1001,customers!$I$1:$I$1001,,0)</f>
        <v>Yes</v>
      </c>
    </row>
    <row r="143" spans="1:18" x14ac:dyDescent="0.35">
      <c r="A143" s="2" t="s">
        <v>1283</v>
      </c>
      <c r="B143" s="3">
        <v>43970</v>
      </c>
      <c r="C143" s="2" t="s">
        <v>1284</v>
      </c>
      <c r="D143" t="s">
        <v>6167</v>
      </c>
      <c r="E143" s="2">
        <v>4</v>
      </c>
      <c r="F143" s="2" t="str">
        <f>_xlfn.XLOOKUP(Orders[[#This Row],[Customer ID]],customers!$A$1:$A$1001,customers!$B$1:$B$1001,,0)</f>
        <v>Boyd Bett</v>
      </c>
      <c r="G143" s="2" t="str">
        <f>IF(_xlfn.XLOOKUP(C143,customers!$A$1:$A$1001,customers!C142:C1142,,0)=0,"",_xlfn.XLOOKUP(C143,customers!$A$1:$A$1001,customers!C142:C1142,,0))</f>
        <v>fcrumpe7u@ftc.gov</v>
      </c>
      <c r="H143" s="2" t="str">
        <f>_xlfn.XLOOKUP(Orders[[#This Row],[Customer ID]],customers!$A$1:$A$1001,customers!$G$1:$G$1001,,0)</f>
        <v>United States</v>
      </c>
      <c r="I143" s="2" t="str">
        <f>_xlfn.XLOOKUP(Orders[[#This Row],[Customer ID]],customers!$A$1:$A$1001,customers!$F$1:$F$1001,,0)</f>
        <v>Washington</v>
      </c>
      <c r="J143" t="str">
        <f>INDEX(products!$A$1:$G$49,MATCH(orders!$D143,products!$A$1:$A$49,0),MATCH(orders!J$1,products!$A$1:$G$1,0))</f>
        <v>Ara</v>
      </c>
      <c r="K143" t="str">
        <f>INDEX(products!$A$1:$G$49,MATCH(orders!$D143,products!$A$1:$A$49,0),MATCH(orders!K$1,products!$A$1:$G$1,0))</f>
        <v>L</v>
      </c>
      <c r="L143" s="4">
        <f>INDEX(products!$A$1:$G$49,MATCH(orders!$D143,products!$A$1:$A$49,0),MATCH(orders!L$1,products!$A$1:$G$1,0))</f>
        <v>0.2</v>
      </c>
      <c r="M143" s="5">
        <f>INDEX(products!$A$1:$G$49,MATCH(orders!$D143,products!$A$1:$A$49,0),MATCH(orders!M$1,products!$A$1:$G$1,0))</f>
        <v>3.8849999999999998</v>
      </c>
      <c r="N143" s="5">
        <f>Orders[[#This Row],[Quantity]]*(INDEX(products!$A$1:$G$49,MATCH(orders!$D143,products!$A$1:$A$49,0),MATCH(orders!N$1,products!$A$1:$G$1,0)))</f>
        <v>1.3985999999999998</v>
      </c>
      <c r="O143" s="5">
        <f>M143*E143</f>
        <v>15.54</v>
      </c>
      <c r="P143" t="str">
        <f t="shared" si="4"/>
        <v>Arabica</v>
      </c>
      <c r="Q143" t="str">
        <f t="shared" si="5"/>
        <v>Light</v>
      </c>
      <c r="R143" t="str">
        <f>_xlfn.XLOOKUP(Orders[[#This Row],[Customer ID]],customers!$A$1:$A$1001,customers!$I$1:$I$1001,,0)</f>
        <v>Yes</v>
      </c>
    </row>
    <row r="144" spans="1:18" x14ac:dyDescent="0.35">
      <c r="A144" s="2" t="s">
        <v>1289</v>
      </c>
      <c r="B144" s="3">
        <v>44678</v>
      </c>
      <c r="C144" s="2" t="s">
        <v>1290</v>
      </c>
      <c r="D144" t="s">
        <v>6148</v>
      </c>
      <c r="E144" s="2">
        <v>4</v>
      </c>
      <c r="F144" s="2" t="str">
        <f>_xlfn.XLOOKUP(Orders[[#This Row],[Customer ID]],customers!$A$1:$A$1001,customers!$B$1:$B$1001,,0)</f>
        <v>Julio Armytage</v>
      </c>
      <c r="G144" s="2" t="str">
        <f>IF(_xlfn.XLOOKUP(C144,customers!$A$1:$A$1001,customers!C143:C1143,,0)=0,"",_xlfn.XLOOKUP(C144,customers!$A$1:$A$1001,customers!C143:C1143,,0))</f>
        <v/>
      </c>
      <c r="H144" s="2" t="str">
        <f>_xlfn.XLOOKUP(Orders[[#This Row],[Customer ID]],customers!$A$1:$A$1001,customers!$G$1:$G$1001,,0)</f>
        <v>Ireland</v>
      </c>
      <c r="I144" s="2" t="str">
        <f>_xlfn.XLOOKUP(Orders[[#This Row],[Customer ID]],customers!$A$1:$A$1001,customers!$F$1:$F$1001,,0)</f>
        <v>Portumna</v>
      </c>
      <c r="J144" t="str">
        <f>INDEX(products!$A$1:$G$49,MATCH(orders!$D144,products!$A$1:$A$49,0),MATCH(orders!J$1,products!$A$1:$G$1,0))</f>
        <v>Exc</v>
      </c>
      <c r="K144" t="str">
        <f>INDEX(products!$A$1:$G$49,MATCH(orders!$D144,products!$A$1:$A$49,0),MATCH(orders!K$1,products!$A$1:$G$1,0))</f>
        <v>L</v>
      </c>
      <c r="L144" s="4">
        <f>INDEX(products!$A$1:$G$49,MATCH(orders!$D144,products!$A$1:$A$49,0),MATCH(orders!L$1,products!$A$1:$G$1,0))</f>
        <v>2.5</v>
      </c>
      <c r="M144" s="5">
        <f>INDEX(products!$A$1:$G$49,MATCH(orders!$D144,products!$A$1:$A$49,0),MATCH(orders!M$1,products!$A$1:$G$1,0))</f>
        <v>34.154999999999994</v>
      </c>
      <c r="N144" s="5">
        <f>Orders[[#This Row],[Quantity]]*(INDEX(products!$A$1:$G$49,MATCH(orders!$D144,products!$A$1:$A$49,0),MATCH(orders!N$1,products!$A$1:$G$1,0)))</f>
        <v>15.028199999999998</v>
      </c>
      <c r="O144" s="5">
        <f>M144*E144</f>
        <v>136.61999999999998</v>
      </c>
      <c r="P144" t="str">
        <f t="shared" si="4"/>
        <v>Excelsa</v>
      </c>
      <c r="Q144" t="str">
        <f t="shared" si="5"/>
        <v>Light</v>
      </c>
      <c r="R144" t="str">
        <f>_xlfn.XLOOKUP(Orders[[#This Row],[Customer ID]],customers!$A$1:$A$1001,customers!$I$1:$I$1001,,0)</f>
        <v>Yes</v>
      </c>
    </row>
    <row r="145" spans="1:18" x14ac:dyDescent="0.35">
      <c r="A145" s="2" t="s">
        <v>1293</v>
      </c>
      <c r="B145" s="3">
        <v>44083</v>
      </c>
      <c r="C145" s="2" t="s">
        <v>1294</v>
      </c>
      <c r="D145" t="s">
        <v>6160</v>
      </c>
      <c r="E145" s="2">
        <v>2</v>
      </c>
      <c r="F145" s="2" t="str">
        <f>_xlfn.XLOOKUP(Orders[[#This Row],[Customer ID]],customers!$A$1:$A$1001,customers!$B$1:$B$1001,,0)</f>
        <v>Deana Staite</v>
      </c>
      <c r="G145" s="2" t="str">
        <f>IF(_xlfn.XLOOKUP(C145,customers!$A$1:$A$1001,customers!C144:C1144,,0)=0,"",_xlfn.XLOOKUP(C145,customers!$A$1:$A$1001,customers!C144:C1144,,0))</f>
        <v>bmergue7y@umn.edu</v>
      </c>
      <c r="H145" s="2" t="str">
        <f>_xlfn.XLOOKUP(Orders[[#This Row],[Customer ID]],customers!$A$1:$A$1001,customers!$G$1:$G$1001,,0)</f>
        <v>United States</v>
      </c>
      <c r="I145" s="2" t="str">
        <f>_xlfn.XLOOKUP(Orders[[#This Row],[Customer ID]],customers!$A$1:$A$1001,customers!$F$1:$F$1001,,0)</f>
        <v>Houston</v>
      </c>
      <c r="J145" t="str">
        <f>INDEX(products!$A$1:$G$49,MATCH(orders!$D145,products!$A$1:$A$49,0),MATCH(orders!J$1,products!$A$1:$G$1,0))</f>
        <v>Lib</v>
      </c>
      <c r="K145" t="str">
        <f>INDEX(products!$A$1:$G$49,MATCH(orders!$D145,products!$A$1:$A$49,0),MATCH(orders!K$1,products!$A$1:$G$1,0))</f>
        <v>M</v>
      </c>
      <c r="L145" s="4">
        <f>INDEX(products!$A$1:$G$49,MATCH(orders!$D145,products!$A$1:$A$49,0),MATCH(orders!L$1,products!$A$1:$G$1,0))</f>
        <v>0.5</v>
      </c>
      <c r="M145" s="5">
        <f>INDEX(products!$A$1:$G$49,MATCH(orders!$D145,products!$A$1:$A$49,0),MATCH(orders!M$1,products!$A$1:$G$1,0))</f>
        <v>8.73</v>
      </c>
      <c r="N145" s="5">
        <f>Orders[[#This Row],[Quantity]]*(INDEX(products!$A$1:$G$49,MATCH(orders!$D145,products!$A$1:$A$49,0),MATCH(orders!N$1,products!$A$1:$G$1,0)))</f>
        <v>2.2698</v>
      </c>
      <c r="O145" s="5">
        <f>M145*E145</f>
        <v>17.46</v>
      </c>
      <c r="P145" t="str">
        <f t="shared" si="4"/>
        <v>Liberica</v>
      </c>
      <c r="Q145" t="str">
        <f t="shared" si="5"/>
        <v>Medium</v>
      </c>
      <c r="R145" t="str">
        <f>_xlfn.XLOOKUP(Orders[[#This Row],[Customer ID]],customers!$A$1:$A$1001,customers!$I$1:$I$1001,,0)</f>
        <v>No</v>
      </c>
    </row>
    <row r="146" spans="1:18" x14ac:dyDescent="0.35">
      <c r="A146" s="2" t="s">
        <v>1299</v>
      </c>
      <c r="B146" s="3">
        <v>44265</v>
      </c>
      <c r="C146" s="2" t="s">
        <v>1300</v>
      </c>
      <c r="D146" t="s">
        <v>6148</v>
      </c>
      <c r="E146" s="2">
        <v>2</v>
      </c>
      <c r="F146" s="2" t="str">
        <f>_xlfn.XLOOKUP(Orders[[#This Row],[Customer ID]],customers!$A$1:$A$1001,customers!$B$1:$B$1001,,0)</f>
        <v>Winn Keyse</v>
      </c>
      <c r="G146" s="2" t="str">
        <f>IF(_xlfn.XLOOKUP(C146,customers!$A$1:$A$1001,customers!C145:C1145,,0)=0,"",_xlfn.XLOOKUP(C146,customers!$A$1:$A$1001,customers!C145:C1145,,0))</f>
        <v/>
      </c>
      <c r="H146" s="2" t="str">
        <f>_xlfn.XLOOKUP(Orders[[#This Row],[Customer ID]],customers!$A$1:$A$1001,customers!$G$1:$G$1001,,0)</f>
        <v>United States</v>
      </c>
      <c r="I146" s="2" t="str">
        <f>_xlfn.XLOOKUP(Orders[[#This Row],[Customer ID]],customers!$A$1:$A$1001,customers!$F$1:$F$1001,,0)</f>
        <v>Orange</v>
      </c>
      <c r="J146" t="str">
        <f>INDEX(products!$A$1:$G$49,MATCH(orders!$D146,products!$A$1:$A$49,0),MATCH(orders!J$1,products!$A$1:$G$1,0))</f>
        <v>Exc</v>
      </c>
      <c r="K146" t="str">
        <f>INDEX(products!$A$1:$G$49,MATCH(orders!$D146,products!$A$1:$A$49,0),MATCH(orders!K$1,products!$A$1:$G$1,0))</f>
        <v>L</v>
      </c>
      <c r="L146" s="4">
        <f>INDEX(products!$A$1:$G$49,MATCH(orders!$D146,products!$A$1:$A$49,0),MATCH(orders!L$1,products!$A$1:$G$1,0))</f>
        <v>2.5</v>
      </c>
      <c r="M146" s="5">
        <f>INDEX(products!$A$1:$G$49,MATCH(orders!$D146,products!$A$1:$A$49,0),MATCH(orders!M$1,products!$A$1:$G$1,0))</f>
        <v>34.154999999999994</v>
      </c>
      <c r="N146" s="5">
        <f>Orders[[#This Row],[Quantity]]*(INDEX(products!$A$1:$G$49,MATCH(orders!$D146,products!$A$1:$A$49,0),MATCH(orders!N$1,products!$A$1:$G$1,0)))</f>
        <v>7.5140999999999991</v>
      </c>
      <c r="O146" s="5">
        <f>M146*E146</f>
        <v>68.309999999999988</v>
      </c>
      <c r="P146" t="str">
        <f t="shared" si="4"/>
        <v>Excelsa</v>
      </c>
      <c r="Q146" t="str">
        <f t="shared" si="5"/>
        <v>Light</v>
      </c>
      <c r="R146" t="str">
        <f>_xlfn.XLOOKUP(Orders[[#This Row],[Customer ID]],customers!$A$1:$A$1001,customers!$I$1:$I$1001,,0)</f>
        <v>Yes</v>
      </c>
    </row>
    <row r="147" spans="1:18" x14ac:dyDescent="0.35">
      <c r="A147" s="2" t="s">
        <v>1305</v>
      </c>
      <c r="B147" s="3">
        <v>43562</v>
      </c>
      <c r="C147" s="2" t="s">
        <v>1306</v>
      </c>
      <c r="D147" t="s">
        <v>6159</v>
      </c>
      <c r="E147" s="2">
        <v>4</v>
      </c>
      <c r="F147" s="2" t="str">
        <f>_xlfn.XLOOKUP(Orders[[#This Row],[Customer ID]],customers!$A$1:$A$1001,customers!$B$1:$B$1001,,0)</f>
        <v>Osmund Clausen-Thue</v>
      </c>
      <c r="G147" s="2" t="str">
        <f>IF(_xlfn.XLOOKUP(C147,customers!$A$1:$A$1001,customers!C146:C1146,,0)=0,"",_xlfn.XLOOKUP(C147,customers!$A$1:$A$1001,customers!C146:C1146,,0))</f>
        <v>dduke82@vkontakte.ru</v>
      </c>
      <c r="H147" s="2" t="str">
        <f>_xlfn.XLOOKUP(Orders[[#This Row],[Customer ID]],customers!$A$1:$A$1001,customers!$G$1:$G$1001,,0)</f>
        <v>United States</v>
      </c>
      <c r="I147" s="2" t="str">
        <f>_xlfn.XLOOKUP(Orders[[#This Row],[Customer ID]],customers!$A$1:$A$1001,customers!$F$1:$F$1001,,0)</f>
        <v>El Paso</v>
      </c>
      <c r="J147" t="str">
        <f>INDEX(products!$A$1:$G$49,MATCH(orders!$D147,products!$A$1:$A$49,0),MATCH(orders!J$1,products!$A$1:$G$1,0))</f>
        <v>Lib</v>
      </c>
      <c r="K147" t="str">
        <f>INDEX(products!$A$1:$G$49,MATCH(orders!$D147,products!$A$1:$A$49,0),MATCH(orders!K$1,products!$A$1:$G$1,0))</f>
        <v>M</v>
      </c>
      <c r="L147" s="4">
        <f>INDEX(products!$A$1:$G$49,MATCH(orders!$D147,products!$A$1:$A$49,0),MATCH(orders!L$1,products!$A$1:$G$1,0))</f>
        <v>0.2</v>
      </c>
      <c r="M147" s="5">
        <f>INDEX(products!$A$1:$G$49,MATCH(orders!$D147,products!$A$1:$A$49,0),MATCH(orders!M$1,products!$A$1:$G$1,0))</f>
        <v>4.3650000000000002</v>
      </c>
      <c r="N147" s="5">
        <f>Orders[[#This Row],[Quantity]]*(INDEX(products!$A$1:$G$49,MATCH(orders!$D147,products!$A$1:$A$49,0),MATCH(orders!N$1,products!$A$1:$G$1,0)))</f>
        <v>2.2698</v>
      </c>
      <c r="O147" s="5">
        <f>M147*E147</f>
        <v>17.46</v>
      </c>
      <c r="P147" t="str">
        <f t="shared" si="4"/>
        <v>Liberica</v>
      </c>
      <c r="Q147" t="str">
        <f t="shared" si="5"/>
        <v>Medium</v>
      </c>
      <c r="R147" t="str">
        <f>_xlfn.XLOOKUP(Orders[[#This Row],[Customer ID]],customers!$A$1:$A$1001,customers!$I$1:$I$1001,,0)</f>
        <v>No</v>
      </c>
    </row>
    <row r="148" spans="1:18" x14ac:dyDescent="0.35">
      <c r="A148" s="2" t="s">
        <v>1311</v>
      </c>
      <c r="B148" s="3">
        <v>44024</v>
      </c>
      <c r="C148" s="2" t="s">
        <v>1312</v>
      </c>
      <c r="D148" t="s">
        <v>6162</v>
      </c>
      <c r="E148" s="2">
        <v>3</v>
      </c>
      <c r="F148" s="2" t="str">
        <f>_xlfn.XLOOKUP(Orders[[#This Row],[Customer ID]],customers!$A$1:$A$1001,customers!$B$1:$B$1001,,0)</f>
        <v>Leonore Francisco</v>
      </c>
      <c r="G148" s="2" t="str">
        <f>IF(_xlfn.XLOOKUP(C148,customers!$A$1:$A$1001,customers!C147:C1147,,0)=0,"",_xlfn.XLOOKUP(C148,customers!$A$1:$A$1001,customers!C147:C1147,,0))</f>
        <v>ihussey84@mapy.cz</v>
      </c>
      <c r="H148" s="2" t="str">
        <f>_xlfn.XLOOKUP(Orders[[#This Row],[Customer ID]],customers!$A$1:$A$1001,customers!$G$1:$G$1001,,0)</f>
        <v>United States</v>
      </c>
      <c r="I148" s="2" t="str">
        <f>_xlfn.XLOOKUP(Orders[[#This Row],[Customer ID]],customers!$A$1:$A$1001,customers!$F$1:$F$1001,,0)</f>
        <v>Carson City</v>
      </c>
      <c r="J148" t="str">
        <f>INDEX(products!$A$1:$G$49,MATCH(orders!$D148,products!$A$1:$A$49,0),MATCH(orders!J$1,products!$A$1:$G$1,0))</f>
        <v>Lib</v>
      </c>
      <c r="K148" t="str">
        <f>INDEX(products!$A$1:$G$49,MATCH(orders!$D148,products!$A$1:$A$49,0),MATCH(orders!K$1,products!$A$1:$G$1,0))</f>
        <v>M</v>
      </c>
      <c r="L148" s="4">
        <f>INDEX(products!$A$1:$G$49,MATCH(orders!$D148,products!$A$1:$A$49,0),MATCH(orders!L$1,products!$A$1:$G$1,0))</f>
        <v>1</v>
      </c>
      <c r="M148" s="5">
        <f>INDEX(products!$A$1:$G$49,MATCH(orders!$D148,products!$A$1:$A$49,0),MATCH(orders!M$1,products!$A$1:$G$1,0))</f>
        <v>14.55</v>
      </c>
      <c r="N148" s="5">
        <f>Orders[[#This Row],[Quantity]]*(INDEX(products!$A$1:$G$49,MATCH(orders!$D148,products!$A$1:$A$49,0),MATCH(orders!N$1,products!$A$1:$G$1,0)))</f>
        <v>5.6745000000000001</v>
      </c>
      <c r="O148" s="5">
        <f>M148*E148</f>
        <v>43.650000000000006</v>
      </c>
      <c r="P148" t="str">
        <f t="shared" si="4"/>
        <v>Liberica</v>
      </c>
      <c r="Q148" t="str">
        <f t="shared" si="5"/>
        <v>Medium</v>
      </c>
      <c r="R148" t="str">
        <f>_xlfn.XLOOKUP(Orders[[#This Row],[Customer ID]],customers!$A$1:$A$1001,customers!$I$1:$I$1001,,0)</f>
        <v>No</v>
      </c>
    </row>
    <row r="149" spans="1:18" x14ac:dyDescent="0.35">
      <c r="A149" s="2" t="s">
        <v>1311</v>
      </c>
      <c r="B149" s="3">
        <v>44024</v>
      </c>
      <c r="C149" s="2" t="s">
        <v>1312</v>
      </c>
      <c r="D149" t="s">
        <v>6141</v>
      </c>
      <c r="E149" s="2">
        <v>2</v>
      </c>
      <c r="F149" s="2" t="str">
        <f>_xlfn.XLOOKUP(Orders[[#This Row],[Customer ID]],customers!$A$1:$A$1001,customers!$B$1:$B$1001,,0)</f>
        <v>Leonore Francisco</v>
      </c>
      <c r="G149" s="2" t="str">
        <f>IF(_xlfn.XLOOKUP(C149,customers!$A$1:$A$1001,customers!C148:C1148,,0)=0,"",_xlfn.XLOOKUP(C149,customers!$A$1:$A$1001,customers!C148:C1148,,0))</f>
        <v>cpinkerton85@upenn.edu</v>
      </c>
      <c r="H149" s="2" t="str">
        <f>_xlfn.XLOOKUP(Orders[[#This Row],[Customer ID]],customers!$A$1:$A$1001,customers!$G$1:$G$1001,,0)</f>
        <v>United States</v>
      </c>
      <c r="I149" s="2" t="str">
        <f>_xlfn.XLOOKUP(Orders[[#This Row],[Customer ID]],customers!$A$1:$A$1001,customers!$F$1:$F$1001,,0)</f>
        <v>Carson City</v>
      </c>
      <c r="J149" t="str">
        <f>INDEX(products!$A$1:$G$49,MATCH(orders!$D149,products!$A$1:$A$49,0),MATCH(orders!J$1,products!$A$1:$G$1,0))</f>
        <v>Exc</v>
      </c>
      <c r="K149" t="str">
        <f>INDEX(products!$A$1:$G$49,MATCH(orders!$D149,products!$A$1:$A$49,0),MATCH(orders!K$1,products!$A$1:$G$1,0))</f>
        <v>M</v>
      </c>
      <c r="L149" s="4">
        <f>INDEX(products!$A$1:$G$49,MATCH(orders!$D149,products!$A$1:$A$49,0),MATCH(orders!L$1,products!$A$1:$G$1,0))</f>
        <v>1</v>
      </c>
      <c r="M149" s="5">
        <f>INDEX(products!$A$1:$G$49,MATCH(orders!$D149,products!$A$1:$A$49,0),MATCH(orders!M$1,products!$A$1:$G$1,0))</f>
        <v>13.75</v>
      </c>
      <c r="N149" s="5">
        <f>Orders[[#This Row],[Quantity]]*(INDEX(products!$A$1:$G$49,MATCH(orders!$D149,products!$A$1:$A$49,0),MATCH(orders!N$1,products!$A$1:$G$1,0)))</f>
        <v>3.0249999999999999</v>
      </c>
      <c r="O149" s="5">
        <f>M149*E149</f>
        <v>27.5</v>
      </c>
      <c r="P149" t="str">
        <f t="shared" si="4"/>
        <v>Excelsa</v>
      </c>
      <c r="Q149" t="str">
        <f t="shared" si="5"/>
        <v>Medium</v>
      </c>
      <c r="R149" t="str">
        <f>_xlfn.XLOOKUP(Orders[[#This Row],[Customer ID]],customers!$A$1:$A$1001,customers!$I$1:$I$1001,,0)</f>
        <v>No</v>
      </c>
    </row>
    <row r="150" spans="1:18" x14ac:dyDescent="0.35">
      <c r="A150" s="2" t="s">
        <v>1322</v>
      </c>
      <c r="B150" s="3">
        <v>44551</v>
      </c>
      <c r="C150" s="2" t="s">
        <v>1323</v>
      </c>
      <c r="D150" t="s">
        <v>6153</v>
      </c>
      <c r="E150" s="2">
        <v>5</v>
      </c>
      <c r="F150" s="2" t="str">
        <f>_xlfn.XLOOKUP(Orders[[#This Row],[Customer ID]],customers!$A$1:$A$1001,customers!$B$1:$B$1001,,0)</f>
        <v>Giacobo Skingle</v>
      </c>
      <c r="G150" s="2" t="str">
        <f>IF(_xlfn.XLOOKUP(C150,customers!$A$1:$A$1001,customers!C149:C1149,,0)=0,"",_xlfn.XLOOKUP(C150,customers!$A$1:$A$1001,customers!C149:C1149,,0))</f>
        <v>dvizor88@furl.net</v>
      </c>
      <c r="H150" s="2" t="str">
        <f>_xlfn.XLOOKUP(Orders[[#This Row],[Customer ID]],customers!$A$1:$A$1001,customers!$G$1:$G$1001,,0)</f>
        <v>United States</v>
      </c>
      <c r="I150" s="2" t="str">
        <f>_xlfn.XLOOKUP(Orders[[#This Row],[Customer ID]],customers!$A$1:$A$1001,customers!$F$1:$F$1001,,0)</f>
        <v>Provo</v>
      </c>
      <c r="J150" t="str">
        <f>INDEX(products!$A$1:$G$49,MATCH(orders!$D150,products!$A$1:$A$49,0),MATCH(orders!J$1,products!$A$1:$G$1,0))</f>
        <v>Exc</v>
      </c>
      <c r="K150" t="str">
        <f>INDEX(products!$A$1:$G$49,MATCH(orders!$D150,products!$A$1:$A$49,0),MATCH(orders!K$1,products!$A$1:$G$1,0))</f>
        <v>D</v>
      </c>
      <c r="L150" s="4">
        <f>INDEX(products!$A$1:$G$49,MATCH(orders!$D150,products!$A$1:$A$49,0),MATCH(orders!L$1,products!$A$1:$G$1,0))</f>
        <v>0.2</v>
      </c>
      <c r="M150" s="5">
        <f>INDEX(products!$A$1:$G$49,MATCH(orders!$D150,products!$A$1:$A$49,0),MATCH(orders!M$1,products!$A$1:$G$1,0))</f>
        <v>3.645</v>
      </c>
      <c r="N150" s="5">
        <f>Orders[[#This Row],[Quantity]]*(INDEX(products!$A$1:$G$49,MATCH(orders!$D150,products!$A$1:$A$49,0),MATCH(orders!N$1,products!$A$1:$G$1,0)))</f>
        <v>2.00475</v>
      </c>
      <c r="O150" s="5">
        <f>M150*E150</f>
        <v>18.225000000000001</v>
      </c>
      <c r="P150" t="str">
        <f t="shared" si="4"/>
        <v>Excelsa</v>
      </c>
      <c r="Q150" t="str">
        <f t="shared" si="5"/>
        <v>Dark</v>
      </c>
      <c r="R150" t="str">
        <f>_xlfn.XLOOKUP(Orders[[#This Row],[Customer ID]],customers!$A$1:$A$1001,customers!$I$1:$I$1001,,0)</f>
        <v>Yes</v>
      </c>
    </row>
    <row r="151" spans="1:18" x14ac:dyDescent="0.35">
      <c r="A151" s="2" t="s">
        <v>1328</v>
      </c>
      <c r="B151" s="3">
        <v>44108</v>
      </c>
      <c r="C151" s="2" t="s">
        <v>1329</v>
      </c>
      <c r="D151" t="s">
        <v>6175</v>
      </c>
      <c r="E151" s="2">
        <v>2</v>
      </c>
      <c r="F151" s="2" t="str">
        <f>_xlfn.XLOOKUP(Orders[[#This Row],[Customer ID]],customers!$A$1:$A$1001,customers!$B$1:$B$1001,,0)</f>
        <v>Gerard Pirdy</v>
      </c>
      <c r="G151" s="2" t="str">
        <f>IF(_xlfn.XLOOKUP(C151,customers!$A$1:$A$1001,customers!C150:C1150,,0)=0,"",_xlfn.XLOOKUP(C151,customers!$A$1:$A$1001,customers!C150:C1150,,0))</f>
        <v>klestrange8a@lulu.com</v>
      </c>
      <c r="H151" s="2" t="str">
        <f>_xlfn.XLOOKUP(Orders[[#This Row],[Customer ID]],customers!$A$1:$A$1001,customers!$G$1:$G$1001,,0)</f>
        <v>United States</v>
      </c>
      <c r="I151" s="2" t="str">
        <f>_xlfn.XLOOKUP(Orders[[#This Row],[Customer ID]],customers!$A$1:$A$1001,customers!$F$1:$F$1001,,0)</f>
        <v>Boca Raton</v>
      </c>
      <c r="J151" t="str">
        <f>INDEX(products!$A$1:$G$49,MATCH(orders!$D151,products!$A$1:$A$49,0),MATCH(orders!J$1,products!$A$1:$G$1,0))</f>
        <v>Ara</v>
      </c>
      <c r="K151" t="str">
        <f>INDEX(products!$A$1:$G$49,MATCH(orders!$D151,products!$A$1:$A$49,0),MATCH(orders!K$1,products!$A$1:$G$1,0))</f>
        <v>M</v>
      </c>
      <c r="L151" s="4">
        <f>INDEX(products!$A$1:$G$49,MATCH(orders!$D151,products!$A$1:$A$49,0),MATCH(orders!L$1,products!$A$1:$G$1,0))</f>
        <v>2.5</v>
      </c>
      <c r="M151" s="5">
        <f>INDEX(products!$A$1:$G$49,MATCH(orders!$D151,products!$A$1:$A$49,0),MATCH(orders!M$1,products!$A$1:$G$1,0))</f>
        <v>25.874999999999996</v>
      </c>
      <c r="N151" s="5">
        <f>Orders[[#This Row],[Quantity]]*(INDEX(products!$A$1:$G$49,MATCH(orders!$D151,products!$A$1:$A$49,0),MATCH(orders!N$1,products!$A$1:$G$1,0)))</f>
        <v>4.6574999999999989</v>
      </c>
      <c r="O151" s="5">
        <f>M151*E151</f>
        <v>51.749999999999993</v>
      </c>
      <c r="P151" t="str">
        <f t="shared" si="4"/>
        <v>Arabica</v>
      </c>
      <c r="Q151" t="str">
        <f t="shared" si="5"/>
        <v>Medium</v>
      </c>
      <c r="R151" t="str">
        <f>_xlfn.XLOOKUP(Orders[[#This Row],[Customer ID]],customers!$A$1:$A$1001,customers!$I$1:$I$1001,,0)</f>
        <v>Yes</v>
      </c>
    </row>
    <row r="152" spans="1:18" x14ac:dyDescent="0.35">
      <c r="A152" s="2" t="s">
        <v>1333</v>
      </c>
      <c r="B152" s="3">
        <v>44051</v>
      </c>
      <c r="C152" s="2" t="s">
        <v>1334</v>
      </c>
      <c r="D152" t="s">
        <v>6143</v>
      </c>
      <c r="E152" s="2">
        <v>1</v>
      </c>
      <c r="F152" s="2" t="str">
        <f>_xlfn.XLOOKUP(Orders[[#This Row],[Customer ID]],customers!$A$1:$A$1001,customers!$B$1:$B$1001,,0)</f>
        <v>Jacinthe Balsillie</v>
      </c>
      <c r="G152" s="2" t="str">
        <f>IF(_xlfn.XLOOKUP(C152,customers!$A$1:$A$1001,customers!C151:C1151,,0)=0,"",_xlfn.XLOOKUP(C152,customers!$A$1:$A$1001,customers!C151:C1151,,0))</f>
        <v>ade8c@1und1.de</v>
      </c>
      <c r="H152" s="2" t="str">
        <f>_xlfn.XLOOKUP(Orders[[#This Row],[Customer ID]],customers!$A$1:$A$1001,customers!$G$1:$G$1001,,0)</f>
        <v>United States</v>
      </c>
      <c r="I152" s="2" t="str">
        <f>_xlfn.XLOOKUP(Orders[[#This Row],[Customer ID]],customers!$A$1:$A$1001,customers!$F$1:$F$1001,,0)</f>
        <v>Roanoke</v>
      </c>
      <c r="J152" t="str">
        <f>INDEX(products!$A$1:$G$49,MATCH(orders!$D152,products!$A$1:$A$49,0),MATCH(orders!J$1,products!$A$1:$G$1,0))</f>
        <v>Lib</v>
      </c>
      <c r="K152" t="str">
        <f>INDEX(products!$A$1:$G$49,MATCH(orders!$D152,products!$A$1:$A$49,0),MATCH(orders!K$1,products!$A$1:$G$1,0))</f>
        <v>D</v>
      </c>
      <c r="L152" s="4">
        <f>INDEX(products!$A$1:$G$49,MATCH(orders!$D152,products!$A$1:$A$49,0),MATCH(orders!L$1,products!$A$1:$G$1,0))</f>
        <v>1</v>
      </c>
      <c r="M152" s="5">
        <f>INDEX(products!$A$1:$G$49,MATCH(orders!$D152,products!$A$1:$A$49,0),MATCH(orders!M$1,products!$A$1:$G$1,0))</f>
        <v>12.95</v>
      </c>
      <c r="N152" s="5">
        <f>Orders[[#This Row],[Quantity]]*(INDEX(products!$A$1:$G$49,MATCH(orders!$D152,products!$A$1:$A$49,0),MATCH(orders!N$1,products!$A$1:$G$1,0)))</f>
        <v>1.6835</v>
      </c>
      <c r="O152" s="5">
        <f>M152*E152</f>
        <v>12.95</v>
      </c>
      <c r="P152" t="str">
        <f t="shared" si="4"/>
        <v>Liberica</v>
      </c>
      <c r="Q152" t="str">
        <f t="shared" si="5"/>
        <v>Dark</v>
      </c>
      <c r="R152" t="str">
        <f>_xlfn.XLOOKUP(Orders[[#This Row],[Customer ID]],customers!$A$1:$A$1001,customers!$I$1:$I$1001,,0)</f>
        <v>Yes</v>
      </c>
    </row>
    <row r="153" spans="1:18" x14ac:dyDescent="0.35">
      <c r="A153" s="2" t="s">
        <v>1339</v>
      </c>
      <c r="B153" s="3">
        <v>44115</v>
      </c>
      <c r="C153" s="2" t="s">
        <v>1340</v>
      </c>
      <c r="D153" t="s">
        <v>6155</v>
      </c>
      <c r="E153" s="2">
        <v>3</v>
      </c>
      <c r="F153" s="2" t="str">
        <f>_xlfn.XLOOKUP(Orders[[#This Row],[Customer ID]],customers!$A$1:$A$1001,customers!$B$1:$B$1001,,0)</f>
        <v>Quinton Fouracres</v>
      </c>
      <c r="G153" s="2" t="str">
        <f>IF(_xlfn.XLOOKUP(C153,customers!$A$1:$A$1001,customers!C152:C1152,,0)=0,"",_xlfn.XLOOKUP(C153,customers!$A$1:$A$1001,customers!C152:C1152,,0))</f>
        <v>pstonner8e@moonfruit.com</v>
      </c>
      <c r="H153" s="2" t="str">
        <f>_xlfn.XLOOKUP(Orders[[#This Row],[Customer ID]],customers!$A$1:$A$1001,customers!$G$1:$G$1001,,0)</f>
        <v>United States</v>
      </c>
      <c r="I153" s="2" t="str">
        <f>_xlfn.XLOOKUP(Orders[[#This Row],[Customer ID]],customers!$A$1:$A$1001,customers!$F$1:$F$1001,,0)</f>
        <v>Des Moines</v>
      </c>
      <c r="J153" t="str">
        <f>INDEX(products!$A$1:$G$49,MATCH(orders!$D153,products!$A$1:$A$49,0),MATCH(orders!J$1,products!$A$1:$G$1,0))</f>
        <v>Ara</v>
      </c>
      <c r="K153" t="str">
        <f>INDEX(products!$A$1:$G$49,MATCH(orders!$D153,products!$A$1:$A$49,0),MATCH(orders!K$1,products!$A$1:$G$1,0))</f>
        <v>M</v>
      </c>
      <c r="L153" s="4">
        <f>INDEX(products!$A$1:$G$49,MATCH(orders!$D153,products!$A$1:$A$49,0),MATCH(orders!L$1,products!$A$1:$G$1,0))</f>
        <v>1</v>
      </c>
      <c r="M153" s="5">
        <f>INDEX(products!$A$1:$G$49,MATCH(orders!$D153,products!$A$1:$A$49,0),MATCH(orders!M$1,products!$A$1:$G$1,0))</f>
        <v>11.25</v>
      </c>
      <c r="N153" s="5">
        <f>Orders[[#This Row],[Quantity]]*(INDEX(products!$A$1:$G$49,MATCH(orders!$D153,products!$A$1:$A$49,0),MATCH(orders!N$1,products!$A$1:$G$1,0)))</f>
        <v>3.0374999999999996</v>
      </c>
      <c r="O153" s="5">
        <f>M153*E153</f>
        <v>33.75</v>
      </c>
      <c r="P153" t="str">
        <f t="shared" si="4"/>
        <v>Arabica</v>
      </c>
      <c r="Q153" t="str">
        <f t="shared" si="5"/>
        <v>Medium</v>
      </c>
      <c r="R153" t="str">
        <f>_xlfn.XLOOKUP(Orders[[#This Row],[Customer ID]],customers!$A$1:$A$1001,customers!$I$1:$I$1001,,0)</f>
        <v>Yes</v>
      </c>
    </row>
    <row r="154" spans="1:18" x14ac:dyDescent="0.35">
      <c r="A154" s="2" t="s">
        <v>1344</v>
      </c>
      <c r="B154" s="3">
        <v>44510</v>
      </c>
      <c r="C154" s="2" t="s">
        <v>1345</v>
      </c>
      <c r="D154" t="s">
        <v>6151</v>
      </c>
      <c r="E154" s="2">
        <v>3</v>
      </c>
      <c r="F154" s="2" t="str">
        <f>_xlfn.XLOOKUP(Orders[[#This Row],[Customer ID]],customers!$A$1:$A$1001,customers!$B$1:$B$1001,,0)</f>
        <v>Bettina Leffek</v>
      </c>
      <c r="G154" s="2" t="str">
        <f>IF(_xlfn.XLOOKUP(C154,customers!$A$1:$A$1001,customers!C153:C1153,,0)=0,"",_xlfn.XLOOKUP(C154,customers!$A$1:$A$1001,customers!C153:C1153,,0))</f>
        <v>rwhife8g@360.cn</v>
      </c>
      <c r="H154" s="2" t="str">
        <f>_xlfn.XLOOKUP(Orders[[#This Row],[Customer ID]],customers!$A$1:$A$1001,customers!$G$1:$G$1001,,0)</f>
        <v>United States</v>
      </c>
      <c r="I154" s="2" t="str">
        <f>_xlfn.XLOOKUP(Orders[[#This Row],[Customer ID]],customers!$A$1:$A$1001,customers!$F$1:$F$1001,,0)</f>
        <v>Honolulu</v>
      </c>
      <c r="J154" t="str">
        <f>INDEX(products!$A$1:$G$49,MATCH(orders!$D154,products!$A$1:$A$49,0),MATCH(orders!J$1,products!$A$1:$G$1,0))</f>
        <v>Rob</v>
      </c>
      <c r="K154" t="str">
        <f>INDEX(products!$A$1:$G$49,MATCH(orders!$D154,products!$A$1:$A$49,0),MATCH(orders!K$1,products!$A$1:$G$1,0))</f>
        <v>M</v>
      </c>
      <c r="L154" s="4">
        <f>INDEX(products!$A$1:$G$49,MATCH(orders!$D154,products!$A$1:$A$49,0),MATCH(orders!L$1,products!$A$1:$G$1,0))</f>
        <v>2.5</v>
      </c>
      <c r="M154" s="5">
        <f>INDEX(products!$A$1:$G$49,MATCH(orders!$D154,products!$A$1:$A$49,0),MATCH(orders!M$1,products!$A$1:$G$1,0))</f>
        <v>22.884999999999998</v>
      </c>
      <c r="N154" s="5">
        <f>Orders[[#This Row],[Quantity]]*(INDEX(products!$A$1:$G$49,MATCH(orders!$D154,products!$A$1:$A$49,0),MATCH(orders!N$1,products!$A$1:$G$1,0)))</f>
        <v>4.1192999999999991</v>
      </c>
      <c r="O154" s="5">
        <f>M154*E154</f>
        <v>68.655000000000001</v>
      </c>
      <c r="P154" t="str">
        <f t="shared" si="4"/>
        <v>Robusta</v>
      </c>
      <c r="Q154" t="str">
        <f t="shared" si="5"/>
        <v>Medium</v>
      </c>
      <c r="R154" t="str">
        <f>_xlfn.XLOOKUP(Orders[[#This Row],[Customer ID]],customers!$A$1:$A$1001,customers!$I$1:$I$1001,,0)</f>
        <v>Yes</v>
      </c>
    </row>
    <row r="155" spans="1:18" x14ac:dyDescent="0.35">
      <c r="A155" s="2" t="s">
        <v>1350</v>
      </c>
      <c r="B155" s="3">
        <v>44367</v>
      </c>
      <c r="C155" s="2" t="s">
        <v>1351</v>
      </c>
      <c r="D155" t="s">
        <v>6163</v>
      </c>
      <c r="E155" s="2">
        <v>1</v>
      </c>
      <c r="F155" s="2" t="str">
        <f>_xlfn.XLOOKUP(Orders[[#This Row],[Customer ID]],customers!$A$1:$A$1001,customers!$B$1:$B$1001,,0)</f>
        <v>Hetti Penson</v>
      </c>
      <c r="G155" s="2" t="str">
        <f>IF(_xlfn.XLOOKUP(C155,customers!$A$1:$A$1001,customers!C154:C1154,,0)=0,"",_xlfn.XLOOKUP(C155,customers!$A$1:$A$1001,customers!C154:C1154,,0))</f>
        <v>jbagot8i@mac.com</v>
      </c>
      <c r="H155" s="2" t="str">
        <f>_xlfn.XLOOKUP(Orders[[#This Row],[Customer ID]],customers!$A$1:$A$1001,customers!$G$1:$G$1001,,0)</f>
        <v>United States</v>
      </c>
      <c r="I155" s="2" t="str">
        <f>_xlfn.XLOOKUP(Orders[[#This Row],[Customer ID]],customers!$A$1:$A$1001,customers!$F$1:$F$1001,,0)</f>
        <v>Fort Lauderdale</v>
      </c>
      <c r="J155" t="str">
        <f>INDEX(products!$A$1:$G$49,MATCH(orders!$D155,products!$A$1:$A$49,0),MATCH(orders!J$1,products!$A$1:$G$1,0))</f>
        <v>Rob</v>
      </c>
      <c r="K155" t="str">
        <f>INDEX(products!$A$1:$G$49,MATCH(orders!$D155,products!$A$1:$A$49,0),MATCH(orders!K$1,products!$A$1:$G$1,0))</f>
        <v>D</v>
      </c>
      <c r="L155" s="4">
        <f>INDEX(products!$A$1:$G$49,MATCH(orders!$D155,products!$A$1:$A$49,0),MATCH(orders!L$1,products!$A$1:$G$1,0))</f>
        <v>0.2</v>
      </c>
      <c r="M155" s="5">
        <f>INDEX(products!$A$1:$G$49,MATCH(orders!$D155,products!$A$1:$A$49,0),MATCH(orders!M$1,products!$A$1:$G$1,0))</f>
        <v>2.6849999999999996</v>
      </c>
      <c r="N155" s="5">
        <f>Orders[[#This Row],[Quantity]]*(INDEX(products!$A$1:$G$49,MATCH(orders!$D155,products!$A$1:$A$49,0),MATCH(orders!N$1,products!$A$1:$G$1,0)))</f>
        <v>0.16109999999999997</v>
      </c>
      <c r="O155" s="5">
        <f>M155*E155</f>
        <v>2.6849999999999996</v>
      </c>
      <c r="P155" t="str">
        <f t="shared" si="4"/>
        <v>Robusta</v>
      </c>
      <c r="Q155" t="str">
        <f t="shared" si="5"/>
        <v>Dark</v>
      </c>
      <c r="R155" t="str">
        <f>_xlfn.XLOOKUP(Orders[[#This Row],[Customer ID]],customers!$A$1:$A$1001,customers!$I$1:$I$1001,,0)</f>
        <v>No</v>
      </c>
    </row>
    <row r="156" spans="1:18" x14ac:dyDescent="0.35">
      <c r="A156" s="2" t="s">
        <v>1355</v>
      </c>
      <c r="B156" s="3">
        <v>44473</v>
      </c>
      <c r="C156" s="2" t="s">
        <v>1356</v>
      </c>
      <c r="D156" t="s">
        <v>6168</v>
      </c>
      <c r="E156" s="2">
        <v>5</v>
      </c>
      <c r="F156" s="2" t="str">
        <f>_xlfn.XLOOKUP(Orders[[#This Row],[Customer ID]],customers!$A$1:$A$1001,customers!$B$1:$B$1001,,0)</f>
        <v>Jocko Pray</v>
      </c>
      <c r="G156" s="2" t="str">
        <f>IF(_xlfn.XLOOKUP(C156,customers!$A$1:$A$1001,customers!C155:C1155,,0)=0,"",_xlfn.XLOOKUP(C156,customers!$A$1:$A$1001,customers!C155:C1155,,0))</f>
        <v>cfluin8k@flickr.com</v>
      </c>
      <c r="H156" s="2" t="str">
        <f>_xlfn.XLOOKUP(Orders[[#This Row],[Customer ID]],customers!$A$1:$A$1001,customers!$G$1:$G$1001,,0)</f>
        <v>United States</v>
      </c>
      <c r="I156" s="2" t="str">
        <f>_xlfn.XLOOKUP(Orders[[#This Row],[Customer ID]],customers!$A$1:$A$1001,customers!$F$1:$F$1001,,0)</f>
        <v>Philadelphia</v>
      </c>
      <c r="J156" t="str">
        <f>INDEX(products!$A$1:$G$49,MATCH(orders!$D156,products!$A$1:$A$49,0),MATCH(orders!J$1,products!$A$1:$G$1,0))</f>
        <v>Ara</v>
      </c>
      <c r="K156" t="str">
        <f>INDEX(products!$A$1:$G$49,MATCH(orders!$D156,products!$A$1:$A$49,0),MATCH(orders!K$1,products!$A$1:$G$1,0))</f>
        <v>D</v>
      </c>
      <c r="L156" s="4">
        <f>INDEX(products!$A$1:$G$49,MATCH(orders!$D156,products!$A$1:$A$49,0),MATCH(orders!L$1,products!$A$1:$G$1,0))</f>
        <v>2.5</v>
      </c>
      <c r="M156" s="5">
        <f>INDEX(products!$A$1:$G$49,MATCH(orders!$D156,products!$A$1:$A$49,0),MATCH(orders!M$1,products!$A$1:$G$1,0))</f>
        <v>22.884999999999998</v>
      </c>
      <c r="N156" s="5">
        <f>Orders[[#This Row],[Quantity]]*(INDEX(products!$A$1:$G$49,MATCH(orders!$D156,products!$A$1:$A$49,0),MATCH(orders!N$1,products!$A$1:$G$1,0)))</f>
        <v>10.298249999999998</v>
      </c>
      <c r="O156" s="5">
        <f>M156*E156</f>
        <v>114.42499999999998</v>
      </c>
      <c r="P156" t="str">
        <f t="shared" si="4"/>
        <v>Arabica</v>
      </c>
      <c r="Q156" t="str">
        <f t="shared" si="5"/>
        <v>Dark</v>
      </c>
      <c r="R156" t="str">
        <f>_xlfn.XLOOKUP(Orders[[#This Row],[Customer ID]],customers!$A$1:$A$1001,customers!$I$1:$I$1001,,0)</f>
        <v>No</v>
      </c>
    </row>
    <row r="157" spans="1:18" x14ac:dyDescent="0.35">
      <c r="A157" s="2" t="s">
        <v>1361</v>
      </c>
      <c r="B157" s="3">
        <v>43640</v>
      </c>
      <c r="C157" s="2" t="s">
        <v>1362</v>
      </c>
      <c r="D157" t="s">
        <v>6175</v>
      </c>
      <c r="E157" s="2">
        <v>6</v>
      </c>
      <c r="F157" s="2" t="str">
        <f>_xlfn.XLOOKUP(Orders[[#This Row],[Customer ID]],customers!$A$1:$A$1001,customers!$B$1:$B$1001,,0)</f>
        <v>Grete Holborn</v>
      </c>
      <c r="G157" s="2" t="str">
        <f>IF(_xlfn.XLOOKUP(C157,customers!$A$1:$A$1001,customers!C156:C1156,,0)=0,"",_xlfn.XLOOKUP(C157,customers!$A$1:$A$1001,customers!C156:C1156,,0))</f>
        <v>pbrydell8m@bloglovin.com</v>
      </c>
      <c r="H157" s="2" t="str">
        <f>_xlfn.XLOOKUP(Orders[[#This Row],[Customer ID]],customers!$A$1:$A$1001,customers!$G$1:$G$1001,,0)</f>
        <v>United States</v>
      </c>
      <c r="I157" s="2" t="str">
        <f>_xlfn.XLOOKUP(Orders[[#This Row],[Customer ID]],customers!$A$1:$A$1001,customers!$F$1:$F$1001,,0)</f>
        <v>Norwalk</v>
      </c>
      <c r="J157" t="str">
        <f>INDEX(products!$A$1:$G$49,MATCH(orders!$D157,products!$A$1:$A$49,0),MATCH(orders!J$1,products!$A$1:$G$1,0))</f>
        <v>Ara</v>
      </c>
      <c r="K157" t="str">
        <f>INDEX(products!$A$1:$G$49,MATCH(orders!$D157,products!$A$1:$A$49,0),MATCH(orders!K$1,products!$A$1:$G$1,0))</f>
        <v>M</v>
      </c>
      <c r="L157" s="4">
        <f>INDEX(products!$A$1:$G$49,MATCH(orders!$D157,products!$A$1:$A$49,0),MATCH(orders!L$1,products!$A$1:$G$1,0))</f>
        <v>2.5</v>
      </c>
      <c r="M157" s="5">
        <f>INDEX(products!$A$1:$G$49,MATCH(orders!$D157,products!$A$1:$A$49,0),MATCH(orders!M$1,products!$A$1:$G$1,0))</f>
        <v>25.874999999999996</v>
      </c>
      <c r="N157" s="5">
        <f>Orders[[#This Row],[Quantity]]*(INDEX(products!$A$1:$G$49,MATCH(orders!$D157,products!$A$1:$A$49,0),MATCH(orders!N$1,products!$A$1:$G$1,0)))</f>
        <v>13.972499999999997</v>
      </c>
      <c r="O157" s="5">
        <f>M157*E157</f>
        <v>155.24999999999997</v>
      </c>
      <c r="P157" t="str">
        <f t="shared" si="4"/>
        <v>Arabica</v>
      </c>
      <c r="Q157" t="str">
        <f t="shared" si="5"/>
        <v>Medium</v>
      </c>
      <c r="R157" t="str">
        <f>_xlfn.XLOOKUP(Orders[[#This Row],[Customer ID]],customers!$A$1:$A$1001,customers!$I$1:$I$1001,,0)</f>
        <v>Yes</v>
      </c>
    </row>
    <row r="158" spans="1:18" x14ac:dyDescent="0.35">
      <c r="A158" s="2" t="s">
        <v>1367</v>
      </c>
      <c r="B158" s="3">
        <v>43764</v>
      </c>
      <c r="C158" s="2" t="s">
        <v>1368</v>
      </c>
      <c r="D158" t="s">
        <v>6175</v>
      </c>
      <c r="E158" s="2">
        <v>3</v>
      </c>
      <c r="F158" s="2" t="str">
        <f>_xlfn.XLOOKUP(Orders[[#This Row],[Customer ID]],customers!$A$1:$A$1001,customers!$B$1:$B$1001,,0)</f>
        <v>Fielding Keinrat</v>
      </c>
      <c r="G158" s="2" t="str">
        <f>IF(_xlfn.XLOOKUP(C158,customers!$A$1:$A$1001,customers!C157:C1157,,0)=0,"",_xlfn.XLOOKUP(C158,customers!$A$1:$A$1001,customers!C157:C1157,,0))</f>
        <v>nleethem8o@mac.com</v>
      </c>
      <c r="H158" s="2" t="str">
        <f>_xlfn.XLOOKUP(Orders[[#This Row],[Customer ID]],customers!$A$1:$A$1001,customers!$G$1:$G$1001,,0)</f>
        <v>United States</v>
      </c>
      <c r="I158" s="2" t="str">
        <f>_xlfn.XLOOKUP(Orders[[#This Row],[Customer ID]],customers!$A$1:$A$1001,customers!$F$1:$F$1001,,0)</f>
        <v>Arlington</v>
      </c>
      <c r="J158" t="str">
        <f>INDEX(products!$A$1:$G$49,MATCH(orders!$D158,products!$A$1:$A$49,0),MATCH(orders!J$1,products!$A$1:$G$1,0))</f>
        <v>Ara</v>
      </c>
      <c r="K158" t="str">
        <f>INDEX(products!$A$1:$G$49,MATCH(orders!$D158,products!$A$1:$A$49,0),MATCH(orders!K$1,products!$A$1:$G$1,0))</f>
        <v>M</v>
      </c>
      <c r="L158" s="4">
        <f>INDEX(products!$A$1:$G$49,MATCH(orders!$D158,products!$A$1:$A$49,0),MATCH(orders!L$1,products!$A$1:$G$1,0))</f>
        <v>2.5</v>
      </c>
      <c r="M158" s="5">
        <f>INDEX(products!$A$1:$G$49,MATCH(orders!$D158,products!$A$1:$A$49,0),MATCH(orders!M$1,products!$A$1:$G$1,0))</f>
        <v>25.874999999999996</v>
      </c>
      <c r="N158" s="5">
        <f>Orders[[#This Row],[Quantity]]*(INDEX(products!$A$1:$G$49,MATCH(orders!$D158,products!$A$1:$A$49,0),MATCH(orders!N$1,products!$A$1:$G$1,0)))</f>
        <v>6.9862499999999983</v>
      </c>
      <c r="O158" s="5">
        <f>M158*E158</f>
        <v>77.624999999999986</v>
      </c>
      <c r="P158" t="str">
        <f t="shared" si="4"/>
        <v>Arabica</v>
      </c>
      <c r="Q158" t="str">
        <f t="shared" si="5"/>
        <v>Medium</v>
      </c>
      <c r="R158" t="str">
        <f>_xlfn.XLOOKUP(Orders[[#This Row],[Customer ID]],customers!$A$1:$A$1001,customers!$I$1:$I$1001,,0)</f>
        <v>Yes</v>
      </c>
    </row>
    <row r="159" spans="1:18" x14ac:dyDescent="0.35">
      <c r="A159" s="2" t="s">
        <v>1373</v>
      </c>
      <c r="B159" s="3">
        <v>44374</v>
      </c>
      <c r="C159" s="2" t="s">
        <v>1374</v>
      </c>
      <c r="D159" t="s">
        <v>6149</v>
      </c>
      <c r="E159" s="2">
        <v>3</v>
      </c>
      <c r="F159" s="2" t="str">
        <f>_xlfn.XLOOKUP(Orders[[#This Row],[Customer ID]],customers!$A$1:$A$1001,customers!$B$1:$B$1001,,0)</f>
        <v>Paulo Yea</v>
      </c>
      <c r="G159" s="2" t="str">
        <f>IF(_xlfn.XLOOKUP(C159,customers!$A$1:$A$1001,customers!C158:C1158,,0)=0,"",_xlfn.XLOOKUP(C159,customers!$A$1:$A$1001,customers!C158:C1158,,0))</f>
        <v/>
      </c>
      <c r="H159" s="2" t="str">
        <f>_xlfn.XLOOKUP(Orders[[#This Row],[Customer ID]],customers!$A$1:$A$1001,customers!$G$1:$G$1001,,0)</f>
        <v>Ireland</v>
      </c>
      <c r="I159" s="2" t="str">
        <f>_xlfn.XLOOKUP(Orders[[#This Row],[Customer ID]],customers!$A$1:$A$1001,customers!$F$1:$F$1001,,0)</f>
        <v>Ashford</v>
      </c>
      <c r="J159" t="str">
        <f>INDEX(products!$A$1:$G$49,MATCH(orders!$D159,products!$A$1:$A$49,0),MATCH(orders!J$1,products!$A$1:$G$1,0))</f>
        <v>Rob</v>
      </c>
      <c r="K159" t="str">
        <f>INDEX(products!$A$1:$G$49,MATCH(orders!$D159,products!$A$1:$A$49,0),MATCH(orders!K$1,products!$A$1:$G$1,0))</f>
        <v>D</v>
      </c>
      <c r="L159" s="4">
        <f>INDEX(products!$A$1:$G$49,MATCH(orders!$D159,products!$A$1:$A$49,0),MATCH(orders!L$1,products!$A$1:$G$1,0))</f>
        <v>2.5</v>
      </c>
      <c r="M159" s="5">
        <f>INDEX(products!$A$1:$G$49,MATCH(orders!$D159,products!$A$1:$A$49,0),MATCH(orders!M$1,products!$A$1:$G$1,0))</f>
        <v>20.584999999999997</v>
      </c>
      <c r="N159" s="5">
        <f>Orders[[#This Row],[Quantity]]*(INDEX(products!$A$1:$G$49,MATCH(orders!$D159,products!$A$1:$A$49,0),MATCH(orders!N$1,products!$A$1:$G$1,0)))</f>
        <v>3.7052999999999994</v>
      </c>
      <c r="O159" s="5">
        <f>M159*E159</f>
        <v>61.754999999999995</v>
      </c>
      <c r="P159" t="str">
        <f t="shared" si="4"/>
        <v>Robusta</v>
      </c>
      <c r="Q159" t="str">
        <f t="shared" si="5"/>
        <v>Dark</v>
      </c>
      <c r="R159" t="str">
        <f>_xlfn.XLOOKUP(Orders[[#This Row],[Customer ID]],customers!$A$1:$A$1001,customers!$I$1:$I$1001,,0)</f>
        <v>No</v>
      </c>
    </row>
    <row r="160" spans="1:18" x14ac:dyDescent="0.35">
      <c r="A160" s="2" t="s">
        <v>1379</v>
      </c>
      <c r="B160" s="3">
        <v>43714</v>
      </c>
      <c r="C160" s="2" t="s">
        <v>1380</v>
      </c>
      <c r="D160" t="s">
        <v>6149</v>
      </c>
      <c r="E160" s="2">
        <v>6</v>
      </c>
      <c r="F160" s="2" t="str">
        <f>_xlfn.XLOOKUP(Orders[[#This Row],[Customer ID]],customers!$A$1:$A$1001,customers!$B$1:$B$1001,,0)</f>
        <v>Say Risborough</v>
      </c>
      <c r="G160" s="2" t="str">
        <f>IF(_xlfn.XLOOKUP(C160,customers!$A$1:$A$1001,customers!C159:C1159,,0)=0,"",_xlfn.XLOOKUP(C160,customers!$A$1:$A$1001,customers!C159:C1159,,0))</f>
        <v>nlush8s@dedecms.com</v>
      </c>
      <c r="H160" s="2" t="str">
        <f>_xlfn.XLOOKUP(Orders[[#This Row],[Customer ID]],customers!$A$1:$A$1001,customers!$G$1:$G$1001,,0)</f>
        <v>United States</v>
      </c>
      <c r="I160" s="2" t="str">
        <f>_xlfn.XLOOKUP(Orders[[#This Row],[Customer ID]],customers!$A$1:$A$1001,customers!$F$1:$F$1001,,0)</f>
        <v>Chattanooga</v>
      </c>
      <c r="J160" t="str">
        <f>INDEX(products!$A$1:$G$49,MATCH(orders!$D160,products!$A$1:$A$49,0),MATCH(orders!J$1,products!$A$1:$G$1,0))</f>
        <v>Rob</v>
      </c>
      <c r="K160" t="str">
        <f>INDEX(products!$A$1:$G$49,MATCH(orders!$D160,products!$A$1:$A$49,0),MATCH(orders!K$1,products!$A$1:$G$1,0))</f>
        <v>D</v>
      </c>
      <c r="L160" s="4">
        <f>INDEX(products!$A$1:$G$49,MATCH(orders!$D160,products!$A$1:$A$49,0),MATCH(orders!L$1,products!$A$1:$G$1,0))</f>
        <v>2.5</v>
      </c>
      <c r="M160" s="5">
        <f>INDEX(products!$A$1:$G$49,MATCH(orders!$D160,products!$A$1:$A$49,0),MATCH(orders!M$1,products!$A$1:$G$1,0))</f>
        <v>20.584999999999997</v>
      </c>
      <c r="N160" s="5">
        <f>Orders[[#This Row],[Quantity]]*(INDEX(products!$A$1:$G$49,MATCH(orders!$D160,products!$A$1:$A$49,0),MATCH(orders!N$1,products!$A$1:$G$1,0)))</f>
        <v>7.4105999999999987</v>
      </c>
      <c r="O160" s="5">
        <f>M160*E160</f>
        <v>123.50999999999999</v>
      </c>
      <c r="P160" t="str">
        <f t="shared" si="4"/>
        <v>Robusta</v>
      </c>
      <c r="Q160" t="str">
        <f t="shared" si="5"/>
        <v>Dark</v>
      </c>
      <c r="R160" t="str">
        <f>_xlfn.XLOOKUP(Orders[[#This Row],[Customer ID]],customers!$A$1:$A$1001,customers!$I$1:$I$1001,,0)</f>
        <v>Yes</v>
      </c>
    </row>
    <row r="161" spans="1:18" x14ac:dyDescent="0.35">
      <c r="A161" s="2" t="s">
        <v>1384</v>
      </c>
      <c r="B161" s="3">
        <v>44316</v>
      </c>
      <c r="C161" s="2" t="s">
        <v>1385</v>
      </c>
      <c r="D161" t="s">
        <v>6164</v>
      </c>
      <c r="E161" s="2">
        <v>6</v>
      </c>
      <c r="F161" s="2" t="str">
        <f>_xlfn.XLOOKUP(Orders[[#This Row],[Customer ID]],customers!$A$1:$A$1001,customers!$B$1:$B$1001,,0)</f>
        <v>Alexa Sizey</v>
      </c>
      <c r="G161" s="2" t="str">
        <f>IF(_xlfn.XLOOKUP(C161,customers!$A$1:$A$1001,customers!C160:C1160,,0)=0,"",_xlfn.XLOOKUP(C161,customers!$A$1:$A$1001,customers!C160:C1160,,0))</f>
        <v>tbennison8u@google.cn</v>
      </c>
      <c r="H161" s="2" t="str">
        <f>_xlfn.XLOOKUP(Orders[[#This Row],[Customer ID]],customers!$A$1:$A$1001,customers!$G$1:$G$1001,,0)</f>
        <v>United States</v>
      </c>
      <c r="I161" s="2" t="str">
        <f>_xlfn.XLOOKUP(Orders[[#This Row],[Customer ID]],customers!$A$1:$A$1001,customers!$F$1:$F$1001,,0)</f>
        <v>Portland</v>
      </c>
      <c r="J161" t="str">
        <f>INDEX(products!$A$1:$G$49,MATCH(orders!$D161,products!$A$1:$A$49,0),MATCH(orders!J$1,products!$A$1:$G$1,0))</f>
        <v>Lib</v>
      </c>
      <c r="K161" t="str">
        <f>INDEX(products!$A$1:$G$49,MATCH(orders!$D161,products!$A$1:$A$49,0),MATCH(orders!K$1,products!$A$1:$G$1,0))</f>
        <v>L</v>
      </c>
      <c r="L161" s="4">
        <f>INDEX(products!$A$1:$G$49,MATCH(orders!$D161,products!$A$1:$A$49,0),MATCH(orders!L$1,products!$A$1:$G$1,0))</f>
        <v>2.5</v>
      </c>
      <c r="M161" s="5">
        <f>INDEX(products!$A$1:$G$49,MATCH(orders!$D161,products!$A$1:$A$49,0),MATCH(orders!M$1,products!$A$1:$G$1,0))</f>
        <v>36.454999999999998</v>
      </c>
      <c r="N161" s="5">
        <f>Orders[[#This Row],[Quantity]]*(INDEX(products!$A$1:$G$49,MATCH(orders!$D161,products!$A$1:$A$49,0),MATCH(orders!N$1,products!$A$1:$G$1,0)))</f>
        <v>28.434899999999999</v>
      </c>
      <c r="O161" s="5">
        <f>M161*E161</f>
        <v>218.73</v>
      </c>
      <c r="P161" t="str">
        <f t="shared" si="4"/>
        <v>Liberica</v>
      </c>
      <c r="Q161" t="str">
        <f t="shared" si="5"/>
        <v>Light</v>
      </c>
      <c r="R161" t="str">
        <f>_xlfn.XLOOKUP(Orders[[#This Row],[Customer ID]],customers!$A$1:$A$1001,customers!$I$1:$I$1001,,0)</f>
        <v>No</v>
      </c>
    </row>
    <row r="162" spans="1:18" x14ac:dyDescent="0.35">
      <c r="A162" s="2" t="s">
        <v>1389</v>
      </c>
      <c r="B162" s="3">
        <v>43837</v>
      </c>
      <c r="C162" s="2" t="s">
        <v>1390</v>
      </c>
      <c r="D162" t="s">
        <v>6139</v>
      </c>
      <c r="E162" s="2">
        <v>4</v>
      </c>
      <c r="F162" s="2" t="str">
        <f>_xlfn.XLOOKUP(Orders[[#This Row],[Customer ID]],customers!$A$1:$A$1001,customers!$B$1:$B$1001,,0)</f>
        <v>Kari Swede</v>
      </c>
      <c r="G162" s="2" t="str">
        <f>IF(_xlfn.XLOOKUP(C162,customers!$A$1:$A$1001,customers!C161:C1161,,0)=0,"",_xlfn.XLOOKUP(C162,customers!$A$1:$A$1001,customers!C161:C1161,,0))</f>
        <v>fcusick8w@hatena.ne.jp</v>
      </c>
      <c r="H162" s="2" t="str">
        <f>_xlfn.XLOOKUP(Orders[[#This Row],[Customer ID]],customers!$A$1:$A$1001,customers!$G$1:$G$1001,,0)</f>
        <v>United States</v>
      </c>
      <c r="I162" s="2" t="str">
        <f>_xlfn.XLOOKUP(Orders[[#This Row],[Customer ID]],customers!$A$1:$A$1001,customers!$F$1:$F$1001,,0)</f>
        <v>Oklahoma City</v>
      </c>
      <c r="J162" t="str">
        <f>INDEX(products!$A$1:$G$49,MATCH(orders!$D162,products!$A$1:$A$49,0),MATCH(orders!J$1,products!$A$1:$G$1,0))</f>
        <v>Exc</v>
      </c>
      <c r="K162" t="str">
        <f>INDEX(products!$A$1:$G$49,MATCH(orders!$D162,products!$A$1:$A$49,0),MATCH(orders!K$1,products!$A$1:$G$1,0))</f>
        <v>M</v>
      </c>
      <c r="L162" s="4">
        <f>INDEX(products!$A$1:$G$49,MATCH(orders!$D162,products!$A$1:$A$49,0),MATCH(orders!L$1,products!$A$1:$G$1,0))</f>
        <v>0.5</v>
      </c>
      <c r="M162" s="5">
        <f>INDEX(products!$A$1:$G$49,MATCH(orders!$D162,products!$A$1:$A$49,0),MATCH(orders!M$1,products!$A$1:$G$1,0))</f>
        <v>8.25</v>
      </c>
      <c r="N162" s="5">
        <f>Orders[[#This Row],[Quantity]]*(INDEX(products!$A$1:$G$49,MATCH(orders!$D162,products!$A$1:$A$49,0),MATCH(orders!N$1,products!$A$1:$G$1,0)))</f>
        <v>3.63</v>
      </c>
      <c r="O162" s="5">
        <f>M162*E162</f>
        <v>33</v>
      </c>
      <c r="P162" t="str">
        <f t="shared" si="4"/>
        <v>Excelsa</v>
      </c>
      <c r="Q162" t="str">
        <f t="shared" si="5"/>
        <v>Medium</v>
      </c>
      <c r="R162" t="str">
        <f>_xlfn.XLOOKUP(Orders[[#This Row],[Customer ID]],customers!$A$1:$A$1001,customers!$I$1:$I$1001,,0)</f>
        <v>No</v>
      </c>
    </row>
    <row r="163" spans="1:18" x14ac:dyDescent="0.35">
      <c r="A163" s="2" t="s">
        <v>1395</v>
      </c>
      <c r="B163" s="3">
        <v>44207</v>
      </c>
      <c r="C163" s="2" t="s">
        <v>1396</v>
      </c>
      <c r="D163" t="s">
        <v>6180</v>
      </c>
      <c r="E163" s="2">
        <v>3</v>
      </c>
      <c r="F163" s="2" t="str">
        <f>_xlfn.XLOOKUP(Orders[[#This Row],[Customer ID]],customers!$A$1:$A$1001,customers!$B$1:$B$1001,,0)</f>
        <v>Leontine Rubrow</v>
      </c>
      <c r="G163" s="2" t="str">
        <f>IF(_xlfn.XLOOKUP(C163,customers!$A$1:$A$1001,customers!C162:C1162,,0)=0,"",_xlfn.XLOOKUP(C163,customers!$A$1:$A$1001,customers!C162:C1162,,0))</f>
        <v>sjeyness8y@biglobe.ne.jp</v>
      </c>
      <c r="H163" s="2" t="str">
        <f>_xlfn.XLOOKUP(Orders[[#This Row],[Customer ID]],customers!$A$1:$A$1001,customers!$G$1:$G$1001,,0)</f>
        <v>United States</v>
      </c>
      <c r="I163" s="2" t="str">
        <f>_xlfn.XLOOKUP(Orders[[#This Row],[Customer ID]],customers!$A$1:$A$1001,customers!$F$1:$F$1001,,0)</f>
        <v>Washington</v>
      </c>
      <c r="J163" t="str">
        <f>INDEX(products!$A$1:$G$49,MATCH(orders!$D163,products!$A$1:$A$49,0),MATCH(orders!J$1,products!$A$1:$G$1,0))</f>
        <v>Ara</v>
      </c>
      <c r="K163" t="str">
        <f>INDEX(products!$A$1:$G$49,MATCH(orders!$D163,products!$A$1:$A$49,0),MATCH(orders!K$1,products!$A$1:$G$1,0))</f>
        <v>L</v>
      </c>
      <c r="L163" s="4">
        <f>INDEX(products!$A$1:$G$49,MATCH(orders!$D163,products!$A$1:$A$49,0),MATCH(orders!L$1,products!$A$1:$G$1,0))</f>
        <v>0.5</v>
      </c>
      <c r="M163" s="5">
        <f>INDEX(products!$A$1:$G$49,MATCH(orders!$D163,products!$A$1:$A$49,0),MATCH(orders!M$1,products!$A$1:$G$1,0))</f>
        <v>7.77</v>
      </c>
      <c r="N163" s="5">
        <f>Orders[[#This Row],[Quantity]]*(INDEX(products!$A$1:$G$49,MATCH(orders!$D163,products!$A$1:$A$49,0),MATCH(orders!N$1,products!$A$1:$G$1,0)))</f>
        <v>2.0978999999999997</v>
      </c>
      <c r="O163" s="5">
        <f>M163*E163</f>
        <v>23.31</v>
      </c>
      <c r="P163" t="str">
        <f t="shared" si="4"/>
        <v>Arabica</v>
      </c>
      <c r="Q163" t="str">
        <f t="shared" si="5"/>
        <v>Light</v>
      </c>
      <c r="R163" t="str">
        <f>_xlfn.XLOOKUP(Orders[[#This Row],[Customer ID]],customers!$A$1:$A$1001,customers!$I$1:$I$1001,,0)</f>
        <v>No</v>
      </c>
    </row>
    <row r="164" spans="1:18" x14ac:dyDescent="0.35">
      <c r="A164" s="2" t="s">
        <v>1401</v>
      </c>
      <c r="B164" s="3">
        <v>44515</v>
      </c>
      <c r="C164" s="2" t="s">
        <v>1402</v>
      </c>
      <c r="D164" t="s">
        <v>6144</v>
      </c>
      <c r="E164" s="2">
        <v>3</v>
      </c>
      <c r="F164" s="2" t="str">
        <f>_xlfn.XLOOKUP(Orders[[#This Row],[Customer ID]],customers!$A$1:$A$1001,customers!$B$1:$B$1001,,0)</f>
        <v>Dottie Tift</v>
      </c>
      <c r="G164" s="2" t="str">
        <f>IF(_xlfn.XLOOKUP(C164,customers!$A$1:$A$1001,customers!C163:C1163,,0)=0,"",_xlfn.XLOOKUP(C164,customers!$A$1:$A$1001,customers!C163:C1163,,0))</f>
        <v/>
      </c>
      <c r="H164" s="2" t="str">
        <f>_xlfn.XLOOKUP(Orders[[#This Row],[Customer ID]],customers!$A$1:$A$1001,customers!$G$1:$G$1001,,0)</f>
        <v>United States</v>
      </c>
      <c r="I164" s="2" t="str">
        <f>_xlfn.XLOOKUP(Orders[[#This Row],[Customer ID]],customers!$A$1:$A$1001,customers!$F$1:$F$1001,,0)</f>
        <v>Greensboro</v>
      </c>
      <c r="J164" t="str">
        <f>INDEX(products!$A$1:$G$49,MATCH(orders!$D164,products!$A$1:$A$49,0),MATCH(orders!J$1,products!$A$1:$G$1,0))</f>
        <v>Exc</v>
      </c>
      <c r="K164" t="str">
        <f>INDEX(products!$A$1:$G$49,MATCH(orders!$D164,products!$A$1:$A$49,0),MATCH(orders!K$1,products!$A$1:$G$1,0))</f>
        <v>D</v>
      </c>
      <c r="L164" s="4">
        <f>INDEX(products!$A$1:$G$49,MATCH(orders!$D164,products!$A$1:$A$49,0),MATCH(orders!L$1,products!$A$1:$G$1,0))</f>
        <v>0.5</v>
      </c>
      <c r="M164" s="5">
        <f>INDEX(products!$A$1:$G$49,MATCH(orders!$D164,products!$A$1:$A$49,0),MATCH(orders!M$1,products!$A$1:$G$1,0))</f>
        <v>7.29</v>
      </c>
      <c r="N164" s="5">
        <f>Orders[[#This Row],[Quantity]]*(INDEX(products!$A$1:$G$49,MATCH(orders!$D164,products!$A$1:$A$49,0),MATCH(orders!N$1,products!$A$1:$G$1,0)))</f>
        <v>2.4057000000000004</v>
      </c>
      <c r="O164" s="5">
        <f>M164*E164</f>
        <v>21.87</v>
      </c>
      <c r="P164" t="str">
        <f t="shared" si="4"/>
        <v>Excelsa</v>
      </c>
      <c r="Q164" t="str">
        <f t="shared" si="5"/>
        <v>Dark</v>
      </c>
      <c r="R164" t="str">
        <f>_xlfn.XLOOKUP(Orders[[#This Row],[Customer ID]],customers!$A$1:$A$1001,customers!$I$1:$I$1001,,0)</f>
        <v>Yes</v>
      </c>
    </row>
    <row r="165" spans="1:18" x14ac:dyDescent="0.35">
      <c r="A165" s="2" t="s">
        <v>1407</v>
      </c>
      <c r="B165" s="3">
        <v>43619</v>
      </c>
      <c r="C165" s="2" t="s">
        <v>1408</v>
      </c>
      <c r="D165" t="s">
        <v>6163</v>
      </c>
      <c r="E165" s="2">
        <v>6</v>
      </c>
      <c r="F165" s="2" t="str">
        <f>_xlfn.XLOOKUP(Orders[[#This Row],[Customer ID]],customers!$A$1:$A$1001,customers!$B$1:$B$1001,,0)</f>
        <v>Gerardo Schonfeld</v>
      </c>
      <c r="G165" s="2" t="str">
        <f>IF(_xlfn.XLOOKUP(C165,customers!$A$1:$A$1001,customers!C164:C1164,,0)=0,"",_xlfn.XLOOKUP(C165,customers!$A$1:$A$1001,customers!C164:C1164,,0))</f>
        <v/>
      </c>
      <c r="H165" s="2" t="str">
        <f>_xlfn.XLOOKUP(Orders[[#This Row],[Customer ID]],customers!$A$1:$A$1001,customers!$G$1:$G$1001,,0)</f>
        <v>United States</v>
      </c>
      <c r="I165" s="2" t="str">
        <f>_xlfn.XLOOKUP(Orders[[#This Row],[Customer ID]],customers!$A$1:$A$1001,customers!$F$1:$F$1001,,0)</f>
        <v>Alexandria</v>
      </c>
      <c r="J165" t="str">
        <f>INDEX(products!$A$1:$G$49,MATCH(orders!$D165,products!$A$1:$A$49,0),MATCH(orders!J$1,products!$A$1:$G$1,0))</f>
        <v>Rob</v>
      </c>
      <c r="K165" t="str">
        <f>INDEX(products!$A$1:$G$49,MATCH(orders!$D165,products!$A$1:$A$49,0),MATCH(orders!K$1,products!$A$1:$G$1,0))</f>
        <v>D</v>
      </c>
      <c r="L165" s="4">
        <f>INDEX(products!$A$1:$G$49,MATCH(orders!$D165,products!$A$1:$A$49,0),MATCH(orders!L$1,products!$A$1:$G$1,0))</f>
        <v>0.2</v>
      </c>
      <c r="M165" s="5">
        <f>INDEX(products!$A$1:$G$49,MATCH(orders!$D165,products!$A$1:$A$49,0),MATCH(orders!M$1,products!$A$1:$G$1,0))</f>
        <v>2.6849999999999996</v>
      </c>
      <c r="N165" s="5">
        <f>Orders[[#This Row],[Quantity]]*(INDEX(products!$A$1:$G$49,MATCH(orders!$D165,products!$A$1:$A$49,0),MATCH(orders!N$1,products!$A$1:$G$1,0)))</f>
        <v>0.96659999999999979</v>
      </c>
      <c r="O165" s="5">
        <f>M165*E165</f>
        <v>16.11</v>
      </c>
      <c r="P165" t="str">
        <f t="shared" si="4"/>
        <v>Robusta</v>
      </c>
      <c r="Q165" t="str">
        <f t="shared" si="5"/>
        <v>Dark</v>
      </c>
      <c r="R165" t="str">
        <f>_xlfn.XLOOKUP(Orders[[#This Row],[Customer ID]],customers!$A$1:$A$1001,customers!$I$1:$I$1001,,0)</f>
        <v>No</v>
      </c>
    </row>
    <row r="166" spans="1:18" x14ac:dyDescent="0.35">
      <c r="A166" s="2" t="s">
        <v>1413</v>
      </c>
      <c r="B166" s="3">
        <v>44182</v>
      </c>
      <c r="C166" s="2" t="s">
        <v>1414</v>
      </c>
      <c r="D166" t="s">
        <v>6144</v>
      </c>
      <c r="E166" s="2">
        <v>4</v>
      </c>
      <c r="F166" s="2" t="str">
        <f>_xlfn.XLOOKUP(Orders[[#This Row],[Customer ID]],customers!$A$1:$A$1001,customers!$B$1:$B$1001,,0)</f>
        <v>Claiborne Feye</v>
      </c>
      <c r="G166" s="2" t="str">
        <f>IF(_xlfn.XLOOKUP(C166,customers!$A$1:$A$1001,customers!C165:C1165,,0)=0,"",_xlfn.XLOOKUP(C166,customers!$A$1:$A$1001,customers!C165:C1165,,0))</f>
        <v/>
      </c>
      <c r="H166" s="2" t="str">
        <f>_xlfn.XLOOKUP(Orders[[#This Row],[Customer ID]],customers!$A$1:$A$1001,customers!$G$1:$G$1001,,0)</f>
        <v>Ireland</v>
      </c>
      <c r="I166" s="2" t="str">
        <f>_xlfn.XLOOKUP(Orders[[#This Row],[Customer ID]],customers!$A$1:$A$1001,customers!$F$1:$F$1001,,0)</f>
        <v>Castlebridge</v>
      </c>
      <c r="J166" t="str">
        <f>INDEX(products!$A$1:$G$49,MATCH(orders!$D166,products!$A$1:$A$49,0),MATCH(orders!J$1,products!$A$1:$G$1,0))</f>
        <v>Exc</v>
      </c>
      <c r="K166" t="str">
        <f>INDEX(products!$A$1:$G$49,MATCH(orders!$D166,products!$A$1:$A$49,0),MATCH(orders!K$1,products!$A$1:$G$1,0))</f>
        <v>D</v>
      </c>
      <c r="L166" s="4">
        <f>INDEX(products!$A$1:$G$49,MATCH(orders!$D166,products!$A$1:$A$49,0),MATCH(orders!L$1,products!$A$1:$G$1,0))</f>
        <v>0.5</v>
      </c>
      <c r="M166" s="5">
        <f>INDEX(products!$A$1:$G$49,MATCH(orders!$D166,products!$A$1:$A$49,0),MATCH(orders!M$1,products!$A$1:$G$1,0))</f>
        <v>7.29</v>
      </c>
      <c r="N166" s="5">
        <f>Orders[[#This Row],[Quantity]]*(INDEX(products!$A$1:$G$49,MATCH(orders!$D166,products!$A$1:$A$49,0),MATCH(orders!N$1,products!$A$1:$G$1,0)))</f>
        <v>3.2076000000000002</v>
      </c>
      <c r="O166" s="5">
        <f>M166*E166</f>
        <v>29.16</v>
      </c>
      <c r="P166" t="str">
        <f t="shared" si="4"/>
        <v>Excelsa</v>
      </c>
      <c r="Q166" t="str">
        <f t="shared" si="5"/>
        <v>Dark</v>
      </c>
      <c r="R166" t="str">
        <f>_xlfn.XLOOKUP(Orders[[#This Row],[Customer ID]],customers!$A$1:$A$1001,customers!$I$1:$I$1001,,0)</f>
        <v>No</v>
      </c>
    </row>
    <row r="167" spans="1:18" x14ac:dyDescent="0.35">
      <c r="A167" s="2" t="s">
        <v>1420</v>
      </c>
      <c r="B167" s="3">
        <v>44234</v>
      </c>
      <c r="C167" s="2" t="s">
        <v>1421</v>
      </c>
      <c r="D167" t="s">
        <v>6177</v>
      </c>
      <c r="E167" s="2">
        <v>6</v>
      </c>
      <c r="F167" s="2" t="str">
        <f>_xlfn.XLOOKUP(Orders[[#This Row],[Customer ID]],customers!$A$1:$A$1001,customers!$B$1:$B$1001,,0)</f>
        <v>Mina Elstone</v>
      </c>
      <c r="G167" s="2" t="str">
        <f>IF(_xlfn.XLOOKUP(C167,customers!$A$1:$A$1001,customers!C166:C1166,,0)=0,"",_xlfn.XLOOKUP(C167,customers!$A$1:$A$1001,customers!C166:C1166,,0))</f>
        <v>fdrogan96@gnu.org</v>
      </c>
      <c r="H167" s="2" t="str">
        <f>_xlfn.XLOOKUP(Orders[[#This Row],[Customer ID]],customers!$A$1:$A$1001,customers!$G$1:$G$1001,,0)</f>
        <v>United States</v>
      </c>
      <c r="I167" s="2" t="str">
        <f>_xlfn.XLOOKUP(Orders[[#This Row],[Customer ID]],customers!$A$1:$A$1001,customers!$F$1:$F$1001,,0)</f>
        <v>Racine</v>
      </c>
      <c r="J167" t="str">
        <f>INDEX(products!$A$1:$G$49,MATCH(orders!$D167,products!$A$1:$A$49,0),MATCH(orders!J$1,products!$A$1:$G$1,0))</f>
        <v>Rob</v>
      </c>
      <c r="K167" t="str">
        <f>INDEX(products!$A$1:$G$49,MATCH(orders!$D167,products!$A$1:$A$49,0),MATCH(orders!K$1,products!$A$1:$G$1,0))</f>
        <v>D</v>
      </c>
      <c r="L167" s="4">
        <f>INDEX(products!$A$1:$G$49,MATCH(orders!$D167,products!$A$1:$A$49,0),MATCH(orders!L$1,products!$A$1:$G$1,0))</f>
        <v>1</v>
      </c>
      <c r="M167" s="5">
        <f>INDEX(products!$A$1:$G$49,MATCH(orders!$D167,products!$A$1:$A$49,0),MATCH(orders!M$1,products!$A$1:$G$1,0))</f>
        <v>8.9499999999999993</v>
      </c>
      <c r="N167" s="5">
        <f>Orders[[#This Row],[Quantity]]*(INDEX(products!$A$1:$G$49,MATCH(orders!$D167,products!$A$1:$A$49,0),MATCH(orders!N$1,products!$A$1:$G$1,0)))</f>
        <v>3.2219999999999995</v>
      </c>
      <c r="O167" s="5">
        <f>M167*E167</f>
        <v>53.699999999999996</v>
      </c>
      <c r="P167" t="str">
        <f t="shared" si="4"/>
        <v>Robusta</v>
      </c>
      <c r="Q167" t="str">
        <f t="shared" si="5"/>
        <v>Dark</v>
      </c>
      <c r="R167" t="str">
        <f>_xlfn.XLOOKUP(Orders[[#This Row],[Customer ID]],customers!$A$1:$A$1001,customers!$I$1:$I$1001,,0)</f>
        <v>Yes</v>
      </c>
    </row>
    <row r="168" spans="1:18" x14ac:dyDescent="0.35">
      <c r="A168" s="2" t="s">
        <v>1425</v>
      </c>
      <c r="B168" s="3">
        <v>44270</v>
      </c>
      <c r="C168" s="2" t="s">
        <v>1426</v>
      </c>
      <c r="D168" t="s">
        <v>6172</v>
      </c>
      <c r="E168" s="2">
        <v>5</v>
      </c>
      <c r="F168" s="2" t="str">
        <f>_xlfn.XLOOKUP(Orders[[#This Row],[Customer ID]],customers!$A$1:$A$1001,customers!$B$1:$B$1001,,0)</f>
        <v>Sherman Mewrcik</v>
      </c>
      <c r="G168" s="2" t="str">
        <f>IF(_xlfn.XLOOKUP(C168,customers!$A$1:$A$1001,customers!C167:C1167,,0)=0,"",_xlfn.XLOOKUP(C168,customers!$A$1:$A$1001,customers!C167:C1167,,0))</f>
        <v>qparsons98@blogtalkradio.com</v>
      </c>
      <c r="H168" s="2" t="str">
        <f>_xlfn.XLOOKUP(Orders[[#This Row],[Customer ID]],customers!$A$1:$A$1001,customers!$G$1:$G$1001,,0)</f>
        <v>United States</v>
      </c>
      <c r="I168" s="2" t="str">
        <f>_xlfn.XLOOKUP(Orders[[#This Row],[Customer ID]],customers!$A$1:$A$1001,customers!$F$1:$F$1001,,0)</f>
        <v>Clearwater</v>
      </c>
      <c r="J168" t="str">
        <f>INDEX(products!$A$1:$G$49,MATCH(orders!$D168,products!$A$1:$A$49,0),MATCH(orders!J$1,products!$A$1:$G$1,0))</f>
        <v>Rob</v>
      </c>
      <c r="K168" t="str">
        <f>INDEX(products!$A$1:$G$49,MATCH(orders!$D168,products!$A$1:$A$49,0),MATCH(orders!K$1,products!$A$1:$G$1,0))</f>
        <v>D</v>
      </c>
      <c r="L168" s="4">
        <f>INDEX(products!$A$1:$G$49,MATCH(orders!$D168,products!$A$1:$A$49,0),MATCH(orders!L$1,products!$A$1:$G$1,0))</f>
        <v>0.5</v>
      </c>
      <c r="M168" s="5">
        <f>INDEX(products!$A$1:$G$49,MATCH(orders!$D168,products!$A$1:$A$49,0),MATCH(orders!M$1,products!$A$1:$G$1,0))</f>
        <v>5.3699999999999992</v>
      </c>
      <c r="N168" s="5">
        <f>Orders[[#This Row],[Quantity]]*(INDEX(products!$A$1:$G$49,MATCH(orders!$D168,products!$A$1:$A$49,0),MATCH(orders!N$1,products!$A$1:$G$1,0)))</f>
        <v>1.6109999999999998</v>
      </c>
      <c r="O168" s="5">
        <f>M168*E168</f>
        <v>26.849999999999994</v>
      </c>
      <c r="P168" t="str">
        <f t="shared" si="4"/>
        <v>Robusta</v>
      </c>
      <c r="Q168" t="str">
        <f t="shared" si="5"/>
        <v>Dark</v>
      </c>
      <c r="R168" t="str">
        <f>_xlfn.XLOOKUP(Orders[[#This Row],[Customer ID]],customers!$A$1:$A$1001,customers!$I$1:$I$1001,,0)</f>
        <v>Yes</v>
      </c>
    </row>
    <row r="169" spans="1:18" x14ac:dyDescent="0.35">
      <c r="A169" s="2" t="s">
        <v>1430</v>
      </c>
      <c r="B169" s="3">
        <v>44777</v>
      </c>
      <c r="C169" s="2" t="s">
        <v>1431</v>
      </c>
      <c r="D169" t="s">
        <v>6139</v>
      </c>
      <c r="E169" s="2">
        <v>5</v>
      </c>
      <c r="F169" s="2" t="str">
        <f>_xlfn.XLOOKUP(Orders[[#This Row],[Customer ID]],customers!$A$1:$A$1001,customers!$B$1:$B$1001,,0)</f>
        <v>Tamarah Fero</v>
      </c>
      <c r="G169" s="2" t="str">
        <f>IF(_xlfn.XLOOKUP(C169,customers!$A$1:$A$1001,customers!C168:C1168,,0)=0,"",_xlfn.XLOOKUP(C169,customers!$A$1:$A$1001,customers!C168:C1168,,0))</f>
        <v/>
      </c>
      <c r="H169" s="2" t="str">
        <f>_xlfn.XLOOKUP(Orders[[#This Row],[Customer ID]],customers!$A$1:$A$1001,customers!$G$1:$G$1001,,0)</f>
        <v>United States</v>
      </c>
      <c r="I169" s="2" t="str">
        <f>_xlfn.XLOOKUP(Orders[[#This Row],[Customer ID]],customers!$A$1:$A$1001,customers!$F$1:$F$1001,,0)</f>
        <v>Racine</v>
      </c>
      <c r="J169" t="str">
        <f>INDEX(products!$A$1:$G$49,MATCH(orders!$D169,products!$A$1:$A$49,0),MATCH(orders!J$1,products!$A$1:$G$1,0))</f>
        <v>Exc</v>
      </c>
      <c r="K169" t="str">
        <f>INDEX(products!$A$1:$G$49,MATCH(orders!$D169,products!$A$1:$A$49,0),MATCH(orders!K$1,products!$A$1:$G$1,0))</f>
        <v>M</v>
      </c>
      <c r="L169" s="4">
        <f>INDEX(products!$A$1:$G$49,MATCH(orders!$D169,products!$A$1:$A$49,0),MATCH(orders!L$1,products!$A$1:$G$1,0))</f>
        <v>0.5</v>
      </c>
      <c r="M169" s="5">
        <f>INDEX(products!$A$1:$G$49,MATCH(orders!$D169,products!$A$1:$A$49,0),MATCH(orders!M$1,products!$A$1:$G$1,0))</f>
        <v>8.25</v>
      </c>
      <c r="N169" s="5">
        <f>Orders[[#This Row],[Quantity]]*(INDEX(products!$A$1:$G$49,MATCH(orders!$D169,products!$A$1:$A$49,0),MATCH(orders!N$1,products!$A$1:$G$1,0)))</f>
        <v>4.5374999999999996</v>
      </c>
      <c r="O169" s="5">
        <f>M169*E169</f>
        <v>41.25</v>
      </c>
      <c r="P169" t="str">
        <f t="shared" si="4"/>
        <v>Excelsa</v>
      </c>
      <c r="Q169" t="str">
        <f t="shared" si="5"/>
        <v>Medium</v>
      </c>
      <c r="R169" t="str">
        <f>_xlfn.XLOOKUP(Orders[[#This Row],[Customer ID]],customers!$A$1:$A$1001,customers!$I$1:$I$1001,,0)</f>
        <v>Yes</v>
      </c>
    </row>
    <row r="170" spans="1:18" x14ac:dyDescent="0.35">
      <c r="A170" s="2" t="s">
        <v>1436</v>
      </c>
      <c r="B170" s="3">
        <v>43484</v>
      </c>
      <c r="C170" s="2" t="s">
        <v>1437</v>
      </c>
      <c r="D170" t="s">
        <v>6157</v>
      </c>
      <c r="E170" s="2">
        <v>6</v>
      </c>
      <c r="F170" s="2" t="str">
        <f>_xlfn.XLOOKUP(Orders[[#This Row],[Customer ID]],customers!$A$1:$A$1001,customers!$B$1:$B$1001,,0)</f>
        <v>Stanislaus Valsler</v>
      </c>
      <c r="G170" s="2" t="str">
        <f>IF(_xlfn.XLOOKUP(C170,customers!$A$1:$A$1001,customers!C169:C1169,,0)=0,"",_xlfn.XLOOKUP(C170,customers!$A$1:$A$1001,customers!C169:C1169,,0))</f>
        <v>tomoylan9c@liveinternet.ru</v>
      </c>
      <c r="H170" s="2" t="str">
        <f>_xlfn.XLOOKUP(Orders[[#This Row],[Customer ID]],customers!$A$1:$A$1001,customers!$G$1:$G$1001,,0)</f>
        <v>Ireland</v>
      </c>
      <c r="I170" s="2" t="str">
        <f>_xlfn.XLOOKUP(Orders[[#This Row],[Customer ID]],customers!$A$1:$A$1001,customers!$F$1:$F$1001,,0)</f>
        <v>Castlebridge</v>
      </c>
      <c r="J170" t="str">
        <f>INDEX(products!$A$1:$G$49,MATCH(orders!$D170,products!$A$1:$A$49,0),MATCH(orders!J$1,products!$A$1:$G$1,0))</f>
        <v>Ara</v>
      </c>
      <c r="K170" t="str">
        <f>INDEX(products!$A$1:$G$49,MATCH(orders!$D170,products!$A$1:$A$49,0),MATCH(orders!K$1,products!$A$1:$G$1,0))</f>
        <v>M</v>
      </c>
      <c r="L170" s="4">
        <f>INDEX(products!$A$1:$G$49,MATCH(orders!$D170,products!$A$1:$A$49,0),MATCH(orders!L$1,products!$A$1:$G$1,0))</f>
        <v>0.5</v>
      </c>
      <c r="M170" s="5">
        <f>INDEX(products!$A$1:$G$49,MATCH(orders!$D170,products!$A$1:$A$49,0),MATCH(orders!M$1,products!$A$1:$G$1,0))</f>
        <v>6.75</v>
      </c>
      <c r="N170" s="5">
        <f>Orders[[#This Row],[Quantity]]*(INDEX(products!$A$1:$G$49,MATCH(orders!$D170,products!$A$1:$A$49,0),MATCH(orders!N$1,products!$A$1:$G$1,0)))</f>
        <v>3.6449999999999996</v>
      </c>
      <c r="O170" s="5">
        <f>M170*E170</f>
        <v>40.5</v>
      </c>
      <c r="P170" t="str">
        <f t="shared" si="4"/>
        <v>Arabica</v>
      </c>
      <c r="Q170" t="str">
        <f t="shared" si="5"/>
        <v>Medium</v>
      </c>
      <c r="R170" t="str">
        <f>_xlfn.XLOOKUP(Orders[[#This Row],[Customer ID]],customers!$A$1:$A$1001,customers!$I$1:$I$1001,,0)</f>
        <v>No</v>
      </c>
    </row>
    <row r="171" spans="1:18" x14ac:dyDescent="0.35">
      <c r="A171" s="2" t="s">
        <v>1441</v>
      </c>
      <c r="B171" s="3">
        <v>44643</v>
      </c>
      <c r="C171" s="2" t="s">
        <v>1442</v>
      </c>
      <c r="D171" t="s">
        <v>6177</v>
      </c>
      <c r="E171" s="2">
        <v>2</v>
      </c>
      <c r="F171" s="2" t="str">
        <f>_xlfn.XLOOKUP(Orders[[#This Row],[Customer ID]],customers!$A$1:$A$1001,customers!$B$1:$B$1001,,0)</f>
        <v>Felita Dauney</v>
      </c>
      <c r="G171" s="2" t="str">
        <f>IF(_xlfn.XLOOKUP(C171,customers!$A$1:$A$1001,customers!C170:C1170,,0)=0,"",_xlfn.XLOOKUP(C171,customers!$A$1:$A$1001,customers!C170:C1170,,0))</f>
        <v>wfetherston9e@constantcontact.com</v>
      </c>
      <c r="H171" s="2" t="str">
        <f>_xlfn.XLOOKUP(Orders[[#This Row],[Customer ID]],customers!$A$1:$A$1001,customers!$G$1:$G$1001,,0)</f>
        <v>Ireland</v>
      </c>
      <c r="I171" s="2" t="str">
        <f>_xlfn.XLOOKUP(Orders[[#This Row],[Customer ID]],customers!$A$1:$A$1001,customers!$F$1:$F$1001,,0)</f>
        <v>Castlebellingham</v>
      </c>
      <c r="J171" t="str">
        <f>INDEX(products!$A$1:$G$49,MATCH(orders!$D171,products!$A$1:$A$49,0),MATCH(orders!J$1,products!$A$1:$G$1,0))</f>
        <v>Rob</v>
      </c>
      <c r="K171" t="str">
        <f>INDEX(products!$A$1:$G$49,MATCH(orders!$D171,products!$A$1:$A$49,0),MATCH(orders!K$1,products!$A$1:$G$1,0))</f>
        <v>D</v>
      </c>
      <c r="L171" s="4">
        <f>INDEX(products!$A$1:$G$49,MATCH(orders!$D171,products!$A$1:$A$49,0),MATCH(orders!L$1,products!$A$1:$G$1,0))</f>
        <v>1</v>
      </c>
      <c r="M171" s="5">
        <f>INDEX(products!$A$1:$G$49,MATCH(orders!$D171,products!$A$1:$A$49,0),MATCH(orders!M$1,products!$A$1:$G$1,0))</f>
        <v>8.9499999999999993</v>
      </c>
      <c r="N171" s="5">
        <f>Orders[[#This Row],[Quantity]]*(INDEX(products!$A$1:$G$49,MATCH(orders!$D171,products!$A$1:$A$49,0),MATCH(orders!N$1,products!$A$1:$G$1,0)))</f>
        <v>1.0739999999999998</v>
      </c>
      <c r="O171" s="5">
        <f>M171*E171</f>
        <v>17.899999999999999</v>
      </c>
      <c r="P171" t="str">
        <f t="shared" si="4"/>
        <v>Robusta</v>
      </c>
      <c r="Q171" t="str">
        <f t="shared" si="5"/>
        <v>Dark</v>
      </c>
      <c r="R171" t="str">
        <f>_xlfn.XLOOKUP(Orders[[#This Row],[Customer ID]],customers!$A$1:$A$1001,customers!$I$1:$I$1001,,0)</f>
        <v>No</v>
      </c>
    </row>
    <row r="172" spans="1:18" x14ac:dyDescent="0.35">
      <c r="A172" s="2" t="s">
        <v>1448</v>
      </c>
      <c r="B172" s="3">
        <v>44476</v>
      </c>
      <c r="C172" s="2" t="s">
        <v>1449</v>
      </c>
      <c r="D172" t="s">
        <v>6148</v>
      </c>
      <c r="E172" s="2">
        <v>2</v>
      </c>
      <c r="F172" s="2" t="str">
        <f>_xlfn.XLOOKUP(Orders[[#This Row],[Customer ID]],customers!$A$1:$A$1001,customers!$B$1:$B$1001,,0)</f>
        <v>Serena Earley</v>
      </c>
      <c r="G172" s="2" t="str">
        <f>IF(_xlfn.XLOOKUP(C172,customers!$A$1:$A$1001,customers!C171:C1171,,0)=0,"",_xlfn.XLOOKUP(C172,customers!$A$1:$A$1001,customers!C171:C1171,,0))</f>
        <v>wgiorgioni9g@wikipedia.org</v>
      </c>
      <c r="H172" s="2" t="str">
        <f>_xlfn.XLOOKUP(Orders[[#This Row],[Customer ID]],customers!$A$1:$A$1001,customers!$G$1:$G$1001,,0)</f>
        <v>United Kingdom</v>
      </c>
      <c r="I172" s="2" t="str">
        <f>_xlfn.XLOOKUP(Orders[[#This Row],[Customer ID]],customers!$A$1:$A$1001,customers!$F$1:$F$1001,,0)</f>
        <v>Craigavon</v>
      </c>
      <c r="J172" t="str">
        <f>INDEX(products!$A$1:$G$49,MATCH(orders!$D172,products!$A$1:$A$49,0),MATCH(orders!J$1,products!$A$1:$G$1,0))</f>
        <v>Exc</v>
      </c>
      <c r="K172" t="str">
        <f>INDEX(products!$A$1:$G$49,MATCH(orders!$D172,products!$A$1:$A$49,0),MATCH(orders!K$1,products!$A$1:$G$1,0))</f>
        <v>L</v>
      </c>
      <c r="L172" s="4">
        <f>INDEX(products!$A$1:$G$49,MATCH(orders!$D172,products!$A$1:$A$49,0),MATCH(orders!L$1,products!$A$1:$G$1,0))</f>
        <v>2.5</v>
      </c>
      <c r="M172" s="5">
        <f>INDEX(products!$A$1:$G$49,MATCH(orders!$D172,products!$A$1:$A$49,0),MATCH(orders!M$1,products!$A$1:$G$1,0))</f>
        <v>34.154999999999994</v>
      </c>
      <c r="N172" s="5">
        <f>Orders[[#This Row],[Quantity]]*(INDEX(products!$A$1:$G$49,MATCH(orders!$D172,products!$A$1:$A$49,0),MATCH(orders!N$1,products!$A$1:$G$1,0)))</f>
        <v>7.5140999999999991</v>
      </c>
      <c r="O172" s="5">
        <f>M172*E172</f>
        <v>68.309999999999988</v>
      </c>
      <c r="P172" t="str">
        <f t="shared" si="4"/>
        <v>Excelsa</v>
      </c>
      <c r="Q172" t="str">
        <f t="shared" si="5"/>
        <v>Light</v>
      </c>
      <c r="R172" t="str">
        <f>_xlfn.XLOOKUP(Orders[[#This Row],[Customer ID]],customers!$A$1:$A$1001,customers!$I$1:$I$1001,,0)</f>
        <v>No</v>
      </c>
    </row>
    <row r="173" spans="1:18" x14ac:dyDescent="0.35">
      <c r="A173" s="2" t="s">
        <v>1453</v>
      </c>
      <c r="B173" s="3">
        <v>43544</v>
      </c>
      <c r="C173" s="2" t="s">
        <v>1454</v>
      </c>
      <c r="D173" t="s">
        <v>6166</v>
      </c>
      <c r="E173" s="2">
        <v>2</v>
      </c>
      <c r="F173" s="2" t="str">
        <f>_xlfn.XLOOKUP(Orders[[#This Row],[Customer ID]],customers!$A$1:$A$1001,customers!$B$1:$B$1001,,0)</f>
        <v>Minny Chamberlayne</v>
      </c>
      <c r="G173" s="2" t="str">
        <f>IF(_xlfn.XLOOKUP(C173,customers!$A$1:$A$1001,customers!C172:C1172,,0)=0,"",_xlfn.XLOOKUP(C173,customers!$A$1:$A$1001,customers!C172:C1172,,0))</f>
        <v>cfranseco9i@phoca.cz</v>
      </c>
      <c r="H173" s="2" t="str">
        <f>_xlfn.XLOOKUP(Orders[[#This Row],[Customer ID]],customers!$A$1:$A$1001,customers!$G$1:$G$1001,,0)</f>
        <v>United States</v>
      </c>
      <c r="I173" s="2" t="str">
        <f>_xlfn.XLOOKUP(Orders[[#This Row],[Customer ID]],customers!$A$1:$A$1001,customers!$F$1:$F$1001,,0)</f>
        <v>Tampa</v>
      </c>
      <c r="J173" t="str">
        <f>INDEX(products!$A$1:$G$49,MATCH(orders!$D173,products!$A$1:$A$49,0),MATCH(orders!J$1,products!$A$1:$G$1,0))</f>
        <v>Exc</v>
      </c>
      <c r="K173" t="str">
        <f>INDEX(products!$A$1:$G$49,MATCH(orders!$D173,products!$A$1:$A$49,0),MATCH(orders!K$1,products!$A$1:$G$1,0))</f>
        <v>M</v>
      </c>
      <c r="L173" s="4">
        <f>INDEX(products!$A$1:$G$49,MATCH(orders!$D173,products!$A$1:$A$49,0),MATCH(orders!L$1,products!$A$1:$G$1,0))</f>
        <v>2.5</v>
      </c>
      <c r="M173" s="5">
        <f>INDEX(products!$A$1:$G$49,MATCH(orders!$D173,products!$A$1:$A$49,0),MATCH(orders!M$1,products!$A$1:$G$1,0))</f>
        <v>31.624999999999996</v>
      </c>
      <c r="N173" s="5">
        <f>Orders[[#This Row],[Quantity]]*(INDEX(products!$A$1:$G$49,MATCH(orders!$D173,products!$A$1:$A$49,0),MATCH(orders!N$1,products!$A$1:$G$1,0)))</f>
        <v>6.9574999999999996</v>
      </c>
      <c r="O173" s="5">
        <f>M173*E173</f>
        <v>63.249999999999993</v>
      </c>
      <c r="P173" t="str">
        <f t="shared" si="4"/>
        <v>Excelsa</v>
      </c>
      <c r="Q173" t="str">
        <f t="shared" si="5"/>
        <v>Medium</v>
      </c>
      <c r="R173" t="str">
        <f>_xlfn.XLOOKUP(Orders[[#This Row],[Customer ID]],customers!$A$1:$A$1001,customers!$I$1:$I$1001,,0)</f>
        <v>Yes</v>
      </c>
    </row>
    <row r="174" spans="1:18" x14ac:dyDescent="0.35">
      <c r="A174" s="2" t="s">
        <v>1459</v>
      </c>
      <c r="B174" s="3">
        <v>44545</v>
      </c>
      <c r="C174" s="2" t="s">
        <v>1460</v>
      </c>
      <c r="D174" t="s">
        <v>6144</v>
      </c>
      <c r="E174" s="2">
        <v>3</v>
      </c>
      <c r="F174" s="2" t="str">
        <f>_xlfn.XLOOKUP(Orders[[#This Row],[Customer ID]],customers!$A$1:$A$1001,customers!$B$1:$B$1001,,0)</f>
        <v>Bartholemy Flaherty</v>
      </c>
      <c r="G174" s="2" t="str">
        <f>IF(_xlfn.XLOOKUP(C174,customers!$A$1:$A$1001,customers!C173:C1173,,0)=0,"",_xlfn.XLOOKUP(C174,customers!$A$1:$A$1001,customers!C173:C1173,,0))</f>
        <v/>
      </c>
      <c r="H174" s="2" t="str">
        <f>_xlfn.XLOOKUP(Orders[[#This Row],[Customer ID]],customers!$A$1:$A$1001,customers!$G$1:$G$1001,,0)</f>
        <v>Ireland</v>
      </c>
      <c r="I174" s="2" t="str">
        <f>_xlfn.XLOOKUP(Orders[[#This Row],[Customer ID]],customers!$A$1:$A$1001,customers!$F$1:$F$1001,,0)</f>
        <v>Eadestown</v>
      </c>
      <c r="J174" t="str">
        <f>INDEX(products!$A$1:$G$49,MATCH(orders!$D174,products!$A$1:$A$49,0),MATCH(orders!J$1,products!$A$1:$G$1,0))</f>
        <v>Exc</v>
      </c>
      <c r="K174" t="str">
        <f>INDEX(products!$A$1:$G$49,MATCH(orders!$D174,products!$A$1:$A$49,0),MATCH(orders!K$1,products!$A$1:$G$1,0))</f>
        <v>D</v>
      </c>
      <c r="L174" s="4">
        <f>INDEX(products!$A$1:$G$49,MATCH(orders!$D174,products!$A$1:$A$49,0),MATCH(orders!L$1,products!$A$1:$G$1,0))</f>
        <v>0.5</v>
      </c>
      <c r="M174" s="5">
        <f>INDEX(products!$A$1:$G$49,MATCH(orders!$D174,products!$A$1:$A$49,0),MATCH(orders!M$1,products!$A$1:$G$1,0))</f>
        <v>7.29</v>
      </c>
      <c r="N174" s="5">
        <f>Orders[[#This Row],[Quantity]]*(INDEX(products!$A$1:$G$49,MATCH(orders!$D174,products!$A$1:$A$49,0),MATCH(orders!N$1,products!$A$1:$G$1,0)))</f>
        <v>2.4057000000000004</v>
      </c>
      <c r="O174" s="5">
        <f>M174*E174</f>
        <v>21.87</v>
      </c>
      <c r="P174" t="str">
        <f t="shared" si="4"/>
        <v>Excelsa</v>
      </c>
      <c r="Q174" t="str">
        <f t="shared" si="5"/>
        <v>Dark</v>
      </c>
      <c r="R174" t="str">
        <f>_xlfn.XLOOKUP(Orders[[#This Row],[Customer ID]],customers!$A$1:$A$1001,customers!$I$1:$I$1001,,0)</f>
        <v>No</v>
      </c>
    </row>
    <row r="175" spans="1:18" x14ac:dyDescent="0.35">
      <c r="A175" s="2" t="s">
        <v>1464</v>
      </c>
      <c r="B175" s="3">
        <v>44720</v>
      </c>
      <c r="C175" s="2" t="s">
        <v>1465</v>
      </c>
      <c r="D175" t="s">
        <v>6151</v>
      </c>
      <c r="E175" s="2">
        <v>4</v>
      </c>
      <c r="F175" s="2" t="str">
        <f>_xlfn.XLOOKUP(Orders[[#This Row],[Customer ID]],customers!$A$1:$A$1001,customers!$B$1:$B$1001,,0)</f>
        <v>Oran Colbeck</v>
      </c>
      <c r="G175" s="2" t="str">
        <f>IF(_xlfn.XLOOKUP(C175,customers!$A$1:$A$1001,customers!C174:C1174,,0)=0,"",_xlfn.XLOOKUP(C175,customers!$A$1:$A$1001,customers!C174:C1174,,0))</f>
        <v>rworg9m@arstechnica.com</v>
      </c>
      <c r="H175" s="2" t="str">
        <f>_xlfn.XLOOKUP(Orders[[#This Row],[Customer ID]],customers!$A$1:$A$1001,customers!$G$1:$G$1001,,0)</f>
        <v>United States</v>
      </c>
      <c r="I175" s="2" t="str">
        <f>_xlfn.XLOOKUP(Orders[[#This Row],[Customer ID]],customers!$A$1:$A$1001,customers!$F$1:$F$1001,,0)</f>
        <v>Montgomery</v>
      </c>
      <c r="J175" t="str">
        <f>INDEX(products!$A$1:$G$49,MATCH(orders!$D175,products!$A$1:$A$49,0),MATCH(orders!J$1,products!$A$1:$G$1,0))</f>
        <v>Rob</v>
      </c>
      <c r="K175" t="str">
        <f>INDEX(products!$A$1:$G$49,MATCH(orders!$D175,products!$A$1:$A$49,0),MATCH(orders!K$1,products!$A$1:$G$1,0))</f>
        <v>M</v>
      </c>
      <c r="L175" s="4">
        <f>INDEX(products!$A$1:$G$49,MATCH(orders!$D175,products!$A$1:$A$49,0),MATCH(orders!L$1,products!$A$1:$G$1,0))</f>
        <v>2.5</v>
      </c>
      <c r="M175" s="5">
        <f>INDEX(products!$A$1:$G$49,MATCH(orders!$D175,products!$A$1:$A$49,0),MATCH(orders!M$1,products!$A$1:$G$1,0))</f>
        <v>22.884999999999998</v>
      </c>
      <c r="N175" s="5">
        <f>Orders[[#This Row],[Quantity]]*(INDEX(products!$A$1:$G$49,MATCH(orders!$D175,products!$A$1:$A$49,0),MATCH(orders!N$1,products!$A$1:$G$1,0)))</f>
        <v>5.4923999999999991</v>
      </c>
      <c r="O175" s="5">
        <f>M175*E175</f>
        <v>91.539999999999992</v>
      </c>
      <c r="P175" t="str">
        <f t="shared" si="4"/>
        <v>Robusta</v>
      </c>
      <c r="Q175" t="str">
        <f t="shared" si="5"/>
        <v>Medium</v>
      </c>
      <c r="R175" t="str">
        <f>_xlfn.XLOOKUP(Orders[[#This Row],[Customer ID]],customers!$A$1:$A$1001,customers!$I$1:$I$1001,,0)</f>
        <v>No</v>
      </c>
    </row>
    <row r="176" spans="1:18" x14ac:dyDescent="0.35">
      <c r="A176" s="2" t="s">
        <v>1470</v>
      </c>
      <c r="B176" s="3">
        <v>43813</v>
      </c>
      <c r="C176" s="2" t="s">
        <v>1471</v>
      </c>
      <c r="D176" t="s">
        <v>6148</v>
      </c>
      <c r="E176" s="2">
        <v>6</v>
      </c>
      <c r="F176" s="2" t="str">
        <f>_xlfn.XLOOKUP(Orders[[#This Row],[Customer ID]],customers!$A$1:$A$1001,customers!$B$1:$B$1001,,0)</f>
        <v>Elysee Sketch</v>
      </c>
      <c r="G176" s="2" t="str">
        <f>IF(_xlfn.XLOOKUP(C176,customers!$A$1:$A$1001,customers!C175:C1175,,0)=0,"",_xlfn.XLOOKUP(C176,customers!$A$1:$A$1001,customers!C175:C1175,,0))</f>
        <v>skeynd9o@narod.ru</v>
      </c>
      <c r="H176" s="2" t="str">
        <f>_xlfn.XLOOKUP(Orders[[#This Row],[Customer ID]],customers!$A$1:$A$1001,customers!$G$1:$G$1001,,0)</f>
        <v>United States</v>
      </c>
      <c r="I176" s="2" t="str">
        <f>_xlfn.XLOOKUP(Orders[[#This Row],[Customer ID]],customers!$A$1:$A$1001,customers!$F$1:$F$1001,,0)</f>
        <v>Sparks</v>
      </c>
      <c r="J176" t="str">
        <f>INDEX(products!$A$1:$G$49,MATCH(orders!$D176,products!$A$1:$A$49,0),MATCH(orders!J$1,products!$A$1:$G$1,0))</f>
        <v>Exc</v>
      </c>
      <c r="K176" t="str">
        <f>INDEX(products!$A$1:$G$49,MATCH(orders!$D176,products!$A$1:$A$49,0),MATCH(orders!K$1,products!$A$1:$G$1,0))</f>
        <v>L</v>
      </c>
      <c r="L176" s="4">
        <f>INDEX(products!$A$1:$G$49,MATCH(orders!$D176,products!$A$1:$A$49,0),MATCH(orders!L$1,products!$A$1:$G$1,0))</f>
        <v>2.5</v>
      </c>
      <c r="M176" s="5">
        <f>INDEX(products!$A$1:$G$49,MATCH(orders!$D176,products!$A$1:$A$49,0),MATCH(orders!M$1,products!$A$1:$G$1,0))</f>
        <v>34.154999999999994</v>
      </c>
      <c r="N176" s="5">
        <f>Orders[[#This Row],[Quantity]]*(INDEX(products!$A$1:$G$49,MATCH(orders!$D176,products!$A$1:$A$49,0),MATCH(orders!N$1,products!$A$1:$G$1,0)))</f>
        <v>22.542299999999997</v>
      </c>
      <c r="O176" s="5">
        <f>M176*E176</f>
        <v>204.92999999999995</v>
      </c>
      <c r="P176" t="str">
        <f t="shared" si="4"/>
        <v>Excelsa</v>
      </c>
      <c r="Q176" t="str">
        <f t="shared" si="5"/>
        <v>Light</v>
      </c>
      <c r="R176" t="str">
        <f>_xlfn.XLOOKUP(Orders[[#This Row],[Customer ID]],customers!$A$1:$A$1001,customers!$I$1:$I$1001,,0)</f>
        <v>Yes</v>
      </c>
    </row>
    <row r="177" spans="1:18" x14ac:dyDescent="0.35">
      <c r="A177" s="2" t="s">
        <v>1475</v>
      </c>
      <c r="B177" s="3">
        <v>44296</v>
      </c>
      <c r="C177" s="2" t="s">
        <v>1476</v>
      </c>
      <c r="D177" t="s">
        <v>6166</v>
      </c>
      <c r="E177" s="2">
        <v>2</v>
      </c>
      <c r="F177" s="2" t="str">
        <f>_xlfn.XLOOKUP(Orders[[#This Row],[Customer ID]],customers!$A$1:$A$1001,customers!$B$1:$B$1001,,0)</f>
        <v>Ethelda Hobbing</v>
      </c>
      <c r="G177" s="2" t="str">
        <f>IF(_xlfn.XLOOKUP(C177,customers!$A$1:$A$1001,customers!C176:C1176,,0)=0,"",_xlfn.XLOOKUP(C177,customers!$A$1:$A$1001,customers!C176:C1176,,0))</f>
        <v>jawdry9q@utexas.edu</v>
      </c>
      <c r="H177" s="2" t="str">
        <f>_xlfn.XLOOKUP(Orders[[#This Row],[Customer ID]],customers!$A$1:$A$1001,customers!$G$1:$G$1001,,0)</f>
        <v>United States</v>
      </c>
      <c r="I177" s="2" t="str">
        <f>_xlfn.XLOOKUP(Orders[[#This Row],[Customer ID]],customers!$A$1:$A$1001,customers!$F$1:$F$1001,,0)</f>
        <v>Macon</v>
      </c>
      <c r="J177" t="str">
        <f>INDEX(products!$A$1:$G$49,MATCH(orders!$D177,products!$A$1:$A$49,0),MATCH(orders!J$1,products!$A$1:$G$1,0))</f>
        <v>Exc</v>
      </c>
      <c r="K177" t="str">
        <f>INDEX(products!$A$1:$G$49,MATCH(orders!$D177,products!$A$1:$A$49,0),MATCH(orders!K$1,products!$A$1:$G$1,0))</f>
        <v>M</v>
      </c>
      <c r="L177" s="4">
        <f>INDEX(products!$A$1:$G$49,MATCH(orders!$D177,products!$A$1:$A$49,0),MATCH(orders!L$1,products!$A$1:$G$1,0))</f>
        <v>2.5</v>
      </c>
      <c r="M177" s="5">
        <f>INDEX(products!$A$1:$G$49,MATCH(orders!$D177,products!$A$1:$A$49,0),MATCH(orders!M$1,products!$A$1:$G$1,0))</f>
        <v>31.624999999999996</v>
      </c>
      <c r="N177" s="5">
        <f>Orders[[#This Row],[Quantity]]*(INDEX(products!$A$1:$G$49,MATCH(orders!$D177,products!$A$1:$A$49,0),MATCH(orders!N$1,products!$A$1:$G$1,0)))</f>
        <v>6.9574999999999996</v>
      </c>
      <c r="O177" s="5">
        <f>M177*E177</f>
        <v>63.249999999999993</v>
      </c>
      <c r="P177" t="str">
        <f t="shared" si="4"/>
        <v>Excelsa</v>
      </c>
      <c r="Q177" t="str">
        <f t="shared" si="5"/>
        <v>Medium</v>
      </c>
      <c r="R177" t="str">
        <f>_xlfn.XLOOKUP(Orders[[#This Row],[Customer ID]],customers!$A$1:$A$1001,customers!$I$1:$I$1001,,0)</f>
        <v>Yes</v>
      </c>
    </row>
    <row r="178" spans="1:18" x14ac:dyDescent="0.35">
      <c r="A178" s="2" t="s">
        <v>1481</v>
      </c>
      <c r="B178" s="3">
        <v>43900</v>
      </c>
      <c r="C178" s="2" t="s">
        <v>1482</v>
      </c>
      <c r="D178" t="s">
        <v>6148</v>
      </c>
      <c r="E178" s="2">
        <v>1</v>
      </c>
      <c r="F178" s="2" t="str">
        <f>_xlfn.XLOOKUP(Orders[[#This Row],[Customer ID]],customers!$A$1:$A$1001,customers!$B$1:$B$1001,,0)</f>
        <v>Odille Thynne</v>
      </c>
      <c r="G178" s="2" t="str">
        <f>IF(_xlfn.XLOOKUP(C178,customers!$A$1:$A$1001,customers!C177:C1177,,0)=0,"",_xlfn.XLOOKUP(C178,customers!$A$1:$A$1001,customers!C177:C1177,,0))</f>
        <v>sbaulcombe9s@dropbox.com</v>
      </c>
      <c r="H178" s="2" t="str">
        <f>_xlfn.XLOOKUP(Orders[[#This Row],[Customer ID]],customers!$A$1:$A$1001,customers!$G$1:$G$1001,,0)</f>
        <v>United States</v>
      </c>
      <c r="I178" s="2" t="str">
        <f>_xlfn.XLOOKUP(Orders[[#This Row],[Customer ID]],customers!$A$1:$A$1001,customers!$F$1:$F$1001,,0)</f>
        <v>Whittier</v>
      </c>
      <c r="J178" t="str">
        <f>INDEX(products!$A$1:$G$49,MATCH(orders!$D178,products!$A$1:$A$49,0),MATCH(orders!J$1,products!$A$1:$G$1,0))</f>
        <v>Exc</v>
      </c>
      <c r="K178" t="str">
        <f>INDEX(products!$A$1:$G$49,MATCH(orders!$D178,products!$A$1:$A$49,0),MATCH(orders!K$1,products!$A$1:$G$1,0))</f>
        <v>L</v>
      </c>
      <c r="L178" s="4">
        <f>INDEX(products!$A$1:$G$49,MATCH(orders!$D178,products!$A$1:$A$49,0),MATCH(orders!L$1,products!$A$1:$G$1,0))</f>
        <v>2.5</v>
      </c>
      <c r="M178" s="5">
        <f>INDEX(products!$A$1:$G$49,MATCH(orders!$D178,products!$A$1:$A$49,0),MATCH(orders!M$1,products!$A$1:$G$1,0))</f>
        <v>34.154999999999994</v>
      </c>
      <c r="N178" s="5">
        <f>Orders[[#This Row],[Quantity]]*(INDEX(products!$A$1:$G$49,MATCH(orders!$D178,products!$A$1:$A$49,0),MATCH(orders!N$1,products!$A$1:$G$1,0)))</f>
        <v>3.7570499999999996</v>
      </c>
      <c r="O178" s="5">
        <f>M178*E178</f>
        <v>34.154999999999994</v>
      </c>
      <c r="P178" t="str">
        <f t="shared" si="4"/>
        <v>Excelsa</v>
      </c>
      <c r="Q178" t="str">
        <f t="shared" si="5"/>
        <v>Light</v>
      </c>
      <c r="R178" t="str">
        <f>_xlfn.XLOOKUP(Orders[[#This Row],[Customer ID]],customers!$A$1:$A$1001,customers!$I$1:$I$1001,,0)</f>
        <v>Yes</v>
      </c>
    </row>
    <row r="179" spans="1:18" x14ac:dyDescent="0.35">
      <c r="A179" s="2" t="s">
        <v>1487</v>
      </c>
      <c r="B179" s="3">
        <v>44120</v>
      </c>
      <c r="C179" s="2" t="s">
        <v>1488</v>
      </c>
      <c r="D179" t="s">
        <v>6142</v>
      </c>
      <c r="E179" s="2">
        <v>4</v>
      </c>
      <c r="F179" s="2" t="str">
        <f>_xlfn.XLOOKUP(Orders[[#This Row],[Customer ID]],customers!$A$1:$A$1001,customers!$B$1:$B$1001,,0)</f>
        <v>Emlynne Heining</v>
      </c>
      <c r="G179" s="2" t="str">
        <f>IF(_xlfn.XLOOKUP(C179,customers!$A$1:$A$1001,customers!C178:C1178,,0)=0,"",_xlfn.XLOOKUP(C179,customers!$A$1:$A$1001,customers!C178:C1178,,0))</f>
        <v>jcaldicott9u@usda.gov</v>
      </c>
      <c r="H179" s="2" t="str">
        <f>_xlfn.XLOOKUP(Orders[[#This Row],[Customer ID]],customers!$A$1:$A$1001,customers!$G$1:$G$1001,,0)</f>
        <v>United States</v>
      </c>
      <c r="I179" s="2" t="str">
        <f>_xlfn.XLOOKUP(Orders[[#This Row],[Customer ID]],customers!$A$1:$A$1001,customers!$F$1:$F$1001,,0)</f>
        <v>Johnson City</v>
      </c>
      <c r="J179" t="str">
        <f>INDEX(products!$A$1:$G$49,MATCH(orders!$D179,products!$A$1:$A$49,0),MATCH(orders!J$1,products!$A$1:$G$1,0))</f>
        <v>Rob</v>
      </c>
      <c r="K179" t="str">
        <f>INDEX(products!$A$1:$G$49,MATCH(orders!$D179,products!$A$1:$A$49,0),MATCH(orders!K$1,products!$A$1:$G$1,0))</f>
        <v>L</v>
      </c>
      <c r="L179" s="4">
        <f>INDEX(products!$A$1:$G$49,MATCH(orders!$D179,products!$A$1:$A$49,0),MATCH(orders!L$1,products!$A$1:$G$1,0))</f>
        <v>2.5</v>
      </c>
      <c r="M179" s="5">
        <f>INDEX(products!$A$1:$G$49,MATCH(orders!$D179,products!$A$1:$A$49,0),MATCH(orders!M$1,products!$A$1:$G$1,0))</f>
        <v>27.484999999999996</v>
      </c>
      <c r="N179" s="5">
        <f>Orders[[#This Row],[Quantity]]*(INDEX(products!$A$1:$G$49,MATCH(orders!$D179,products!$A$1:$A$49,0),MATCH(orders!N$1,products!$A$1:$G$1,0)))</f>
        <v>6.5963999999999992</v>
      </c>
      <c r="O179" s="5">
        <f>M179*E179</f>
        <v>109.93999999999998</v>
      </c>
      <c r="P179" t="str">
        <f t="shared" si="4"/>
        <v>Robusta</v>
      </c>
      <c r="Q179" t="str">
        <f t="shared" si="5"/>
        <v>Light</v>
      </c>
      <c r="R179" t="str">
        <f>_xlfn.XLOOKUP(Orders[[#This Row],[Customer ID]],customers!$A$1:$A$1001,customers!$I$1:$I$1001,,0)</f>
        <v>Yes</v>
      </c>
    </row>
    <row r="180" spans="1:18" x14ac:dyDescent="0.35">
      <c r="A180" s="2" t="s">
        <v>1492</v>
      </c>
      <c r="B180" s="3">
        <v>43746</v>
      </c>
      <c r="C180" s="2" t="s">
        <v>1493</v>
      </c>
      <c r="D180" t="s">
        <v>6140</v>
      </c>
      <c r="E180" s="2">
        <v>2</v>
      </c>
      <c r="F180" s="2" t="str">
        <f>_xlfn.XLOOKUP(Orders[[#This Row],[Customer ID]],customers!$A$1:$A$1001,customers!$B$1:$B$1001,,0)</f>
        <v>Katerina Melloi</v>
      </c>
      <c r="G180" s="2" t="str">
        <f>IF(_xlfn.XLOOKUP(C180,customers!$A$1:$A$1001,customers!C179:C1179,,0)=0,"",_xlfn.XLOOKUP(C180,customers!$A$1:$A$1001,customers!C179:C1179,,0))</f>
        <v>wromao9w@chronoengine.com</v>
      </c>
      <c r="H180" s="2" t="str">
        <f>_xlfn.XLOOKUP(Orders[[#This Row],[Customer ID]],customers!$A$1:$A$1001,customers!$G$1:$G$1001,,0)</f>
        <v>United States</v>
      </c>
      <c r="I180" s="2" t="str">
        <f>_xlfn.XLOOKUP(Orders[[#This Row],[Customer ID]],customers!$A$1:$A$1001,customers!$F$1:$F$1001,,0)</f>
        <v>Rochester</v>
      </c>
      <c r="J180" t="str">
        <f>INDEX(products!$A$1:$G$49,MATCH(orders!$D180,products!$A$1:$A$49,0),MATCH(orders!J$1,products!$A$1:$G$1,0))</f>
        <v>Ara</v>
      </c>
      <c r="K180" t="str">
        <f>INDEX(products!$A$1:$G$49,MATCH(orders!$D180,products!$A$1:$A$49,0),MATCH(orders!K$1,products!$A$1:$G$1,0))</f>
        <v>L</v>
      </c>
      <c r="L180" s="4">
        <f>INDEX(products!$A$1:$G$49,MATCH(orders!$D180,products!$A$1:$A$49,0),MATCH(orders!L$1,products!$A$1:$G$1,0))</f>
        <v>1</v>
      </c>
      <c r="M180" s="5">
        <f>INDEX(products!$A$1:$G$49,MATCH(orders!$D180,products!$A$1:$A$49,0),MATCH(orders!M$1,products!$A$1:$G$1,0))</f>
        <v>12.95</v>
      </c>
      <c r="N180" s="5">
        <f>Orders[[#This Row],[Quantity]]*(INDEX(products!$A$1:$G$49,MATCH(orders!$D180,products!$A$1:$A$49,0),MATCH(orders!N$1,products!$A$1:$G$1,0)))</f>
        <v>2.331</v>
      </c>
      <c r="O180" s="5">
        <f>M180*E180</f>
        <v>25.9</v>
      </c>
      <c r="P180" t="str">
        <f t="shared" si="4"/>
        <v>Arabica</v>
      </c>
      <c r="Q180" t="str">
        <f t="shared" si="5"/>
        <v>Light</v>
      </c>
      <c r="R180" t="str">
        <f>_xlfn.XLOOKUP(Orders[[#This Row],[Customer ID]],customers!$A$1:$A$1001,customers!$I$1:$I$1001,,0)</f>
        <v>No</v>
      </c>
    </row>
    <row r="181" spans="1:18" x14ac:dyDescent="0.35">
      <c r="A181" s="2" t="s">
        <v>1498</v>
      </c>
      <c r="B181" s="3">
        <v>43830</v>
      </c>
      <c r="C181" s="2" t="s">
        <v>1499</v>
      </c>
      <c r="D181" t="s">
        <v>6154</v>
      </c>
      <c r="E181" s="2">
        <v>1</v>
      </c>
      <c r="F181" s="2" t="str">
        <f>_xlfn.XLOOKUP(Orders[[#This Row],[Customer ID]],customers!$A$1:$A$1001,customers!$B$1:$B$1001,,0)</f>
        <v>Tiffany Scardafield</v>
      </c>
      <c r="G181" s="2" t="str">
        <f>IF(_xlfn.XLOOKUP(C181,customers!$A$1:$A$1001,customers!C180:C1180,,0)=0,"",_xlfn.XLOOKUP(C181,customers!$A$1:$A$1001,customers!C180:C1180,,0))</f>
        <v>tcotmore9y@amazonaws.com</v>
      </c>
      <c r="H181" s="2" t="str">
        <f>_xlfn.XLOOKUP(Orders[[#This Row],[Customer ID]],customers!$A$1:$A$1001,customers!$G$1:$G$1001,,0)</f>
        <v>Ireland</v>
      </c>
      <c r="I181" s="2" t="str">
        <f>_xlfn.XLOOKUP(Orders[[#This Row],[Customer ID]],customers!$A$1:$A$1001,customers!$F$1:$F$1001,,0)</f>
        <v>Portarlington</v>
      </c>
      <c r="J181" t="str">
        <f>INDEX(products!$A$1:$G$49,MATCH(orders!$D181,products!$A$1:$A$49,0),MATCH(orders!J$1,products!$A$1:$G$1,0))</f>
        <v>Ara</v>
      </c>
      <c r="K181" t="str">
        <f>INDEX(products!$A$1:$G$49,MATCH(orders!$D181,products!$A$1:$A$49,0),MATCH(orders!K$1,products!$A$1:$G$1,0))</f>
        <v>D</v>
      </c>
      <c r="L181" s="4">
        <f>INDEX(products!$A$1:$G$49,MATCH(orders!$D181,products!$A$1:$A$49,0),MATCH(orders!L$1,products!$A$1:$G$1,0))</f>
        <v>0.2</v>
      </c>
      <c r="M181" s="5">
        <f>INDEX(products!$A$1:$G$49,MATCH(orders!$D181,products!$A$1:$A$49,0),MATCH(orders!M$1,products!$A$1:$G$1,0))</f>
        <v>2.9849999999999999</v>
      </c>
      <c r="N181" s="5">
        <f>Orders[[#This Row],[Quantity]]*(INDEX(products!$A$1:$G$49,MATCH(orders!$D181,products!$A$1:$A$49,0),MATCH(orders!N$1,products!$A$1:$G$1,0)))</f>
        <v>0.26865</v>
      </c>
      <c r="O181" s="5">
        <f>M181*E181</f>
        <v>2.9849999999999999</v>
      </c>
      <c r="P181" t="str">
        <f t="shared" si="4"/>
        <v>Arabica</v>
      </c>
      <c r="Q181" t="str">
        <f t="shared" si="5"/>
        <v>Dark</v>
      </c>
      <c r="R181" t="str">
        <f>_xlfn.XLOOKUP(Orders[[#This Row],[Customer ID]],customers!$A$1:$A$1001,customers!$I$1:$I$1001,,0)</f>
        <v>No</v>
      </c>
    </row>
    <row r="182" spans="1:18" x14ac:dyDescent="0.35">
      <c r="A182" s="2" t="s">
        <v>1503</v>
      </c>
      <c r="B182" s="3">
        <v>43910</v>
      </c>
      <c r="C182" s="2" t="s">
        <v>1504</v>
      </c>
      <c r="D182" t="s">
        <v>6184</v>
      </c>
      <c r="E182" s="2">
        <v>5</v>
      </c>
      <c r="F182" s="2" t="str">
        <f>_xlfn.XLOOKUP(Orders[[#This Row],[Customer ID]],customers!$A$1:$A$1001,customers!$B$1:$B$1001,,0)</f>
        <v>Abrahan Mussen</v>
      </c>
      <c r="G182" s="2" t="str">
        <f>IF(_xlfn.XLOOKUP(C182,customers!$A$1:$A$1001,customers!C181:C1181,,0)=0,"",_xlfn.XLOOKUP(C182,customers!$A$1:$A$1001,customers!C181:C1181,,0))</f>
        <v>ncorpsa0@gmpg.org</v>
      </c>
      <c r="H182" s="2" t="str">
        <f>_xlfn.XLOOKUP(Orders[[#This Row],[Customer ID]],customers!$A$1:$A$1001,customers!$G$1:$G$1001,,0)</f>
        <v>United States</v>
      </c>
      <c r="I182" s="2" t="str">
        <f>_xlfn.XLOOKUP(Orders[[#This Row],[Customer ID]],customers!$A$1:$A$1001,customers!$F$1:$F$1001,,0)</f>
        <v>Brooklyn</v>
      </c>
      <c r="J182" t="str">
        <f>INDEX(products!$A$1:$G$49,MATCH(orders!$D182,products!$A$1:$A$49,0),MATCH(orders!J$1,products!$A$1:$G$1,0))</f>
        <v>Exc</v>
      </c>
      <c r="K182" t="str">
        <f>INDEX(products!$A$1:$G$49,MATCH(orders!$D182,products!$A$1:$A$49,0),MATCH(orders!K$1,products!$A$1:$G$1,0))</f>
        <v>L</v>
      </c>
      <c r="L182" s="4">
        <f>INDEX(products!$A$1:$G$49,MATCH(orders!$D182,products!$A$1:$A$49,0),MATCH(orders!L$1,products!$A$1:$G$1,0))</f>
        <v>0.2</v>
      </c>
      <c r="M182" s="5">
        <f>INDEX(products!$A$1:$G$49,MATCH(orders!$D182,products!$A$1:$A$49,0),MATCH(orders!M$1,products!$A$1:$G$1,0))</f>
        <v>4.4550000000000001</v>
      </c>
      <c r="N182" s="5">
        <f>Orders[[#This Row],[Quantity]]*(INDEX(products!$A$1:$G$49,MATCH(orders!$D182,products!$A$1:$A$49,0),MATCH(orders!N$1,products!$A$1:$G$1,0)))</f>
        <v>2.45025</v>
      </c>
      <c r="O182" s="5">
        <f>M182*E182</f>
        <v>22.274999999999999</v>
      </c>
      <c r="P182" t="str">
        <f t="shared" si="4"/>
        <v>Excelsa</v>
      </c>
      <c r="Q182" t="str">
        <f t="shared" si="5"/>
        <v>Light</v>
      </c>
      <c r="R182" t="str">
        <f>_xlfn.XLOOKUP(Orders[[#This Row],[Customer ID]],customers!$A$1:$A$1001,customers!$I$1:$I$1001,,0)</f>
        <v>No</v>
      </c>
    </row>
    <row r="183" spans="1:18" x14ac:dyDescent="0.35">
      <c r="A183" s="2" t="s">
        <v>1503</v>
      </c>
      <c r="B183" s="3">
        <v>43910</v>
      </c>
      <c r="C183" s="2" t="s">
        <v>1504</v>
      </c>
      <c r="D183" t="s">
        <v>6158</v>
      </c>
      <c r="E183" s="2">
        <v>5</v>
      </c>
      <c r="F183" s="2" t="str">
        <f>_xlfn.XLOOKUP(Orders[[#This Row],[Customer ID]],customers!$A$1:$A$1001,customers!$B$1:$B$1001,,0)</f>
        <v>Abrahan Mussen</v>
      </c>
      <c r="G183" s="2" t="str">
        <f>IF(_xlfn.XLOOKUP(C183,customers!$A$1:$A$1001,customers!C182:C1182,,0)=0,"",_xlfn.XLOOKUP(C183,customers!$A$1:$A$1001,customers!C182:C1182,,0))</f>
        <v>cruburya1@geocities.jp</v>
      </c>
      <c r="H183" s="2" t="str">
        <f>_xlfn.XLOOKUP(Orders[[#This Row],[Customer ID]],customers!$A$1:$A$1001,customers!$G$1:$G$1001,,0)</f>
        <v>United States</v>
      </c>
      <c r="I183" s="2" t="str">
        <f>_xlfn.XLOOKUP(Orders[[#This Row],[Customer ID]],customers!$A$1:$A$1001,customers!$F$1:$F$1001,,0)</f>
        <v>Brooklyn</v>
      </c>
      <c r="J183" t="str">
        <f>INDEX(products!$A$1:$G$49,MATCH(orders!$D183,products!$A$1:$A$49,0),MATCH(orders!J$1,products!$A$1:$G$1,0))</f>
        <v>Ara</v>
      </c>
      <c r="K183" t="str">
        <f>INDEX(products!$A$1:$G$49,MATCH(orders!$D183,products!$A$1:$A$49,0),MATCH(orders!K$1,products!$A$1:$G$1,0))</f>
        <v>D</v>
      </c>
      <c r="L183" s="4">
        <f>INDEX(products!$A$1:$G$49,MATCH(orders!$D183,products!$A$1:$A$49,0),MATCH(orders!L$1,products!$A$1:$G$1,0))</f>
        <v>0.5</v>
      </c>
      <c r="M183" s="5">
        <f>INDEX(products!$A$1:$G$49,MATCH(orders!$D183,products!$A$1:$A$49,0),MATCH(orders!M$1,products!$A$1:$G$1,0))</f>
        <v>5.97</v>
      </c>
      <c r="N183" s="5">
        <f>Orders[[#This Row],[Quantity]]*(INDEX(products!$A$1:$G$49,MATCH(orders!$D183,products!$A$1:$A$49,0),MATCH(orders!N$1,products!$A$1:$G$1,0)))</f>
        <v>2.6865000000000001</v>
      </c>
      <c r="O183" s="5">
        <f>M183*E183</f>
        <v>29.849999999999998</v>
      </c>
      <c r="P183" t="str">
        <f t="shared" si="4"/>
        <v>Arabica</v>
      </c>
      <c r="Q183" t="str">
        <f t="shared" si="5"/>
        <v>Dark</v>
      </c>
      <c r="R183" t="str">
        <f>_xlfn.XLOOKUP(Orders[[#This Row],[Customer ID]],customers!$A$1:$A$1001,customers!$I$1:$I$1001,,0)</f>
        <v>No</v>
      </c>
    </row>
    <row r="184" spans="1:18" x14ac:dyDescent="0.35">
      <c r="A184" s="2" t="s">
        <v>1514</v>
      </c>
      <c r="B184" s="3">
        <v>44284</v>
      </c>
      <c r="C184" s="2" t="s">
        <v>1515</v>
      </c>
      <c r="D184" t="s">
        <v>6172</v>
      </c>
      <c r="E184" s="2">
        <v>6</v>
      </c>
      <c r="F184" s="2" t="str">
        <f>_xlfn.XLOOKUP(Orders[[#This Row],[Customer ID]],customers!$A$1:$A$1001,customers!$B$1:$B$1001,,0)</f>
        <v>Anny Mundford</v>
      </c>
      <c r="G184" s="2" t="str">
        <f>IF(_xlfn.XLOOKUP(C184,customers!$A$1:$A$1001,customers!C183:C1183,,0)=0,"",_xlfn.XLOOKUP(C184,customers!$A$1:$A$1001,customers!C183:C1183,,0))</f>
        <v>ptoffula4@posterous.com</v>
      </c>
      <c r="H184" s="2" t="str">
        <f>_xlfn.XLOOKUP(Orders[[#This Row],[Customer ID]],customers!$A$1:$A$1001,customers!$G$1:$G$1001,,0)</f>
        <v>United States</v>
      </c>
      <c r="I184" s="2" t="str">
        <f>_xlfn.XLOOKUP(Orders[[#This Row],[Customer ID]],customers!$A$1:$A$1001,customers!$F$1:$F$1001,,0)</f>
        <v>Charlottesville</v>
      </c>
      <c r="J184" t="str">
        <f>INDEX(products!$A$1:$G$49,MATCH(orders!$D184,products!$A$1:$A$49,0),MATCH(orders!J$1,products!$A$1:$G$1,0))</f>
        <v>Rob</v>
      </c>
      <c r="K184" t="str">
        <f>INDEX(products!$A$1:$G$49,MATCH(orders!$D184,products!$A$1:$A$49,0),MATCH(orders!K$1,products!$A$1:$G$1,0))</f>
        <v>D</v>
      </c>
      <c r="L184" s="4">
        <f>INDEX(products!$A$1:$G$49,MATCH(orders!$D184,products!$A$1:$A$49,0),MATCH(orders!L$1,products!$A$1:$G$1,0))</f>
        <v>0.5</v>
      </c>
      <c r="M184" s="5">
        <f>INDEX(products!$A$1:$G$49,MATCH(orders!$D184,products!$A$1:$A$49,0),MATCH(orders!M$1,products!$A$1:$G$1,0))</f>
        <v>5.3699999999999992</v>
      </c>
      <c r="N184" s="5">
        <f>Orders[[#This Row],[Quantity]]*(INDEX(products!$A$1:$G$49,MATCH(orders!$D184,products!$A$1:$A$49,0),MATCH(orders!N$1,products!$A$1:$G$1,0)))</f>
        <v>1.9331999999999996</v>
      </c>
      <c r="O184" s="5">
        <f>M184*E184</f>
        <v>32.22</v>
      </c>
      <c r="P184" t="str">
        <f t="shared" si="4"/>
        <v>Robusta</v>
      </c>
      <c r="Q184" t="str">
        <f t="shared" si="5"/>
        <v>Dark</v>
      </c>
      <c r="R184" t="str">
        <f>_xlfn.XLOOKUP(Orders[[#This Row],[Customer ID]],customers!$A$1:$A$1001,customers!$I$1:$I$1001,,0)</f>
        <v>No</v>
      </c>
    </row>
    <row r="185" spans="1:18" x14ac:dyDescent="0.35">
      <c r="A185" s="2" t="s">
        <v>1520</v>
      </c>
      <c r="B185" s="3">
        <v>44512</v>
      </c>
      <c r="C185" s="2" t="s">
        <v>1521</v>
      </c>
      <c r="D185" t="s">
        <v>6156</v>
      </c>
      <c r="E185" s="2">
        <v>2</v>
      </c>
      <c r="F185" s="2" t="str">
        <f>_xlfn.XLOOKUP(Orders[[#This Row],[Customer ID]],customers!$A$1:$A$1001,customers!$B$1:$B$1001,,0)</f>
        <v>Tory Walas</v>
      </c>
      <c r="G185" s="2" t="str">
        <f>IF(_xlfn.XLOOKUP(C185,customers!$A$1:$A$1001,customers!C184:C1184,,0)=0,"",_xlfn.XLOOKUP(C185,customers!$A$1:$A$1001,customers!C184:C1184,,0))</f>
        <v/>
      </c>
      <c r="H185" s="2" t="str">
        <f>_xlfn.XLOOKUP(Orders[[#This Row],[Customer ID]],customers!$A$1:$A$1001,customers!$G$1:$G$1001,,0)</f>
        <v>United States</v>
      </c>
      <c r="I185" s="2" t="str">
        <f>_xlfn.XLOOKUP(Orders[[#This Row],[Customer ID]],customers!$A$1:$A$1001,customers!$F$1:$F$1001,,0)</f>
        <v>Garland</v>
      </c>
      <c r="J185" t="str">
        <f>INDEX(products!$A$1:$G$49,MATCH(orders!$D185,products!$A$1:$A$49,0),MATCH(orders!J$1,products!$A$1:$G$1,0))</f>
        <v>Exc</v>
      </c>
      <c r="K185" t="str">
        <f>INDEX(products!$A$1:$G$49,MATCH(orders!$D185,products!$A$1:$A$49,0),MATCH(orders!K$1,products!$A$1:$G$1,0))</f>
        <v>M</v>
      </c>
      <c r="L185" s="4">
        <f>INDEX(products!$A$1:$G$49,MATCH(orders!$D185,products!$A$1:$A$49,0),MATCH(orders!L$1,products!$A$1:$G$1,0))</f>
        <v>0.2</v>
      </c>
      <c r="M185" s="5">
        <f>INDEX(products!$A$1:$G$49,MATCH(orders!$D185,products!$A$1:$A$49,0),MATCH(orders!M$1,products!$A$1:$G$1,0))</f>
        <v>4.125</v>
      </c>
      <c r="N185" s="5">
        <f>Orders[[#This Row],[Quantity]]*(INDEX(products!$A$1:$G$49,MATCH(orders!$D185,products!$A$1:$A$49,0),MATCH(orders!N$1,products!$A$1:$G$1,0)))</f>
        <v>0.90749999999999997</v>
      </c>
      <c r="O185" s="5">
        <f>M185*E185</f>
        <v>8.25</v>
      </c>
      <c r="P185" t="str">
        <f t="shared" si="4"/>
        <v>Excelsa</v>
      </c>
      <c r="Q185" t="str">
        <f t="shared" si="5"/>
        <v>Medium</v>
      </c>
      <c r="R185" t="str">
        <f>_xlfn.XLOOKUP(Orders[[#This Row],[Customer ID]],customers!$A$1:$A$1001,customers!$I$1:$I$1001,,0)</f>
        <v>No</v>
      </c>
    </row>
    <row r="186" spans="1:18" x14ac:dyDescent="0.35">
      <c r="A186" s="2" t="s">
        <v>1526</v>
      </c>
      <c r="B186" s="3">
        <v>44397</v>
      </c>
      <c r="C186" s="2" t="s">
        <v>1527</v>
      </c>
      <c r="D186" t="s">
        <v>6180</v>
      </c>
      <c r="E186" s="2">
        <v>4</v>
      </c>
      <c r="F186" s="2" t="str">
        <f>_xlfn.XLOOKUP(Orders[[#This Row],[Customer ID]],customers!$A$1:$A$1001,customers!$B$1:$B$1001,,0)</f>
        <v>Isa Blazewicz</v>
      </c>
      <c r="G186" s="2" t="str">
        <f>IF(_xlfn.XLOOKUP(C186,customers!$A$1:$A$1001,customers!C185:C1185,,0)=0,"",_xlfn.XLOOKUP(C186,customers!$A$1:$A$1001,customers!C185:C1185,,0))</f>
        <v>lflaoniera8@wordpress.org</v>
      </c>
      <c r="H186" s="2" t="str">
        <f>_xlfn.XLOOKUP(Orders[[#This Row],[Customer ID]],customers!$A$1:$A$1001,customers!$G$1:$G$1001,,0)</f>
        <v>United States</v>
      </c>
      <c r="I186" s="2" t="str">
        <f>_xlfn.XLOOKUP(Orders[[#This Row],[Customer ID]],customers!$A$1:$A$1001,customers!$F$1:$F$1001,,0)</f>
        <v>Minneapolis</v>
      </c>
      <c r="J186" t="str">
        <f>INDEX(products!$A$1:$G$49,MATCH(orders!$D186,products!$A$1:$A$49,0),MATCH(orders!J$1,products!$A$1:$G$1,0))</f>
        <v>Ara</v>
      </c>
      <c r="K186" t="str">
        <f>INDEX(products!$A$1:$G$49,MATCH(orders!$D186,products!$A$1:$A$49,0),MATCH(orders!K$1,products!$A$1:$G$1,0))</f>
        <v>L</v>
      </c>
      <c r="L186" s="4">
        <f>INDEX(products!$A$1:$G$49,MATCH(orders!$D186,products!$A$1:$A$49,0),MATCH(orders!L$1,products!$A$1:$G$1,0))</f>
        <v>0.5</v>
      </c>
      <c r="M186" s="5">
        <f>INDEX(products!$A$1:$G$49,MATCH(orders!$D186,products!$A$1:$A$49,0),MATCH(orders!M$1,products!$A$1:$G$1,0))</f>
        <v>7.77</v>
      </c>
      <c r="N186" s="5">
        <f>Orders[[#This Row],[Quantity]]*(INDEX(products!$A$1:$G$49,MATCH(orders!$D186,products!$A$1:$A$49,0),MATCH(orders!N$1,products!$A$1:$G$1,0)))</f>
        <v>2.7971999999999997</v>
      </c>
      <c r="O186" s="5">
        <f>M186*E186</f>
        <v>31.08</v>
      </c>
      <c r="P186" t="str">
        <f t="shared" si="4"/>
        <v>Arabica</v>
      </c>
      <c r="Q186" t="str">
        <f t="shared" si="5"/>
        <v>Light</v>
      </c>
      <c r="R186" t="str">
        <f>_xlfn.XLOOKUP(Orders[[#This Row],[Customer ID]],customers!$A$1:$A$1001,customers!$I$1:$I$1001,,0)</f>
        <v>No</v>
      </c>
    </row>
    <row r="187" spans="1:18" x14ac:dyDescent="0.35">
      <c r="A187" s="2" t="s">
        <v>1532</v>
      </c>
      <c r="B187" s="3">
        <v>43483</v>
      </c>
      <c r="C187" s="2" t="s">
        <v>1533</v>
      </c>
      <c r="D187" t="s">
        <v>6144</v>
      </c>
      <c r="E187" s="2">
        <v>5</v>
      </c>
      <c r="F187" s="2" t="str">
        <f>_xlfn.XLOOKUP(Orders[[#This Row],[Customer ID]],customers!$A$1:$A$1001,customers!$B$1:$B$1001,,0)</f>
        <v>Angie Rizzetti</v>
      </c>
      <c r="G187" s="2" t="str">
        <f>IF(_xlfn.XLOOKUP(C187,customers!$A$1:$A$1001,customers!C186:C1186,,0)=0,"",_xlfn.XLOOKUP(C187,customers!$A$1:$A$1001,customers!C186:C1186,,0))</f>
        <v>ccatchesideaa@macromedia.com</v>
      </c>
      <c r="H187" s="2" t="str">
        <f>_xlfn.XLOOKUP(Orders[[#This Row],[Customer ID]],customers!$A$1:$A$1001,customers!$G$1:$G$1001,,0)</f>
        <v>United States</v>
      </c>
      <c r="I187" s="2" t="str">
        <f>_xlfn.XLOOKUP(Orders[[#This Row],[Customer ID]],customers!$A$1:$A$1001,customers!$F$1:$F$1001,,0)</f>
        <v>Lansing</v>
      </c>
      <c r="J187" t="str">
        <f>INDEX(products!$A$1:$G$49,MATCH(orders!$D187,products!$A$1:$A$49,0),MATCH(orders!J$1,products!$A$1:$G$1,0))</f>
        <v>Exc</v>
      </c>
      <c r="K187" t="str">
        <f>INDEX(products!$A$1:$G$49,MATCH(orders!$D187,products!$A$1:$A$49,0),MATCH(orders!K$1,products!$A$1:$G$1,0))</f>
        <v>D</v>
      </c>
      <c r="L187" s="4">
        <f>INDEX(products!$A$1:$G$49,MATCH(orders!$D187,products!$A$1:$A$49,0),MATCH(orders!L$1,products!$A$1:$G$1,0))</f>
        <v>0.5</v>
      </c>
      <c r="M187" s="5">
        <f>INDEX(products!$A$1:$G$49,MATCH(orders!$D187,products!$A$1:$A$49,0),MATCH(orders!M$1,products!$A$1:$G$1,0))</f>
        <v>7.29</v>
      </c>
      <c r="N187" s="5">
        <f>Orders[[#This Row],[Quantity]]*(INDEX(products!$A$1:$G$49,MATCH(orders!$D187,products!$A$1:$A$49,0),MATCH(orders!N$1,products!$A$1:$G$1,0)))</f>
        <v>4.0095000000000001</v>
      </c>
      <c r="O187" s="5">
        <f>M187*E187</f>
        <v>36.450000000000003</v>
      </c>
      <c r="P187" t="str">
        <f t="shared" si="4"/>
        <v>Excelsa</v>
      </c>
      <c r="Q187" t="str">
        <f t="shared" si="5"/>
        <v>Dark</v>
      </c>
      <c r="R187" t="str">
        <f>_xlfn.XLOOKUP(Orders[[#This Row],[Customer ID]],customers!$A$1:$A$1001,customers!$I$1:$I$1001,,0)</f>
        <v>Yes</v>
      </c>
    </row>
    <row r="188" spans="1:18" x14ac:dyDescent="0.35">
      <c r="A188" s="2" t="s">
        <v>1538</v>
      </c>
      <c r="B188" s="3">
        <v>43684</v>
      </c>
      <c r="C188" s="2" t="s">
        <v>1539</v>
      </c>
      <c r="D188" t="s">
        <v>6151</v>
      </c>
      <c r="E188" s="2">
        <v>3</v>
      </c>
      <c r="F188" s="2" t="str">
        <f>_xlfn.XLOOKUP(Orders[[#This Row],[Customer ID]],customers!$A$1:$A$1001,customers!$B$1:$B$1001,,0)</f>
        <v>Mord Meriet</v>
      </c>
      <c r="G188" s="2" t="str">
        <f>IF(_xlfn.XLOOKUP(C188,customers!$A$1:$A$1001,customers!C187:C1187,,0)=0,"",_xlfn.XLOOKUP(C188,customers!$A$1:$A$1001,customers!C187:C1187,,0))</f>
        <v>tfarraac@behance.net</v>
      </c>
      <c r="H188" s="2" t="str">
        <f>_xlfn.XLOOKUP(Orders[[#This Row],[Customer ID]],customers!$A$1:$A$1001,customers!$G$1:$G$1001,,0)</f>
        <v>United States</v>
      </c>
      <c r="I188" s="2" t="str">
        <f>_xlfn.XLOOKUP(Orders[[#This Row],[Customer ID]],customers!$A$1:$A$1001,customers!$F$1:$F$1001,,0)</f>
        <v>Grand Forks</v>
      </c>
      <c r="J188" t="str">
        <f>INDEX(products!$A$1:$G$49,MATCH(orders!$D188,products!$A$1:$A$49,0),MATCH(orders!J$1,products!$A$1:$G$1,0))</f>
        <v>Rob</v>
      </c>
      <c r="K188" t="str">
        <f>INDEX(products!$A$1:$G$49,MATCH(orders!$D188,products!$A$1:$A$49,0),MATCH(orders!K$1,products!$A$1:$G$1,0))</f>
        <v>M</v>
      </c>
      <c r="L188" s="4">
        <f>INDEX(products!$A$1:$G$49,MATCH(orders!$D188,products!$A$1:$A$49,0),MATCH(orders!L$1,products!$A$1:$G$1,0))</f>
        <v>2.5</v>
      </c>
      <c r="M188" s="5">
        <f>INDEX(products!$A$1:$G$49,MATCH(orders!$D188,products!$A$1:$A$49,0),MATCH(orders!M$1,products!$A$1:$G$1,0))</f>
        <v>22.884999999999998</v>
      </c>
      <c r="N188" s="5">
        <f>Orders[[#This Row],[Quantity]]*(INDEX(products!$A$1:$G$49,MATCH(orders!$D188,products!$A$1:$A$49,0),MATCH(orders!N$1,products!$A$1:$G$1,0)))</f>
        <v>4.1192999999999991</v>
      </c>
      <c r="O188" s="5">
        <f>M188*E188</f>
        <v>68.655000000000001</v>
      </c>
      <c r="P188" t="str">
        <f t="shared" si="4"/>
        <v>Robusta</v>
      </c>
      <c r="Q188" t="str">
        <f t="shared" si="5"/>
        <v>Medium</v>
      </c>
      <c r="R188" t="str">
        <f>_xlfn.XLOOKUP(Orders[[#This Row],[Customer ID]],customers!$A$1:$A$1001,customers!$I$1:$I$1001,,0)</f>
        <v>No</v>
      </c>
    </row>
    <row r="189" spans="1:18" x14ac:dyDescent="0.35">
      <c r="A189" s="2" t="s">
        <v>1544</v>
      </c>
      <c r="B189" s="3">
        <v>44633</v>
      </c>
      <c r="C189" s="2" t="s">
        <v>1545</v>
      </c>
      <c r="D189" t="s">
        <v>6160</v>
      </c>
      <c r="E189" s="2">
        <v>5</v>
      </c>
      <c r="F189" s="2" t="str">
        <f>_xlfn.XLOOKUP(Orders[[#This Row],[Customer ID]],customers!$A$1:$A$1001,customers!$B$1:$B$1001,,0)</f>
        <v>Lawrence Pratt</v>
      </c>
      <c r="G189" s="2" t="str">
        <f>IF(_xlfn.XLOOKUP(C189,customers!$A$1:$A$1001,customers!C188:C1188,,0)=0,"",_xlfn.XLOOKUP(C189,customers!$A$1:$A$1001,customers!C188:C1188,,0))</f>
        <v>gbamfieldae@yellowpages.com</v>
      </c>
      <c r="H189" s="2" t="str">
        <f>_xlfn.XLOOKUP(Orders[[#This Row],[Customer ID]],customers!$A$1:$A$1001,customers!$G$1:$G$1001,,0)</f>
        <v>United States</v>
      </c>
      <c r="I189" s="2" t="str">
        <f>_xlfn.XLOOKUP(Orders[[#This Row],[Customer ID]],customers!$A$1:$A$1001,customers!$F$1:$F$1001,,0)</f>
        <v>Anchorage</v>
      </c>
      <c r="J189" t="str">
        <f>INDEX(products!$A$1:$G$49,MATCH(orders!$D189,products!$A$1:$A$49,0),MATCH(orders!J$1,products!$A$1:$G$1,0))</f>
        <v>Lib</v>
      </c>
      <c r="K189" t="str">
        <f>INDEX(products!$A$1:$G$49,MATCH(orders!$D189,products!$A$1:$A$49,0),MATCH(orders!K$1,products!$A$1:$G$1,0))</f>
        <v>M</v>
      </c>
      <c r="L189" s="4">
        <f>INDEX(products!$A$1:$G$49,MATCH(orders!$D189,products!$A$1:$A$49,0),MATCH(orders!L$1,products!$A$1:$G$1,0))</f>
        <v>0.5</v>
      </c>
      <c r="M189" s="5">
        <f>INDEX(products!$A$1:$G$49,MATCH(orders!$D189,products!$A$1:$A$49,0),MATCH(orders!M$1,products!$A$1:$G$1,0))</f>
        <v>8.73</v>
      </c>
      <c r="N189" s="5">
        <f>Orders[[#This Row],[Quantity]]*(INDEX(products!$A$1:$G$49,MATCH(orders!$D189,products!$A$1:$A$49,0),MATCH(orders!N$1,products!$A$1:$G$1,0)))</f>
        <v>5.6745000000000001</v>
      </c>
      <c r="O189" s="5">
        <f>M189*E189</f>
        <v>43.650000000000006</v>
      </c>
      <c r="P189" t="str">
        <f t="shared" si="4"/>
        <v>Liberica</v>
      </c>
      <c r="Q189" t="str">
        <f t="shared" si="5"/>
        <v>Medium</v>
      </c>
      <c r="R189" t="str">
        <f>_xlfn.XLOOKUP(Orders[[#This Row],[Customer ID]],customers!$A$1:$A$1001,customers!$I$1:$I$1001,,0)</f>
        <v>Yes</v>
      </c>
    </row>
    <row r="190" spans="1:18" x14ac:dyDescent="0.35">
      <c r="A190" s="2" t="s">
        <v>1549</v>
      </c>
      <c r="B190" s="3">
        <v>44698</v>
      </c>
      <c r="C190" s="2" t="s">
        <v>1550</v>
      </c>
      <c r="D190" t="s">
        <v>6184</v>
      </c>
      <c r="E190" s="2">
        <v>1</v>
      </c>
      <c r="F190" s="2" t="str">
        <f>_xlfn.XLOOKUP(Orders[[#This Row],[Customer ID]],customers!$A$1:$A$1001,customers!$B$1:$B$1001,,0)</f>
        <v>Astrix Kitchingham</v>
      </c>
      <c r="G190" s="2" t="str">
        <f>IF(_xlfn.XLOOKUP(C190,customers!$A$1:$A$1001,customers!C189:C1189,,0)=0,"",_xlfn.XLOOKUP(C190,customers!$A$1:$A$1001,customers!C189:C1189,,0))</f>
        <v>jdeag@xrea.com</v>
      </c>
      <c r="H190" s="2" t="str">
        <f>_xlfn.XLOOKUP(Orders[[#This Row],[Customer ID]],customers!$A$1:$A$1001,customers!$G$1:$G$1001,,0)</f>
        <v>United States</v>
      </c>
      <c r="I190" s="2" t="str">
        <f>_xlfn.XLOOKUP(Orders[[#This Row],[Customer ID]],customers!$A$1:$A$1001,customers!$F$1:$F$1001,,0)</f>
        <v>Oklahoma City</v>
      </c>
      <c r="J190" t="str">
        <f>INDEX(products!$A$1:$G$49,MATCH(orders!$D190,products!$A$1:$A$49,0),MATCH(orders!J$1,products!$A$1:$G$1,0))</f>
        <v>Exc</v>
      </c>
      <c r="K190" t="str">
        <f>INDEX(products!$A$1:$G$49,MATCH(orders!$D190,products!$A$1:$A$49,0),MATCH(orders!K$1,products!$A$1:$G$1,0))</f>
        <v>L</v>
      </c>
      <c r="L190" s="4">
        <f>INDEX(products!$A$1:$G$49,MATCH(orders!$D190,products!$A$1:$A$49,0),MATCH(orders!L$1,products!$A$1:$G$1,0))</f>
        <v>0.2</v>
      </c>
      <c r="M190" s="5">
        <f>INDEX(products!$A$1:$G$49,MATCH(orders!$D190,products!$A$1:$A$49,0),MATCH(orders!M$1,products!$A$1:$G$1,0))</f>
        <v>4.4550000000000001</v>
      </c>
      <c r="N190" s="5">
        <f>Orders[[#This Row],[Quantity]]*(INDEX(products!$A$1:$G$49,MATCH(orders!$D190,products!$A$1:$A$49,0),MATCH(orders!N$1,products!$A$1:$G$1,0)))</f>
        <v>0.49004999999999999</v>
      </c>
      <c r="O190" s="5">
        <f>M190*E190</f>
        <v>4.4550000000000001</v>
      </c>
      <c r="P190" t="str">
        <f t="shared" si="4"/>
        <v>Excelsa</v>
      </c>
      <c r="Q190" t="str">
        <f t="shared" si="5"/>
        <v>Light</v>
      </c>
      <c r="R190" t="str">
        <f>_xlfn.XLOOKUP(Orders[[#This Row],[Customer ID]],customers!$A$1:$A$1001,customers!$I$1:$I$1001,,0)</f>
        <v>Yes</v>
      </c>
    </row>
    <row r="191" spans="1:18" x14ac:dyDescent="0.35">
      <c r="A191" s="2" t="s">
        <v>1555</v>
      </c>
      <c r="B191" s="3">
        <v>43813</v>
      </c>
      <c r="C191" s="2" t="s">
        <v>1556</v>
      </c>
      <c r="D191" t="s">
        <v>6162</v>
      </c>
      <c r="E191" s="2">
        <v>3</v>
      </c>
      <c r="F191" s="2" t="str">
        <f>_xlfn.XLOOKUP(Orders[[#This Row],[Customer ID]],customers!$A$1:$A$1001,customers!$B$1:$B$1001,,0)</f>
        <v>Burnard Bartholin</v>
      </c>
      <c r="G191" s="2" t="str">
        <f>IF(_xlfn.XLOOKUP(C191,customers!$A$1:$A$1001,customers!C190:C1190,,0)=0,"",_xlfn.XLOOKUP(C191,customers!$A$1:$A$1001,customers!C190:C1190,,0))</f>
        <v>jrudeforthai@wunderground.com</v>
      </c>
      <c r="H191" s="2" t="str">
        <f>_xlfn.XLOOKUP(Orders[[#This Row],[Customer ID]],customers!$A$1:$A$1001,customers!$G$1:$G$1001,,0)</f>
        <v>United States</v>
      </c>
      <c r="I191" s="2" t="str">
        <f>_xlfn.XLOOKUP(Orders[[#This Row],[Customer ID]],customers!$A$1:$A$1001,customers!$F$1:$F$1001,,0)</f>
        <v>Tulsa</v>
      </c>
      <c r="J191" t="str">
        <f>INDEX(products!$A$1:$G$49,MATCH(orders!$D191,products!$A$1:$A$49,0),MATCH(orders!J$1,products!$A$1:$G$1,0))</f>
        <v>Lib</v>
      </c>
      <c r="K191" t="str">
        <f>INDEX(products!$A$1:$G$49,MATCH(orders!$D191,products!$A$1:$A$49,0),MATCH(orders!K$1,products!$A$1:$G$1,0))</f>
        <v>M</v>
      </c>
      <c r="L191" s="4">
        <f>INDEX(products!$A$1:$G$49,MATCH(orders!$D191,products!$A$1:$A$49,0),MATCH(orders!L$1,products!$A$1:$G$1,0))</f>
        <v>1</v>
      </c>
      <c r="M191" s="5">
        <f>INDEX(products!$A$1:$G$49,MATCH(orders!$D191,products!$A$1:$A$49,0),MATCH(orders!M$1,products!$A$1:$G$1,0))</f>
        <v>14.55</v>
      </c>
      <c r="N191" s="5">
        <f>Orders[[#This Row],[Quantity]]*(INDEX(products!$A$1:$G$49,MATCH(orders!$D191,products!$A$1:$A$49,0),MATCH(orders!N$1,products!$A$1:$G$1,0)))</f>
        <v>5.6745000000000001</v>
      </c>
      <c r="O191" s="5">
        <f>M191*E191</f>
        <v>43.650000000000006</v>
      </c>
      <c r="P191" t="str">
        <f t="shared" si="4"/>
        <v>Liberica</v>
      </c>
      <c r="Q191" t="str">
        <f t="shared" si="5"/>
        <v>Medium</v>
      </c>
      <c r="R191" t="str">
        <f>_xlfn.XLOOKUP(Orders[[#This Row],[Customer ID]],customers!$A$1:$A$1001,customers!$I$1:$I$1001,,0)</f>
        <v>Yes</v>
      </c>
    </row>
    <row r="192" spans="1:18" x14ac:dyDescent="0.35">
      <c r="A192" s="2" t="s">
        <v>1561</v>
      </c>
      <c r="B192" s="3">
        <v>43845</v>
      </c>
      <c r="C192" s="2" t="s">
        <v>1562</v>
      </c>
      <c r="D192" t="s">
        <v>6181</v>
      </c>
      <c r="E192" s="2">
        <v>1</v>
      </c>
      <c r="F192" s="2" t="str">
        <f>_xlfn.XLOOKUP(Orders[[#This Row],[Customer ID]],customers!$A$1:$A$1001,customers!$B$1:$B$1001,,0)</f>
        <v>Madelene Prinn</v>
      </c>
      <c r="G192" s="2" t="str">
        <f>IF(_xlfn.XLOOKUP(C192,customers!$A$1:$A$1001,customers!C191:C1191,,0)=0,"",_xlfn.XLOOKUP(C192,customers!$A$1:$A$1001,customers!C191:C1191,,0))</f>
        <v>fmartiak@stumbleupon.com</v>
      </c>
      <c r="H192" s="2" t="str">
        <f>_xlfn.XLOOKUP(Orders[[#This Row],[Customer ID]],customers!$A$1:$A$1001,customers!$G$1:$G$1001,,0)</f>
        <v>United States</v>
      </c>
      <c r="I192" s="2" t="str">
        <f>_xlfn.XLOOKUP(Orders[[#This Row],[Customer ID]],customers!$A$1:$A$1001,customers!$F$1:$F$1001,,0)</f>
        <v>Detroit</v>
      </c>
      <c r="J192" t="str">
        <f>INDEX(products!$A$1:$G$49,MATCH(orders!$D192,products!$A$1:$A$49,0),MATCH(orders!J$1,products!$A$1:$G$1,0))</f>
        <v>Lib</v>
      </c>
      <c r="K192" t="str">
        <f>INDEX(products!$A$1:$G$49,MATCH(orders!$D192,products!$A$1:$A$49,0),MATCH(orders!K$1,products!$A$1:$G$1,0))</f>
        <v>M</v>
      </c>
      <c r="L192" s="4">
        <f>INDEX(products!$A$1:$G$49,MATCH(orders!$D192,products!$A$1:$A$49,0),MATCH(orders!L$1,products!$A$1:$G$1,0))</f>
        <v>2.5</v>
      </c>
      <c r="M192" s="5">
        <f>INDEX(products!$A$1:$G$49,MATCH(orders!$D192,products!$A$1:$A$49,0),MATCH(orders!M$1,products!$A$1:$G$1,0))</f>
        <v>33.464999999999996</v>
      </c>
      <c r="N192" s="5">
        <f>Orders[[#This Row],[Quantity]]*(INDEX(products!$A$1:$G$49,MATCH(orders!$D192,products!$A$1:$A$49,0),MATCH(orders!N$1,products!$A$1:$G$1,0)))</f>
        <v>4.3504499999999995</v>
      </c>
      <c r="O192" s="5">
        <f>M192*E192</f>
        <v>33.464999999999996</v>
      </c>
      <c r="P192" t="str">
        <f t="shared" si="4"/>
        <v>Liberica</v>
      </c>
      <c r="Q192" t="str">
        <f t="shared" si="5"/>
        <v>Medium</v>
      </c>
      <c r="R192" t="str">
        <f>_xlfn.XLOOKUP(Orders[[#This Row],[Customer ID]],customers!$A$1:$A$1001,customers!$I$1:$I$1001,,0)</f>
        <v>Yes</v>
      </c>
    </row>
    <row r="193" spans="1:18" x14ac:dyDescent="0.35">
      <c r="A193" s="2" t="s">
        <v>1567</v>
      </c>
      <c r="B193" s="3">
        <v>43567</v>
      </c>
      <c r="C193" s="2" t="s">
        <v>1568</v>
      </c>
      <c r="D193" t="s">
        <v>6150</v>
      </c>
      <c r="E193" s="2">
        <v>5</v>
      </c>
      <c r="F193" s="2" t="str">
        <f>_xlfn.XLOOKUP(Orders[[#This Row],[Customer ID]],customers!$A$1:$A$1001,customers!$B$1:$B$1001,,0)</f>
        <v>Alisun Baudino</v>
      </c>
      <c r="G193" s="2" t="str">
        <f>IF(_xlfn.XLOOKUP(C193,customers!$A$1:$A$1001,customers!C192:C1192,,0)=0,"",_xlfn.XLOOKUP(C193,customers!$A$1:$A$1001,customers!C192:C1192,,0))</f>
        <v>ewindressam@marketwatch.com</v>
      </c>
      <c r="H193" s="2" t="str">
        <f>_xlfn.XLOOKUP(Orders[[#This Row],[Customer ID]],customers!$A$1:$A$1001,customers!$G$1:$G$1001,,0)</f>
        <v>United States</v>
      </c>
      <c r="I193" s="2" t="str">
        <f>_xlfn.XLOOKUP(Orders[[#This Row],[Customer ID]],customers!$A$1:$A$1001,customers!$F$1:$F$1001,,0)</f>
        <v>Washington</v>
      </c>
      <c r="J193" t="str">
        <f>INDEX(products!$A$1:$G$49,MATCH(orders!$D193,products!$A$1:$A$49,0),MATCH(orders!J$1,products!$A$1:$G$1,0))</f>
        <v>Lib</v>
      </c>
      <c r="K193" t="str">
        <f>INDEX(products!$A$1:$G$49,MATCH(orders!$D193,products!$A$1:$A$49,0),MATCH(orders!K$1,products!$A$1:$G$1,0))</f>
        <v>D</v>
      </c>
      <c r="L193" s="4">
        <f>INDEX(products!$A$1:$G$49,MATCH(orders!$D193,products!$A$1:$A$49,0),MATCH(orders!L$1,products!$A$1:$G$1,0))</f>
        <v>0.2</v>
      </c>
      <c r="M193" s="5">
        <f>INDEX(products!$A$1:$G$49,MATCH(orders!$D193,products!$A$1:$A$49,0),MATCH(orders!M$1,products!$A$1:$G$1,0))</f>
        <v>3.8849999999999998</v>
      </c>
      <c r="N193" s="5">
        <f>Orders[[#This Row],[Quantity]]*(INDEX(products!$A$1:$G$49,MATCH(orders!$D193,products!$A$1:$A$49,0),MATCH(orders!N$1,products!$A$1:$G$1,0)))</f>
        <v>2.5252499999999998</v>
      </c>
      <c r="O193" s="5">
        <f>M193*E193</f>
        <v>19.424999999999997</v>
      </c>
      <c r="P193" t="str">
        <f t="shared" si="4"/>
        <v>Liberica</v>
      </c>
      <c r="Q193" t="str">
        <f t="shared" si="5"/>
        <v>Dark</v>
      </c>
      <c r="R193" t="str">
        <f>_xlfn.XLOOKUP(Orders[[#This Row],[Customer ID]],customers!$A$1:$A$1001,customers!$I$1:$I$1001,,0)</f>
        <v>Yes</v>
      </c>
    </row>
    <row r="194" spans="1:18" x14ac:dyDescent="0.35">
      <c r="A194" s="2" t="s">
        <v>1573</v>
      </c>
      <c r="B194" s="3">
        <v>43919</v>
      </c>
      <c r="C194" s="2" t="s">
        <v>1574</v>
      </c>
      <c r="D194" t="s">
        <v>6183</v>
      </c>
      <c r="E194" s="2">
        <v>6</v>
      </c>
      <c r="F194" s="2" t="str">
        <f>_xlfn.XLOOKUP(Orders[[#This Row],[Customer ID]],customers!$A$1:$A$1001,customers!$B$1:$B$1001,,0)</f>
        <v>Philipa Petrushanko</v>
      </c>
      <c r="G194" s="2" t="str">
        <f>IF(_xlfn.XLOOKUP(C194,customers!$A$1:$A$1001,customers!C193:C1193,,0)=0,"",_xlfn.XLOOKUP(C194,customers!$A$1:$A$1001,customers!C193:C1193,,0))</f>
        <v/>
      </c>
      <c r="H194" s="2" t="str">
        <f>_xlfn.XLOOKUP(Orders[[#This Row],[Customer ID]],customers!$A$1:$A$1001,customers!$G$1:$G$1001,,0)</f>
        <v>Ireland</v>
      </c>
      <c r="I194" s="2" t="str">
        <f>_xlfn.XLOOKUP(Orders[[#This Row],[Customer ID]],customers!$A$1:$A$1001,customers!$F$1:$F$1001,,0)</f>
        <v>Nenagh</v>
      </c>
      <c r="J194" t="str">
        <f>INDEX(products!$A$1:$G$49,MATCH(orders!$D194,products!$A$1:$A$49,0),MATCH(orders!J$1,products!$A$1:$G$1,0))</f>
        <v>Exc</v>
      </c>
      <c r="K194" t="str">
        <f>INDEX(products!$A$1:$G$49,MATCH(orders!$D194,products!$A$1:$A$49,0),MATCH(orders!K$1,products!$A$1:$G$1,0))</f>
        <v>D</v>
      </c>
      <c r="L194" s="4">
        <f>INDEX(products!$A$1:$G$49,MATCH(orders!$D194,products!$A$1:$A$49,0),MATCH(orders!L$1,products!$A$1:$G$1,0))</f>
        <v>1</v>
      </c>
      <c r="M194" s="5">
        <f>INDEX(products!$A$1:$G$49,MATCH(orders!$D194,products!$A$1:$A$49,0),MATCH(orders!M$1,products!$A$1:$G$1,0))</f>
        <v>12.15</v>
      </c>
      <c r="N194" s="5">
        <f>Orders[[#This Row],[Quantity]]*(INDEX(products!$A$1:$G$49,MATCH(orders!$D194,products!$A$1:$A$49,0),MATCH(orders!N$1,products!$A$1:$G$1,0)))</f>
        <v>8.0190000000000001</v>
      </c>
      <c r="O194" s="5">
        <f>M194*E194</f>
        <v>72.900000000000006</v>
      </c>
      <c r="P194" t="str">
        <f t="shared" si="4"/>
        <v>Excelsa</v>
      </c>
      <c r="Q194" t="str">
        <f t="shared" si="5"/>
        <v>Dark</v>
      </c>
      <c r="R194" t="str">
        <f>_xlfn.XLOOKUP(Orders[[#This Row],[Customer ID]],customers!$A$1:$A$1001,customers!$I$1:$I$1001,,0)</f>
        <v>Yes</v>
      </c>
    </row>
    <row r="195" spans="1:18" x14ac:dyDescent="0.35">
      <c r="A195" s="2" t="s">
        <v>1579</v>
      </c>
      <c r="B195" s="3">
        <v>44644</v>
      </c>
      <c r="C195" s="2" t="s">
        <v>1580</v>
      </c>
      <c r="D195" t="s">
        <v>6171</v>
      </c>
      <c r="E195" s="2">
        <v>3</v>
      </c>
      <c r="F195" s="2" t="str">
        <f>_xlfn.XLOOKUP(Orders[[#This Row],[Customer ID]],customers!$A$1:$A$1001,customers!$B$1:$B$1001,,0)</f>
        <v>Kimberli Mustchin</v>
      </c>
      <c r="G195" s="2" t="str">
        <f>IF(_xlfn.XLOOKUP(C195,customers!$A$1:$A$1001,customers!C194:C1194,,0)=0,"",_xlfn.XLOOKUP(C195,customers!$A$1:$A$1001,customers!C194:C1194,,0))</f>
        <v/>
      </c>
      <c r="H195" s="2" t="str">
        <f>_xlfn.XLOOKUP(Orders[[#This Row],[Customer ID]],customers!$A$1:$A$1001,customers!$G$1:$G$1001,,0)</f>
        <v>United States</v>
      </c>
      <c r="I195" s="2" t="str">
        <f>_xlfn.XLOOKUP(Orders[[#This Row],[Customer ID]],customers!$A$1:$A$1001,customers!$F$1:$F$1001,,0)</f>
        <v>Mesa</v>
      </c>
      <c r="J195" t="str">
        <f>INDEX(products!$A$1:$G$49,MATCH(orders!$D195,products!$A$1:$A$49,0),MATCH(orders!J$1,products!$A$1:$G$1,0))</f>
        <v>Exc</v>
      </c>
      <c r="K195" t="str">
        <f>INDEX(products!$A$1:$G$49,MATCH(orders!$D195,products!$A$1:$A$49,0),MATCH(orders!K$1,products!$A$1:$G$1,0))</f>
        <v>L</v>
      </c>
      <c r="L195" s="4">
        <f>INDEX(products!$A$1:$G$49,MATCH(orders!$D195,products!$A$1:$A$49,0),MATCH(orders!L$1,products!$A$1:$G$1,0))</f>
        <v>1</v>
      </c>
      <c r="M195" s="5">
        <f>INDEX(products!$A$1:$G$49,MATCH(orders!$D195,products!$A$1:$A$49,0),MATCH(orders!M$1,products!$A$1:$G$1,0))</f>
        <v>14.85</v>
      </c>
      <c r="N195" s="5">
        <f>Orders[[#This Row],[Quantity]]*(INDEX(products!$A$1:$G$49,MATCH(orders!$D195,products!$A$1:$A$49,0),MATCH(orders!N$1,products!$A$1:$G$1,0)))</f>
        <v>4.9005000000000001</v>
      </c>
      <c r="O195" s="5">
        <f>M195*E195</f>
        <v>44.55</v>
      </c>
      <c r="P195" t="str">
        <f t="shared" ref="P195:P258" si="6">IF(J195="Rob","Robusta",IF(J195="Exc","Excelsa",IF(J195="Ara","Arabica",IF(J195="Lib","Liberica",""))))</f>
        <v>Excelsa</v>
      </c>
      <c r="Q195" t="str">
        <f t="shared" ref="Q195:Q258" si="7">IF(K195="M", "Medium", IF(K195="L", "Light", IF(K195="D", "Dark", "")))</f>
        <v>Light</v>
      </c>
      <c r="R195" t="str">
        <f>_xlfn.XLOOKUP(Orders[[#This Row],[Customer ID]],customers!$A$1:$A$1001,customers!$I$1:$I$1001,,0)</f>
        <v>No</v>
      </c>
    </row>
    <row r="196" spans="1:18" x14ac:dyDescent="0.35">
      <c r="A196" s="2" t="s">
        <v>1584</v>
      </c>
      <c r="B196" s="3">
        <v>44398</v>
      </c>
      <c r="C196" s="2" t="s">
        <v>1585</v>
      </c>
      <c r="D196" t="s">
        <v>6144</v>
      </c>
      <c r="E196" s="2">
        <v>5</v>
      </c>
      <c r="F196" s="2" t="str">
        <f>_xlfn.XLOOKUP(Orders[[#This Row],[Customer ID]],customers!$A$1:$A$1001,customers!$B$1:$B$1001,,0)</f>
        <v>Emlynne Laird</v>
      </c>
      <c r="G196" s="2" t="str">
        <f>IF(_xlfn.XLOOKUP(C196,customers!$A$1:$A$1001,customers!C195:C1195,,0)=0,"",_xlfn.XLOOKUP(C196,customers!$A$1:$A$1001,customers!C195:C1195,,0))</f>
        <v>msarvaras@artisteer.com</v>
      </c>
      <c r="H196" s="2" t="str">
        <f>_xlfn.XLOOKUP(Orders[[#This Row],[Customer ID]],customers!$A$1:$A$1001,customers!$G$1:$G$1001,,0)</f>
        <v>United States</v>
      </c>
      <c r="I196" s="2" t="str">
        <f>_xlfn.XLOOKUP(Orders[[#This Row],[Customer ID]],customers!$A$1:$A$1001,customers!$F$1:$F$1001,,0)</f>
        <v>Warren</v>
      </c>
      <c r="J196" t="str">
        <f>INDEX(products!$A$1:$G$49,MATCH(orders!$D196,products!$A$1:$A$49,0),MATCH(orders!J$1,products!$A$1:$G$1,0))</f>
        <v>Exc</v>
      </c>
      <c r="K196" t="str">
        <f>INDEX(products!$A$1:$G$49,MATCH(orders!$D196,products!$A$1:$A$49,0),MATCH(orders!K$1,products!$A$1:$G$1,0))</f>
        <v>D</v>
      </c>
      <c r="L196" s="4">
        <f>INDEX(products!$A$1:$G$49,MATCH(orders!$D196,products!$A$1:$A$49,0),MATCH(orders!L$1,products!$A$1:$G$1,0))</f>
        <v>0.5</v>
      </c>
      <c r="M196" s="5">
        <f>INDEX(products!$A$1:$G$49,MATCH(orders!$D196,products!$A$1:$A$49,0),MATCH(orders!M$1,products!$A$1:$G$1,0))</f>
        <v>7.29</v>
      </c>
      <c r="N196" s="5">
        <f>Orders[[#This Row],[Quantity]]*(INDEX(products!$A$1:$G$49,MATCH(orders!$D196,products!$A$1:$A$49,0),MATCH(orders!N$1,products!$A$1:$G$1,0)))</f>
        <v>4.0095000000000001</v>
      </c>
      <c r="O196" s="5">
        <f>M196*E196</f>
        <v>36.450000000000003</v>
      </c>
      <c r="P196" t="str">
        <f t="shared" si="6"/>
        <v>Excelsa</v>
      </c>
      <c r="Q196" t="str">
        <f t="shared" si="7"/>
        <v>Dark</v>
      </c>
      <c r="R196" t="str">
        <f>_xlfn.XLOOKUP(Orders[[#This Row],[Customer ID]],customers!$A$1:$A$1001,customers!$I$1:$I$1001,,0)</f>
        <v>No</v>
      </c>
    </row>
    <row r="197" spans="1:18" x14ac:dyDescent="0.35">
      <c r="A197" s="2" t="s">
        <v>1590</v>
      </c>
      <c r="B197" s="3">
        <v>43683</v>
      </c>
      <c r="C197" s="2" t="s">
        <v>1591</v>
      </c>
      <c r="D197" t="s">
        <v>6140</v>
      </c>
      <c r="E197" s="2">
        <v>3</v>
      </c>
      <c r="F197" s="2" t="str">
        <f>_xlfn.XLOOKUP(Orders[[#This Row],[Customer ID]],customers!$A$1:$A$1001,customers!$B$1:$B$1001,,0)</f>
        <v>Marlena Howsden</v>
      </c>
      <c r="G197" s="2" t="str">
        <f>IF(_xlfn.XLOOKUP(C197,customers!$A$1:$A$1001,customers!C196:C1196,,0)=0,"",_xlfn.XLOOKUP(C197,customers!$A$1:$A$1001,customers!C196:C1196,,0))</f>
        <v>sdivinyau@ask.com</v>
      </c>
      <c r="H197" s="2" t="str">
        <f>_xlfn.XLOOKUP(Orders[[#This Row],[Customer ID]],customers!$A$1:$A$1001,customers!$G$1:$G$1001,,0)</f>
        <v>United States</v>
      </c>
      <c r="I197" s="2" t="str">
        <f>_xlfn.XLOOKUP(Orders[[#This Row],[Customer ID]],customers!$A$1:$A$1001,customers!$F$1:$F$1001,,0)</f>
        <v>Memphis</v>
      </c>
      <c r="J197" t="str">
        <f>INDEX(products!$A$1:$G$49,MATCH(orders!$D197,products!$A$1:$A$49,0),MATCH(orders!J$1,products!$A$1:$G$1,0))</f>
        <v>Ara</v>
      </c>
      <c r="K197" t="str">
        <f>INDEX(products!$A$1:$G$49,MATCH(orders!$D197,products!$A$1:$A$49,0),MATCH(orders!K$1,products!$A$1:$G$1,0))</f>
        <v>L</v>
      </c>
      <c r="L197" s="4">
        <f>INDEX(products!$A$1:$G$49,MATCH(orders!$D197,products!$A$1:$A$49,0),MATCH(orders!L$1,products!$A$1:$G$1,0))</f>
        <v>1</v>
      </c>
      <c r="M197" s="5">
        <f>INDEX(products!$A$1:$G$49,MATCH(orders!$D197,products!$A$1:$A$49,0),MATCH(orders!M$1,products!$A$1:$G$1,0))</f>
        <v>12.95</v>
      </c>
      <c r="N197" s="5">
        <f>Orders[[#This Row],[Quantity]]*(INDEX(products!$A$1:$G$49,MATCH(orders!$D197,products!$A$1:$A$49,0),MATCH(orders!N$1,products!$A$1:$G$1,0)))</f>
        <v>3.4965000000000002</v>
      </c>
      <c r="O197" s="5">
        <f>M197*E197</f>
        <v>38.849999999999994</v>
      </c>
      <c r="P197" t="str">
        <f t="shared" si="6"/>
        <v>Arabica</v>
      </c>
      <c r="Q197" t="str">
        <f t="shared" si="7"/>
        <v>Light</v>
      </c>
      <c r="R197" t="str">
        <f>_xlfn.XLOOKUP(Orders[[#This Row],[Customer ID]],customers!$A$1:$A$1001,customers!$I$1:$I$1001,,0)</f>
        <v>No</v>
      </c>
    </row>
    <row r="198" spans="1:18" x14ac:dyDescent="0.35">
      <c r="A198" s="2" t="s">
        <v>1596</v>
      </c>
      <c r="B198" s="3">
        <v>44339</v>
      </c>
      <c r="C198" s="2" t="s">
        <v>1597</v>
      </c>
      <c r="D198" t="s">
        <v>6176</v>
      </c>
      <c r="E198" s="2">
        <v>6</v>
      </c>
      <c r="F198" s="2" t="str">
        <f>_xlfn.XLOOKUP(Orders[[#This Row],[Customer ID]],customers!$A$1:$A$1001,customers!$B$1:$B$1001,,0)</f>
        <v>Nealson Cuttler</v>
      </c>
      <c r="G198" s="2" t="str">
        <f>IF(_xlfn.XLOOKUP(C198,customers!$A$1:$A$1001,customers!C197:C1197,,0)=0,"",_xlfn.XLOOKUP(C198,customers!$A$1:$A$1001,customers!C197:C1197,,0))</f>
        <v>aiddisonaw@usa.gov</v>
      </c>
      <c r="H198" s="2" t="str">
        <f>_xlfn.XLOOKUP(Orders[[#This Row],[Customer ID]],customers!$A$1:$A$1001,customers!$G$1:$G$1001,,0)</f>
        <v>United States</v>
      </c>
      <c r="I198" s="2" t="str">
        <f>_xlfn.XLOOKUP(Orders[[#This Row],[Customer ID]],customers!$A$1:$A$1001,customers!$F$1:$F$1001,,0)</f>
        <v>Washington</v>
      </c>
      <c r="J198" t="str">
        <f>INDEX(products!$A$1:$G$49,MATCH(orders!$D198,products!$A$1:$A$49,0),MATCH(orders!J$1,products!$A$1:$G$1,0))</f>
        <v>Exc</v>
      </c>
      <c r="K198" t="str">
        <f>INDEX(products!$A$1:$G$49,MATCH(orders!$D198,products!$A$1:$A$49,0),MATCH(orders!K$1,products!$A$1:$G$1,0))</f>
        <v>L</v>
      </c>
      <c r="L198" s="4">
        <f>INDEX(products!$A$1:$G$49,MATCH(orders!$D198,products!$A$1:$A$49,0),MATCH(orders!L$1,products!$A$1:$G$1,0))</f>
        <v>0.5</v>
      </c>
      <c r="M198" s="5">
        <f>INDEX(products!$A$1:$G$49,MATCH(orders!$D198,products!$A$1:$A$49,0),MATCH(orders!M$1,products!$A$1:$G$1,0))</f>
        <v>8.91</v>
      </c>
      <c r="N198" s="5">
        <f>Orders[[#This Row],[Quantity]]*(INDEX(products!$A$1:$G$49,MATCH(orders!$D198,products!$A$1:$A$49,0),MATCH(orders!N$1,products!$A$1:$G$1,0)))</f>
        <v>5.8805999999999994</v>
      </c>
      <c r="O198" s="5">
        <f>M198*E198</f>
        <v>53.46</v>
      </c>
      <c r="P198" t="str">
        <f t="shared" si="6"/>
        <v>Excelsa</v>
      </c>
      <c r="Q198" t="str">
        <f t="shared" si="7"/>
        <v>Light</v>
      </c>
      <c r="R198" t="str">
        <f>_xlfn.XLOOKUP(Orders[[#This Row],[Customer ID]],customers!$A$1:$A$1001,customers!$I$1:$I$1001,,0)</f>
        <v>No</v>
      </c>
    </row>
    <row r="199" spans="1:18" x14ac:dyDescent="0.35">
      <c r="A199" s="2" t="s">
        <v>1596</v>
      </c>
      <c r="B199" s="3">
        <v>44339</v>
      </c>
      <c r="C199" s="2" t="s">
        <v>1597</v>
      </c>
      <c r="D199" t="s">
        <v>6165</v>
      </c>
      <c r="E199" s="2">
        <v>2</v>
      </c>
      <c r="F199" s="2" t="str">
        <f>_xlfn.XLOOKUP(Orders[[#This Row],[Customer ID]],customers!$A$1:$A$1001,customers!$B$1:$B$1001,,0)</f>
        <v>Nealson Cuttler</v>
      </c>
      <c r="G199" s="2" t="str">
        <f>IF(_xlfn.XLOOKUP(C199,customers!$A$1:$A$1001,customers!C198:C1198,,0)=0,"",_xlfn.XLOOKUP(C199,customers!$A$1:$A$1001,customers!C198:C1198,,0))</f>
        <v>dsprossonax@wunderground.com</v>
      </c>
      <c r="H199" s="2" t="str">
        <f>_xlfn.XLOOKUP(Orders[[#This Row],[Customer ID]],customers!$A$1:$A$1001,customers!$G$1:$G$1001,,0)</f>
        <v>United States</v>
      </c>
      <c r="I199" s="2" t="str">
        <f>_xlfn.XLOOKUP(Orders[[#This Row],[Customer ID]],customers!$A$1:$A$1001,customers!$F$1:$F$1001,,0)</f>
        <v>Washington</v>
      </c>
      <c r="J199" t="str">
        <f>INDEX(products!$A$1:$G$49,MATCH(orders!$D199,products!$A$1:$A$49,0),MATCH(orders!J$1,products!$A$1:$G$1,0))</f>
        <v>Lib</v>
      </c>
      <c r="K199" t="str">
        <f>INDEX(products!$A$1:$G$49,MATCH(orders!$D199,products!$A$1:$A$49,0),MATCH(orders!K$1,products!$A$1:$G$1,0))</f>
        <v>D</v>
      </c>
      <c r="L199" s="4">
        <f>INDEX(products!$A$1:$G$49,MATCH(orders!$D199,products!$A$1:$A$49,0),MATCH(orders!L$1,products!$A$1:$G$1,0))</f>
        <v>2.5</v>
      </c>
      <c r="M199" s="5">
        <f>INDEX(products!$A$1:$G$49,MATCH(orders!$D199,products!$A$1:$A$49,0),MATCH(orders!M$1,products!$A$1:$G$1,0))</f>
        <v>29.784999999999997</v>
      </c>
      <c r="N199" s="5">
        <f>Orders[[#This Row],[Quantity]]*(INDEX(products!$A$1:$G$49,MATCH(orders!$D199,products!$A$1:$A$49,0),MATCH(orders!N$1,products!$A$1:$G$1,0)))</f>
        <v>7.7440999999999995</v>
      </c>
      <c r="O199" s="5">
        <f>M199*E199</f>
        <v>59.569999999999993</v>
      </c>
      <c r="P199" t="str">
        <f t="shared" si="6"/>
        <v>Liberica</v>
      </c>
      <c r="Q199" t="str">
        <f t="shared" si="7"/>
        <v>Dark</v>
      </c>
      <c r="R199" t="str">
        <f>_xlfn.XLOOKUP(Orders[[#This Row],[Customer ID]],customers!$A$1:$A$1001,customers!$I$1:$I$1001,,0)</f>
        <v>No</v>
      </c>
    </row>
    <row r="200" spans="1:18" x14ac:dyDescent="0.35">
      <c r="A200" s="2" t="s">
        <v>1596</v>
      </c>
      <c r="B200" s="3">
        <v>44339</v>
      </c>
      <c r="C200" s="2" t="s">
        <v>1597</v>
      </c>
      <c r="D200" t="s">
        <v>6165</v>
      </c>
      <c r="E200" s="2">
        <v>3</v>
      </c>
      <c r="F200" s="2" t="str">
        <f>_xlfn.XLOOKUP(Orders[[#This Row],[Customer ID]],customers!$A$1:$A$1001,customers!$B$1:$B$1001,,0)</f>
        <v>Nealson Cuttler</v>
      </c>
      <c r="G200" s="2" t="str">
        <f>IF(_xlfn.XLOOKUP(C200,customers!$A$1:$A$1001,customers!C199:C1199,,0)=0,"",_xlfn.XLOOKUP(C200,customers!$A$1:$A$1001,customers!C199:C1199,,0))</f>
        <v>rlongfielday@bluehost.com</v>
      </c>
      <c r="H200" s="2" t="str">
        <f>_xlfn.XLOOKUP(Orders[[#This Row],[Customer ID]],customers!$A$1:$A$1001,customers!$G$1:$G$1001,,0)</f>
        <v>United States</v>
      </c>
      <c r="I200" s="2" t="str">
        <f>_xlfn.XLOOKUP(Orders[[#This Row],[Customer ID]],customers!$A$1:$A$1001,customers!$F$1:$F$1001,,0)</f>
        <v>Washington</v>
      </c>
      <c r="J200" t="str">
        <f>INDEX(products!$A$1:$G$49,MATCH(orders!$D200,products!$A$1:$A$49,0),MATCH(orders!J$1,products!$A$1:$G$1,0))</f>
        <v>Lib</v>
      </c>
      <c r="K200" t="str">
        <f>INDEX(products!$A$1:$G$49,MATCH(orders!$D200,products!$A$1:$A$49,0),MATCH(orders!K$1,products!$A$1:$G$1,0))</f>
        <v>D</v>
      </c>
      <c r="L200" s="4">
        <f>INDEX(products!$A$1:$G$49,MATCH(orders!$D200,products!$A$1:$A$49,0),MATCH(orders!L$1,products!$A$1:$G$1,0))</f>
        <v>2.5</v>
      </c>
      <c r="M200" s="5">
        <f>INDEX(products!$A$1:$G$49,MATCH(orders!$D200,products!$A$1:$A$49,0),MATCH(orders!M$1,products!$A$1:$G$1,0))</f>
        <v>29.784999999999997</v>
      </c>
      <c r="N200" s="5">
        <f>Orders[[#This Row],[Quantity]]*(INDEX(products!$A$1:$G$49,MATCH(orders!$D200,products!$A$1:$A$49,0),MATCH(orders!N$1,products!$A$1:$G$1,0)))</f>
        <v>11.616149999999999</v>
      </c>
      <c r="O200" s="5">
        <f>M200*E200</f>
        <v>89.35499999999999</v>
      </c>
      <c r="P200" t="str">
        <f t="shared" si="6"/>
        <v>Liberica</v>
      </c>
      <c r="Q200" t="str">
        <f t="shared" si="7"/>
        <v>Dark</v>
      </c>
      <c r="R200" t="str">
        <f>_xlfn.XLOOKUP(Orders[[#This Row],[Customer ID]],customers!$A$1:$A$1001,customers!$I$1:$I$1001,,0)</f>
        <v>No</v>
      </c>
    </row>
    <row r="201" spans="1:18" x14ac:dyDescent="0.35">
      <c r="A201" s="2" t="s">
        <v>1596</v>
      </c>
      <c r="B201" s="3">
        <v>44339</v>
      </c>
      <c r="C201" s="2" t="s">
        <v>1597</v>
      </c>
      <c r="D201" t="s">
        <v>6161</v>
      </c>
      <c r="E201" s="2">
        <v>4</v>
      </c>
      <c r="F201" s="2" t="str">
        <f>_xlfn.XLOOKUP(Orders[[#This Row],[Customer ID]],customers!$A$1:$A$1001,customers!$B$1:$B$1001,,0)</f>
        <v>Nealson Cuttler</v>
      </c>
      <c r="G201" s="2" t="str">
        <f>IF(_xlfn.XLOOKUP(C201,customers!$A$1:$A$1001,customers!C200:C1200,,0)=0,"",_xlfn.XLOOKUP(C201,customers!$A$1:$A$1001,customers!C200:C1200,,0))</f>
        <v>gkislingburyaz@samsung.com</v>
      </c>
      <c r="H201" s="2" t="str">
        <f>_xlfn.XLOOKUP(Orders[[#This Row],[Customer ID]],customers!$A$1:$A$1001,customers!$G$1:$G$1001,,0)</f>
        <v>United States</v>
      </c>
      <c r="I201" s="2" t="str">
        <f>_xlfn.XLOOKUP(Orders[[#This Row],[Customer ID]],customers!$A$1:$A$1001,customers!$F$1:$F$1001,,0)</f>
        <v>Washington</v>
      </c>
      <c r="J201" t="str">
        <f>INDEX(products!$A$1:$G$49,MATCH(orders!$D201,products!$A$1:$A$49,0),MATCH(orders!J$1,products!$A$1:$G$1,0))</f>
        <v>Lib</v>
      </c>
      <c r="K201" t="str">
        <f>INDEX(products!$A$1:$G$49,MATCH(orders!$D201,products!$A$1:$A$49,0),MATCH(orders!K$1,products!$A$1:$G$1,0))</f>
        <v>L</v>
      </c>
      <c r="L201" s="4">
        <f>INDEX(products!$A$1:$G$49,MATCH(orders!$D201,products!$A$1:$A$49,0),MATCH(orders!L$1,products!$A$1:$G$1,0))</f>
        <v>0.5</v>
      </c>
      <c r="M201" s="5">
        <f>INDEX(products!$A$1:$G$49,MATCH(orders!$D201,products!$A$1:$A$49,0),MATCH(orders!M$1,products!$A$1:$G$1,0))</f>
        <v>9.51</v>
      </c>
      <c r="N201" s="5">
        <f>Orders[[#This Row],[Quantity]]*(INDEX(products!$A$1:$G$49,MATCH(orders!$D201,products!$A$1:$A$49,0),MATCH(orders!N$1,products!$A$1:$G$1,0)))</f>
        <v>4.9451999999999998</v>
      </c>
      <c r="O201" s="5">
        <f>M201*E201</f>
        <v>38.04</v>
      </c>
      <c r="P201" t="str">
        <f t="shared" si="6"/>
        <v>Liberica</v>
      </c>
      <c r="Q201" t="str">
        <f t="shared" si="7"/>
        <v>Light</v>
      </c>
      <c r="R201" t="str">
        <f>_xlfn.XLOOKUP(Orders[[#This Row],[Customer ID]],customers!$A$1:$A$1001,customers!$I$1:$I$1001,,0)</f>
        <v>No</v>
      </c>
    </row>
    <row r="202" spans="1:18" x14ac:dyDescent="0.35">
      <c r="A202" s="2" t="s">
        <v>1596</v>
      </c>
      <c r="B202" s="3">
        <v>44339</v>
      </c>
      <c r="C202" s="2" t="s">
        <v>1597</v>
      </c>
      <c r="D202" t="s">
        <v>6141</v>
      </c>
      <c r="E202" s="2">
        <v>3</v>
      </c>
      <c r="F202" s="2" t="str">
        <f>_xlfn.XLOOKUP(Orders[[#This Row],[Customer ID]],customers!$A$1:$A$1001,customers!$B$1:$B$1001,,0)</f>
        <v>Nealson Cuttler</v>
      </c>
      <c r="G202" s="2" t="str">
        <f>IF(_xlfn.XLOOKUP(C202,customers!$A$1:$A$1001,customers!C201:C1201,,0)=0,"",_xlfn.XLOOKUP(C202,customers!$A$1:$A$1001,customers!C201:C1201,,0))</f>
        <v>xgibbonsb0@artisteer.com</v>
      </c>
      <c r="H202" s="2" t="str">
        <f>_xlfn.XLOOKUP(Orders[[#This Row],[Customer ID]],customers!$A$1:$A$1001,customers!$G$1:$G$1001,,0)</f>
        <v>United States</v>
      </c>
      <c r="I202" s="2" t="str">
        <f>_xlfn.XLOOKUP(Orders[[#This Row],[Customer ID]],customers!$A$1:$A$1001,customers!$F$1:$F$1001,,0)</f>
        <v>Washington</v>
      </c>
      <c r="J202" t="str">
        <f>INDEX(products!$A$1:$G$49,MATCH(orders!$D202,products!$A$1:$A$49,0),MATCH(orders!J$1,products!$A$1:$G$1,0))</f>
        <v>Exc</v>
      </c>
      <c r="K202" t="str">
        <f>INDEX(products!$A$1:$G$49,MATCH(orders!$D202,products!$A$1:$A$49,0),MATCH(orders!K$1,products!$A$1:$G$1,0))</f>
        <v>M</v>
      </c>
      <c r="L202" s="4">
        <f>INDEX(products!$A$1:$G$49,MATCH(orders!$D202,products!$A$1:$A$49,0),MATCH(orders!L$1,products!$A$1:$G$1,0))</f>
        <v>1</v>
      </c>
      <c r="M202" s="5">
        <f>INDEX(products!$A$1:$G$49,MATCH(orders!$D202,products!$A$1:$A$49,0),MATCH(orders!M$1,products!$A$1:$G$1,0))</f>
        <v>13.75</v>
      </c>
      <c r="N202" s="5">
        <f>Orders[[#This Row],[Quantity]]*(INDEX(products!$A$1:$G$49,MATCH(orders!$D202,products!$A$1:$A$49,0),MATCH(orders!N$1,products!$A$1:$G$1,0)))</f>
        <v>4.5374999999999996</v>
      </c>
      <c r="O202" s="5">
        <f>M202*E202</f>
        <v>41.25</v>
      </c>
      <c r="P202" t="str">
        <f t="shared" si="6"/>
        <v>Excelsa</v>
      </c>
      <c r="Q202" t="str">
        <f t="shared" si="7"/>
        <v>Medium</v>
      </c>
      <c r="R202" t="str">
        <f>_xlfn.XLOOKUP(Orders[[#This Row],[Customer ID]],customers!$A$1:$A$1001,customers!$I$1:$I$1001,,0)</f>
        <v>No</v>
      </c>
    </row>
    <row r="203" spans="1:18" x14ac:dyDescent="0.35">
      <c r="A203" s="2" t="s">
        <v>1621</v>
      </c>
      <c r="B203" s="3">
        <v>44294</v>
      </c>
      <c r="C203" s="2" t="s">
        <v>1622</v>
      </c>
      <c r="D203" t="s">
        <v>6161</v>
      </c>
      <c r="E203" s="2">
        <v>6</v>
      </c>
      <c r="F203" s="2" t="str">
        <f>_xlfn.XLOOKUP(Orders[[#This Row],[Customer ID]],customers!$A$1:$A$1001,customers!$B$1:$B$1001,,0)</f>
        <v>Adriana Lazarus</v>
      </c>
      <c r="G203" s="2" t="str">
        <f>IF(_xlfn.XLOOKUP(C203,customers!$A$1:$A$1001,customers!C202:C1202,,0)=0,"",_xlfn.XLOOKUP(C203,customers!$A$1:$A$1001,customers!C202:C1202,,0))</f>
        <v>gcroysdaleb6@nih.gov</v>
      </c>
      <c r="H203" s="2" t="str">
        <f>_xlfn.XLOOKUP(Orders[[#This Row],[Customer ID]],customers!$A$1:$A$1001,customers!$G$1:$G$1001,,0)</f>
        <v>United States</v>
      </c>
      <c r="I203" s="2" t="str">
        <f>_xlfn.XLOOKUP(Orders[[#This Row],[Customer ID]],customers!$A$1:$A$1001,customers!$F$1:$F$1001,,0)</f>
        <v>Ogden</v>
      </c>
      <c r="J203" t="str">
        <f>INDEX(products!$A$1:$G$49,MATCH(orders!$D203,products!$A$1:$A$49,0),MATCH(orders!J$1,products!$A$1:$G$1,0))</f>
        <v>Lib</v>
      </c>
      <c r="K203" t="str">
        <f>INDEX(products!$A$1:$G$49,MATCH(orders!$D203,products!$A$1:$A$49,0),MATCH(orders!K$1,products!$A$1:$G$1,0))</f>
        <v>L</v>
      </c>
      <c r="L203" s="4">
        <f>INDEX(products!$A$1:$G$49,MATCH(orders!$D203,products!$A$1:$A$49,0),MATCH(orders!L$1,products!$A$1:$G$1,0))</f>
        <v>0.5</v>
      </c>
      <c r="M203" s="5">
        <f>INDEX(products!$A$1:$G$49,MATCH(orders!$D203,products!$A$1:$A$49,0),MATCH(orders!M$1,products!$A$1:$G$1,0))</f>
        <v>9.51</v>
      </c>
      <c r="N203" s="5">
        <f>Orders[[#This Row],[Quantity]]*(INDEX(products!$A$1:$G$49,MATCH(orders!$D203,products!$A$1:$A$49,0),MATCH(orders!N$1,products!$A$1:$G$1,0)))</f>
        <v>7.4177999999999997</v>
      </c>
      <c r="O203" s="5">
        <f>M203*E203</f>
        <v>57.06</v>
      </c>
      <c r="P203" t="str">
        <f t="shared" si="6"/>
        <v>Liberica</v>
      </c>
      <c r="Q203" t="str">
        <f t="shared" si="7"/>
        <v>Light</v>
      </c>
      <c r="R203" t="str">
        <f>_xlfn.XLOOKUP(Orders[[#This Row],[Customer ID]],customers!$A$1:$A$1001,customers!$I$1:$I$1001,,0)</f>
        <v>No</v>
      </c>
    </row>
    <row r="204" spans="1:18" x14ac:dyDescent="0.35">
      <c r="A204" s="2" t="s">
        <v>1626</v>
      </c>
      <c r="B204" s="3">
        <v>44486</v>
      </c>
      <c r="C204" s="2" t="s">
        <v>1627</v>
      </c>
      <c r="D204" t="s">
        <v>6165</v>
      </c>
      <c r="E204" s="2">
        <v>6</v>
      </c>
      <c r="F204" s="2" t="str">
        <f>_xlfn.XLOOKUP(Orders[[#This Row],[Customer ID]],customers!$A$1:$A$1001,customers!$B$1:$B$1001,,0)</f>
        <v>Tallie felip</v>
      </c>
      <c r="G204" s="2" t="str">
        <f>IF(_xlfn.XLOOKUP(C204,customers!$A$1:$A$1001,customers!C203:C1203,,0)=0,"",_xlfn.XLOOKUP(C204,customers!$A$1:$A$1001,customers!C203:C1203,,0))</f>
        <v>tcraggsb8@house.gov</v>
      </c>
      <c r="H204" s="2" t="str">
        <f>_xlfn.XLOOKUP(Orders[[#This Row],[Customer ID]],customers!$A$1:$A$1001,customers!$G$1:$G$1001,,0)</f>
        <v>United States</v>
      </c>
      <c r="I204" s="2" t="str">
        <f>_xlfn.XLOOKUP(Orders[[#This Row],[Customer ID]],customers!$A$1:$A$1001,customers!$F$1:$F$1001,,0)</f>
        <v>Albany</v>
      </c>
      <c r="J204" t="str">
        <f>INDEX(products!$A$1:$G$49,MATCH(orders!$D204,products!$A$1:$A$49,0),MATCH(orders!J$1,products!$A$1:$G$1,0))</f>
        <v>Lib</v>
      </c>
      <c r="K204" t="str">
        <f>INDEX(products!$A$1:$G$49,MATCH(orders!$D204,products!$A$1:$A$49,0),MATCH(orders!K$1,products!$A$1:$G$1,0))</f>
        <v>D</v>
      </c>
      <c r="L204" s="4">
        <f>INDEX(products!$A$1:$G$49,MATCH(orders!$D204,products!$A$1:$A$49,0),MATCH(orders!L$1,products!$A$1:$G$1,0))</f>
        <v>2.5</v>
      </c>
      <c r="M204" s="5">
        <f>INDEX(products!$A$1:$G$49,MATCH(orders!$D204,products!$A$1:$A$49,0),MATCH(orders!M$1,products!$A$1:$G$1,0))</f>
        <v>29.784999999999997</v>
      </c>
      <c r="N204" s="5">
        <f>Orders[[#This Row],[Quantity]]*(INDEX(products!$A$1:$G$49,MATCH(orders!$D204,products!$A$1:$A$49,0),MATCH(orders!N$1,products!$A$1:$G$1,0)))</f>
        <v>23.232299999999999</v>
      </c>
      <c r="O204" s="5">
        <f>M204*E204</f>
        <v>178.70999999999998</v>
      </c>
      <c r="P204" t="str">
        <f t="shared" si="6"/>
        <v>Liberica</v>
      </c>
      <c r="Q204" t="str">
        <f t="shared" si="7"/>
        <v>Dark</v>
      </c>
      <c r="R204" t="str">
        <f>_xlfn.XLOOKUP(Orders[[#This Row],[Customer ID]],customers!$A$1:$A$1001,customers!$I$1:$I$1001,,0)</f>
        <v>Yes</v>
      </c>
    </row>
    <row r="205" spans="1:18" x14ac:dyDescent="0.35">
      <c r="A205" s="2" t="s">
        <v>1632</v>
      </c>
      <c r="B205" s="3">
        <v>44608</v>
      </c>
      <c r="C205" s="2" t="s">
        <v>1633</v>
      </c>
      <c r="D205" t="s">
        <v>6145</v>
      </c>
      <c r="E205" s="2">
        <v>1</v>
      </c>
      <c r="F205" s="2" t="str">
        <f>_xlfn.XLOOKUP(Orders[[#This Row],[Customer ID]],customers!$A$1:$A$1001,customers!$B$1:$B$1001,,0)</f>
        <v>Vanna Le - Count</v>
      </c>
      <c r="G205" s="2" t="str">
        <f>IF(_xlfn.XLOOKUP(C205,customers!$A$1:$A$1001,customers!C204:C1204,,0)=0,"",_xlfn.XLOOKUP(C205,customers!$A$1:$A$1001,customers!C204:C1204,,0))</f>
        <v>arizonba@xing.com</v>
      </c>
      <c r="H205" s="2" t="str">
        <f>_xlfn.XLOOKUP(Orders[[#This Row],[Customer ID]],customers!$A$1:$A$1001,customers!$G$1:$G$1001,,0)</f>
        <v>United States</v>
      </c>
      <c r="I205" s="2" t="str">
        <f>_xlfn.XLOOKUP(Orders[[#This Row],[Customer ID]],customers!$A$1:$A$1001,customers!$F$1:$F$1001,,0)</f>
        <v>Spartanburg</v>
      </c>
      <c r="J205" t="str">
        <f>INDEX(products!$A$1:$G$49,MATCH(orders!$D205,products!$A$1:$A$49,0),MATCH(orders!J$1,products!$A$1:$G$1,0))</f>
        <v>Lib</v>
      </c>
      <c r="K205" t="str">
        <f>INDEX(products!$A$1:$G$49,MATCH(orders!$D205,products!$A$1:$A$49,0),MATCH(orders!K$1,products!$A$1:$G$1,0))</f>
        <v>L</v>
      </c>
      <c r="L205" s="4">
        <f>INDEX(products!$A$1:$G$49,MATCH(orders!$D205,products!$A$1:$A$49,0),MATCH(orders!L$1,products!$A$1:$G$1,0))</f>
        <v>0.2</v>
      </c>
      <c r="M205" s="5">
        <f>INDEX(products!$A$1:$G$49,MATCH(orders!$D205,products!$A$1:$A$49,0),MATCH(orders!M$1,products!$A$1:$G$1,0))</f>
        <v>4.7549999999999999</v>
      </c>
      <c r="N205" s="5">
        <f>Orders[[#This Row],[Quantity]]*(INDEX(products!$A$1:$G$49,MATCH(orders!$D205,products!$A$1:$A$49,0),MATCH(orders!N$1,products!$A$1:$G$1,0)))</f>
        <v>0.61814999999999998</v>
      </c>
      <c r="O205" s="5">
        <f>M205*E205</f>
        <v>4.7549999999999999</v>
      </c>
      <c r="P205" t="str">
        <f t="shared" si="6"/>
        <v>Liberica</v>
      </c>
      <c r="Q205" t="str">
        <f t="shared" si="7"/>
        <v>Light</v>
      </c>
      <c r="R205" t="str">
        <f>_xlfn.XLOOKUP(Orders[[#This Row],[Customer ID]],customers!$A$1:$A$1001,customers!$I$1:$I$1001,,0)</f>
        <v>No</v>
      </c>
    </row>
    <row r="206" spans="1:18" x14ac:dyDescent="0.35">
      <c r="A206" s="2" t="s">
        <v>1638</v>
      </c>
      <c r="B206" s="3">
        <v>44027</v>
      </c>
      <c r="C206" s="2" t="s">
        <v>1639</v>
      </c>
      <c r="D206" t="s">
        <v>6141</v>
      </c>
      <c r="E206" s="2">
        <v>6</v>
      </c>
      <c r="F206" s="2" t="str">
        <f>_xlfn.XLOOKUP(Orders[[#This Row],[Customer ID]],customers!$A$1:$A$1001,customers!$B$1:$B$1001,,0)</f>
        <v>Sarette Ducarel</v>
      </c>
      <c r="G206" s="2" t="str">
        <f>IF(_xlfn.XLOOKUP(C206,customers!$A$1:$A$1001,customers!C205:C1205,,0)=0,"",_xlfn.XLOOKUP(C206,customers!$A$1:$A$1001,customers!C205:C1205,,0))</f>
        <v>fmiellbc@spiegel.de</v>
      </c>
      <c r="H206" s="2" t="str">
        <f>_xlfn.XLOOKUP(Orders[[#This Row],[Customer ID]],customers!$A$1:$A$1001,customers!$G$1:$G$1001,,0)</f>
        <v>United States</v>
      </c>
      <c r="I206" s="2" t="str">
        <f>_xlfn.XLOOKUP(Orders[[#This Row],[Customer ID]],customers!$A$1:$A$1001,customers!$F$1:$F$1001,,0)</f>
        <v>Staten Island</v>
      </c>
      <c r="J206" t="str">
        <f>INDEX(products!$A$1:$G$49,MATCH(orders!$D206,products!$A$1:$A$49,0),MATCH(orders!J$1,products!$A$1:$G$1,0))</f>
        <v>Exc</v>
      </c>
      <c r="K206" t="str">
        <f>INDEX(products!$A$1:$G$49,MATCH(orders!$D206,products!$A$1:$A$49,0),MATCH(orders!K$1,products!$A$1:$G$1,0))</f>
        <v>M</v>
      </c>
      <c r="L206" s="4">
        <f>INDEX(products!$A$1:$G$49,MATCH(orders!$D206,products!$A$1:$A$49,0),MATCH(orders!L$1,products!$A$1:$G$1,0))</f>
        <v>1</v>
      </c>
      <c r="M206" s="5">
        <f>INDEX(products!$A$1:$G$49,MATCH(orders!$D206,products!$A$1:$A$49,0),MATCH(orders!M$1,products!$A$1:$G$1,0))</f>
        <v>13.75</v>
      </c>
      <c r="N206" s="5">
        <f>Orders[[#This Row],[Quantity]]*(INDEX(products!$A$1:$G$49,MATCH(orders!$D206,products!$A$1:$A$49,0),MATCH(orders!N$1,products!$A$1:$G$1,0)))</f>
        <v>9.0749999999999993</v>
      </c>
      <c r="O206" s="5">
        <f>M206*E206</f>
        <v>82.5</v>
      </c>
      <c r="P206" t="str">
        <f t="shared" si="6"/>
        <v>Excelsa</v>
      </c>
      <c r="Q206" t="str">
        <f t="shared" si="7"/>
        <v>Medium</v>
      </c>
      <c r="R206" t="str">
        <f>_xlfn.XLOOKUP(Orders[[#This Row],[Customer ID]],customers!$A$1:$A$1001,customers!$I$1:$I$1001,,0)</f>
        <v>No</v>
      </c>
    </row>
    <row r="207" spans="1:18" x14ac:dyDescent="0.35">
      <c r="A207" s="2" t="s">
        <v>1643</v>
      </c>
      <c r="B207" s="3">
        <v>43883</v>
      </c>
      <c r="C207" s="2" t="s">
        <v>1644</v>
      </c>
      <c r="D207" t="s">
        <v>6163</v>
      </c>
      <c r="E207" s="2">
        <v>3</v>
      </c>
      <c r="F207" s="2" t="str">
        <f>_xlfn.XLOOKUP(Orders[[#This Row],[Customer ID]],customers!$A$1:$A$1001,customers!$B$1:$B$1001,,0)</f>
        <v>Kendra Glison</v>
      </c>
      <c r="G207" s="2" t="str">
        <f>IF(_xlfn.XLOOKUP(C207,customers!$A$1:$A$1001,customers!C206:C1206,,0)=0,"",_xlfn.XLOOKUP(C207,customers!$A$1:$A$1001,customers!C206:C1206,,0))</f>
        <v/>
      </c>
      <c r="H207" s="2" t="str">
        <f>_xlfn.XLOOKUP(Orders[[#This Row],[Customer ID]],customers!$A$1:$A$1001,customers!$G$1:$G$1001,,0)</f>
        <v>United States</v>
      </c>
      <c r="I207" s="2" t="str">
        <f>_xlfn.XLOOKUP(Orders[[#This Row],[Customer ID]],customers!$A$1:$A$1001,customers!$F$1:$F$1001,,0)</f>
        <v>Washington</v>
      </c>
      <c r="J207" t="str">
        <f>INDEX(products!$A$1:$G$49,MATCH(orders!$D207,products!$A$1:$A$49,0),MATCH(orders!J$1,products!$A$1:$G$1,0))</f>
        <v>Rob</v>
      </c>
      <c r="K207" t="str">
        <f>INDEX(products!$A$1:$G$49,MATCH(orders!$D207,products!$A$1:$A$49,0),MATCH(orders!K$1,products!$A$1:$G$1,0))</f>
        <v>D</v>
      </c>
      <c r="L207" s="4">
        <f>INDEX(products!$A$1:$G$49,MATCH(orders!$D207,products!$A$1:$A$49,0),MATCH(orders!L$1,products!$A$1:$G$1,0))</f>
        <v>0.2</v>
      </c>
      <c r="M207" s="5">
        <f>INDEX(products!$A$1:$G$49,MATCH(orders!$D207,products!$A$1:$A$49,0),MATCH(orders!M$1,products!$A$1:$G$1,0))</f>
        <v>2.6849999999999996</v>
      </c>
      <c r="N207" s="5">
        <f>Orders[[#This Row],[Quantity]]*(INDEX(products!$A$1:$G$49,MATCH(orders!$D207,products!$A$1:$A$49,0),MATCH(orders!N$1,products!$A$1:$G$1,0)))</f>
        <v>0.4832999999999999</v>
      </c>
      <c r="O207" s="5">
        <f>M207*E207</f>
        <v>8.0549999999999997</v>
      </c>
      <c r="P207" t="str">
        <f t="shared" si="6"/>
        <v>Robusta</v>
      </c>
      <c r="Q207" t="str">
        <f t="shared" si="7"/>
        <v>Dark</v>
      </c>
      <c r="R207" t="str">
        <f>_xlfn.XLOOKUP(Orders[[#This Row],[Customer ID]],customers!$A$1:$A$1001,customers!$I$1:$I$1001,,0)</f>
        <v>Yes</v>
      </c>
    </row>
    <row r="208" spans="1:18" x14ac:dyDescent="0.35">
      <c r="A208" s="2" t="s">
        <v>1648</v>
      </c>
      <c r="B208" s="3">
        <v>44211</v>
      </c>
      <c r="C208" s="2" t="s">
        <v>1649</v>
      </c>
      <c r="D208" t="s">
        <v>6155</v>
      </c>
      <c r="E208" s="2">
        <v>2</v>
      </c>
      <c r="F208" s="2" t="str">
        <f>_xlfn.XLOOKUP(Orders[[#This Row],[Customer ID]],customers!$A$1:$A$1001,customers!$B$1:$B$1001,,0)</f>
        <v>Nertie Poolman</v>
      </c>
      <c r="G208" s="2" t="str">
        <f>IF(_xlfn.XLOOKUP(C208,customers!$A$1:$A$1001,customers!C207:C1207,,0)=0,"",_xlfn.XLOOKUP(C208,customers!$A$1:$A$1001,customers!C207:C1207,,0))</f>
        <v/>
      </c>
      <c r="H208" s="2" t="str">
        <f>_xlfn.XLOOKUP(Orders[[#This Row],[Customer ID]],customers!$A$1:$A$1001,customers!$G$1:$G$1001,,0)</f>
        <v>United States</v>
      </c>
      <c r="I208" s="2" t="str">
        <f>_xlfn.XLOOKUP(Orders[[#This Row],[Customer ID]],customers!$A$1:$A$1001,customers!$F$1:$F$1001,,0)</f>
        <v>Charlotte</v>
      </c>
      <c r="J208" t="str">
        <f>INDEX(products!$A$1:$G$49,MATCH(orders!$D208,products!$A$1:$A$49,0),MATCH(orders!J$1,products!$A$1:$G$1,0))</f>
        <v>Ara</v>
      </c>
      <c r="K208" t="str">
        <f>INDEX(products!$A$1:$G$49,MATCH(orders!$D208,products!$A$1:$A$49,0),MATCH(orders!K$1,products!$A$1:$G$1,0))</f>
        <v>M</v>
      </c>
      <c r="L208" s="4">
        <f>INDEX(products!$A$1:$G$49,MATCH(orders!$D208,products!$A$1:$A$49,0),MATCH(orders!L$1,products!$A$1:$G$1,0))</f>
        <v>1</v>
      </c>
      <c r="M208" s="5">
        <f>INDEX(products!$A$1:$G$49,MATCH(orders!$D208,products!$A$1:$A$49,0),MATCH(orders!M$1,products!$A$1:$G$1,0))</f>
        <v>11.25</v>
      </c>
      <c r="N208" s="5">
        <f>Orders[[#This Row],[Quantity]]*(INDEX(products!$A$1:$G$49,MATCH(orders!$D208,products!$A$1:$A$49,0),MATCH(orders!N$1,products!$A$1:$G$1,0)))</f>
        <v>2.0249999999999999</v>
      </c>
      <c r="O208" s="5">
        <f>M208*E208</f>
        <v>22.5</v>
      </c>
      <c r="P208" t="str">
        <f t="shared" si="6"/>
        <v>Arabica</v>
      </c>
      <c r="Q208" t="str">
        <f t="shared" si="7"/>
        <v>Medium</v>
      </c>
      <c r="R208" t="str">
        <f>_xlfn.XLOOKUP(Orders[[#This Row],[Customer ID]],customers!$A$1:$A$1001,customers!$I$1:$I$1001,,0)</f>
        <v>No</v>
      </c>
    </row>
    <row r="209" spans="1:18" x14ac:dyDescent="0.35">
      <c r="A209" s="2" t="s">
        <v>1653</v>
      </c>
      <c r="B209" s="3">
        <v>44207</v>
      </c>
      <c r="C209" s="2" t="s">
        <v>1654</v>
      </c>
      <c r="D209" t="s">
        <v>6157</v>
      </c>
      <c r="E209" s="2">
        <v>6</v>
      </c>
      <c r="F209" s="2" t="str">
        <f>_xlfn.XLOOKUP(Orders[[#This Row],[Customer ID]],customers!$A$1:$A$1001,customers!$B$1:$B$1001,,0)</f>
        <v>Orbadiah Duny</v>
      </c>
      <c r="G209" s="2" t="str">
        <f>IF(_xlfn.XLOOKUP(C209,customers!$A$1:$A$1001,customers!C208:C1208,,0)=0,"",_xlfn.XLOOKUP(C209,customers!$A$1:$A$1001,customers!C208:C1208,,0))</f>
        <v/>
      </c>
      <c r="H209" s="2" t="str">
        <f>_xlfn.XLOOKUP(Orders[[#This Row],[Customer ID]],customers!$A$1:$A$1001,customers!$G$1:$G$1001,,0)</f>
        <v>United States</v>
      </c>
      <c r="I209" s="2" t="str">
        <f>_xlfn.XLOOKUP(Orders[[#This Row],[Customer ID]],customers!$A$1:$A$1001,customers!$F$1:$F$1001,,0)</f>
        <v>Lubbock</v>
      </c>
      <c r="J209" t="str">
        <f>INDEX(products!$A$1:$G$49,MATCH(orders!$D209,products!$A$1:$A$49,0),MATCH(orders!J$1,products!$A$1:$G$1,0))</f>
        <v>Ara</v>
      </c>
      <c r="K209" t="str">
        <f>INDEX(products!$A$1:$G$49,MATCH(orders!$D209,products!$A$1:$A$49,0),MATCH(orders!K$1,products!$A$1:$G$1,0))</f>
        <v>M</v>
      </c>
      <c r="L209" s="4">
        <f>INDEX(products!$A$1:$G$49,MATCH(orders!$D209,products!$A$1:$A$49,0),MATCH(orders!L$1,products!$A$1:$G$1,0))</f>
        <v>0.5</v>
      </c>
      <c r="M209" s="5">
        <f>INDEX(products!$A$1:$G$49,MATCH(orders!$D209,products!$A$1:$A$49,0),MATCH(orders!M$1,products!$A$1:$G$1,0))</f>
        <v>6.75</v>
      </c>
      <c r="N209" s="5">
        <f>Orders[[#This Row],[Quantity]]*(INDEX(products!$A$1:$G$49,MATCH(orders!$D209,products!$A$1:$A$49,0),MATCH(orders!N$1,products!$A$1:$G$1,0)))</f>
        <v>3.6449999999999996</v>
      </c>
      <c r="O209" s="5">
        <f>M209*E209</f>
        <v>40.5</v>
      </c>
      <c r="P209" t="str">
        <f t="shared" si="6"/>
        <v>Arabica</v>
      </c>
      <c r="Q209" t="str">
        <f t="shared" si="7"/>
        <v>Medium</v>
      </c>
      <c r="R209" t="str">
        <f>_xlfn.XLOOKUP(Orders[[#This Row],[Customer ID]],customers!$A$1:$A$1001,customers!$I$1:$I$1001,,0)</f>
        <v>Yes</v>
      </c>
    </row>
    <row r="210" spans="1:18" x14ac:dyDescent="0.35">
      <c r="A210" s="2" t="s">
        <v>1659</v>
      </c>
      <c r="B210" s="3">
        <v>44659</v>
      </c>
      <c r="C210" s="2" t="s">
        <v>1660</v>
      </c>
      <c r="D210" t="s">
        <v>6144</v>
      </c>
      <c r="E210" s="2">
        <v>4</v>
      </c>
      <c r="F210" s="2" t="str">
        <f>_xlfn.XLOOKUP(Orders[[#This Row],[Customer ID]],customers!$A$1:$A$1001,customers!$B$1:$B$1001,,0)</f>
        <v>Constance Halfhide</v>
      </c>
      <c r="G210" s="2" t="str">
        <f>IF(_xlfn.XLOOKUP(C210,customers!$A$1:$A$1001,customers!C209:C1209,,0)=0,"",_xlfn.XLOOKUP(C210,customers!$A$1:$A$1001,customers!C209:C1209,,0))</f>
        <v/>
      </c>
      <c r="H210" s="2" t="str">
        <f>_xlfn.XLOOKUP(Orders[[#This Row],[Customer ID]],customers!$A$1:$A$1001,customers!$G$1:$G$1001,,0)</f>
        <v>Ireland</v>
      </c>
      <c r="I210" s="2" t="str">
        <f>_xlfn.XLOOKUP(Orders[[#This Row],[Customer ID]],customers!$A$1:$A$1001,customers!$F$1:$F$1001,,0)</f>
        <v>Fermoy</v>
      </c>
      <c r="J210" t="str">
        <f>INDEX(products!$A$1:$G$49,MATCH(orders!$D210,products!$A$1:$A$49,0),MATCH(orders!J$1,products!$A$1:$G$1,0))</f>
        <v>Exc</v>
      </c>
      <c r="K210" t="str">
        <f>INDEX(products!$A$1:$G$49,MATCH(orders!$D210,products!$A$1:$A$49,0),MATCH(orders!K$1,products!$A$1:$G$1,0))</f>
        <v>D</v>
      </c>
      <c r="L210" s="4">
        <f>INDEX(products!$A$1:$G$49,MATCH(orders!$D210,products!$A$1:$A$49,0),MATCH(orders!L$1,products!$A$1:$G$1,0))</f>
        <v>0.5</v>
      </c>
      <c r="M210" s="5">
        <f>INDEX(products!$A$1:$G$49,MATCH(orders!$D210,products!$A$1:$A$49,0),MATCH(orders!M$1,products!$A$1:$G$1,0))</f>
        <v>7.29</v>
      </c>
      <c r="N210" s="5">
        <f>Orders[[#This Row],[Quantity]]*(INDEX(products!$A$1:$G$49,MATCH(orders!$D210,products!$A$1:$A$49,0),MATCH(orders!N$1,products!$A$1:$G$1,0)))</f>
        <v>3.2076000000000002</v>
      </c>
      <c r="O210" s="5">
        <f>M210*E210</f>
        <v>29.16</v>
      </c>
      <c r="P210" t="str">
        <f t="shared" si="6"/>
        <v>Excelsa</v>
      </c>
      <c r="Q210" t="str">
        <f t="shared" si="7"/>
        <v>Dark</v>
      </c>
      <c r="R210" t="str">
        <f>_xlfn.XLOOKUP(Orders[[#This Row],[Customer ID]],customers!$A$1:$A$1001,customers!$I$1:$I$1001,,0)</f>
        <v>Yes</v>
      </c>
    </row>
    <row r="211" spans="1:18" x14ac:dyDescent="0.35">
      <c r="A211" s="2" t="s">
        <v>1665</v>
      </c>
      <c r="B211" s="3">
        <v>44105</v>
      </c>
      <c r="C211" s="2" t="s">
        <v>1666</v>
      </c>
      <c r="D211" t="s">
        <v>6157</v>
      </c>
      <c r="E211" s="2">
        <v>1</v>
      </c>
      <c r="F211" s="2" t="str">
        <f>_xlfn.XLOOKUP(Orders[[#This Row],[Customer ID]],customers!$A$1:$A$1001,customers!$B$1:$B$1001,,0)</f>
        <v>Fransisco Malecky</v>
      </c>
      <c r="G211" s="2" t="str">
        <f>IF(_xlfn.XLOOKUP(C211,customers!$A$1:$A$1001,customers!C210:C1210,,0)=0,"",_xlfn.XLOOKUP(C211,customers!$A$1:$A$1001,customers!C210:C1210,,0))</f>
        <v>bmcgilvrabm@so-net.ne.jp</v>
      </c>
      <c r="H211" s="2" t="str">
        <f>_xlfn.XLOOKUP(Orders[[#This Row],[Customer ID]],customers!$A$1:$A$1001,customers!$G$1:$G$1001,,0)</f>
        <v>United Kingdom</v>
      </c>
      <c r="I211" s="2" t="str">
        <f>_xlfn.XLOOKUP(Orders[[#This Row],[Customer ID]],customers!$A$1:$A$1001,customers!$F$1:$F$1001,,0)</f>
        <v>Whitwell</v>
      </c>
      <c r="J211" t="str">
        <f>INDEX(products!$A$1:$G$49,MATCH(orders!$D211,products!$A$1:$A$49,0),MATCH(orders!J$1,products!$A$1:$G$1,0))</f>
        <v>Ara</v>
      </c>
      <c r="K211" t="str">
        <f>INDEX(products!$A$1:$G$49,MATCH(orders!$D211,products!$A$1:$A$49,0),MATCH(orders!K$1,products!$A$1:$G$1,0))</f>
        <v>M</v>
      </c>
      <c r="L211" s="4">
        <f>INDEX(products!$A$1:$G$49,MATCH(orders!$D211,products!$A$1:$A$49,0),MATCH(orders!L$1,products!$A$1:$G$1,0))</f>
        <v>0.5</v>
      </c>
      <c r="M211" s="5">
        <f>INDEX(products!$A$1:$G$49,MATCH(orders!$D211,products!$A$1:$A$49,0),MATCH(orders!M$1,products!$A$1:$G$1,0))</f>
        <v>6.75</v>
      </c>
      <c r="N211" s="5">
        <f>Orders[[#This Row],[Quantity]]*(INDEX(products!$A$1:$G$49,MATCH(orders!$D211,products!$A$1:$A$49,0),MATCH(orders!N$1,products!$A$1:$G$1,0)))</f>
        <v>0.60749999999999993</v>
      </c>
      <c r="O211" s="5">
        <f>M211*E211</f>
        <v>6.75</v>
      </c>
      <c r="P211" t="str">
        <f t="shared" si="6"/>
        <v>Arabica</v>
      </c>
      <c r="Q211" t="str">
        <f t="shared" si="7"/>
        <v>Medium</v>
      </c>
      <c r="R211" t="str">
        <f>_xlfn.XLOOKUP(Orders[[#This Row],[Customer ID]],customers!$A$1:$A$1001,customers!$I$1:$I$1001,,0)</f>
        <v>No</v>
      </c>
    </row>
    <row r="212" spans="1:18" x14ac:dyDescent="0.35">
      <c r="A212" s="2" t="s">
        <v>1671</v>
      </c>
      <c r="B212" s="3">
        <v>43766</v>
      </c>
      <c r="C212" s="2" t="s">
        <v>1672</v>
      </c>
      <c r="D212" t="s">
        <v>6143</v>
      </c>
      <c r="E212" s="2">
        <v>4</v>
      </c>
      <c r="F212" s="2" t="str">
        <f>_xlfn.XLOOKUP(Orders[[#This Row],[Customer ID]],customers!$A$1:$A$1001,customers!$B$1:$B$1001,,0)</f>
        <v>Anselma Attwater</v>
      </c>
      <c r="G212" s="2" t="str">
        <f>IF(_xlfn.XLOOKUP(C212,customers!$A$1:$A$1001,customers!C211:C1211,,0)=0,"",_xlfn.XLOOKUP(C212,customers!$A$1:$A$1001,customers!C211:C1211,,0))</f>
        <v>amckellerbo@ning.com</v>
      </c>
      <c r="H212" s="2" t="str">
        <f>_xlfn.XLOOKUP(Orders[[#This Row],[Customer ID]],customers!$A$1:$A$1001,customers!$G$1:$G$1001,,0)</f>
        <v>United States</v>
      </c>
      <c r="I212" s="2" t="str">
        <f>_xlfn.XLOOKUP(Orders[[#This Row],[Customer ID]],customers!$A$1:$A$1001,customers!$F$1:$F$1001,,0)</f>
        <v>Charlottesville</v>
      </c>
      <c r="J212" t="str">
        <f>INDEX(products!$A$1:$G$49,MATCH(orders!$D212,products!$A$1:$A$49,0),MATCH(orders!J$1,products!$A$1:$G$1,0))</f>
        <v>Lib</v>
      </c>
      <c r="K212" t="str">
        <f>INDEX(products!$A$1:$G$49,MATCH(orders!$D212,products!$A$1:$A$49,0),MATCH(orders!K$1,products!$A$1:$G$1,0))</f>
        <v>D</v>
      </c>
      <c r="L212" s="4">
        <f>INDEX(products!$A$1:$G$49,MATCH(orders!$D212,products!$A$1:$A$49,0),MATCH(orders!L$1,products!$A$1:$G$1,0))</f>
        <v>1</v>
      </c>
      <c r="M212" s="5">
        <f>INDEX(products!$A$1:$G$49,MATCH(orders!$D212,products!$A$1:$A$49,0),MATCH(orders!M$1,products!$A$1:$G$1,0))</f>
        <v>12.95</v>
      </c>
      <c r="N212" s="5">
        <f>Orders[[#This Row],[Quantity]]*(INDEX(products!$A$1:$G$49,MATCH(orders!$D212,products!$A$1:$A$49,0),MATCH(orders!N$1,products!$A$1:$G$1,0)))</f>
        <v>6.734</v>
      </c>
      <c r="O212" s="5">
        <f>M212*E212</f>
        <v>51.8</v>
      </c>
      <c r="P212" t="str">
        <f t="shared" si="6"/>
        <v>Liberica</v>
      </c>
      <c r="Q212" t="str">
        <f t="shared" si="7"/>
        <v>Dark</v>
      </c>
      <c r="R212" t="str">
        <f>_xlfn.XLOOKUP(Orders[[#This Row],[Customer ID]],customers!$A$1:$A$1001,customers!$I$1:$I$1001,,0)</f>
        <v>Yes</v>
      </c>
    </row>
    <row r="213" spans="1:18" x14ac:dyDescent="0.35">
      <c r="A213" s="2" t="s">
        <v>1677</v>
      </c>
      <c r="B213" s="3">
        <v>44283</v>
      </c>
      <c r="C213" s="2" t="s">
        <v>1678</v>
      </c>
      <c r="D213" t="s">
        <v>6176</v>
      </c>
      <c r="E213" s="2">
        <v>6</v>
      </c>
      <c r="F213" s="2" t="str">
        <f>_xlfn.XLOOKUP(Orders[[#This Row],[Customer ID]],customers!$A$1:$A$1001,customers!$B$1:$B$1001,,0)</f>
        <v>Minette Whellans</v>
      </c>
      <c r="G213" s="2" t="str">
        <f>IF(_xlfn.XLOOKUP(C213,customers!$A$1:$A$1001,customers!C212:C1212,,0)=0,"",_xlfn.XLOOKUP(C213,customers!$A$1:$A$1001,customers!C212:C1212,,0))</f>
        <v/>
      </c>
      <c r="H213" s="2" t="str">
        <f>_xlfn.XLOOKUP(Orders[[#This Row],[Customer ID]],customers!$A$1:$A$1001,customers!$G$1:$G$1001,,0)</f>
        <v>United States</v>
      </c>
      <c r="I213" s="2" t="str">
        <f>_xlfn.XLOOKUP(Orders[[#This Row],[Customer ID]],customers!$A$1:$A$1001,customers!$F$1:$F$1001,,0)</f>
        <v>New York City</v>
      </c>
      <c r="J213" t="str">
        <f>INDEX(products!$A$1:$G$49,MATCH(orders!$D213,products!$A$1:$A$49,0),MATCH(orders!J$1,products!$A$1:$G$1,0))</f>
        <v>Exc</v>
      </c>
      <c r="K213" t="str">
        <f>INDEX(products!$A$1:$G$49,MATCH(orders!$D213,products!$A$1:$A$49,0),MATCH(orders!K$1,products!$A$1:$G$1,0))</f>
        <v>L</v>
      </c>
      <c r="L213" s="4">
        <f>INDEX(products!$A$1:$G$49,MATCH(orders!$D213,products!$A$1:$A$49,0),MATCH(orders!L$1,products!$A$1:$G$1,0))</f>
        <v>0.5</v>
      </c>
      <c r="M213" s="5">
        <f>INDEX(products!$A$1:$G$49,MATCH(orders!$D213,products!$A$1:$A$49,0),MATCH(orders!M$1,products!$A$1:$G$1,0))</f>
        <v>8.91</v>
      </c>
      <c r="N213" s="5">
        <f>Orders[[#This Row],[Quantity]]*(INDEX(products!$A$1:$G$49,MATCH(orders!$D213,products!$A$1:$A$49,0),MATCH(orders!N$1,products!$A$1:$G$1,0)))</f>
        <v>5.8805999999999994</v>
      </c>
      <c r="O213" s="5">
        <f>M213*E213</f>
        <v>53.46</v>
      </c>
      <c r="P213" t="str">
        <f t="shared" si="6"/>
        <v>Excelsa</v>
      </c>
      <c r="Q213" t="str">
        <f t="shared" si="7"/>
        <v>Light</v>
      </c>
      <c r="R213" t="str">
        <f>_xlfn.XLOOKUP(Orders[[#This Row],[Customer ID]],customers!$A$1:$A$1001,customers!$I$1:$I$1001,,0)</f>
        <v>No</v>
      </c>
    </row>
    <row r="214" spans="1:18" x14ac:dyDescent="0.35">
      <c r="A214" s="2" t="s">
        <v>1682</v>
      </c>
      <c r="B214" s="3">
        <v>43921</v>
      </c>
      <c r="C214" s="2" t="s">
        <v>1683</v>
      </c>
      <c r="D214" t="s">
        <v>6153</v>
      </c>
      <c r="E214" s="2">
        <v>4</v>
      </c>
      <c r="F214" s="2" t="str">
        <f>_xlfn.XLOOKUP(Orders[[#This Row],[Customer ID]],customers!$A$1:$A$1001,customers!$B$1:$B$1001,,0)</f>
        <v>Dael Camilletti</v>
      </c>
      <c r="G214" s="2" t="str">
        <f>IF(_xlfn.XLOOKUP(C214,customers!$A$1:$A$1001,customers!C213:C1213,,0)=0,"",_xlfn.XLOOKUP(C214,customers!$A$1:$A$1001,customers!C213:C1213,,0))</f>
        <v>ydombrellbs@dedecms.com</v>
      </c>
      <c r="H214" s="2" t="str">
        <f>_xlfn.XLOOKUP(Orders[[#This Row],[Customer ID]],customers!$A$1:$A$1001,customers!$G$1:$G$1001,,0)</f>
        <v>United States</v>
      </c>
      <c r="I214" s="2" t="str">
        <f>_xlfn.XLOOKUP(Orders[[#This Row],[Customer ID]],customers!$A$1:$A$1001,customers!$F$1:$F$1001,,0)</f>
        <v>Roanoke</v>
      </c>
      <c r="J214" t="str">
        <f>INDEX(products!$A$1:$G$49,MATCH(orders!$D214,products!$A$1:$A$49,0),MATCH(orders!J$1,products!$A$1:$G$1,0))</f>
        <v>Exc</v>
      </c>
      <c r="K214" t="str">
        <f>INDEX(products!$A$1:$G$49,MATCH(orders!$D214,products!$A$1:$A$49,0),MATCH(orders!K$1,products!$A$1:$G$1,0))</f>
        <v>D</v>
      </c>
      <c r="L214" s="4">
        <f>INDEX(products!$A$1:$G$49,MATCH(orders!$D214,products!$A$1:$A$49,0),MATCH(orders!L$1,products!$A$1:$G$1,0))</f>
        <v>0.2</v>
      </c>
      <c r="M214" s="5">
        <f>INDEX(products!$A$1:$G$49,MATCH(orders!$D214,products!$A$1:$A$49,0),MATCH(orders!M$1,products!$A$1:$G$1,0))</f>
        <v>3.645</v>
      </c>
      <c r="N214" s="5">
        <f>Orders[[#This Row],[Quantity]]*(INDEX(products!$A$1:$G$49,MATCH(orders!$D214,products!$A$1:$A$49,0),MATCH(orders!N$1,products!$A$1:$G$1,0)))</f>
        <v>1.6038000000000001</v>
      </c>
      <c r="O214" s="5">
        <f>M214*E214</f>
        <v>14.58</v>
      </c>
      <c r="P214" t="str">
        <f t="shared" si="6"/>
        <v>Excelsa</v>
      </c>
      <c r="Q214" t="str">
        <f t="shared" si="7"/>
        <v>Dark</v>
      </c>
      <c r="R214" t="str">
        <f>_xlfn.XLOOKUP(Orders[[#This Row],[Customer ID]],customers!$A$1:$A$1001,customers!$I$1:$I$1001,,0)</f>
        <v>Yes</v>
      </c>
    </row>
    <row r="215" spans="1:18" x14ac:dyDescent="0.35">
      <c r="A215" s="2" t="s">
        <v>1688</v>
      </c>
      <c r="B215" s="3">
        <v>44646</v>
      </c>
      <c r="C215" s="2" t="s">
        <v>1689</v>
      </c>
      <c r="D215" t="s">
        <v>6149</v>
      </c>
      <c r="E215" s="2">
        <v>1</v>
      </c>
      <c r="F215" s="2" t="str">
        <f>_xlfn.XLOOKUP(Orders[[#This Row],[Customer ID]],customers!$A$1:$A$1001,customers!$B$1:$B$1001,,0)</f>
        <v>Emiline Galgey</v>
      </c>
      <c r="G215" s="2" t="str">
        <f>IF(_xlfn.XLOOKUP(C215,customers!$A$1:$A$1001,customers!C214:C1214,,0)=0,"",_xlfn.XLOOKUP(C215,customers!$A$1:$A$1001,customers!C214:C1214,,0))</f>
        <v>mdarrigoebu@hud.gov</v>
      </c>
      <c r="H215" s="2" t="str">
        <f>_xlfn.XLOOKUP(Orders[[#This Row],[Customer ID]],customers!$A$1:$A$1001,customers!$G$1:$G$1001,,0)</f>
        <v>United States</v>
      </c>
      <c r="I215" s="2" t="str">
        <f>_xlfn.XLOOKUP(Orders[[#This Row],[Customer ID]],customers!$A$1:$A$1001,customers!$F$1:$F$1001,,0)</f>
        <v>New York City</v>
      </c>
      <c r="J215" t="str">
        <f>INDEX(products!$A$1:$G$49,MATCH(orders!$D215,products!$A$1:$A$49,0),MATCH(orders!J$1,products!$A$1:$G$1,0))</f>
        <v>Rob</v>
      </c>
      <c r="K215" t="str">
        <f>INDEX(products!$A$1:$G$49,MATCH(orders!$D215,products!$A$1:$A$49,0),MATCH(orders!K$1,products!$A$1:$G$1,0))</f>
        <v>D</v>
      </c>
      <c r="L215" s="4">
        <f>INDEX(products!$A$1:$G$49,MATCH(orders!$D215,products!$A$1:$A$49,0),MATCH(orders!L$1,products!$A$1:$G$1,0))</f>
        <v>2.5</v>
      </c>
      <c r="M215" s="5">
        <f>INDEX(products!$A$1:$G$49,MATCH(orders!$D215,products!$A$1:$A$49,0),MATCH(orders!M$1,products!$A$1:$G$1,0))</f>
        <v>20.584999999999997</v>
      </c>
      <c r="N215" s="5">
        <f>Orders[[#This Row],[Quantity]]*(INDEX(products!$A$1:$G$49,MATCH(orders!$D215,products!$A$1:$A$49,0),MATCH(orders!N$1,products!$A$1:$G$1,0)))</f>
        <v>1.2350999999999999</v>
      </c>
      <c r="O215" s="5">
        <f>M215*E215</f>
        <v>20.584999999999997</v>
      </c>
      <c r="P215" t="str">
        <f t="shared" si="6"/>
        <v>Robusta</v>
      </c>
      <c r="Q215" t="str">
        <f t="shared" si="7"/>
        <v>Dark</v>
      </c>
      <c r="R215" t="str">
        <f>_xlfn.XLOOKUP(Orders[[#This Row],[Customer ID]],customers!$A$1:$A$1001,customers!$I$1:$I$1001,,0)</f>
        <v>No</v>
      </c>
    </row>
    <row r="216" spans="1:18" x14ac:dyDescent="0.35">
      <c r="A216" s="2" t="s">
        <v>1694</v>
      </c>
      <c r="B216" s="3">
        <v>43775</v>
      </c>
      <c r="C216" s="2" t="s">
        <v>1695</v>
      </c>
      <c r="D216" t="s">
        <v>6170</v>
      </c>
      <c r="E216" s="2">
        <v>2</v>
      </c>
      <c r="F216" s="2" t="str">
        <f>_xlfn.XLOOKUP(Orders[[#This Row],[Customer ID]],customers!$A$1:$A$1001,customers!$B$1:$B$1001,,0)</f>
        <v>Murdock Hame</v>
      </c>
      <c r="G216" s="2" t="str">
        <f>IF(_xlfn.XLOOKUP(C216,customers!$A$1:$A$1001,customers!C215:C1215,,0)=0,"",_xlfn.XLOOKUP(C216,customers!$A$1:$A$1001,customers!C215:C1215,,0))</f>
        <v>mackrillbw@bandcamp.com</v>
      </c>
      <c r="H216" s="2" t="str">
        <f>_xlfn.XLOOKUP(Orders[[#This Row],[Customer ID]],customers!$A$1:$A$1001,customers!$G$1:$G$1001,,0)</f>
        <v>Ireland</v>
      </c>
      <c r="I216" s="2" t="str">
        <f>_xlfn.XLOOKUP(Orders[[#This Row],[Customer ID]],customers!$A$1:$A$1001,customers!$F$1:$F$1001,,0)</f>
        <v>Balally</v>
      </c>
      <c r="J216" t="str">
        <f>INDEX(products!$A$1:$G$49,MATCH(orders!$D216,products!$A$1:$A$49,0),MATCH(orders!J$1,products!$A$1:$G$1,0))</f>
        <v>Lib</v>
      </c>
      <c r="K216" t="str">
        <f>INDEX(products!$A$1:$G$49,MATCH(orders!$D216,products!$A$1:$A$49,0),MATCH(orders!K$1,products!$A$1:$G$1,0))</f>
        <v>L</v>
      </c>
      <c r="L216" s="4">
        <f>INDEX(products!$A$1:$G$49,MATCH(orders!$D216,products!$A$1:$A$49,0),MATCH(orders!L$1,products!$A$1:$G$1,0))</f>
        <v>1</v>
      </c>
      <c r="M216" s="5">
        <f>INDEX(products!$A$1:$G$49,MATCH(orders!$D216,products!$A$1:$A$49,0),MATCH(orders!M$1,products!$A$1:$G$1,0))</f>
        <v>15.85</v>
      </c>
      <c r="N216" s="5">
        <f>Orders[[#This Row],[Quantity]]*(INDEX(products!$A$1:$G$49,MATCH(orders!$D216,products!$A$1:$A$49,0),MATCH(orders!N$1,products!$A$1:$G$1,0)))</f>
        <v>4.1210000000000004</v>
      </c>
      <c r="O216" s="5">
        <f>M216*E216</f>
        <v>31.7</v>
      </c>
      <c r="P216" t="str">
        <f t="shared" si="6"/>
        <v>Liberica</v>
      </c>
      <c r="Q216" t="str">
        <f t="shared" si="7"/>
        <v>Light</v>
      </c>
      <c r="R216" t="str">
        <f>_xlfn.XLOOKUP(Orders[[#This Row],[Customer ID]],customers!$A$1:$A$1001,customers!$I$1:$I$1001,,0)</f>
        <v>No</v>
      </c>
    </row>
    <row r="217" spans="1:18" x14ac:dyDescent="0.35">
      <c r="A217" s="2" t="s">
        <v>1701</v>
      </c>
      <c r="B217" s="3">
        <v>43829</v>
      </c>
      <c r="C217" s="2" t="s">
        <v>1702</v>
      </c>
      <c r="D217" t="s">
        <v>6150</v>
      </c>
      <c r="E217" s="2">
        <v>6</v>
      </c>
      <c r="F217" s="2" t="str">
        <f>_xlfn.XLOOKUP(Orders[[#This Row],[Customer ID]],customers!$A$1:$A$1001,customers!$B$1:$B$1001,,0)</f>
        <v>Ilka Gurnee</v>
      </c>
      <c r="G217" s="2" t="str">
        <f>IF(_xlfn.XLOOKUP(C217,customers!$A$1:$A$1001,customers!C216:C1216,,0)=0,"",_xlfn.XLOOKUP(C217,customers!$A$1:$A$1001,customers!C216:C1216,,0))</f>
        <v>mkippenby@dion.ne.jp</v>
      </c>
      <c r="H217" s="2" t="str">
        <f>_xlfn.XLOOKUP(Orders[[#This Row],[Customer ID]],customers!$A$1:$A$1001,customers!$G$1:$G$1001,,0)</f>
        <v>United States</v>
      </c>
      <c r="I217" s="2" t="str">
        <f>_xlfn.XLOOKUP(Orders[[#This Row],[Customer ID]],customers!$A$1:$A$1001,customers!$F$1:$F$1001,,0)</f>
        <v>Salt Lake City</v>
      </c>
      <c r="J217" t="str">
        <f>INDEX(products!$A$1:$G$49,MATCH(orders!$D217,products!$A$1:$A$49,0),MATCH(orders!J$1,products!$A$1:$G$1,0))</f>
        <v>Lib</v>
      </c>
      <c r="K217" t="str">
        <f>INDEX(products!$A$1:$G$49,MATCH(orders!$D217,products!$A$1:$A$49,0),MATCH(orders!K$1,products!$A$1:$G$1,0))</f>
        <v>D</v>
      </c>
      <c r="L217" s="4">
        <f>INDEX(products!$A$1:$G$49,MATCH(orders!$D217,products!$A$1:$A$49,0),MATCH(orders!L$1,products!$A$1:$G$1,0))</f>
        <v>0.2</v>
      </c>
      <c r="M217" s="5">
        <f>INDEX(products!$A$1:$G$49,MATCH(orders!$D217,products!$A$1:$A$49,0),MATCH(orders!M$1,products!$A$1:$G$1,0))</f>
        <v>3.8849999999999998</v>
      </c>
      <c r="N217" s="5">
        <f>Orders[[#This Row],[Quantity]]*(INDEX(products!$A$1:$G$49,MATCH(orders!$D217,products!$A$1:$A$49,0),MATCH(orders!N$1,products!$A$1:$G$1,0)))</f>
        <v>3.0303</v>
      </c>
      <c r="O217" s="5">
        <f>M217*E217</f>
        <v>23.31</v>
      </c>
      <c r="P217" t="str">
        <f t="shared" si="6"/>
        <v>Liberica</v>
      </c>
      <c r="Q217" t="str">
        <f t="shared" si="7"/>
        <v>Dark</v>
      </c>
      <c r="R217" t="str">
        <f>_xlfn.XLOOKUP(Orders[[#This Row],[Customer ID]],customers!$A$1:$A$1001,customers!$I$1:$I$1001,,0)</f>
        <v>No</v>
      </c>
    </row>
    <row r="218" spans="1:18" x14ac:dyDescent="0.35">
      <c r="A218" s="2" t="s">
        <v>1707</v>
      </c>
      <c r="B218" s="3">
        <v>44470</v>
      </c>
      <c r="C218" s="2" t="s">
        <v>1708</v>
      </c>
      <c r="D218" t="s">
        <v>6162</v>
      </c>
      <c r="E218" s="2">
        <v>4</v>
      </c>
      <c r="F218" s="2" t="str">
        <f>_xlfn.XLOOKUP(Orders[[#This Row],[Customer ID]],customers!$A$1:$A$1001,customers!$B$1:$B$1001,,0)</f>
        <v>Alfy Snowding</v>
      </c>
      <c r="G218" s="2" t="str">
        <f>IF(_xlfn.XLOOKUP(C218,customers!$A$1:$A$1001,customers!C217:C1217,,0)=0,"",_xlfn.XLOOKUP(C218,customers!$A$1:$A$1001,customers!C217:C1217,,0))</f>
        <v/>
      </c>
      <c r="H218" s="2" t="str">
        <f>_xlfn.XLOOKUP(Orders[[#This Row],[Customer ID]],customers!$A$1:$A$1001,customers!$G$1:$G$1001,,0)</f>
        <v>United States</v>
      </c>
      <c r="I218" s="2" t="str">
        <f>_xlfn.XLOOKUP(Orders[[#This Row],[Customer ID]],customers!$A$1:$A$1001,customers!$F$1:$F$1001,,0)</f>
        <v>Toledo</v>
      </c>
      <c r="J218" t="str">
        <f>INDEX(products!$A$1:$G$49,MATCH(orders!$D218,products!$A$1:$A$49,0),MATCH(orders!J$1,products!$A$1:$G$1,0))</f>
        <v>Lib</v>
      </c>
      <c r="K218" t="str">
        <f>INDEX(products!$A$1:$G$49,MATCH(orders!$D218,products!$A$1:$A$49,0),MATCH(orders!K$1,products!$A$1:$G$1,0))</f>
        <v>M</v>
      </c>
      <c r="L218" s="4">
        <f>INDEX(products!$A$1:$G$49,MATCH(orders!$D218,products!$A$1:$A$49,0),MATCH(orders!L$1,products!$A$1:$G$1,0))</f>
        <v>1</v>
      </c>
      <c r="M218" s="5">
        <f>INDEX(products!$A$1:$G$49,MATCH(orders!$D218,products!$A$1:$A$49,0),MATCH(orders!M$1,products!$A$1:$G$1,0))</f>
        <v>14.55</v>
      </c>
      <c r="N218" s="5">
        <f>Orders[[#This Row],[Quantity]]*(INDEX(products!$A$1:$G$49,MATCH(orders!$D218,products!$A$1:$A$49,0),MATCH(orders!N$1,products!$A$1:$G$1,0)))</f>
        <v>7.5660000000000007</v>
      </c>
      <c r="O218" s="5">
        <f>M218*E218</f>
        <v>58.2</v>
      </c>
      <c r="P218" t="str">
        <f t="shared" si="6"/>
        <v>Liberica</v>
      </c>
      <c r="Q218" t="str">
        <f t="shared" si="7"/>
        <v>Medium</v>
      </c>
      <c r="R218" t="str">
        <f>_xlfn.XLOOKUP(Orders[[#This Row],[Customer ID]],customers!$A$1:$A$1001,customers!$I$1:$I$1001,,0)</f>
        <v>Yes</v>
      </c>
    </row>
    <row r="219" spans="1:18" x14ac:dyDescent="0.35">
      <c r="A219" s="2" t="s">
        <v>1713</v>
      </c>
      <c r="B219" s="3">
        <v>44174</v>
      </c>
      <c r="C219" s="2" t="s">
        <v>1714</v>
      </c>
      <c r="D219" t="s">
        <v>6176</v>
      </c>
      <c r="E219" s="2">
        <v>4</v>
      </c>
      <c r="F219" s="2" t="str">
        <f>_xlfn.XLOOKUP(Orders[[#This Row],[Customer ID]],customers!$A$1:$A$1001,customers!$B$1:$B$1001,,0)</f>
        <v>Godfry Poinsett</v>
      </c>
      <c r="G219" s="2" t="str">
        <f>IF(_xlfn.XLOOKUP(C219,customers!$A$1:$A$1001,customers!C218:C1218,,0)=0,"",_xlfn.XLOOKUP(C219,customers!$A$1:$A$1001,customers!C218:C1218,,0))</f>
        <v/>
      </c>
      <c r="H219" s="2" t="str">
        <f>_xlfn.XLOOKUP(Orders[[#This Row],[Customer ID]],customers!$A$1:$A$1001,customers!$G$1:$G$1001,,0)</f>
        <v>United States</v>
      </c>
      <c r="I219" s="2" t="str">
        <f>_xlfn.XLOOKUP(Orders[[#This Row],[Customer ID]],customers!$A$1:$A$1001,customers!$F$1:$F$1001,,0)</f>
        <v>Pasadena</v>
      </c>
      <c r="J219" t="str">
        <f>INDEX(products!$A$1:$G$49,MATCH(orders!$D219,products!$A$1:$A$49,0),MATCH(orders!J$1,products!$A$1:$G$1,0))</f>
        <v>Exc</v>
      </c>
      <c r="K219" t="str">
        <f>INDEX(products!$A$1:$G$49,MATCH(orders!$D219,products!$A$1:$A$49,0),MATCH(orders!K$1,products!$A$1:$G$1,0))</f>
        <v>L</v>
      </c>
      <c r="L219" s="4">
        <f>INDEX(products!$A$1:$G$49,MATCH(orders!$D219,products!$A$1:$A$49,0),MATCH(orders!L$1,products!$A$1:$G$1,0))</f>
        <v>0.5</v>
      </c>
      <c r="M219" s="5">
        <f>INDEX(products!$A$1:$G$49,MATCH(orders!$D219,products!$A$1:$A$49,0),MATCH(orders!M$1,products!$A$1:$G$1,0))</f>
        <v>8.91</v>
      </c>
      <c r="N219" s="5">
        <f>Orders[[#This Row],[Quantity]]*(INDEX(products!$A$1:$G$49,MATCH(orders!$D219,products!$A$1:$A$49,0),MATCH(orders!N$1,products!$A$1:$G$1,0)))</f>
        <v>3.9203999999999999</v>
      </c>
      <c r="O219" s="5">
        <f>M219*E219</f>
        <v>35.64</v>
      </c>
      <c r="P219" t="str">
        <f t="shared" si="6"/>
        <v>Excelsa</v>
      </c>
      <c r="Q219" t="str">
        <f t="shared" si="7"/>
        <v>Light</v>
      </c>
      <c r="R219" t="str">
        <f>_xlfn.XLOOKUP(Orders[[#This Row],[Customer ID]],customers!$A$1:$A$1001,customers!$I$1:$I$1001,,0)</f>
        <v>No</v>
      </c>
    </row>
    <row r="220" spans="1:18" x14ac:dyDescent="0.35">
      <c r="A220" s="2" t="s">
        <v>1719</v>
      </c>
      <c r="B220" s="3">
        <v>44317</v>
      </c>
      <c r="C220" s="2" t="s">
        <v>1720</v>
      </c>
      <c r="D220" t="s">
        <v>6155</v>
      </c>
      <c r="E220" s="2">
        <v>5</v>
      </c>
      <c r="F220" s="2" t="str">
        <f>_xlfn.XLOOKUP(Orders[[#This Row],[Customer ID]],customers!$A$1:$A$1001,customers!$B$1:$B$1001,,0)</f>
        <v>Rem Furman</v>
      </c>
      <c r="G220" s="2" t="str">
        <f>IF(_xlfn.XLOOKUP(C220,customers!$A$1:$A$1001,customers!C219:C1219,,0)=0,"",_xlfn.XLOOKUP(C220,customers!$A$1:$A$1001,customers!C219:C1219,,0))</f>
        <v>orylandc4@deviantart.com</v>
      </c>
      <c r="H220" s="2" t="str">
        <f>_xlfn.XLOOKUP(Orders[[#This Row],[Customer ID]],customers!$A$1:$A$1001,customers!$G$1:$G$1001,,0)</f>
        <v>Ireland</v>
      </c>
      <c r="I220" s="2" t="str">
        <f>_xlfn.XLOOKUP(Orders[[#This Row],[Customer ID]],customers!$A$1:$A$1001,customers!$F$1:$F$1001,,0)</f>
        <v>Kinsale</v>
      </c>
      <c r="J220" t="str">
        <f>INDEX(products!$A$1:$G$49,MATCH(orders!$D220,products!$A$1:$A$49,0),MATCH(orders!J$1,products!$A$1:$G$1,0))</f>
        <v>Ara</v>
      </c>
      <c r="K220" t="str">
        <f>INDEX(products!$A$1:$G$49,MATCH(orders!$D220,products!$A$1:$A$49,0),MATCH(orders!K$1,products!$A$1:$G$1,0))</f>
        <v>M</v>
      </c>
      <c r="L220" s="4">
        <f>INDEX(products!$A$1:$G$49,MATCH(orders!$D220,products!$A$1:$A$49,0),MATCH(orders!L$1,products!$A$1:$G$1,0))</f>
        <v>1</v>
      </c>
      <c r="M220" s="5">
        <f>INDEX(products!$A$1:$G$49,MATCH(orders!$D220,products!$A$1:$A$49,0),MATCH(orders!M$1,products!$A$1:$G$1,0))</f>
        <v>11.25</v>
      </c>
      <c r="N220" s="5">
        <f>Orders[[#This Row],[Quantity]]*(INDEX(products!$A$1:$G$49,MATCH(orders!$D220,products!$A$1:$A$49,0),MATCH(orders!N$1,products!$A$1:$G$1,0)))</f>
        <v>5.0625</v>
      </c>
      <c r="O220" s="5">
        <f>M220*E220</f>
        <v>56.25</v>
      </c>
      <c r="P220" t="str">
        <f t="shared" si="6"/>
        <v>Arabica</v>
      </c>
      <c r="Q220" t="str">
        <f t="shared" si="7"/>
        <v>Medium</v>
      </c>
      <c r="R220" t="str">
        <f>_xlfn.XLOOKUP(Orders[[#This Row],[Customer ID]],customers!$A$1:$A$1001,customers!$I$1:$I$1001,,0)</f>
        <v>Yes</v>
      </c>
    </row>
    <row r="221" spans="1:18" x14ac:dyDescent="0.35">
      <c r="A221" s="2" t="s">
        <v>1725</v>
      </c>
      <c r="B221" s="3">
        <v>44777</v>
      </c>
      <c r="C221" s="2" t="s">
        <v>1726</v>
      </c>
      <c r="D221" t="s">
        <v>6178</v>
      </c>
      <c r="E221" s="2">
        <v>3</v>
      </c>
      <c r="F221" s="2" t="str">
        <f>_xlfn.XLOOKUP(Orders[[#This Row],[Customer ID]],customers!$A$1:$A$1001,customers!$B$1:$B$1001,,0)</f>
        <v>Charis Crosier</v>
      </c>
      <c r="G221" s="2" t="str">
        <f>IF(_xlfn.XLOOKUP(C221,customers!$A$1:$A$1001,customers!C220:C1220,,0)=0,"",_xlfn.XLOOKUP(C221,customers!$A$1:$A$1001,customers!C220:C1220,,0))</f>
        <v>blottringtonc6@redcross.org</v>
      </c>
      <c r="H221" s="2" t="str">
        <f>_xlfn.XLOOKUP(Orders[[#This Row],[Customer ID]],customers!$A$1:$A$1001,customers!$G$1:$G$1001,,0)</f>
        <v>United States</v>
      </c>
      <c r="I221" s="2" t="str">
        <f>_xlfn.XLOOKUP(Orders[[#This Row],[Customer ID]],customers!$A$1:$A$1001,customers!$F$1:$F$1001,,0)</f>
        <v>Lees Summit</v>
      </c>
      <c r="J221" t="str">
        <f>INDEX(products!$A$1:$G$49,MATCH(orders!$D221,products!$A$1:$A$49,0),MATCH(orders!J$1,products!$A$1:$G$1,0))</f>
        <v>Rob</v>
      </c>
      <c r="K221" t="str">
        <f>INDEX(products!$A$1:$G$49,MATCH(orders!$D221,products!$A$1:$A$49,0),MATCH(orders!K$1,products!$A$1:$G$1,0))</f>
        <v>L</v>
      </c>
      <c r="L221" s="4">
        <f>INDEX(products!$A$1:$G$49,MATCH(orders!$D221,products!$A$1:$A$49,0),MATCH(orders!L$1,products!$A$1:$G$1,0))</f>
        <v>0.2</v>
      </c>
      <c r="M221" s="5">
        <f>INDEX(products!$A$1:$G$49,MATCH(orders!$D221,products!$A$1:$A$49,0),MATCH(orders!M$1,products!$A$1:$G$1,0))</f>
        <v>3.5849999999999995</v>
      </c>
      <c r="N221" s="5">
        <f>Orders[[#This Row],[Quantity]]*(INDEX(products!$A$1:$G$49,MATCH(orders!$D221,products!$A$1:$A$49,0),MATCH(orders!N$1,products!$A$1:$G$1,0)))</f>
        <v>0.64529999999999987</v>
      </c>
      <c r="O221" s="5">
        <f>M221*E221</f>
        <v>10.754999999999999</v>
      </c>
      <c r="P221" t="str">
        <f t="shared" si="6"/>
        <v>Robusta</v>
      </c>
      <c r="Q221" t="str">
        <f t="shared" si="7"/>
        <v>Light</v>
      </c>
      <c r="R221" t="str">
        <f>_xlfn.XLOOKUP(Orders[[#This Row],[Customer ID]],customers!$A$1:$A$1001,customers!$I$1:$I$1001,,0)</f>
        <v>No</v>
      </c>
    </row>
    <row r="222" spans="1:18" x14ac:dyDescent="0.35">
      <c r="A222" s="2" t="s">
        <v>1725</v>
      </c>
      <c r="B222" s="3">
        <v>44777</v>
      </c>
      <c r="C222" s="2" t="s">
        <v>1726</v>
      </c>
      <c r="D222" t="s">
        <v>6174</v>
      </c>
      <c r="E222" s="2">
        <v>5</v>
      </c>
      <c r="F222" s="2" t="str">
        <f>_xlfn.XLOOKUP(Orders[[#This Row],[Customer ID]],customers!$A$1:$A$1001,customers!$B$1:$B$1001,,0)</f>
        <v>Charis Crosier</v>
      </c>
      <c r="G222" s="2" t="str">
        <f>IF(_xlfn.XLOOKUP(C222,customers!$A$1:$A$1001,customers!C221:C1221,,0)=0,"",_xlfn.XLOOKUP(C222,customers!$A$1:$A$1001,customers!C221:C1221,,0))</f>
        <v>craglessc7@webmd.com</v>
      </c>
      <c r="H222" s="2" t="str">
        <f>_xlfn.XLOOKUP(Orders[[#This Row],[Customer ID]],customers!$A$1:$A$1001,customers!$G$1:$G$1001,,0)</f>
        <v>United States</v>
      </c>
      <c r="I222" s="2" t="str">
        <f>_xlfn.XLOOKUP(Orders[[#This Row],[Customer ID]],customers!$A$1:$A$1001,customers!$F$1:$F$1001,,0)</f>
        <v>Lees Summit</v>
      </c>
      <c r="J222" t="str">
        <f>INDEX(products!$A$1:$G$49,MATCH(orders!$D222,products!$A$1:$A$49,0),MATCH(orders!J$1,products!$A$1:$G$1,0))</f>
        <v>Rob</v>
      </c>
      <c r="K222" t="str">
        <f>INDEX(products!$A$1:$G$49,MATCH(orders!$D222,products!$A$1:$A$49,0),MATCH(orders!K$1,products!$A$1:$G$1,0))</f>
        <v>M</v>
      </c>
      <c r="L222" s="4">
        <f>INDEX(products!$A$1:$G$49,MATCH(orders!$D222,products!$A$1:$A$49,0),MATCH(orders!L$1,products!$A$1:$G$1,0))</f>
        <v>0.2</v>
      </c>
      <c r="M222" s="5">
        <f>INDEX(products!$A$1:$G$49,MATCH(orders!$D222,products!$A$1:$A$49,0),MATCH(orders!M$1,products!$A$1:$G$1,0))</f>
        <v>2.9849999999999999</v>
      </c>
      <c r="N222" s="5">
        <f>Orders[[#This Row],[Quantity]]*(INDEX(products!$A$1:$G$49,MATCH(orders!$D222,products!$A$1:$A$49,0),MATCH(orders!N$1,products!$A$1:$G$1,0)))</f>
        <v>0.89549999999999996</v>
      </c>
      <c r="O222" s="5">
        <f>M222*E222</f>
        <v>14.924999999999999</v>
      </c>
      <c r="P222" t="str">
        <f t="shared" si="6"/>
        <v>Robusta</v>
      </c>
      <c r="Q222" t="str">
        <f t="shared" si="7"/>
        <v>Medium</v>
      </c>
      <c r="R222" t="str">
        <f>_xlfn.XLOOKUP(Orders[[#This Row],[Customer ID]],customers!$A$1:$A$1001,customers!$I$1:$I$1001,,0)</f>
        <v>No</v>
      </c>
    </row>
    <row r="223" spans="1:18" x14ac:dyDescent="0.35">
      <c r="A223" s="2" t="s">
        <v>1736</v>
      </c>
      <c r="B223" s="3">
        <v>44513</v>
      </c>
      <c r="C223" s="2" t="s">
        <v>1737</v>
      </c>
      <c r="D223" t="s">
        <v>6140</v>
      </c>
      <c r="E223" s="2">
        <v>6</v>
      </c>
      <c r="F223" s="2" t="str">
        <f>_xlfn.XLOOKUP(Orders[[#This Row],[Customer ID]],customers!$A$1:$A$1001,customers!$B$1:$B$1001,,0)</f>
        <v>Lenka Rushmer</v>
      </c>
      <c r="G223" s="2" t="str">
        <f>IF(_xlfn.XLOOKUP(C223,customers!$A$1:$A$1001,customers!C222:C1222,,0)=0,"",_xlfn.XLOOKUP(C223,customers!$A$1:$A$1001,customers!C222:C1222,,0))</f>
        <v>kheadsca@jalbum.net</v>
      </c>
      <c r="H223" s="2" t="str">
        <f>_xlfn.XLOOKUP(Orders[[#This Row],[Customer ID]],customers!$A$1:$A$1001,customers!$G$1:$G$1001,,0)</f>
        <v>United States</v>
      </c>
      <c r="I223" s="2" t="str">
        <f>_xlfn.XLOOKUP(Orders[[#This Row],[Customer ID]],customers!$A$1:$A$1001,customers!$F$1:$F$1001,,0)</f>
        <v>Irvine</v>
      </c>
      <c r="J223" t="str">
        <f>INDEX(products!$A$1:$G$49,MATCH(orders!$D223,products!$A$1:$A$49,0),MATCH(orders!J$1,products!$A$1:$G$1,0))</f>
        <v>Ara</v>
      </c>
      <c r="K223" t="str">
        <f>INDEX(products!$A$1:$G$49,MATCH(orders!$D223,products!$A$1:$A$49,0),MATCH(orders!K$1,products!$A$1:$G$1,0))</f>
        <v>L</v>
      </c>
      <c r="L223" s="4">
        <f>INDEX(products!$A$1:$G$49,MATCH(orders!$D223,products!$A$1:$A$49,0),MATCH(orders!L$1,products!$A$1:$G$1,0))</f>
        <v>1</v>
      </c>
      <c r="M223" s="5">
        <f>INDEX(products!$A$1:$G$49,MATCH(orders!$D223,products!$A$1:$A$49,0),MATCH(orders!M$1,products!$A$1:$G$1,0))</f>
        <v>12.95</v>
      </c>
      <c r="N223" s="5">
        <f>Orders[[#This Row],[Quantity]]*(INDEX(products!$A$1:$G$49,MATCH(orders!$D223,products!$A$1:$A$49,0),MATCH(orders!N$1,products!$A$1:$G$1,0)))</f>
        <v>6.9930000000000003</v>
      </c>
      <c r="O223" s="5">
        <f>M223*E223</f>
        <v>77.699999999999989</v>
      </c>
      <c r="P223" t="str">
        <f t="shared" si="6"/>
        <v>Arabica</v>
      </c>
      <c r="Q223" t="str">
        <f t="shared" si="7"/>
        <v>Light</v>
      </c>
      <c r="R223" t="str">
        <f>_xlfn.XLOOKUP(Orders[[#This Row],[Customer ID]],customers!$A$1:$A$1001,customers!$I$1:$I$1001,,0)</f>
        <v>Yes</v>
      </c>
    </row>
    <row r="224" spans="1:18" x14ac:dyDescent="0.35">
      <c r="A224" s="2" t="s">
        <v>1742</v>
      </c>
      <c r="B224" s="3">
        <v>44090</v>
      </c>
      <c r="C224" s="2" t="s">
        <v>1743</v>
      </c>
      <c r="D224" t="s">
        <v>6169</v>
      </c>
      <c r="E224" s="2">
        <v>3</v>
      </c>
      <c r="F224" s="2" t="str">
        <f>_xlfn.XLOOKUP(Orders[[#This Row],[Customer ID]],customers!$A$1:$A$1001,customers!$B$1:$B$1001,,0)</f>
        <v>Waneta Edinborough</v>
      </c>
      <c r="G224" s="2" t="str">
        <f>IF(_xlfn.XLOOKUP(C224,customers!$A$1:$A$1001,customers!C223:C1223,,0)=0,"",_xlfn.XLOOKUP(C224,customers!$A$1:$A$1001,customers!C223:C1223,,0))</f>
        <v>rjacquemardcc@acquirethisname.com</v>
      </c>
      <c r="H224" s="2" t="str">
        <f>_xlfn.XLOOKUP(Orders[[#This Row],[Customer ID]],customers!$A$1:$A$1001,customers!$G$1:$G$1001,,0)</f>
        <v>United States</v>
      </c>
      <c r="I224" s="2" t="str">
        <f>_xlfn.XLOOKUP(Orders[[#This Row],[Customer ID]],customers!$A$1:$A$1001,customers!$F$1:$F$1001,,0)</f>
        <v>Hicksville</v>
      </c>
      <c r="J224" t="str">
        <f>INDEX(products!$A$1:$G$49,MATCH(orders!$D224,products!$A$1:$A$49,0),MATCH(orders!J$1,products!$A$1:$G$1,0))</f>
        <v>Lib</v>
      </c>
      <c r="K224" t="str">
        <f>INDEX(products!$A$1:$G$49,MATCH(orders!$D224,products!$A$1:$A$49,0),MATCH(orders!K$1,products!$A$1:$G$1,0))</f>
        <v>D</v>
      </c>
      <c r="L224" s="4">
        <f>INDEX(products!$A$1:$G$49,MATCH(orders!$D224,products!$A$1:$A$49,0),MATCH(orders!L$1,products!$A$1:$G$1,0))</f>
        <v>0.5</v>
      </c>
      <c r="M224" s="5">
        <f>INDEX(products!$A$1:$G$49,MATCH(orders!$D224,products!$A$1:$A$49,0),MATCH(orders!M$1,products!$A$1:$G$1,0))</f>
        <v>7.77</v>
      </c>
      <c r="N224" s="5">
        <f>Orders[[#This Row],[Quantity]]*(INDEX(products!$A$1:$G$49,MATCH(orders!$D224,products!$A$1:$A$49,0),MATCH(orders!N$1,products!$A$1:$G$1,0)))</f>
        <v>3.0303</v>
      </c>
      <c r="O224" s="5">
        <f>M224*E224</f>
        <v>23.31</v>
      </c>
      <c r="P224" t="str">
        <f t="shared" si="6"/>
        <v>Liberica</v>
      </c>
      <c r="Q224" t="str">
        <f t="shared" si="7"/>
        <v>Dark</v>
      </c>
      <c r="R224" t="str">
        <f>_xlfn.XLOOKUP(Orders[[#This Row],[Customer ID]],customers!$A$1:$A$1001,customers!$I$1:$I$1001,,0)</f>
        <v>No</v>
      </c>
    </row>
    <row r="225" spans="1:18" x14ac:dyDescent="0.35">
      <c r="A225" s="2" t="s">
        <v>1748</v>
      </c>
      <c r="B225" s="3">
        <v>44109</v>
      </c>
      <c r="C225" s="2" t="s">
        <v>1749</v>
      </c>
      <c r="D225" t="s">
        <v>6171</v>
      </c>
      <c r="E225" s="2">
        <v>4</v>
      </c>
      <c r="F225" s="2" t="str">
        <f>_xlfn.XLOOKUP(Orders[[#This Row],[Customer ID]],customers!$A$1:$A$1001,customers!$B$1:$B$1001,,0)</f>
        <v>Bobbe Piggott</v>
      </c>
      <c r="G225" s="2" t="str">
        <f>IF(_xlfn.XLOOKUP(C225,customers!$A$1:$A$1001,customers!C224:C1224,,0)=0,"",_xlfn.XLOOKUP(C225,customers!$A$1:$A$1001,customers!C224:C1224,,0))</f>
        <v>wcholomince@about.com</v>
      </c>
      <c r="H225" s="2" t="str">
        <f>_xlfn.XLOOKUP(Orders[[#This Row],[Customer ID]],customers!$A$1:$A$1001,customers!$G$1:$G$1001,,0)</f>
        <v>United States</v>
      </c>
      <c r="I225" s="2" t="str">
        <f>_xlfn.XLOOKUP(Orders[[#This Row],[Customer ID]],customers!$A$1:$A$1001,customers!$F$1:$F$1001,,0)</f>
        <v>Washington</v>
      </c>
      <c r="J225" t="str">
        <f>INDEX(products!$A$1:$G$49,MATCH(orders!$D225,products!$A$1:$A$49,0),MATCH(orders!J$1,products!$A$1:$G$1,0))</f>
        <v>Exc</v>
      </c>
      <c r="K225" t="str">
        <f>INDEX(products!$A$1:$G$49,MATCH(orders!$D225,products!$A$1:$A$49,0),MATCH(orders!K$1,products!$A$1:$G$1,0))</f>
        <v>L</v>
      </c>
      <c r="L225" s="4">
        <f>INDEX(products!$A$1:$G$49,MATCH(orders!$D225,products!$A$1:$A$49,0),MATCH(orders!L$1,products!$A$1:$G$1,0))</f>
        <v>1</v>
      </c>
      <c r="M225" s="5">
        <f>INDEX(products!$A$1:$G$49,MATCH(orders!$D225,products!$A$1:$A$49,0),MATCH(orders!M$1,products!$A$1:$G$1,0))</f>
        <v>14.85</v>
      </c>
      <c r="N225" s="5">
        <f>Orders[[#This Row],[Quantity]]*(INDEX(products!$A$1:$G$49,MATCH(orders!$D225,products!$A$1:$A$49,0),MATCH(orders!N$1,products!$A$1:$G$1,0)))</f>
        <v>6.5339999999999998</v>
      </c>
      <c r="O225" s="5">
        <f>M225*E225</f>
        <v>59.4</v>
      </c>
      <c r="P225" t="str">
        <f t="shared" si="6"/>
        <v>Excelsa</v>
      </c>
      <c r="Q225" t="str">
        <f t="shared" si="7"/>
        <v>Light</v>
      </c>
      <c r="R225" t="str">
        <f>_xlfn.XLOOKUP(Orders[[#This Row],[Customer ID]],customers!$A$1:$A$1001,customers!$I$1:$I$1001,,0)</f>
        <v>Yes</v>
      </c>
    </row>
    <row r="226" spans="1:18" x14ac:dyDescent="0.35">
      <c r="A226" s="2" t="s">
        <v>1753</v>
      </c>
      <c r="B226" s="3">
        <v>43836</v>
      </c>
      <c r="C226" s="2" t="s">
        <v>1754</v>
      </c>
      <c r="D226" t="s">
        <v>6165</v>
      </c>
      <c r="E226" s="2">
        <v>4</v>
      </c>
      <c r="F226" s="2" t="str">
        <f>_xlfn.XLOOKUP(Orders[[#This Row],[Customer ID]],customers!$A$1:$A$1001,customers!$B$1:$B$1001,,0)</f>
        <v>Ketty Bromehead</v>
      </c>
      <c r="G226" s="2" t="str">
        <f>IF(_xlfn.XLOOKUP(C226,customers!$A$1:$A$1001,customers!C225:C1225,,0)=0,"",_xlfn.XLOOKUP(C226,customers!$A$1:$A$1001,customers!C225:C1225,,0))</f>
        <v>pdurbancg@symantec.com</v>
      </c>
      <c r="H226" s="2" t="str">
        <f>_xlfn.XLOOKUP(Orders[[#This Row],[Customer ID]],customers!$A$1:$A$1001,customers!$G$1:$G$1001,,0)</f>
        <v>United States</v>
      </c>
      <c r="I226" s="2" t="str">
        <f>_xlfn.XLOOKUP(Orders[[#This Row],[Customer ID]],customers!$A$1:$A$1001,customers!$F$1:$F$1001,,0)</f>
        <v>New York City</v>
      </c>
      <c r="J226" t="str">
        <f>INDEX(products!$A$1:$G$49,MATCH(orders!$D226,products!$A$1:$A$49,0),MATCH(orders!J$1,products!$A$1:$G$1,0))</f>
        <v>Lib</v>
      </c>
      <c r="K226" t="str">
        <f>INDEX(products!$A$1:$G$49,MATCH(orders!$D226,products!$A$1:$A$49,0),MATCH(orders!K$1,products!$A$1:$G$1,0))</f>
        <v>D</v>
      </c>
      <c r="L226" s="4">
        <f>INDEX(products!$A$1:$G$49,MATCH(orders!$D226,products!$A$1:$A$49,0),MATCH(orders!L$1,products!$A$1:$G$1,0))</f>
        <v>2.5</v>
      </c>
      <c r="M226" s="5">
        <f>INDEX(products!$A$1:$G$49,MATCH(orders!$D226,products!$A$1:$A$49,0),MATCH(orders!M$1,products!$A$1:$G$1,0))</f>
        <v>29.784999999999997</v>
      </c>
      <c r="N226" s="5">
        <f>Orders[[#This Row],[Quantity]]*(INDEX(products!$A$1:$G$49,MATCH(orders!$D226,products!$A$1:$A$49,0),MATCH(orders!N$1,products!$A$1:$G$1,0)))</f>
        <v>15.488199999999999</v>
      </c>
      <c r="O226" s="5">
        <f>M226*E226</f>
        <v>119.13999999999999</v>
      </c>
      <c r="P226" t="str">
        <f t="shared" si="6"/>
        <v>Liberica</v>
      </c>
      <c r="Q226" t="str">
        <f t="shared" si="7"/>
        <v>Dark</v>
      </c>
      <c r="R226" t="str">
        <f>_xlfn.XLOOKUP(Orders[[#This Row],[Customer ID]],customers!$A$1:$A$1001,customers!$I$1:$I$1001,,0)</f>
        <v>Yes</v>
      </c>
    </row>
    <row r="227" spans="1:18" x14ac:dyDescent="0.35">
      <c r="A227" s="2" t="s">
        <v>1759</v>
      </c>
      <c r="B227" s="3">
        <v>44337</v>
      </c>
      <c r="C227" s="2" t="s">
        <v>1760</v>
      </c>
      <c r="D227" t="s">
        <v>6178</v>
      </c>
      <c r="E227" s="2">
        <v>4</v>
      </c>
      <c r="F227" s="2" t="str">
        <f>_xlfn.XLOOKUP(Orders[[#This Row],[Customer ID]],customers!$A$1:$A$1001,customers!$B$1:$B$1001,,0)</f>
        <v>Elsbeth Westerman</v>
      </c>
      <c r="G227" s="2" t="str">
        <f>IF(_xlfn.XLOOKUP(C227,customers!$A$1:$A$1001,customers!C226:C1226,,0)=0,"",_xlfn.XLOOKUP(C227,customers!$A$1:$A$1001,customers!C226:C1226,,0))</f>
        <v>spamphilonci@mlb.com</v>
      </c>
      <c r="H227" s="2" t="str">
        <f>_xlfn.XLOOKUP(Orders[[#This Row],[Customer ID]],customers!$A$1:$A$1001,customers!$G$1:$G$1001,,0)</f>
        <v>Ireland</v>
      </c>
      <c r="I227" s="2" t="str">
        <f>_xlfn.XLOOKUP(Orders[[#This Row],[Customer ID]],customers!$A$1:$A$1001,customers!$F$1:$F$1001,,0)</f>
        <v>Newmarket on Fergus</v>
      </c>
      <c r="J227" t="str">
        <f>INDEX(products!$A$1:$G$49,MATCH(orders!$D227,products!$A$1:$A$49,0),MATCH(orders!J$1,products!$A$1:$G$1,0))</f>
        <v>Rob</v>
      </c>
      <c r="K227" t="str">
        <f>INDEX(products!$A$1:$G$49,MATCH(orders!$D227,products!$A$1:$A$49,0),MATCH(orders!K$1,products!$A$1:$G$1,0))</f>
        <v>L</v>
      </c>
      <c r="L227" s="4">
        <f>INDEX(products!$A$1:$G$49,MATCH(orders!$D227,products!$A$1:$A$49,0),MATCH(orders!L$1,products!$A$1:$G$1,0))</f>
        <v>0.2</v>
      </c>
      <c r="M227" s="5">
        <f>INDEX(products!$A$1:$G$49,MATCH(orders!$D227,products!$A$1:$A$49,0),MATCH(orders!M$1,products!$A$1:$G$1,0))</f>
        <v>3.5849999999999995</v>
      </c>
      <c r="N227" s="5">
        <f>Orders[[#This Row],[Quantity]]*(INDEX(products!$A$1:$G$49,MATCH(orders!$D227,products!$A$1:$A$49,0),MATCH(orders!N$1,products!$A$1:$G$1,0)))</f>
        <v>0.86039999999999983</v>
      </c>
      <c r="O227" s="5">
        <f>M227*E227</f>
        <v>14.339999999999998</v>
      </c>
      <c r="P227" t="str">
        <f t="shared" si="6"/>
        <v>Robusta</v>
      </c>
      <c r="Q227" t="str">
        <f t="shared" si="7"/>
        <v>Light</v>
      </c>
      <c r="R227" t="str">
        <f>_xlfn.XLOOKUP(Orders[[#This Row],[Customer ID]],customers!$A$1:$A$1001,customers!$I$1:$I$1001,,0)</f>
        <v>No</v>
      </c>
    </row>
    <row r="228" spans="1:18" x14ac:dyDescent="0.35">
      <c r="A228" s="2" t="s">
        <v>1765</v>
      </c>
      <c r="B228" s="3">
        <v>43887</v>
      </c>
      <c r="C228" s="2" t="s">
        <v>1766</v>
      </c>
      <c r="D228" t="s">
        <v>6175</v>
      </c>
      <c r="E228" s="2">
        <v>5</v>
      </c>
      <c r="F228" s="2" t="str">
        <f>_xlfn.XLOOKUP(Orders[[#This Row],[Customer ID]],customers!$A$1:$A$1001,customers!$B$1:$B$1001,,0)</f>
        <v>Anabelle Hutchens</v>
      </c>
      <c r="G228" s="2" t="str">
        <f>IF(_xlfn.XLOOKUP(C228,customers!$A$1:$A$1001,customers!C227:C1227,,0)=0,"",_xlfn.XLOOKUP(C228,customers!$A$1:$A$1001,customers!C227:C1227,,0))</f>
        <v>msesonck@census.gov</v>
      </c>
      <c r="H228" s="2" t="str">
        <f>_xlfn.XLOOKUP(Orders[[#This Row],[Customer ID]],customers!$A$1:$A$1001,customers!$G$1:$G$1001,,0)</f>
        <v>United States</v>
      </c>
      <c r="I228" s="2" t="str">
        <f>_xlfn.XLOOKUP(Orders[[#This Row],[Customer ID]],customers!$A$1:$A$1001,customers!$F$1:$F$1001,,0)</f>
        <v>Shawnee Mission</v>
      </c>
      <c r="J228" t="str">
        <f>INDEX(products!$A$1:$G$49,MATCH(orders!$D228,products!$A$1:$A$49,0),MATCH(orders!J$1,products!$A$1:$G$1,0))</f>
        <v>Ara</v>
      </c>
      <c r="K228" t="str">
        <f>INDEX(products!$A$1:$G$49,MATCH(orders!$D228,products!$A$1:$A$49,0),MATCH(orders!K$1,products!$A$1:$G$1,0))</f>
        <v>M</v>
      </c>
      <c r="L228" s="4">
        <f>INDEX(products!$A$1:$G$49,MATCH(orders!$D228,products!$A$1:$A$49,0),MATCH(orders!L$1,products!$A$1:$G$1,0))</f>
        <v>2.5</v>
      </c>
      <c r="M228" s="5">
        <f>INDEX(products!$A$1:$G$49,MATCH(orders!$D228,products!$A$1:$A$49,0),MATCH(orders!M$1,products!$A$1:$G$1,0))</f>
        <v>25.874999999999996</v>
      </c>
      <c r="N228" s="5">
        <f>Orders[[#This Row],[Quantity]]*(INDEX(products!$A$1:$G$49,MATCH(orders!$D228,products!$A$1:$A$49,0),MATCH(orders!N$1,products!$A$1:$G$1,0)))</f>
        <v>11.643749999999997</v>
      </c>
      <c r="O228" s="5">
        <f>M228*E228</f>
        <v>129.37499999999997</v>
      </c>
      <c r="P228" t="str">
        <f t="shared" si="6"/>
        <v>Arabica</v>
      </c>
      <c r="Q228" t="str">
        <f t="shared" si="7"/>
        <v>Medium</v>
      </c>
      <c r="R228" t="str">
        <f>_xlfn.XLOOKUP(Orders[[#This Row],[Customer ID]],customers!$A$1:$A$1001,customers!$I$1:$I$1001,,0)</f>
        <v>No</v>
      </c>
    </row>
    <row r="229" spans="1:18" x14ac:dyDescent="0.35">
      <c r="A229" s="2" t="s">
        <v>1771</v>
      </c>
      <c r="B229" s="3">
        <v>43880</v>
      </c>
      <c r="C229" s="2" t="s">
        <v>1772</v>
      </c>
      <c r="D229" t="s">
        <v>6163</v>
      </c>
      <c r="E229" s="2">
        <v>6</v>
      </c>
      <c r="F229" s="2" t="str">
        <f>_xlfn.XLOOKUP(Orders[[#This Row],[Customer ID]],customers!$A$1:$A$1001,customers!$B$1:$B$1001,,0)</f>
        <v>Noak Wyvill</v>
      </c>
      <c r="G229" s="2" t="str">
        <f>IF(_xlfn.XLOOKUP(C229,customers!$A$1:$A$1001,customers!C228:C1228,,0)=0,"",_xlfn.XLOOKUP(C229,customers!$A$1:$A$1001,customers!C228:C1228,,0))</f>
        <v>rcawleycm@yellowbook.com</v>
      </c>
      <c r="H229" s="2" t="str">
        <f>_xlfn.XLOOKUP(Orders[[#This Row],[Customer ID]],customers!$A$1:$A$1001,customers!$G$1:$G$1001,,0)</f>
        <v>United Kingdom</v>
      </c>
      <c r="I229" s="2" t="str">
        <f>_xlfn.XLOOKUP(Orders[[#This Row],[Customer ID]],customers!$A$1:$A$1001,customers!$F$1:$F$1001,,0)</f>
        <v>Edinburgh</v>
      </c>
      <c r="J229" t="str">
        <f>INDEX(products!$A$1:$G$49,MATCH(orders!$D229,products!$A$1:$A$49,0),MATCH(orders!J$1,products!$A$1:$G$1,0))</f>
        <v>Rob</v>
      </c>
      <c r="K229" t="str">
        <f>INDEX(products!$A$1:$G$49,MATCH(orders!$D229,products!$A$1:$A$49,0),MATCH(orders!K$1,products!$A$1:$G$1,0))</f>
        <v>D</v>
      </c>
      <c r="L229" s="4">
        <f>INDEX(products!$A$1:$G$49,MATCH(orders!$D229,products!$A$1:$A$49,0),MATCH(orders!L$1,products!$A$1:$G$1,0))</f>
        <v>0.2</v>
      </c>
      <c r="M229" s="5">
        <f>INDEX(products!$A$1:$G$49,MATCH(orders!$D229,products!$A$1:$A$49,0),MATCH(orders!M$1,products!$A$1:$G$1,0))</f>
        <v>2.6849999999999996</v>
      </c>
      <c r="N229" s="5">
        <f>Orders[[#This Row],[Quantity]]*(INDEX(products!$A$1:$G$49,MATCH(orders!$D229,products!$A$1:$A$49,0),MATCH(orders!N$1,products!$A$1:$G$1,0)))</f>
        <v>0.96659999999999979</v>
      </c>
      <c r="O229" s="5">
        <f>M229*E229</f>
        <v>16.11</v>
      </c>
      <c r="P229" t="str">
        <f t="shared" si="6"/>
        <v>Robusta</v>
      </c>
      <c r="Q229" t="str">
        <f t="shared" si="7"/>
        <v>Dark</v>
      </c>
      <c r="R229" t="str">
        <f>_xlfn.XLOOKUP(Orders[[#This Row],[Customer ID]],customers!$A$1:$A$1001,customers!$I$1:$I$1001,,0)</f>
        <v>Yes</v>
      </c>
    </row>
    <row r="230" spans="1:18" x14ac:dyDescent="0.35">
      <c r="A230" s="2" t="s">
        <v>1777</v>
      </c>
      <c r="B230" s="3">
        <v>44376</v>
      </c>
      <c r="C230" s="2" t="s">
        <v>1778</v>
      </c>
      <c r="D230" t="s">
        <v>6178</v>
      </c>
      <c r="E230" s="2">
        <v>5</v>
      </c>
      <c r="F230" s="2" t="str">
        <f>_xlfn.XLOOKUP(Orders[[#This Row],[Customer ID]],customers!$A$1:$A$1001,customers!$B$1:$B$1001,,0)</f>
        <v>Beltran Mathon</v>
      </c>
      <c r="G230" s="2" t="str">
        <f>IF(_xlfn.XLOOKUP(C230,customers!$A$1:$A$1001,customers!C229:C1229,,0)=0,"",_xlfn.XLOOKUP(C230,customers!$A$1:$A$1001,customers!C229:C1229,,0))</f>
        <v>aadamidesco@bizjournals.com</v>
      </c>
      <c r="H230" s="2" t="str">
        <f>_xlfn.XLOOKUP(Orders[[#This Row],[Customer ID]],customers!$A$1:$A$1001,customers!$G$1:$G$1001,,0)</f>
        <v>United States</v>
      </c>
      <c r="I230" s="2" t="str">
        <f>_xlfn.XLOOKUP(Orders[[#This Row],[Customer ID]],customers!$A$1:$A$1001,customers!$F$1:$F$1001,,0)</f>
        <v>Sacramento</v>
      </c>
      <c r="J230" t="str">
        <f>INDEX(products!$A$1:$G$49,MATCH(orders!$D230,products!$A$1:$A$49,0),MATCH(orders!J$1,products!$A$1:$G$1,0))</f>
        <v>Rob</v>
      </c>
      <c r="K230" t="str">
        <f>INDEX(products!$A$1:$G$49,MATCH(orders!$D230,products!$A$1:$A$49,0),MATCH(orders!K$1,products!$A$1:$G$1,0))</f>
        <v>L</v>
      </c>
      <c r="L230" s="4">
        <f>INDEX(products!$A$1:$G$49,MATCH(orders!$D230,products!$A$1:$A$49,0),MATCH(orders!L$1,products!$A$1:$G$1,0))</f>
        <v>0.2</v>
      </c>
      <c r="M230" s="5">
        <f>INDEX(products!$A$1:$G$49,MATCH(orders!$D230,products!$A$1:$A$49,0),MATCH(orders!M$1,products!$A$1:$G$1,0))</f>
        <v>3.5849999999999995</v>
      </c>
      <c r="N230" s="5">
        <f>Orders[[#This Row],[Quantity]]*(INDEX(products!$A$1:$G$49,MATCH(orders!$D230,products!$A$1:$A$49,0),MATCH(orders!N$1,products!$A$1:$G$1,0)))</f>
        <v>1.0754999999999999</v>
      </c>
      <c r="O230" s="5">
        <f>M230*E230</f>
        <v>17.924999999999997</v>
      </c>
      <c r="P230" t="str">
        <f t="shared" si="6"/>
        <v>Robusta</v>
      </c>
      <c r="Q230" t="str">
        <f t="shared" si="7"/>
        <v>Light</v>
      </c>
      <c r="R230" t="str">
        <f>_xlfn.XLOOKUP(Orders[[#This Row],[Customer ID]],customers!$A$1:$A$1001,customers!$I$1:$I$1001,,0)</f>
        <v>No</v>
      </c>
    </row>
    <row r="231" spans="1:18" x14ac:dyDescent="0.35">
      <c r="A231" s="2" t="s">
        <v>1783</v>
      </c>
      <c r="B231" s="3">
        <v>44282</v>
      </c>
      <c r="C231" s="2" t="s">
        <v>1784</v>
      </c>
      <c r="D231" t="s">
        <v>6159</v>
      </c>
      <c r="E231" s="2">
        <v>2</v>
      </c>
      <c r="F231" s="2" t="str">
        <f>_xlfn.XLOOKUP(Orders[[#This Row],[Customer ID]],customers!$A$1:$A$1001,customers!$B$1:$B$1001,,0)</f>
        <v>Kristos Streight</v>
      </c>
      <c r="G231" s="2" t="str">
        <f>IF(_xlfn.XLOOKUP(C231,customers!$A$1:$A$1001,customers!C230:C1230,,0)=0,"",_xlfn.XLOOKUP(C231,customers!$A$1:$A$1001,customers!C230:C1230,,0))</f>
        <v>rwillowaycq@admin.ch</v>
      </c>
      <c r="H231" s="2" t="str">
        <f>_xlfn.XLOOKUP(Orders[[#This Row],[Customer ID]],customers!$A$1:$A$1001,customers!$G$1:$G$1001,,0)</f>
        <v>United States</v>
      </c>
      <c r="I231" s="2" t="str">
        <f>_xlfn.XLOOKUP(Orders[[#This Row],[Customer ID]],customers!$A$1:$A$1001,customers!$F$1:$F$1001,,0)</f>
        <v>Wilkes Barre</v>
      </c>
      <c r="J231" t="str">
        <f>INDEX(products!$A$1:$G$49,MATCH(orders!$D231,products!$A$1:$A$49,0),MATCH(orders!J$1,products!$A$1:$G$1,0))</f>
        <v>Lib</v>
      </c>
      <c r="K231" t="str">
        <f>INDEX(products!$A$1:$G$49,MATCH(orders!$D231,products!$A$1:$A$49,0),MATCH(orders!K$1,products!$A$1:$G$1,0))</f>
        <v>M</v>
      </c>
      <c r="L231" s="4">
        <f>INDEX(products!$A$1:$G$49,MATCH(orders!$D231,products!$A$1:$A$49,0),MATCH(orders!L$1,products!$A$1:$G$1,0))</f>
        <v>0.2</v>
      </c>
      <c r="M231" s="5">
        <f>INDEX(products!$A$1:$G$49,MATCH(orders!$D231,products!$A$1:$A$49,0),MATCH(orders!M$1,products!$A$1:$G$1,0))</f>
        <v>4.3650000000000002</v>
      </c>
      <c r="N231" s="5">
        <f>Orders[[#This Row],[Quantity]]*(INDEX(products!$A$1:$G$49,MATCH(orders!$D231,products!$A$1:$A$49,0),MATCH(orders!N$1,products!$A$1:$G$1,0)))</f>
        <v>1.1349</v>
      </c>
      <c r="O231" s="5">
        <f>M231*E231</f>
        <v>8.73</v>
      </c>
      <c r="P231" t="str">
        <f t="shared" si="6"/>
        <v>Liberica</v>
      </c>
      <c r="Q231" t="str">
        <f t="shared" si="7"/>
        <v>Medium</v>
      </c>
      <c r="R231" t="str">
        <f>_xlfn.XLOOKUP(Orders[[#This Row],[Customer ID]],customers!$A$1:$A$1001,customers!$I$1:$I$1001,,0)</f>
        <v>No</v>
      </c>
    </row>
    <row r="232" spans="1:18" x14ac:dyDescent="0.35">
      <c r="A232" s="2" t="s">
        <v>1789</v>
      </c>
      <c r="B232" s="3">
        <v>44496</v>
      </c>
      <c r="C232" s="2" t="s">
        <v>1790</v>
      </c>
      <c r="D232" t="s">
        <v>6175</v>
      </c>
      <c r="E232" s="2">
        <v>2</v>
      </c>
      <c r="F232" s="2" t="str">
        <f>_xlfn.XLOOKUP(Orders[[#This Row],[Customer ID]],customers!$A$1:$A$1001,customers!$B$1:$B$1001,,0)</f>
        <v>Portie Cutchie</v>
      </c>
      <c r="G232" s="2" t="str">
        <f>IF(_xlfn.XLOOKUP(C232,customers!$A$1:$A$1001,customers!C231:C1231,,0)=0,"",_xlfn.XLOOKUP(C232,customers!$A$1:$A$1001,customers!C231:C1231,,0))</f>
        <v>abilbrookcs@booking.com</v>
      </c>
      <c r="H232" s="2" t="str">
        <f>_xlfn.XLOOKUP(Orders[[#This Row],[Customer ID]],customers!$A$1:$A$1001,customers!$G$1:$G$1001,,0)</f>
        <v>United States</v>
      </c>
      <c r="I232" s="2" t="str">
        <f>_xlfn.XLOOKUP(Orders[[#This Row],[Customer ID]],customers!$A$1:$A$1001,customers!$F$1:$F$1001,,0)</f>
        <v>Greensboro</v>
      </c>
      <c r="J232" t="str">
        <f>INDEX(products!$A$1:$G$49,MATCH(orders!$D232,products!$A$1:$A$49,0),MATCH(orders!J$1,products!$A$1:$G$1,0))</f>
        <v>Ara</v>
      </c>
      <c r="K232" t="str">
        <f>INDEX(products!$A$1:$G$49,MATCH(orders!$D232,products!$A$1:$A$49,0),MATCH(orders!K$1,products!$A$1:$G$1,0))</f>
        <v>M</v>
      </c>
      <c r="L232" s="4">
        <f>INDEX(products!$A$1:$G$49,MATCH(orders!$D232,products!$A$1:$A$49,0),MATCH(orders!L$1,products!$A$1:$G$1,0))</f>
        <v>2.5</v>
      </c>
      <c r="M232" s="5">
        <f>INDEX(products!$A$1:$G$49,MATCH(orders!$D232,products!$A$1:$A$49,0),MATCH(orders!M$1,products!$A$1:$G$1,0))</f>
        <v>25.874999999999996</v>
      </c>
      <c r="N232" s="5">
        <f>Orders[[#This Row],[Quantity]]*(INDEX(products!$A$1:$G$49,MATCH(orders!$D232,products!$A$1:$A$49,0),MATCH(orders!N$1,products!$A$1:$G$1,0)))</f>
        <v>4.6574999999999989</v>
      </c>
      <c r="O232" s="5">
        <f>M232*E232</f>
        <v>51.749999999999993</v>
      </c>
      <c r="P232" t="str">
        <f t="shared" si="6"/>
        <v>Arabica</v>
      </c>
      <c r="Q232" t="str">
        <f t="shared" si="7"/>
        <v>Medium</v>
      </c>
      <c r="R232" t="str">
        <f>_xlfn.XLOOKUP(Orders[[#This Row],[Customer ID]],customers!$A$1:$A$1001,customers!$I$1:$I$1001,,0)</f>
        <v>No</v>
      </c>
    </row>
    <row r="233" spans="1:18" x14ac:dyDescent="0.35">
      <c r="A233" s="2" t="s">
        <v>1795</v>
      </c>
      <c r="B233" s="3">
        <v>43628</v>
      </c>
      <c r="C233" s="2" t="s">
        <v>1796</v>
      </c>
      <c r="D233" t="s">
        <v>6159</v>
      </c>
      <c r="E233" s="2">
        <v>2</v>
      </c>
      <c r="F233" s="2" t="str">
        <f>_xlfn.XLOOKUP(Orders[[#This Row],[Customer ID]],customers!$A$1:$A$1001,customers!$B$1:$B$1001,,0)</f>
        <v>Sinclare Edsell</v>
      </c>
      <c r="G233" s="2" t="str">
        <f>IF(_xlfn.XLOOKUP(C233,customers!$A$1:$A$1001,customers!C232:C1232,,0)=0,"",_xlfn.XLOOKUP(C233,customers!$A$1:$A$1001,customers!C232:C1232,,0))</f>
        <v>bdailecu@vistaprint.com</v>
      </c>
      <c r="H233" s="2" t="str">
        <f>_xlfn.XLOOKUP(Orders[[#This Row],[Customer ID]],customers!$A$1:$A$1001,customers!$G$1:$G$1001,,0)</f>
        <v>United States</v>
      </c>
      <c r="I233" s="2" t="str">
        <f>_xlfn.XLOOKUP(Orders[[#This Row],[Customer ID]],customers!$A$1:$A$1001,customers!$F$1:$F$1001,,0)</f>
        <v>Newark</v>
      </c>
      <c r="J233" t="str">
        <f>INDEX(products!$A$1:$G$49,MATCH(orders!$D233,products!$A$1:$A$49,0),MATCH(orders!J$1,products!$A$1:$G$1,0))</f>
        <v>Lib</v>
      </c>
      <c r="K233" t="str">
        <f>INDEX(products!$A$1:$G$49,MATCH(orders!$D233,products!$A$1:$A$49,0),MATCH(orders!K$1,products!$A$1:$G$1,0))</f>
        <v>M</v>
      </c>
      <c r="L233" s="4">
        <f>INDEX(products!$A$1:$G$49,MATCH(orders!$D233,products!$A$1:$A$49,0),MATCH(orders!L$1,products!$A$1:$G$1,0))</f>
        <v>0.2</v>
      </c>
      <c r="M233" s="5">
        <f>INDEX(products!$A$1:$G$49,MATCH(orders!$D233,products!$A$1:$A$49,0),MATCH(orders!M$1,products!$A$1:$G$1,0))</f>
        <v>4.3650000000000002</v>
      </c>
      <c r="N233" s="5">
        <f>Orders[[#This Row],[Quantity]]*(INDEX(products!$A$1:$G$49,MATCH(orders!$D233,products!$A$1:$A$49,0),MATCH(orders!N$1,products!$A$1:$G$1,0)))</f>
        <v>1.1349</v>
      </c>
      <c r="O233" s="5">
        <f>M233*E233</f>
        <v>8.73</v>
      </c>
      <c r="P233" t="str">
        <f t="shared" si="6"/>
        <v>Liberica</v>
      </c>
      <c r="Q233" t="str">
        <f t="shared" si="7"/>
        <v>Medium</v>
      </c>
      <c r="R233" t="str">
        <f>_xlfn.XLOOKUP(Orders[[#This Row],[Customer ID]],customers!$A$1:$A$1001,customers!$I$1:$I$1001,,0)</f>
        <v>Yes</v>
      </c>
    </row>
    <row r="234" spans="1:18" x14ac:dyDescent="0.35">
      <c r="A234" s="2" t="s">
        <v>1800</v>
      </c>
      <c r="B234" s="3">
        <v>44010</v>
      </c>
      <c r="C234" s="2" t="s">
        <v>1801</v>
      </c>
      <c r="D234" t="s">
        <v>6145</v>
      </c>
      <c r="E234" s="2">
        <v>5</v>
      </c>
      <c r="F234" s="2" t="str">
        <f>_xlfn.XLOOKUP(Orders[[#This Row],[Customer ID]],customers!$A$1:$A$1001,customers!$B$1:$B$1001,,0)</f>
        <v>Conny Gheraldi</v>
      </c>
      <c r="G234" s="2" t="str">
        <f>IF(_xlfn.XLOOKUP(C234,customers!$A$1:$A$1001,customers!C233:C1233,,0)=0,"",_xlfn.XLOOKUP(C234,customers!$A$1:$A$1001,customers!C233:C1233,,0))</f>
        <v>abrentnallcw@biglobe.ne.jp</v>
      </c>
      <c r="H234" s="2" t="str">
        <f>_xlfn.XLOOKUP(Orders[[#This Row],[Customer ID]],customers!$A$1:$A$1001,customers!$G$1:$G$1001,,0)</f>
        <v>United Kingdom</v>
      </c>
      <c r="I234" s="2" t="str">
        <f>_xlfn.XLOOKUP(Orders[[#This Row],[Customer ID]],customers!$A$1:$A$1001,customers!$F$1:$F$1001,,0)</f>
        <v>Kinloch</v>
      </c>
      <c r="J234" t="str">
        <f>INDEX(products!$A$1:$G$49,MATCH(orders!$D234,products!$A$1:$A$49,0),MATCH(orders!J$1,products!$A$1:$G$1,0))</f>
        <v>Lib</v>
      </c>
      <c r="K234" t="str">
        <f>INDEX(products!$A$1:$G$49,MATCH(orders!$D234,products!$A$1:$A$49,0),MATCH(orders!K$1,products!$A$1:$G$1,0))</f>
        <v>L</v>
      </c>
      <c r="L234" s="4">
        <f>INDEX(products!$A$1:$G$49,MATCH(orders!$D234,products!$A$1:$A$49,0),MATCH(orders!L$1,products!$A$1:$G$1,0))</f>
        <v>0.2</v>
      </c>
      <c r="M234" s="5">
        <f>INDEX(products!$A$1:$G$49,MATCH(orders!$D234,products!$A$1:$A$49,0),MATCH(orders!M$1,products!$A$1:$G$1,0))</f>
        <v>4.7549999999999999</v>
      </c>
      <c r="N234" s="5">
        <f>Orders[[#This Row],[Quantity]]*(INDEX(products!$A$1:$G$49,MATCH(orders!$D234,products!$A$1:$A$49,0),MATCH(orders!N$1,products!$A$1:$G$1,0)))</f>
        <v>3.0907499999999999</v>
      </c>
      <c r="O234" s="5">
        <f>M234*E234</f>
        <v>23.774999999999999</v>
      </c>
      <c r="P234" t="str">
        <f t="shared" si="6"/>
        <v>Liberica</v>
      </c>
      <c r="Q234" t="str">
        <f t="shared" si="7"/>
        <v>Light</v>
      </c>
      <c r="R234" t="str">
        <f>_xlfn.XLOOKUP(Orders[[#This Row],[Customer ID]],customers!$A$1:$A$1001,customers!$I$1:$I$1001,,0)</f>
        <v>No</v>
      </c>
    </row>
    <row r="235" spans="1:18" x14ac:dyDescent="0.35">
      <c r="A235" s="2" t="s">
        <v>1806</v>
      </c>
      <c r="B235" s="3">
        <v>44278</v>
      </c>
      <c r="C235" s="2" t="s">
        <v>1807</v>
      </c>
      <c r="D235" t="s">
        <v>6156</v>
      </c>
      <c r="E235" s="2">
        <v>5</v>
      </c>
      <c r="F235" s="2" t="str">
        <f>_xlfn.XLOOKUP(Orders[[#This Row],[Customer ID]],customers!$A$1:$A$1001,customers!$B$1:$B$1001,,0)</f>
        <v>Beryle Kenwell</v>
      </c>
      <c r="G235" s="2" t="str">
        <f>IF(_xlfn.XLOOKUP(C235,customers!$A$1:$A$1001,customers!C234:C1234,,0)=0,"",_xlfn.XLOOKUP(C235,customers!$A$1:$A$1001,customers!C234:C1234,,0))</f>
        <v>dkornelcy@cyberchimps.com</v>
      </c>
      <c r="H235" s="2" t="str">
        <f>_xlfn.XLOOKUP(Orders[[#This Row],[Customer ID]],customers!$A$1:$A$1001,customers!$G$1:$G$1001,,0)</f>
        <v>United States</v>
      </c>
      <c r="I235" s="2" t="str">
        <f>_xlfn.XLOOKUP(Orders[[#This Row],[Customer ID]],customers!$A$1:$A$1001,customers!$F$1:$F$1001,,0)</f>
        <v>Honolulu</v>
      </c>
      <c r="J235" t="str">
        <f>INDEX(products!$A$1:$G$49,MATCH(orders!$D235,products!$A$1:$A$49,0),MATCH(orders!J$1,products!$A$1:$G$1,0))</f>
        <v>Exc</v>
      </c>
      <c r="K235" t="str">
        <f>INDEX(products!$A$1:$G$49,MATCH(orders!$D235,products!$A$1:$A$49,0),MATCH(orders!K$1,products!$A$1:$G$1,0))</f>
        <v>M</v>
      </c>
      <c r="L235" s="4">
        <f>INDEX(products!$A$1:$G$49,MATCH(orders!$D235,products!$A$1:$A$49,0),MATCH(orders!L$1,products!$A$1:$G$1,0))</f>
        <v>0.2</v>
      </c>
      <c r="M235" s="5">
        <f>INDEX(products!$A$1:$G$49,MATCH(orders!$D235,products!$A$1:$A$49,0),MATCH(orders!M$1,products!$A$1:$G$1,0))</f>
        <v>4.125</v>
      </c>
      <c r="N235" s="5">
        <f>Orders[[#This Row],[Quantity]]*(INDEX(products!$A$1:$G$49,MATCH(orders!$D235,products!$A$1:$A$49,0),MATCH(orders!N$1,products!$A$1:$G$1,0)))</f>
        <v>2.2687499999999998</v>
      </c>
      <c r="O235" s="5">
        <f>M235*E235</f>
        <v>20.625</v>
      </c>
      <c r="P235" t="str">
        <f t="shared" si="6"/>
        <v>Excelsa</v>
      </c>
      <c r="Q235" t="str">
        <f t="shared" si="7"/>
        <v>Medium</v>
      </c>
      <c r="R235" t="str">
        <f>_xlfn.XLOOKUP(Orders[[#This Row],[Customer ID]],customers!$A$1:$A$1001,customers!$I$1:$I$1001,,0)</f>
        <v>No</v>
      </c>
    </row>
    <row r="236" spans="1:18" x14ac:dyDescent="0.35">
      <c r="A236" s="2" t="s">
        <v>1812</v>
      </c>
      <c r="B236" s="3">
        <v>44602</v>
      </c>
      <c r="C236" s="2" t="s">
        <v>1813</v>
      </c>
      <c r="D236" t="s">
        <v>6164</v>
      </c>
      <c r="E236" s="2">
        <v>1</v>
      </c>
      <c r="F236" s="2" t="str">
        <f>_xlfn.XLOOKUP(Orders[[#This Row],[Customer ID]],customers!$A$1:$A$1001,customers!$B$1:$B$1001,,0)</f>
        <v>Tomas Sutty</v>
      </c>
      <c r="G236" s="2" t="str">
        <f>IF(_xlfn.XLOOKUP(C236,customers!$A$1:$A$1001,customers!C235:C1235,,0)=0,"",_xlfn.XLOOKUP(C236,customers!$A$1:$A$1001,customers!C235:C1235,,0))</f>
        <v>jmccaulld0@parallels.com</v>
      </c>
      <c r="H236" s="2" t="str">
        <f>_xlfn.XLOOKUP(Orders[[#This Row],[Customer ID]],customers!$A$1:$A$1001,customers!$G$1:$G$1001,,0)</f>
        <v>United States</v>
      </c>
      <c r="I236" s="2" t="str">
        <f>_xlfn.XLOOKUP(Orders[[#This Row],[Customer ID]],customers!$A$1:$A$1001,customers!$F$1:$F$1001,,0)</f>
        <v>New York City</v>
      </c>
      <c r="J236" t="str">
        <f>INDEX(products!$A$1:$G$49,MATCH(orders!$D236,products!$A$1:$A$49,0),MATCH(orders!J$1,products!$A$1:$G$1,0))</f>
        <v>Lib</v>
      </c>
      <c r="K236" t="str">
        <f>INDEX(products!$A$1:$G$49,MATCH(orders!$D236,products!$A$1:$A$49,0),MATCH(orders!K$1,products!$A$1:$G$1,0))</f>
        <v>L</v>
      </c>
      <c r="L236" s="4">
        <f>INDEX(products!$A$1:$G$49,MATCH(orders!$D236,products!$A$1:$A$49,0),MATCH(orders!L$1,products!$A$1:$G$1,0))</f>
        <v>2.5</v>
      </c>
      <c r="M236" s="5">
        <f>INDEX(products!$A$1:$G$49,MATCH(orders!$D236,products!$A$1:$A$49,0),MATCH(orders!M$1,products!$A$1:$G$1,0))</f>
        <v>36.454999999999998</v>
      </c>
      <c r="N236" s="5">
        <f>Orders[[#This Row],[Quantity]]*(INDEX(products!$A$1:$G$49,MATCH(orders!$D236,products!$A$1:$A$49,0),MATCH(orders!N$1,products!$A$1:$G$1,0)))</f>
        <v>4.7391499999999995</v>
      </c>
      <c r="O236" s="5">
        <f>M236*E236</f>
        <v>36.454999999999998</v>
      </c>
      <c r="P236" t="str">
        <f t="shared" si="6"/>
        <v>Liberica</v>
      </c>
      <c r="Q236" t="str">
        <f t="shared" si="7"/>
        <v>Light</v>
      </c>
      <c r="R236" t="str">
        <f>_xlfn.XLOOKUP(Orders[[#This Row],[Customer ID]],customers!$A$1:$A$1001,customers!$I$1:$I$1001,,0)</f>
        <v>No</v>
      </c>
    </row>
    <row r="237" spans="1:18" x14ac:dyDescent="0.35">
      <c r="A237" s="2" t="s">
        <v>1818</v>
      </c>
      <c r="B237" s="3">
        <v>43571</v>
      </c>
      <c r="C237" s="2" t="s">
        <v>1819</v>
      </c>
      <c r="D237" t="s">
        <v>6164</v>
      </c>
      <c r="E237" s="2">
        <v>5</v>
      </c>
      <c r="F237" s="2" t="str">
        <f>_xlfn.XLOOKUP(Orders[[#This Row],[Customer ID]],customers!$A$1:$A$1001,customers!$B$1:$B$1001,,0)</f>
        <v>Samuele Ales0</v>
      </c>
      <c r="G237" s="2" t="str">
        <f>IF(_xlfn.XLOOKUP(C237,customers!$A$1:$A$1001,customers!C236:C1236,,0)=0,"",_xlfn.XLOOKUP(C237,customers!$A$1:$A$1001,customers!C236:C1236,,0))</f>
        <v>ahutchinsond2@imgur.com</v>
      </c>
      <c r="H237" s="2" t="str">
        <f>_xlfn.XLOOKUP(Orders[[#This Row],[Customer ID]],customers!$A$1:$A$1001,customers!$G$1:$G$1001,,0)</f>
        <v>Ireland</v>
      </c>
      <c r="I237" s="2" t="str">
        <f>_xlfn.XLOOKUP(Orders[[#This Row],[Customer ID]],customers!$A$1:$A$1001,customers!$F$1:$F$1001,,0)</f>
        <v>Ballinroad</v>
      </c>
      <c r="J237" t="str">
        <f>INDEX(products!$A$1:$G$49,MATCH(orders!$D237,products!$A$1:$A$49,0),MATCH(orders!J$1,products!$A$1:$G$1,0))</f>
        <v>Lib</v>
      </c>
      <c r="K237" t="str">
        <f>INDEX(products!$A$1:$G$49,MATCH(orders!$D237,products!$A$1:$A$49,0),MATCH(orders!K$1,products!$A$1:$G$1,0))</f>
        <v>L</v>
      </c>
      <c r="L237" s="4">
        <f>INDEX(products!$A$1:$G$49,MATCH(orders!$D237,products!$A$1:$A$49,0),MATCH(orders!L$1,products!$A$1:$G$1,0))</f>
        <v>2.5</v>
      </c>
      <c r="M237" s="5">
        <f>INDEX(products!$A$1:$G$49,MATCH(orders!$D237,products!$A$1:$A$49,0),MATCH(orders!M$1,products!$A$1:$G$1,0))</f>
        <v>36.454999999999998</v>
      </c>
      <c r="N237" s="5">
        <f>Orders[[#This Row],[Quantity]]*(INDEX(products!$A$1:$G$49,MATCH(orders!$D237,products!$A$1:$A$49,0),MATCH(orders!N$1,products!$A$1:$G$1,0)))</f>
        <v>23.695749999999997</v>
      </c>
      <c r="O237" s="5">
        <f>M237*E237</f>
        <v>182.27499999999998</v>
      </c>
      <c r="P237" t="str">
        <f t="shared" si="6"/>
        <v>Liberica</v>
      </c>
      <c r="Q237" t="str">
        <f t="shared" si="7"/>
        <v>Light</v>
      </c>
      <c r="R237" t="str">
        <f>_xlfn.XLOOKUP(Orders[[#This Row],[Customer ID]],customers!$A$1:$A$1001,customers!$I$1:$I$1001,,0)</f>
        <v>No</v>
      </c>
    </row>
    <row r="238" spans="1:18" x14ac:dyDescent="0.35">
      <c r="A238" s="2" t="s">
        <v>1822</v>
      </c>
      <c r="B238" s="3">
        <v>43873</v>
      </c>
      <c r="C238" s="2" t="s">
        <v>1823</v>
      </c>
      <c r="D238" t="s">
        <v>6165</v>
      </c>
      <c r="E238" s="2">
        <v>3</v>
      </c>
      <c r="F238" s="2" t="str">
        <f>_xlfn.XLOOKUP(Orders[[#This Row],[Customer ID]],customers!$A$1:$A$1001,customers!$B$1:$B$1001,,0)</f>
        <v>Carlie Harce</v>
      </c>
      <c r="G238" s="2" t="str">
        <f>IF(_xlfn.XLOOKUP(C238,customers!$A$1:$A$1001,customers!C237:C1237,,0)=0,"",_xlfn.XLOOKUP(C238,customers!$A$1:$A$1001,customers!C237:C1237,,0))</f>
        <v>rdriversd4@hexun.com</v>
      </c>
      <c r="H238" s="2" t="str">
        <f>_xlfn.XLOOKUP(Orders[[#This Row],[Customer ID]],customers!$A$1:$A$1001,customers!$G$1:$G$1001,,0)</f>
        <v>Ireland</v>
      </c>
      <c r="I238" s="2" t="str">
        <f>_xlfn.XLOOKUP(Orders[[#This Row],[Customer ID]],customers!$A$1:$A$1001,customers!$F$1:$F$1001,,0)</f>
        <v>D煤n Laoghaire</v>
      </c>
      <c r="J238" t="str">
        <f>INDEX(products!$A$1:$G$49,MATCH(orders!$D238,products!$A$1:$A$49,0),MATCH(orders!J$1,products!$A$1:$G$1,0))</f>
        <v>Lib</v>
      </c>
      <c r="K238" t="str">
        <f>INDEX(products!$A$1:$G$49,MATCH(orders!$D238,products!$A$1:$A$49,0),MATCH(orders!K$1,products!$A$1:$G$1,0))</f>
        <v>D</v>
      </c>
      <c r="L238" s="4">
        <f>INDEX(products!$A$1:$G$49,MATCH(orders!$D238,products!$A$1:$A$49,0),MATCH(orders!L$1,products!$A$1:$G$1,0))</f>
        <v>2.5</v>
      </c>
      <c r="M238" s="5">
        <f>INDEX(products!$A$1:$G$49,MATCH(orders!$D238,products!$A$1:$A$49,0),MATCH(orders!M$1,products!$A$1:$G$1,0))</f>
        <v>29.784999999999997</v>
      </c>
      <c r="N238" s="5">
        <f>Orders[[#This Row],[Quantity]]*(INDEX(products!$A$1:$G$49,MATCH(orders!$D238,products!$A$1:$A$49,0),MATCH(orders!N$1,products!$A$1:$G$1,0)))</f>
        <v>11.616149999999999</v>
      </c>
      <c r="O238" s="5">
        <f>M238*E238</f>
        <v>89.35499999999999</v>
      </c>
      <c r="P238" t="str">
        <f t="shared" si="6"/>
        <v>Liberica</v>
      </c>
      <c r="Q238" t="str">
        <f t="shared" si="7"/>
        <v>Dark</v>
      </c>
      <c r="R238" t="str">
        <f>_xlfn.XLOOKUP(Orders[[#This Row],[Customer ID]],customers!$A$1:$A$1001,customers!$I$1:$I$1001,,0)</f>
        <v>No</v>
      </c>
    </row>
    <row r="239" spans="1:18" x14ac:dyDescent="0.35">
      <c r="A239" s="2" t="s">
        <v>1828</v>
      </c>
      <c r="B239" s="3">
        <v>44563</v>
      </c>
      <c r="C239" s="2" t="s">
        <v>1829</v>
      </c>
      <c r="D239" t="s">
        <v>6178</v>
      </c>
      <c r="E239" s="2">
        <v>1</v>
      </c>
      <c r="F239" s="2" t="str">
        <f>_xlfn.XLOOKUP(Orders[[#This Row],[Customer ID]],customers!$A$1:$A$1001,customers!$B$1:$B$1001,,0)</f>
        <v>Craggy Bril</v>
      </c>
      <c r="G239" s="2" t="str">
        <f>IF(_xlfn.XLOOKUP(C239,customers!$A$1:$A$1001,customers!C238:C1238,,0)=0,"",_xlfn.XLOOKUP(C239,customers!$A$1:$A$1001,customers!C238:C1238,,0))</f>
        <v>gsmallcombed6@ucla.edu</v>
      </c>
      <c r="H239" s="2" t="str">
        <f>_xlfn.XLOOKUP(Orders[[#This Row],[Customer ID]],customers!$A$1:$A$1001,customers!$G$1:$G$1001,,0)</f>
        <v>United States</v>
      </c>
      <c r="I239" s="2" t="str">
        <f>_xlfn.XLOOKUP(Orders[[#This Row],[Customer ID]],customers!$A$1:$A$1001,customers!$F$1:$F$1001,,0)</f>
        <v>Cincinnati</v>
      </c>
      <c r="J239" t="str">
        <f>INDEX(products!$A$1:$G$49,MATCH(orders!$D239,products!$A$1:$A$49,0),MATCH(orders!J$1,products!$A$1:$G$1,0))</f>
        <v>Rob</v>
      </c>
      <c r="K239" t="str">
        <f>INDEX(products!$A$1:$G$49,MATCH(orders!$D239,products!$A$1:$A$49,0),MATCH(orders!K$1,products!$A$1:$G$1,0))</f>
        <v>L</v>
      </c>
      <c r="L239" s="4">
        <f>INDEX(products!$A$1:$G$49,MATCH(orders!$D239,products!$A$1:$A$49,0),MATCH(orders!L$1,products!$A$1:$G$1,0))</f>
        <v>0.2</v>
      </c>
      <c r="M239" s="5">
        <f>INDEX(products!$A$1:$G$49,MATCH(orders!$D239,products!$A$1:$A$49,0),MATCH(orders!M$1,products!$A$1:$G$1,0))</f>
        <v>3.5849999999999995</v>
      </c>
      <c r="N239" s="5">
        <f>Orders[[#This Row],[Quantity]]*(INDEX(products!$A$1:$G$49,MATCH(orders!$D239,products!$A$1:$A$49,0),MATCH(orders!N$1,products!$A$1:$G$1,0)))</f>
        <v>0.21509999999999996</v>
      </c>
      <c r="O239" s="5">
        <f>M239*E239</f>
        <v>3.5849999999999995</v>
      </c>
      <c r="P239" t="str">
        <f t="shared" si="6"/>
        <v>Robusta</v>
      </c>
      <c r="Q239" t="str">
        <f t="shared" si="7"/>
        <v>Light</v>
      </c>
      <c r="R239" t="str">
        <f>_xlfn.XLOOKUP(Orders[[#This Row],[Customer ID]],customers!$A$1:$A$1001,customers!$I$1:$I$1001,,0)</f>
        <v>Yes</v>
      </c>
    </row>
    <row r="240" spans="1:18" x14ac:dyDescent="0.35">
      <c r="A240" s="2" t="s">
        <v>1833</v>
      </c>
      <c r="B240" s="3">
        <v>44172</v>
      </c>
      <c r="C240" s="2" t="s">
        <v>1834</v>
      </c>
      <c r="D240" t="s">
        <v>6151</v>
      </c>
      <c r="E240" s="2">
        <v>2</v>
      </c>
      <c r="F240" s="2" t="str">
        <f>_xlfn.XLOOKUP(Orders[[#This Row],[Customer ID]],customers!$A$1:$A$1001,customers!$B$1:$B$1001,,0)</f>
        <v>Friederike Drysdale</v>
      </c>
      <c r="G240" s="2" t="str">
        <f>IF(_xlfn.XLOOKUP(C240,customers!$A$1:$A$1001,customers!C239:C1239,,0)=0,"",_xlfn.XLOOKUP(C240,customers!$A$1:$A$1001,customers!C239:C1239,,0))</f>
        <v>gdimitrioud8@chronoengine.com</v>
      </c>
      <c r="H240" s="2" t="str">
        <f>_xlfn.XLOOKUP(Orders[[#This Row],[Customer ID]],customers!$A$1:$A$1001,customers!$G$1:$G$1001,,0)</f>
        <v>United States</v>
      </c>
      <c r="I240" s="2" t="str">
        <f>_xlfn.XLOOKUP(Orders[[#This Row],[Customer ID]],customers!$A$1:$A$1001,customers!$F$1:$F$1001,,0)</f>
        <v>Midland</v>
      </c>
      <c r="J240" t="str">
        <f>INDEX(products!$A$1:$G$49,MATCH(orders!$D240,products!$A$1:$A$49,0),MATCH(orders!J$1,products!$A$1:$G$1,0))</f>
        <v>Rob</v>
      </c>
      <c r="K240" t="str">
        <f>INDEX(products!$A$1:$G$49,MATCH(orders!$D240,products!$A$1:$A$49,0),MATCH(orders!K$1,products!$A$1:$G$1,0))</f>
        <v>M</v>
      </c>
      <c r="L240" s="4">
        <f>INDEX(products!$A$1:$G$49,MATCH(orders!$D240,products!$A$1:$A$49,0),MATCH(orders!L$1,products!$A$1:$G$1,0))</f>
        <v>2.5</v>
      </c>
      <c r="M240" s="5">
        <f>INDEX(products!$A$1:$G$49,MATCH(orders!$D240,products!$A$1:$A$49,0),MATCH(orders!M$1,products!$A$1:$G$1,0))</f>
        <v>22.884999999999998</v>
      </c>
      <c r="N240" s="5">
        <f>Orders[[#This Row],[Quantity]]*(INDEX(products!$A$1:$G$49,MATCH(orders!$D240,products!$A$1:$A$49,0),MATCH(orders!N$1,products!$A$1:$G$1,0)))</f>
        <v>2.7461999999999995</v>
      </c>
      <c r="O240" s="5">
        <f>M240*E240</f>
        <v>45.769999999999996</v>
      </c>
      <c r="P240" t="str">
        <f t="shared" si="6"/>
        <v>Robusta</v>
      </c>
      <c r="Q240" t="str">
        <f t="shared" si="7"/>
        <v>Medium</v>
      </c>
      <c r="R240" t="str">
        <f>_xlfn.XLOOKUP(Orders[[#This Row],[Customer ID]],customers!$A$1:$A$1001,customers!$I$1:$I$1001,,0)</f>
        <v>Yes</v>
      </c>
    </row>
    <row r="241" spans="1:18" x14ac:dyDescent="0.35">
      <c r="A241" s="2" t="s">
        <v>1839</v>
      </c>
      <c r="B241" s="3">
        <v>43881</v>
      </c>
      <c r="C241" s="2" t="s">
        <v>1840</v>
      </c>
      <c r="D241" t="s">
        <v>6171</v>
      </c>
      <c r="E241" s="2">
        <v>4</v>
      </c>
      <c r="F241" s="2" t="str">
        <f>_xlfn.XLOOKUP(Orders[[#This Row],[Customer ID]],customers!$A$1:$A$1001,customers!$B$1:$B$1001,,0)</f>
        <v>Devon Magowan</v>
      </c>
      <c r="G241" s="2" t="str">
        <f>IF(_xlfn.XLOOKUP(C241,customers!$A$1:$A$1001,customers!C240:C1240,,0)=0,"",_xlfn.XLOOKUP(C241,customers!$A$1:$A$1001,customers!C240:C1240,,0))</f>
        <v>abrashda@plala.or.jp</v>
      </c>
      <c r="H241" s="2" t="str">
        <f>_xlfn.XLOOKUP(Orders[[#This Row],[Customer ID]],customers!$A$1:$A$1001,customers!$G$1:$G$1001,,0)</f>
        <v>United States</v>
      </c>
      <c r="I241" s="2" t="str">
        <f>_xlfn.XLOOKUP(Orders[[#This Row],[Customer ID]],customers!$A$1:$A$1001,customers!$F$1:$F$1001,,0)</f>
        <v>Cheyenne</v>
      </c>
      <c r="J241" t="str">
        <f>INDEX(products!$A$1:$G$49,MATCH(orders!$D241,products!$A$1:$A$49,0),MATCH(orders!J$1,products!$A$1:$G$1,0))</f>
        <v>Exc</v>
      </c>
      <c r="K241" t="str">
        <f>INDEX(products!$A$1:$G$49,MATCH(orders!$D241,products!$A$1:$A$49,0),MATCH(orders!K$1,products!$A$1:$G$1,0))</f>
        <v>L</v>
      </c>
      <c r="L241" s="4">
        <f>INDEX(products!$A$1:$G$49,MATCH(orders!$D241,products!$A$1:$A$49,0),MATCH(orders!L$1,products!$A$1:$G$1,0))</f>
        <v>1</v>
      </c>
      <c r="M241" s="5">
        <f>INDEX(products!$A$1:$G$49,MATCH(orders!$D241,products!$A$1:$A$49,0),MATCH(orders!M$1,products!$A$1:$G$1,0))</f>
        <v>14.85</v>
      </c>
      <c r="N241" s="5">
        <f>Orders[[#This Row],[Quantity]]*(INDEX(products!$A$1:$G$49,MATCH(orders!$D241,products!$A$1:$A$49,0),MATCH(orders!N$1,products!$A$1:$G$1,0)))</f>
        <v>6.5339999999999998</v>
      </c>
      <c r="O241" s="5">
        <f>M241*E241</f>
        <v>59.4</v>
      </c>
      <c r="P241" t="str">
        <f t="shared" si="6"/>
        <v>Excelsa</v>
      </c>
      <c r="Q241" t="str">
        <f t="shared" si="7"/>
        <v>Light</v>
      </c>
      <c r="R241" t="str">
        <f>_xlfn.XLOOKUP(Orders[[#This Row],[Customer ID]],customers!$A$1:$A$1001,customers!$I$1:$I$1001,,0)</f>
        <v>No</v>
      </c>
    </row>
    <row r="242" spans="1:18" x14ac:dyDescent="0.35">
      <c r="A242" s="2" t="s">
        <v>1845</v>
      </c>
      <c r="B242" s="3">
        <v>43993</v>
      </c>
      <c r="C242" s="2" t="s">
        <v>1846</v>
      </c>
      <c r="D242" t="s">
        <v>6175</v>
      </c>
      <c r="E242" s="2">
        <v>6</v>
      </c>
      <c r="F242" s="2" t="str">
        <f>_xlfn.XLOOKUP(Orders[[#This Row],[Customer ID]],customers!$A$1:$A$1001,customers!$B$1:$B$1001,,0)</f>
        <v>Codi Littrell</v>
      </c>
      <c r="G242" s="2" t="str">
        <f>IF(_xlfn.XLOOKUP(C242,customers!$A$1:$A$1001,customers!C241:C1241,,0)=0,"",_xlfn.XLOOKUP(C242,customers!$A$1:$A$1001,customers!C241:C1241,,0))</f>
        <v>wmcinerneydc@wordpress.com</v>
      </c>
      <c r="H242" s="2" t="str">
        <f>_xlfn.XLOOKUP(Orders[[#This Row],[Customer ID]],customers!$A$1:$A$1001,customers!$G$1:$G$1001,,0)</f>
        <v>United States</v>
      </c>
      <c r="I242" s="2" t="str">
        <f>_xlfn.XLOOKUP(Orders[[#This Row],[Customer ID]],customers!$A$1:$A$1001,customers!$F$1:$F$1001,,0)</f>
        <v>Atlanta</v>
      </c>
      <c r="J242" t="str">
        <f>INDEX(products!$A$1:$G$49,MATCH(orders!$D242,products!$A$1:$A$49,0),MATCH(orders!J$1,products!$A$1:$G$1,0))</f>
        <v>Ara</v>
      </c>
      <c r="K242" t="str">
        <f>INDEX(products!$A$1:$G$49,MATCH(orders!$D242,products!$A$1:$A$49,0),MATCH(orders!K$1,products!$A$1:$G$1,0))</f>
        <v>M</v>
      </c>
      <c r="L242" s="4">
        <f>INDEX(products!$A$1:$G$49,MATCH(orders!$D242,products!$A$1:$A$49,0),MATCH(orders!L$1,products!$A$1:$G$1,0))</f>
        <v>2.5</v>
      </c>
      <c r="M242" s="5">
        <f>INDEX(products!$A$1:$G$49,MATCH(orders!$D242,products!$A$1:$A$49,0),MATCH(orders!M$1,products!$A$1:$G$1,0))</f>
        <v>25.874999999999996</v>
      </c>
      <c r="N242" s="5">
        <f>Orders[[#This Row],[Quantity]]*(INDEX(products!$A$1:$G$49,MATCH(orders!$D242,products!$A$1:$A$49,0),MATCH(orders!N$1,products!$A$1:$G$1,0)))</f>
        <v>13.972499999999997</v>
      </c>
      <c r="O242" s="5">
        <f>M242*E242</f>
        <v>155.24999999999997</v>
      </c>
      <c r="P242" t="str">
        <f t="shared" si="6"/>
        <v>Arabica</v>
      </c>
      <c r="Q242" t="str">
        <f t="shared" si="7"/>
        <v>Medium</v>
      </c>
      <c r="R242" t="str">
        <f>_xlfn.XLOOKUP(Orders[[#This Row],[Customer ID]],customers!$A$1:$A$1001,customers!$I$1:$I$1001,,0)</f>
        <v>Yes</v>
      </c>
    </row>
    <row r="243" spans="1:18" x14ac:dyDescent="0.35">
      <c r="A243" s="2" t="s">
        <v>1849</v>
      </c>
      <c r="B243" s="3">
        <v>44082</v>
      </c>
      <c r="C243" s="2" t="s">
        <v>1850</v>
      </c>
      <c r="D243" t="s">
        <v>6151</v>
      </c>
      <c r="E243" s="2">
        <v>2</v>
      </c>
      <c r="F243" s="2" t="str">
        <f>_xlfn.XLOOKUP(Orders[[#This Row],[Customer ID]],customers!$A$1:$A$1001,customers!$B$1:$B$1001,,0)</f>
        <v>Christel Speak</v>
      </c>
      <c r="G243" s="2" t="str">
        <f>IF(_xlfn.XLOOKUP(C243,customers!$A$1:$A$1001,customers!C242:C1242,,0)=0,"",_xlfn.XLOOKUP(C243,customers!$A$1:$A$1001,customers!C242:C1242,,0))</f>
        <v>skeetsde@answers.com</v>
      </c>
      <c r="H243" s="2" t="str">
        <f>_xlfn.XLOOKUP(Orders[[#This Row],[Customer ID]],customers!$A$1:$A$1001,customers!$G$1:$G$1001,,0)</f>
        <v>United States</v>
      </c>
      <c r="I243" s="2" t="str">
        <f>_xlfn.XLOOKUP(Orders[[#This Row],[Customer ID]],customers!$A$1:$A$1001,customers!$F$1:$F$1001,,0)</f>
        <v>Duluth</v>
      </c>
      <c r="J243" t="str">
        <f>INDEX(products!$A$1:$G$49,MATCH(orders!$D243,products!$A$1:$A$49,0),MATCH(orders!J$1,products!$A$1:$G$1,0))</f>
        <v>Rob</v>
      </c>
      <c r="K243" t="str">
        <f>INDEX(products!$A$1:$G$49,MATCH(orders!$D243,products!$A$1:$A$49,0),MATCH(orders!K$1,products!$A$1:$G$1,0))</f>
        <v>M</v>
      </c>
      <c r="L243" s="4">
        <f>INDEX(products!$A$1:$G$49,MATCH(orders!$D243,products!$A$1:$A$49,0),MATCH(orders!L$1,products!$A$1:$G$1,0))</f>
        <v>2.5</v>
      </c>
      <c r="M243" s="5">
        <f>INDEX(products!$A$1:$G$49,MATCH(orders!$D243,products!$A$1:$A$49,0),MATCH(orders!M$1,products!$A$1:$G$1,0))</f>
        <v>22.884999999999998</v>
      </c>
      <c r="N243" s="5">
        <f>Orders[[#This Row],[Quantity]]*(INDEX(products!$A$1:$G$49,MATCH(orders!$D243,products!$A$1:$A$49,0),MATCH(orders!N$1,products!$A$1:$G$1,0)))</f>
        <v>2.7461999999999995</v>
      </c>
      <c r="O243" s="5">
        <f>M243*E243</f>
        <v>45.769999999999996</v>
      </c>
      <c r="P243" t="str">
        <f t="shared" si="6"/>
        <v>Robusta</v>
      </c>
      <c r="Q243" t="str">
        <f t="shared" si="7"/>
        <v>Medium</v>
      </c>
      <c r="R243" t="str">
        <f>_xlfn.XLOOKUP(Orders[[#This Row],[Customer ID]],customers!$A$1:$A$1001,customers!$I$1:$I$1001,,0)</f>
        <v>No</v>
      </c>
    </row>
    <row r="244" spans="1:18" x14ac:dyDescent="0.35">
      <c r="A244" s="2" t="s">
        <v>1854</v>
      </c>
      <c r="B244" s="3">
        <v>43918</v>
      </c>
      <c r="C244" s="2" t="s">
        <v>1855</v>
      </c>
      <c r="D244" t="s">
        <v>6183</v>
      </c>
      <c r="E244" s="2">
        <v>3</v>
      </c>
      <c r="F244" s="2" t="str">
        <f>_xlfn.XLOOKUP(Orders[[#This Row],[Customer ID]],customers!$A$1:$A$1001,customers!$B$1:$B$1001,,0)</f>
        <v>Sibella Rushbrooke</v>
      </c>
      <c r="G244" s="2" t="str">
        <f>IF(_xlfn.XLOOKUP(C244,customers!$A$1:$A$1001,customers!C243:C1243,,0)=0,"",_xlfn.XLOOKUP(C244,customers!$A$1:$A$1001,customers!C243:C1243,,0))</f>
        <v>kcakedg@huffingtonpost.com</v>
      </c>
      <c r="H244" s="2" t="str">
        <f>_xlfn.XLOOKUP(Orders[[#This Row],[Customer ID]],customers!$A$1:$A$1001,customers!$G$1:$G$1001,,0)</f>
        <v>United States</v>
      </c>
      <c r="I244" s="2" t="str">
        <f>_xlfn.XLOOKUP(Orders[[#This Row],[Customer ID]],customers!$A$1:$A$1001,customers!$F$1:$F$1001,,0)</f>
        <v>Sacramento</v>
      </c>
      <c r="J244" t="str">
        <f>INDEX(products!$A$1:$G$49,MATCH(orders!$D244,products!$A$1:$A$49,0),MATCH(orders!J$1,products!$A$1:$G$1,0))</f>
        <v>Exc</v>
      </c>
      <c r="K244" t="str">
        <f>INDEX(products!$A$1:$G$49,MATCH(orders!$D244,products!$A$1:$A$49,0),MATCH(orders!K$1,products!$A$1:$G$1,0))</f>
        <v>D</v>
      </c>
      <c r="L244" s="4">
        <f>INDEX(products!$A$1:$G$49,MATCH(orders!$D244,products!$A$1:$A$49,0),MATCH(orders!L$1,products!$A$1:$G$1,0))</f>
        <v>1</v>
      </c>
      <c r="M244" s="5">
        <f>INDEX(products!$A$1:$G$49,MATCH(orders!$D244,products!$A$1:$A$49,0),MATCH(orders!M$1,products!$A$1:$G$1,0))</f>
        <v>12.15</v>
      </c>
      <c r="N244" s="5">
        <f>Orders[[#This Row],[Quantity]]*(INDEX(products!$A$1:$G$49,MATCH(orders!$D244,products!$A$1:$A$49,0),MATCH(orders!N$1,products!$A$1:$G$1,0)))</f>
        <v>4.0095000000000001</v>
      </c>
      <c r="O244" s="5">
        <f>M244*E244</f>
        <v>36.450000000000003</v>
      </c>
      <c r="P244" t="str">
        <f t="shared" si="6"/>
        <v>Excelsa</v>
      </c>
      <c r="Q244" t="str">
        <f t="shared" si="7"/>
        <v>Dark</v>
      </c>
      <c r="R244" t="str">
        <f>_xlfn.XLOOKUP(Orders[[#This Row],[Customer ID]],customers!$A$1:$A$1001,customers!$I$1:$I$1001,,0)</f>
        <v>Yes</v>
      </c>
    </row>
    <row r="245" spans="1:18" x14ac:dyDescent="0.35">
      <c r="A245" s="2" t="s">
        <v>1860</v>
      </c>
      <c r="B245" s="3">
        <v>44114</v>
      </c>
      <c r="C245" s="2" t="s">
        <v>1861</v>
      </c>
      <c r="D245" t="s">
        <v>6144</v>
      </c>
      <c r="E245" s="2">
        <v>4</v>
      </c>
      <c r="F245" s="2" t="str">
        <f>_xlfn.XLOOKUP(Orders[[#This Row],[Customer ID]],customers!$A$1:$A$1001,customers!$B$1:$B$1001,,0)</f>
        <v>Tammie Drynan</v>
      </c>
      <c r="G245" s="2" t="str">
        <f>IF(_xlfn.XLOOKUP(C245,customers!$A$1:$A$1001,customers!C244:C1244,,0)=0,"",_xlfn.XLOOKUP(C245,customers!$A$1:$A$1001,customers!C244:C1244,,0))</f>
        <v>fkienleindi@trellian.com</v>
      </c>
      <c r="H245" s="2" t="str">
        <f>_xlfn.XLOOKUP(Orders[[#This Row],[Customer ID]],customers!$A$1:$A$1001,customers!$G$1:$G$1001,,0)</f>
        <v>United States</v>
      </c>
      <c r="I245" s="2" t="str">
        <f>_xlfn.XLOOKUP(Orders[[#This Row],[Customer ID]],customers!$A$1:$A$1001,customers!$F$1:$F$1001,,0)</f>
        <v>Tampa</v>
      </c>
      <c r="J245" t="str">
        <f>INDEX(products!$A$1:$G$49,MATCH(orders!$D245,products!$A$1:$A$49,0),MATCH(orders!J$1,products!$A$1:$G$1,0))</f>
        <v>Exc</v>
      </c>
      <c r="K245" t="str">
        <f>INDEX(products!$A$1:$G$49,MATCH(orders!$D245,products!$A$1:$A$49,0),MATCH(orders!K$1,products!$A$1:$G$1,0))</f>
        <v>D</v>
      </c>
      <c r="L245" s="4">
        <f>INDEX(products!$A$1:$G$49,MATCH(orders!$D245,products!$A$1:$A$49,0),MATCH(orders!L$1,products!$A$1:$G$1,0))</f>
        <v>0.5</v>
      </c>
      <c r="M245" s="5">
        <f>INDEX(products!$A$1:$G$49,MATCH(orders!$D245,products!$A$1:$A$49,0),MATCH(orders!M$1,products!$A$1:$G$1,0))</f>
        <v>7.29</v>
      </c>
      <c r="N245" s="5">
        <f>Orders[[#This Row],[Quantity]]*(INDEX(products!$A$1:$G$49,MATCH(orders!$D245,products!$A$1:$A$49,0),MATCH(orders!N$1,products!$A$1:$G$1,0)))</f>
        <v>3.2076000000000002</v>
      </c>
      <c r="O245" s="5">
        <f>M245*E245</f>
        <v>29.16</v>
      </c>
      <c r="P245" t="str">
        <f t="shared" si="6"/>
        <v>Excelsa</v>
      </c>
      <c r="Q245" t="str">
        <f t="shared" si="7"/>
        <v>Dark</v>
      </c>
      <c r="R245" t="str">
        <f>_xlfn.XLOOKUP(Orders[[#This Row],[Customer ID]],customers!$A$1:$A$1001,customers!$I$1:$I$1001,,0)</f>
        <v>Yes</v>
      </c>
    </row>
    <row r="246" spans="1:18" x14ac:dyDescent="0.35">
      <c r="A246" s="2" t="s">
        <v>1866</v>
      </c>
      <c r="B246" s="3">
        <v>44702</v>
      </c>
      <c r="C246" s="2" t="s">
        <v>1867</v>
      </c>
      <c r="D246" t="s">
        <v>6181</v>
      </c>
      <c r="E246" s="2">
        <v>4</v>
      </c>
      <c r="F246" s="2" t="str">
        <f>_xlfn.XLOOKUP(Orders[[#This Row],[Customer ID]],customers!$A$1:$A$1001,customers!$B$1:$B$1001,,0)</f>
        <v>Effie Yurkov</v>
      </c>
      <c r="G246" s="2" t="str">
        <f>IF(_xlfn.XLOOKUP(C246,customers!$A$1:$A$1001,customers!C245:C1245,,0)=0,"",_xlfn.XLOOKUP(C246,customers!$A$1:$A$1001,customers!C245:C1245,,0))</f>
        <v>bsemkinsdk@unc.edu</v>
      </c>
      <c r="H246" s="2" t="str">
        <f>_xlfn.XLOOKUP(Orders[[#This Row],[Customer ID]],customers!$A$1:$A$1001,customers!$G$1:$G$1001,,0)</f>
        <v>United States</v>
      </c>
      <c r="I246" s="2" t="str">
        <f>_xlfn.XLOOKUP(Orders[[#This Row],[Customer ID]],customers!$A$1:$A$1001,customers!$F$1:$F$1001,,0)</f>
        <v>Honolulu</v>
      </c>
      <c r="J246" t="str">
        <f>INDEX(products!$A$1:$G$49,MATCH(orders!$D246,products!$A$1:$A$49,0),MATCH(orders!J$1,products!$A$1:$G$1,0))</f>
        <v>Lib</v>
      </c>
      <c r="K246" t="str">
        <f>INDEX(products!$A$1:$G$49,MATCH(orders!$D246,products!$A$1:$A$49,0),MATCH(orders!K$1,products!$A$1:$G$1,0))</f>
        <v>M</v>
      </c>
      <c r="L246" s="4">
        <f>INDEX(products!$A$1:$G$49,MATCH(orders!$D246,products!$A$1:$A$49,0),MATCH(orders!L$1,products!$A$1:$G$1,0))</f>
        <v>2.5</v>
      </c>
      <c r="M246" s="5">
        <f>INDEX(products!$A$1:$G$49,MATCH(orders!$D246,products!$A$1:$A$49,0),MATCH(orders!M$1,products!$A$1:$G$1,0))</f>
        <v>33.464999999999996</v>
      </c>
      <c r="N246" s="5">
        <f>Orders[[#This Row],[Quantity]]*(INDEX(products!$A$1:$G$49,MATCH(orders!$D246,products!$A$1:$A$49,0),MATCH(orders!N$1,products!$A$1:$G$1,0)))</f>
        <v>17.401799999999998</v>
      </c>
      <c r="O246" s="5">
        <f>M246*E246</f>
        <v>133.85999999999999</v>
      </c>
      <c r="P246" t="str">
        <f t="shared" si="6"/>
        <v>Liberica</v>
      </c>
      <c r="Q246" t="str">
        <f t="shared" si="7"/>
        <v>Medium</v>
      </c>
      <c r="R246" t="str">
        <f>_xlfn.XLOOKUP(Orders[[#This Row],[Customer ID]],customers!$A$1:$A$1001,customers!$I$1:$I$1001,,0)</f>
        <v>No</v>
      </c>
    </row>
    <row r="247" spans="1:18" x14ac:dyDescent="0.35">
      <c r="A247" s="2" t="s">
        <v>1872</v>
      </c>
      <c r="B247" s="3">
        <v>43951</v>
      </c>
      <c r="C247" s="2" t="s">
        <v>1873</v>
      </c>
      <c r="D247" t="s">
        <v>6145</v>
      </c>
      <c r="E247" s="2">
        <v>5</v>
      </c>
      <c r="F247" s="2" t="str">
        <f>_xlfn.XLOOKUP(Orders[[#This Row],[Customer ID]],customers!$A$1:$A$1001,customers!$B$1:$B$1001,,0)</f>
        <v>Lexie Mallan</v>
      </c>
      <c r="G247" s="2" t="str">
        <f>IF(_xlfn.XLOOKUP(C247,customers!$A$1:$A$1001,customers!C246:C1246,,0)=0,"",_xlfn.XLOOKUP(C247,customers!$A$1:$A$1001,customers!C246:C1246,,0))</f>
        <v>bgiannazzidm@apple.com</v>
      </c>
      <c r="H247" s="2" t="str">
        <f>_xlfn.XLOOKUP(Orders[[#This Row],[Customer ID]],customers!$A$1:$A$1001,customers!$G$1:$G$1001,,0)</f>
        <v>United States</v>
      </c>
      <c r="I247" s="2" t="str">
        <f>_xlfn.XLOOKUP(Orders[[#This Row],[Customer ID]],customers!$A$1:$A$1001,customers!$F$1:$F$1001,,0)</f>
        <v>Baton Rouge</v>
      </c>
      <c r="J247" t="str">
        <f>INDEX(products!$A$1:$G$49,MATCH(orders!$D247,products!$A$1:$A$49,0),MATCH(orders!J$1,products!$A$1:$G$1,0))</f>
        <v>Lib</v>
      </c>
      <c r="K247" t="str">
        <f>INDEX(products!$A$1:$G$49,MATCH(orders!$D247,products!$A$1:$A$49,0),MATCH(orders!K$1,products!$A$1:$G$1,0))</f>
        <v>L</v>
      </c>
      <c r="L247" s="4">
        <f>INDEX(products!$A$1:$G$49,MATCH(orders!$D247,products!$A$1:$A$49,0),MATCH(orders!L$1,products!$A$1:$G$1,0))</f>
        <v>0.2</v>
      </c>
      <c r="M247" s="5">
        <f>INDEX(products!$A$1:$G$49,MATCH(orders!$D247,products!$A$1:$A$49,0),MATCH(orders!M$1,products!$A$1:$G$1,0))</f>
        <v>4.7549999999999999</v>
      </c>
      <c r="N247" s="5">
        <f>Orders[[#This Row],[Quantity]]*(INDEX(products!$A$1:$G$49,MATCH(orders!$D247,products!$A$1:$A$49,0),MATCH(orders!N$1,products!$A$1:$G$1,0)))</f>
        <v>3.0907499999999999</v>
      </c>
      <c r="O247" s="5">
        <f>M247*E247</f>
        <v>23.774999999999999</v>
      </c>
      <c r="P247" t="str">
        <f t="shared" si="6"/>
        <v>Liberica</v>
      </c>
      <c r="Q247" t="str">
        <f t="shared" si="7"/>
        <v>Light</v>
      </c>
      <c r="R247" t="str">
        <f>_xlfn.XLOOKUP(Orders[[#This Row],[Customer ID]],customers!$A$1:$A$1001,customers!$I$1:$I$1001,,0)</f>
        <v>Yes</v>
      </c>
    </row>
    <row r="248" spans="1:18" x14ac:dyDescent="0.35">
      <c r="A248" s="2" t="s">
        <v>1878</v>
      </c>
      <c r="B248" s="3">
        <v>44542</v>
      </c>
      <c r="C248" s="2" t="s">
        <v>1879</v>
      </c>
      <c r="D248" t="s">
        <v>6143</v>
      </c>
      <c r="E248" s="2">
        <v>3</v>
      </c>
      <c r="F248" s="2" t="str">
        <f>_xlfn.XLOOKUP(Orders[[#This Row],[Customer ID]],customers!$A$1:$A$1001,customers!$B$1:$B$1001,,0)</f>
        <v>Georgena Bentjens</v>
      </c>
      <c r="G248" s="2" t="str">
        <f>IF(_xlfn.XLOOKUP(C248,customers!$A$1:$A$1001,customers!C247:C1247,,0)=0,"",_xlfn.XLOOKUP(C248,customers!$A$1:$A$1001,customers!C247:C1247,,0))</f>
        <v>ulethbrigdo@hc360.com</v>
      </c>
      <c r="H248" s="2" t="str">
        <f>_xlfn.XLOOKUP(Orders[[#This Row],[Customer ID]],customers!$A$1:$A$1001,customers!$G$1:$G$1001,,0)</f>
        <v>United Kingdom</v>
      </c>
      <c r="I248" s="2" t="str">
        <f>_xlfn.XLOOKUP(Orders[[#This Row],[Customer ID]],customers!$A$1:$A$1001,customers!$F$1:$F$1001,,0)</f>
        <v>Newbiggin</v>
      </c>
      <c r="J248" t="str">
        <f>INDEX(products!$A$1:$G$49,MATCH(orders!$D248,products!$A$1:$A$49,0),MATCH(orders!J$1,products!$A$1:$G$1,0))</f>
        <v>Lib</v>
      </c>
      <c r="K248" t="str">
        <f>INDEX(products!$A$1:$G$49,MATCH(orders!$D248,products!$A$1:$A$49,0),MATCH(orders!K$1,products!$A$1:$G$1,0))</f>
        <v>D</v>
      </c>
      <c r="L248" s="4">
        <f>INDEX(products!$A$1:$G$49,MATCH(orders!$D248,products!$A$1:$A$49,0),MATCH(orders!L$1,products!$A$1:$G$1,0))</f>
        <v>1</v>
      </c>
      <c r="M248" s="5">
        <f>INDEX(products!$A$1:$G$49,MATCH(orders!$D248,products!$A$1:$A$49,0),MATCH(orders!M$1,products!$A$1:$G$1,0))</f>
        <v>12.95</v>
      </c>
      <c r="N248" s="5">
        <f>Orders[[#This Row],[Quantity]]*(INDEX(products!$A$1:$G$49,MATCH(orders!$D248,products!$A$1:$A$49,0),MATCH(orders!N$1,products!$A$1:$G$1,0)))</f>
        <v>5.0504999999999995</v>
      </c>
      <c r="O248" s="5">
        <f>M248*E248</f>
        <v>38.849999999999994</v>
      </c>
      <c r="P248" t="str">
        <f t="shared" si="6"/>
        <v>Liberica</v>
      </c>
      <c r="Q248" t="str">
        <f t="shared" si="7"/>
        <v>Dark</v>
      </c>
      <c r="R248" t="str">
        <f>_xlfn.XLOOKUP(Orders[[#This Row],[Customer ID]],customers!$A$1:$A$1001,customers!$I$1:$I$1001,,0)</f>
        <v>No</v>
      </c>
    </row>
    <row r="249" spans="1:18" x14ac:dyDescent="0.35">
      <c r="A249" s="2" t="s">
        <v>1884</v>
      </c>
      <c r="B249" s="3">
        <v>44131</v>
      </c>
      <c r="C249" s="2" t="s">
        <v>1885</v>
      </c>
      <c r="D249" t="s">
        <v>6178</v>
      </c>
      <c r="E249" s="2">
        <v>6</v>
      </c>
      <c r="F249" s="2" t="str">
        <f>_xlfn.XLOOKUP(Orders[[#This Row],[Customer ID]],customers!$A$1:$A$1001,customers!$B$1:$B$1001,,0)</f>
        <v>Delmar Beasant</v>
      </c>
      <c r="G249" s="2" t="str">
        <f>IF(_xlfn.XLOOKUP(C249,customers!$A$1:$A$1001,customers!C248:C1248,,0)=0,"",_xlfn.XLOOKUP(C249,customers!$A$1:$A$1001,customers!C248:C1248,,0))</f>
        <v>fjecockdq@unicef.org</v>
      </c>
      <c r="H249" s="2" t="str">
        <f>_xlfn.XLOOKUP(Orders[[#This Row],[Customer ID]],customers!$A$1:$A$1001,customers!$G$1:$G$1001,,0)</f>
        <v>Ireland</v>
      </c>
      <c r="I249" s="2" t="str">
        <f>_xlfn.XLOOKUP(Orders[[#This Row],[Customer ID]],customers!$A$1:$A$1001,customers!$F$1:$F$1001,,0)</f>
        <v>Kilkenny</v>
      </c>
      <c r="J249" t="str">
        <f>INDEX(products!$A$1:$G$49,MATCH(orders!$D249,products!$A$1:$A$49,0),MATCH(orders!J$1,products!$A$1:$G$1,0))</f>
        <v>Rob</v>
      </c>
      <c r="K249" t="str">
        <f>INDEX(products!$A$1:$G$49,MATCH(orders!$D249,products!$A$1:$A$49,0),MATCH(orders!K$1,products!$A$1:$G$1,0))</f>
        <v>L</v>
      </c>
      <c r="L249" s="4">
        <f>INDEX(products!$A$1:$G$49,MATCH(orders!$D249,products!$A$1:$A$49,0),MATCH(orders!L$1,products!$A$1:$G$1,0))</f>
        <v>0.2</v>
      </c>
      <c r="M249" s="5">
        <f>INDEX(products!$A$1:$G$49,MATCH(orders!$D249,products!$A$1:$A$49,0),MATCH(orders!M$1,products!$A$1:$G$1,0))</f>
        <v>3.5849999999999995</v>
      </c>
      <c r="N249" s="5">
        <f>Orders[[#This Row],[Quantity]]*(INDEX(products!$A$1:$G$49,MATCH(orders!$D249,products!$A$1:$A$49,0),MATCH(orders!N$1,products!$A$1:$G$1,0)))</f>
        <v>1.2905999999999997</v>
      </c>
      <c r="O249" s="5">
        <f>M249*E249</f>
        <v>21.509999999999998</v>
      </c>
      <c r="P249" t="str">
        <f t="shared" si="6"/>
        <v>Robusta</v>
      </c>
      <c r="Q249" t="str">
        <f t="shared" si="7"/>
        <v>Light</v>
      </c>
      <c r="R249" t="str">
        <f>_xlfn.XLOOKUP(Orders[[#This Row],[Customer ID]],customers!$A$1:$A$1001,customers!$I$1:$I$1001,,0)</f>
        <v>Yes</v>
      </c>
    </row>
    <row r="250" spans="1:18" x14ac:dyDescent="0.35">
      <c r="A250" s="2" t="s">
        <v>1889</v>
      </c>
      <c r="B250" s="3">
        <v>44019</v>
      </c>
      <c r="C250" s="2" t="s">
        <v>1890</v>
      </c>
      <c r="D250" t="s">
        <v>6147</v>
      </c>
      <c r="E250" s="2">
        <v>1</v>
      </c>
      <c r="F250" s="2" t="str">
        <f>_xlfn.XLOOKUP(Orders[[#This Row],[Customer ID]],customers!$A$1:$A$1001,customers!$B$1:$B$1001,,0)</f>
        <v>Lyn Entwistle</v>
      </c>
      <c r="G250" s="2" t="str">
        <f>IF(_xlfn.XLOOKUP(C250,customers!$A$1:$A$1001,customers!C249:C1249,,0)=0,"",_xlfn.XLOOKUP(C250,customers!$A$1:$A$1001,customers!C249:C1249,,0))</f>
        <v>hpallisterds@ning.com</v>
      </c>
      <c r="H250" s="2" t="str">
        <f>_xlfn.XLOOKUP(Orders[[#This Row],[Customer ID]],customers!$A$1:$A$1001,customers!$G$1:$G$1001,,0)</f>
        <v>United States</v>
      </c>
      <c r="I250" s="2" t="str">
        <f>_xlfn.XLOOKUP(Orders[[#This Row],[Customer ID]],customers!$A$1:$A$1001,customers!$F$1:$F$1001,,0)</f>
        <v>Minneapolis</v>
      </c>
      <c r="J250" t="str">
        <f>INDEX(products!$A$1:$G$49,MATCH(orders!$D250,products!$A$1:$A$49,0),MATCH(orders!J$1,products!$A$1:$G$1,0))</f>
        <v>Ara</v>
      </c>
      <c r="K250" t="str">
        <f>INDEX(products!$A$1:$G$49,MATCH(orders!$D250,products!$A$1:$A$49,0),MATCH(orders!K$1,products!$A$1:$G$1,0))</f>
        <v>D</v>
      </c>
      <c r="L250" s="4">
        <f>INDEX(products!$A$1:$G$49,MATCH(orders!$D250,products!$A$1:$A$49,0),MATCH(orders!L$1,products!$A$1:$G$1,0))</f>
        <v>1</v>
      </c>
      <c r="M250" s="5">
        <f>INDEX(products!$A$1:$G$49,MATCH(orders!$D250,products!$A$1:$A$49,0),MATCH(orders!M$1,products!$A$1:$G$1,0))</f>
        <v>9.9499999999999993</v>
      </c>
      <c r="N250" s="5">
        <f>Orders[[#This Row],[Quantity]]*(INDEX(products!$A$1:$G$49,MATCH(orders!$D250,products!$A$1:$A$49,0),MATCH(orders!N$1,products!$A$1:$G$1,0)))</f>
        <v>0.89549999999999985</v>
      </c>
      <c r="O250" s="5">
        <f>M250*E250</f>
        <v>9.9499999999999993</v>
      </c>
      <c r="P250" t="str">
        <f t="shared" si="6"/>
        <v>Arabica</v>
      </c>
      <c r="Q250" t="str">
        <f t="shared" si="7"/>
        <v>Dark</v>
      </c>
      <c r="R250" t="str">
        <f>_xlfn.XLOOKUP(Orders[[#This Row],[Customer ID]],customers!$A$1:$A$1001,customers!$I$1:$I$1001,,0)</f>
        <v>Yes</v>
      </c>
    </row>
    <row r="251" spans="1:18" x14ac:dyDescent="0.35">
      <c r="A251" s="2" t="s">
        <v>1895</v>
      </c>
      <c r="B251" s="3">
        <v>43861</v>
      </c>
      <c r="C251" s="2" t="s">
        <v>1935</v>
      </c>
      <c r="D251" t="s">
        <v>6170</v>
      </c>
      <c r="E251" s="2">
        <v>1</v>
      </c>
      <c r="F251" s="2" t="str">
        <f>_xlfn.XLOOKUP(Orders[[#This Row],[Customer ID]],customers!$A$1:$A$1001,customers!$B$1:$B$1001,,0)</f>
        <v>Zacharias Kiffe</v>
      </c>
      <c r="G251" s="2" t="str">
        <f>IF(_xlfn.XLOOKUP(C251,customers!$A$1:$A$1001,customers!C250:C1250,,0)=0,"",_xlfn.XLOOKUP(C251,customers!$A$1:$A$1001,customers!C250:C1250,,0))</f>
        <v>wstearleye1@census.gov</v>
      </c>
      <c r="H251" s="2" t="str">
        <f>_xlfn.XLOOKUP(Orders[[#This Row],[Customer ID]],customers!$A$1:$A$1001,customers!$G$1:$G$1001,,0)</f>
        <v>United States</v>
      </c>
      <c r="I251" s="2" t="str">
        <f>_xlfn.XLOOKUP(Orders[[#This Row],[Customer ID]],customers!$A$1:$A$1001,customers!$F$1:$F$1001,,0)</f>
        <v>Milwaukee</v>
      </c>
      <c r="J251" t="str">
        <f>INDEX(products!$A$1:$G$49,MATCH(orders!$D251,products!$A$1:$A$49,0),MATCH(orders!J$1,products!$A$1:$G$1,0))</f>
        <v>Lib</v>
      </c>
      <c r="K251" t="str">
        <f>INDEX(products!$A$1:$G$49,MATCH(orders!$D251,products!$A$1:$A$49,0),MATCH(orders!K$1,products!$A$1:$G$1,0))</f>
        <v>L</v>
      </c>
      <c r="L251" s="4">
        <f>INDEX(products!$A$1:$G$49,MATCH(orders!$D251,products!$A$1:$A$49,0),MATCH(orders!L$1,products!$A$1:$G$1,0))</f>
        <v>1</v>
      </c>
      <c r="M251" s="5">
        <f>INDEX(products!$A$1:$G$49,MATCH(orders!$D251,products!$A$1:$A$49,0),MATCH(orders!M$1,products!$A$1:$G$1,0))</f>
        <v>15.85</v>
      </c>
      <c r="N251" s="5">
        <f>Orders[[#This Row],[Quantity]]*(INDEX(products!$A$1:$G$49,MATCH(orders!$D251,products!$A$1:$A$49,0),MATCH(orders!N$1,products!$A$1:$G$1,0)))</f>
        <v>2.0605000000000002</v>
      </c>
      <c r="O251" s="5">
        <f>M251*E251</f>
        <v>15.85</v>
      </c>
      <c r="P251" t="str">
        <f t="shared" si="6"/>
        <v>Liberica</v>
      </c>
      <c r="Q251" t="str">
        <f t="shared" si="7"/>
        <v>Light</v>
      </c>
      <c r="R251" t="str">
        <f>_xlfn.XLOOKUP(Orders[[#This Row],[Customer ID]],customers!$A$1:$A$1001,customers!$I$1:$I$1001,,0)</f>
        <v>Yes</v>
      </c>
    </row>
    <row r="252" spans="1:18" x14ac:dyDescent="0.35">
      <c r="A252" s="2" t="s">
        <v>1900</v>
      </c>
      <c r="B252" s="3">
        <v>43879</v>
      </c>
      <c r="C252" s="2" t="s">
        <v>1901</v>
      </c>
      <c r="D252" t="s">
        <v>6174</v>
      </c>
      <c r="E252" s="2">
        <v>1</v>
      </c>
      <c r="F252" s="2" t="str">
        <f>_xlfn.XLOOKUP(Orders[[#This Row],[Customer ID]],customers!$A$1:$A$1001,customers!$B$1:$B$1001,,0)</f>
        <v>Mercedes Acott</v>
      </c>
      <c r="G252" s="2" t="str">
        <f>IF(_xlfn.XLOOKUP(C252,customers!$A$1:$A$1001,customers!C251:C1251,,0)=0,"",_xlfn.XLOOKUP(C252,customers!$A$1:$A$1001,customers!C251:C1251,,0))</f>
        <v/>
      </c>
      <c r="H252" s="2" t="str">
        <f>_xlfn.XLOOKUP(Orders[[#This Row],[Customer ID]],customers!$A$1:$A$1001,customers!$G$1:$G$1001,,0)</f>
        <v>United States</v>
      </c>
      <c r="I252" s="2" t="str">
        <f>_xlfn.XLOOKUP(Orders[[#This Row],[Customer ID]],customers!$A$1:$A$1001,customers!$F$1:$F$1001,,0)</f>
        <v>Charlotte</v>
      </c>
      <c r="J252" t="str">
        <f>INDEX(products!$A$1:$G$49,MATCH(orders!$D252,products!$A$1:$A$49,0),MATCH(orders!J$1,products!$A$1:$G$1,0))</f>
        <v>Rob</v>
      </c>
      <c r="K252" t="str">
        <f>INDEX(products!$A$1:$G$49,MATCH(orders!$D252,products!$A$1:$A$49,0),MATCH(orders!K$1,products!$A$1:$G$1,0))</f>
        <v>M</v>
      </c>
      <c r="L252" s="4">
        <f>INDEX(products!$A$1:$G$49,MATCH(orders!$D252,products!$A$1:$A$49,0),MATCH(orders!L$1,products!$A$1:$G$1,0))</f>
        <v>0.2</v>
      </c>
      <c r="M252" s="5">
        <f>INDEX(products!$A$1:$G$49,MATCH(orders!$D252,products!$A$1:$A$49,0),MATCH(orders!M$1,products!$A$1:$G$1,0))</f>
        <v>2.9849999999999999</v>
      </c>
      <c r="N252" s="5">
        <f>Orders[[#This Row],[Quantity]]*(INDEX(products!$A$1:$G$49,MATCH(orders!$D252,products!$A$1:$A$49,0),MATCH(orders!N$1,products!$A$1:$G$1,0)))</f>
        <v>0.17909999999999998</v>
      </c>
      <c r="O252" s="5">
        <f>M252*E252</f>
        <v>2.9849999999999999</v>
      </c>
      <c r="P252" t="str">
        <f t="shared" si="6"/>
        <v>Robusta</v>
      </c>
      <c r="Q252" t="str">
        <f t="shared" si="7"/>
        <v>Medium</v>
      </c>
      <c r="R252" t="str">
        <f>_xlfn.XLOOKUP(Orders[[#This Row],[Customer ID]],customers!$A$1:$A$1001,customers!$I$1:$I$1001,,0)</f>
        <v>Yes</v>
      </c>
    </row>
    <row r="253" spans="1:18" x14ac:dyDescent="0.35">
      <c r="A253" s="2" t="s">
        <v>1906</v>
      </c>
      <c r="B253" s="3">
        <v>44360</v>
      </c>
      <c r="C253" s="2" t="s">
        <v>1907</v>
      </c>
      <c r="D253" t="s">
        <v>6141</v>
      </c>
      <c r="E253" s="2">
        <v>5</v>
      </c>
      <c r="F253" s="2" t="str">
        <f>_xlfn.XLOOKUP(Orders[[#This Row],[Customer ID]],customers!$A$1:$A$1001,customers!$B$1:$B$1001,,0)</f>
        <v>Connor Heaviside</v>
      </c>
      <c r="G253" s="2" t="str">
        <f>IF(_xlfn.XLOOKUP(C253,customers!$A$1:$A$1001,customers!C252:C1252,,0)=0,"",_xlfn.XLOOKUP(C253,customers!$A$1:$A$1001,customers!C252:C1252,,0))</f>
        <v>eshearsbydy@g.co</v>
      </c>
      <c r="H253" s="2" t="str">
        <f>_xlfn.XLOOKUP(Orders[[#This Row],[Customer ID]],customers!$A$1:$A$1001,customers!$G$1:$G$1001,,0)</f>
        <v>United States</v>
      </c>
      <c r="I253" s="2" t="str">
        <f>_xlfn.XLOOKUP(Orders[[#This Row],[Customer ID]],customers!$A$1:$A$1001,customers!$F$1:$F$1001,,0)</f>
        <v>Phoenix</v>
      </c>
      <c r="J253" t="str">
        <f>INDEX(products!$A$1:$G$49,MATCH(orders!$D253,products!$A$1:$A$49,0),MATCH(orders!J$1,products!$A$1:$G$1,0))</f>
        <v>Exc</v>
      </c>
      <c r="K253" t="str">
        <f>INDEX(products!$A$1:$G$49,MATCH(orders!$D253,products!$A$1:$A$49,0),MATCH(orders!K$1,products!$A$1:$G$1,0))</f>
        <v>M</v>
      </c>
      <c r="L253" s="4">
        <f>INDEX(products!$A$1:$G$49,MATCH(orders!$D253,products!$A$1:$A$49,0),MATCH(orders!L$1,products!$A$1:$G$1,0))</f>
        <v>1</v>
      </c>
      <c r="M253" s="5">
        <f>INDEX(products!$A$1:$G$49,MATCH(orders!$D253,products!$A$1:$A$49,0),MATCH(orders!M$1,products!$A$1:$G$1,0))</f>
        <v>13.75</v>
      </c>
      <c r="N253" s="5">
        <f>Orders[[#This Row],[Quantity]]*(INDEX(products!$A$1:$G$49,MATCH(orders!$D253,products!$A$1:$A$49,0),MATCH(orders!N$1,products!$A$1:$G$1,0)))</f>
        <v>7.5625</v>
      </c>
      <c r="O253" s="5">
        <f>M253*E253</f>
        <v>68.75</v>
      </c>
      <c r="P253" t="str">
        <f t="shared" si="6"/>
        <v>Excelsa</v>
      </c>
      <c r="Q253" t="str">
        <f t="shared" si="7"/>
        <v>Medium</v>
      </c>
      <c r="R253" t="str">
        <f>_xlfn.XLOOKUP(Orders[[#This Row],[Customer ID]],customers!$A$1:$A$1001,customers!$I$1:$I$1001,,0)</f>
        <v>Yes</v>
      </c>
    </row>
    <row r="254" spans="1:18" x14ac:dyDescent="0.35">
      <c r="A254" s="2" t="s">
        <v>1912</v>
      </c>
      <c r="B254" s="3">
        <v>44779</v>
      </c>
      <c r="C254" s="2" t="s">
        <v>1913</v>
      </c>
      <c r="D254" t="s">
        <v>6147</v>
      </c>
      <c r="E254" s="2">
        <v>3</v>
      </c>
      <c r="F254" s="2" t="str">
        <f>_xlfn.XLOOKUP(Orders[[#This Row],[Customer ID]],customers!$A$1:$A$1001,customers!$B$1:$B$1001,,0)</f>
        <v>Devy Bulbrook</v>
      </c>
      <c r="G254" s="2" t="str">
        <f>IF(_xlfn.XLOOKUP(C254,customers!$A$1:$A$1001,customers!C253:C1253,,0)=0,"",_xlfn.XLOOKUP(C254,customers!$A$1:$A$1001,customers!C253:C1253,,0))</f>
        <v>nerswelle0@mlb.com</v>
      </c>
      <c r="H254" s="2" t="str">
        <f>_xlfn.XLOOKUP(Orders[[#This Row],[Customer ID]],customers!$A$1:$A$1001,customers!$G$1:$G$1001,,0)</f>
        <v>United States</v>
      </c>
      <c r="I254" s="2" t="str">
        <f>_xlfn.XLOOKUP(Orders[[#This Row],[Customer ID]],customers!$A$1:$A$1001,customers!$F$1:$F$1001,,0)</f>
        <v>Jamaica</v>
      </c>
      <c r="J254" t="str">
        <f>INDEX(products!$A$1:$G$49,MATCH(orders!$D254,products!$A$1:$A$49,0),MATCH(orders!J$1,products!$A$1:$G$1,0))</f>
        <v>Ara</v>
      </c>
      <c r="K254" t="str">
        <f>INDEX(products!$A$1:$G$49,MATCH(orders!$D254,products!$A$1:$A$49,0),MATCH(orders!K$1,products!$A$1:$G$1,0))</f>
        <v>D</v>
      </c>
      <c r="L254" s="4">
        <f>INDEX(products!$A$1:$G$49,MATCH(orders!$D254,products!$A$1:$A$49,0),MATCH(orders!L$1,products!$A$1:$G$1,0))</f>
        <v>1</v>
      </c>
      <c r="M254" s="5">
        <f>INDEX(products!$A$1:$G$49,MATCH(orders!$D254,products!$A$1:$A$49,0),MATCH(orders!M$1,products!$A$1:$G$1,0))</f>
        <v>9.9499999999999993</v>
      </c>
      <c r="N254" s="5">
        <f>Orders[[#This Row],[Quantity]]*(INDEX(products!$A$1:$G$49,MATCH(orders!$D254,products!$A$1:$A$49,0),MATCH(orders!N$1,products!$A$1:$G$1,0)))</f>
        <v>2.6864999999999997</v>
      </c>
      <c r="O254" s="5">
        <f>M254*E254</f>
        <v>29.849999999999998</v>
      </c>
      <c r="P254" t="str">
        <f t="shared" si="6"/>
        <v>Arabica</v>
      </c>
      <c r="Q254" t="str">
        <f t="shared" si="7"/>
        <v>Dark</v>
      </c>
      <c r="R254" t="str">
        <f>_xlfn.XLOOKUP(Orders[[#This Row],[Customer ID]],customers!$A$1:$A$1001,customers!$I$1:$I$1001,,0)</f>
        <v>No</v>
      </c>
    </row>
    <row r="255" spans="1:18" x14ac:dyDescent="0.35">
      <c r="A255" s="2" t="s">
        <v>1917</v>
      </c>
      <c r="B255" s="3">
        <v>44523</v>
      </c>
      <c r="C255" s="2" t="s">
        <v>1918</v>
      </c>
      <c r="D255" t="s">
        <v>6162</v>
      </c>
      <c r="E255" s="2">
        <v>4</v>
      </c>
      <c r="F255" s="2" t="str">
        <f>_xlfn.XLOOKUP(Orders[[#This Row],[Customer ID]],customers!$A$1:$A$1001,customers!$B$1:$B$1001,,0)</f>
        <v>Leia Kernan</v>
      </c>
      <c r="G255" s="2" t="str">
        <f>IF(_xlfn.XLOOKUP(C255,customers!$A$1:$A$1001,customers!C254:C1254,,0)=0,"",_xlfn.XLOOKUP(C255,customers!$A$1:$A$1001,customers!C254:C1254,,0))</f>
        <v>dwincere2@marriott.com</v>
      </c>
      <c r="H255" s="2" t="str">
        <f>_xlfn.XLOOKUP(Orders[[#This Row],[Customer ID]],customers!$A$1:$A$1001,customers!$G$1:$G$1001,,0)</f>
        <v>United States</v>
      </c>
      <c r="I255" s="2" t="str">
        <f>_xlfn.XLOOKUP(Orders[[#This Row],[Customer ID]],customers!$A$1:$A$1001,customers!$F$1:$F$1001,,0)</f>
        <v>Champaign</v>
      </c>
      <c r="J255" t="str">
        <f>INDEX(products!$A$1:$G$49,MATCH(orders!$D255,products!$A$1:$A$49,0),MATCH(orders!J$1,products!$A$1:$G$1,0))</f>
        <v>Lib</v>
      </c>
      <c r="K255" t="str">
        <f>INDEX(products!$A$1:$G$49,MATCH(orders!$D255,products!$A$1:$A$49,0),MATCH(orders!K$1,products!$A$1:$G$1,0))</f>
        <v>M</v>
      </c>
      <c r="L255" s="4">
        <f>INDEX(products!$A$1:$G$49,MATCH(orders!$D255,products!$A$1:$A$49,0),MATCH(orders!L$1,products!$A$1:$G$1,0))</f>
        <v>1</v>
      </c>
      <c r="M255" s="5">
        <f>INDEX(products!$A$1:$G$49,MATCH(orders!$D255,products!$A$1:$A$49,0),MATCH(orders!M$1,products!$A$1:$G$1,0))</f>
        <v>14.55</v>
      </c>
      <c r="N255" s="5">
        <f>Orders[[#This Row],[Quantity]]*(INDEX(products!$A$1:$G$49,MATCH(orders!$D255,products!$A$1:$A$49,0),MATCH(orders!N$1,products!$A$1:$G$1,0)))</f>
        <v>7.5660000000000007</v>
      </c>
      <c r="O255" s="5">
        <f>M255*E255</f>
        <v>58.2</v>
      </c>
      <c r="P255" t="str">
        <f t="shared" si="6"/>
        <v>Liberica</v>
      </c>
      <c r="Q255" t="str">
        <f t="shared" si="7"/>
        <v>Medium</v>
      </c>
      <c r="R255" t="str">
        <f>_xlfn.XLOOKUP(Orders[[#This Row],[Customer ID]],customers!$A$1:$A$1001,customers!$I$1:$I$1001,,0)</f>
        <v>No</v>
      </c>
    </row>
    <row r="256" spans="1:18" x14ac:dyDescent="0.35">
      <c r="A256" s="2" t="s">
        <v>1923</v>
      </c>
      <c r="B256" s="3">
        <v>44482</v>
      </c>
      <c r="C256" s="2" t="s">
        <v>1924</v>
      </c>
      <c r="D256" t="s">
        <v>6173</v>
      </c>
      <c r="E256" s="2">
        <v>4</v>
      </c>
      <c r="F256" s="2" t="str">
        <f>_xlfn.XLOOKUP(Orders[[#This Row],[Customer ID]],customers!$A$1:$A$1001,customers!$B$1:$B$1001,,0)</f>
        <v>Rosaline McLae</v>
      </c>
      <c r="G256" s="2" t="str">
        <f>IF(_xlfn.XLOOKUP(C256,customers!$A$1:$A$1001,customers!C255:C1255,,0)=0,"",_xlfn.XLOOKUP(C256,customers!$A$1:$A$1001,customers!C255:C1255,,0))</f>
        <v>hperrise4@studiopress.com</v>
      </c>
      <c r="H256" s="2" t="str">
        <f>_xlfn.XLOOKUP(Orders[[#This Row],[Customer ID]],customers!$A$1:$A$1001,customers!$G$1:$G$1001,,0)</f>
        <v>United Kingdom</v>
      </c>
      <c r="I256" s="2" t="str">
        <f>_xlfn.XLOOKUP(Orders[[#This Row],[Customer ID]],customers!$A$1:$A$1001,customers!$F$1:$F$1001,,0)</f>
        <v>Swindon</v>
      </c>
      <c r="J256" t="str">
        <f>INDEX(products!$A$1:$G$49,MATCH(orders!$D256,products!$A$1:$A$49,0),MATCH(orders!J$1,products!$A$1:$G$1,0))</f>
        <v>Rob</v>
      </c>
      <c r="K256" t="str">
        <f>INDEX(products!$A$1:$G$49,MATCH(orders!$D256,products!$A$1:$A$49,0),MATCH(orders!K$1,products!$A$1:$G$1,0))</f>
        <v>L</v>
      </c>
      <c r="L256" s="4">
        <f>INDEX(products!$A$1:$G$49,MATCH(orders!$D256,products!$A$1:$A$49,0),MATCH(orders!L$1,products!$A$1:$G$1,0))</f>
        <v>0.5</v>
      </c>
      <c r="M256" s="5">
        <f>INDEX(products!$A$1:$G$49,MATCH(orders!$D256,products!$A$1:$A$49,0),MATCH(orders!M$1,products!$A$1:$G$1,0))</f>
        <v>7.169999999999999</v>
      </c>
      <c r="N256" s="5">
        <f>Orders[[#This Row],[Quantity]]*(INDEX(products!$A$1:$G$49,MATCH(orders!$D256,products!$A$1:$A$49,0),MATCH(orders!N$1,products!$A$1:$G$1,0)))</f>
        <v>1.7207999999999997</v>
      </c>
      <c r="O256" s="5">
        <f>M256*E256</f>
        <v>28.679999999999996</v>
      </c>
      <c r="P256" t="str">
        <f t="shared" si="6"/>
        <v>Robusta</v>
      </c>
      <c r="Q256" t="str">
        <f t="shared" si="7"/>
        <v>Light</v>
      </c>
      <c r="R256" t="str">
        <f>_xlfn.XLOOKUP(Orders[[#This Row],[Customer ID]],customers!$A$1:$A$1001,customers!$I$1:$I$1001,,0)</f>
        <v>No</v>
      </c>
    </row>
    <row r="257" spans="1:18" x14ac:dyDescent="0.35">
      <c r="A257" s="2" t="s">
        <v>1928</v>
      </c>
      <c r="B257" s="3">
        <v>44439</v>
      </c>
      <c r="C257" s="2" t="s">
        <v>1929</v>
      </c>
      <c r="D257" t="s">
        <v>6173</v>
      </c>
      <c r="E257" s="2">
        <v>3</v>
      </c>
      <c r="F257" s="2" t="str">
        <f>_xlfn.XLOOKUP(Orders[[#This Row],[Customer ID]],customers!$A$1:$A$1001,customers!$B$1:$B$1001,,0)</f>
        <v>Cleve Blowfelde</v>
      </c>
      <c r="G257" s="2" t="str">
        <f>IF(_xlfn.XLOOKUP(C257,customers!$A$1:$A$1001,customers!C256:C1256,,0)=0,"",_xlfn.XLOOKUP(C257,customers!$A$1:$A$1001,customers!C256:C1256,,0))</f>
        <v>ckide6@narod.ru</v>
      </c>
      <c r="H257" s="2" t="str">
        <f>_xlfn.XLOOKUP(Orders[[#This Row],[Customer ID]],customers!$A$1:$A$1001,customers!$G$1:$G$1001,,0)</f>
        <v>United States</v>
      </c>
      <c r="I257" s="2" t="str">
        <f>_xlfn.XLOOKUP(Orders[[#This Row],[Customer ID]],customers!$A$1:$A$1001,customers!$F$1:$F$1001,,0)</f>
        <v>Tucson</v>
      </c>
      <c r="J257" t="str">
        <f>INDEX(products!$A$1:$G$49,MATCH(orders!$D257,products!$A$1:$A$49,0),MATCH(orders!J$1,products!$A$1:$G$1,0))</f>
        <v>Rob</v>
      </c>
      <c r="K257" t="str">
        <f>INDEX(products!$A$1:$G$49,MATCH(orders!$D257,products!$A$1:$A$49,0),MATCH(orders!K$1,products!$A$1:$G$1,0))</f>
        <v>L</v>
      </c>
      <c r="L257" s="4">
        <f>INDEX(products!$A$1:$G$49,MATCH(orders!$D257,products!$A$1:$A$49,0),MATCH(orders!L$1,products!$A$1:$G$1,0))</f>
        <v>0.5</v>
      </c>
      <c r="M257" s="5">
        <f>INDEX(products!$A$1:$G$49,MATCH(orders!$D257,products!$A$1:$A$49,0),MATCH(orders!M$1,products!$A$1:$G$1,0))</f>
        <v>7.169999999999999</v>
      </c>
      <c r="N257" s="5">
        <f>Orders[[#This Row],[Quantity]]*(INDEX(products!$A$1:$G$49,MATCH(orders!$D257,products!$A$1:$A$49,0),MATCH(orders!N$1,products!$A$1:$G$1,0)))</f>
        <v>1.2905999999999997</v>
      </c>
      <c r="O257" s="5">
        <f>M257*E257</f>
        <v>21.509999999999998</v>
      </c>
      <c r="P257" t="str">
        <f t="shared" si="6"/>
        <v>Robusta</v>
      </c>
      <c r="Q257" t="str">
        <f t="shared" si="7"/>
        <v>Light</v>
      </c>
      <c r="R257" t="str">
        <f>_xlfn.XLOOKUP(Orders[[#This Row],[Customer ID]],customers!$A$1:$A$1001,customers!$I$1:$I$1001,,0)</f>
        <v>No</v>
      </c>
    </row>
    <row r="258" spans="1:18" x14ac:dyDescent="0.35">
      <c r="A258" s="2" t="s">
        <v>1934</v>
      </c>
      <c r="B258" s="3">
        <v>43846</v>
      </c>
      <c r="C258" s="2" t="s">
        <v>1935</v>
      </c>
      <c r="D258" t="s">
        <v>6160</v>
      </c>
      <c r="E258" s="2">
        <v>2</v>
      </c>
      <c r="F258" s="2" t="str">
        <f>_xlfn.XLOOKUP(Orders[[#This Row],[Customer ID]],customers!$A$1:$A$1001,customers!$B$1:$B$1001,,0)</f>
        <v>Zacharias Kiffe</v>
      </c>
      <c r="G258" s="2" t="str">
        <f>IF(_xlfn.XLOOKUP(C258,customers!$A$1:$A$1001,customers!C257:C1257,,0)=0,"",_xlfn.XLOOKUP(C258,customers!$A$1:$A$1001,customers!C257:C1257,,0))</f>
        <v>cbakeupe8@globo.com</v>
      </c>
      <c r="H258" s="2" t="str">
        <f>_xlfn.XLOOKUP(Orders[[#This Row],[Customer ID]],customers!$A$1:$A$1001,customers!$G$1:$G$1001,,0)</f>
        <v>United States</v>
      </c>
      <c r="I258" s="2" t="str">
        <f>_xlfn.XLOOKUP(Orders[[#This Row],[Customer ID]],customers!$A$1:$A$1001,customers!$F$1:$F$1001,,0)</f>
        <v>Milwaukee</v>
      </c>
      <c r="J258" t="str">
        <f>INDEX(products!$A$1:$G$49,MATCH(orders!$D258,products!$A$1:$A$49,0),MATCH(orders!J$1,products!$A$1:$G$1,0))</f>
        <v>Lib</v>
      </c>
      <c r="K258" t="str">
        <f>INDEX(products!$A$1:$G$49,MATCH(orders!$D258,products!$A$1:$A$49,0),MATCH(orders!K$1,products!$A$1:$G$1,0))</f>
        <v>M</v>
      </c>
      <c r="L258" s="4">
        <f>INDEX(products!$A$1:$G$49,MATCH(orders!$D258,products!$A$1:$A$49,0),MATCH(orders!L$1,products!$A$1:$G$1,0))</f>
        <v>0.5</v>
      </c>
      <c r="M258" s="5">
        <f>INDEX(products!$A$1:$G$49,MATCH(orders!$D258,products!$A$1:$A$49,0),MATCH(orders!M$1,products!$A$1:$G$1,0))</f>
        <v>8.73</v>
      </c>
      <c r="N258" s="5">
        <f>Orders[[#This Row],[Quantity]]*(INDEX(products!$A$1:$G$49,MATCH(orders!$D258,products!$A$1:$A$49,0),MATCH(orders!N$1,products!$A$1:$G$1,0)))</f>
        <v>2.2698</v>
      </c>
      <c r="O258" s="5">
        <f>M258*E258</f>
        <v>17.46</v>
      </c>
      <c r="P258" t="str">
        <f t="shared" si="6"/>
        <v>Liberica</v>
      </c>
      <c r="Q258" t="str">
        <f t="shared" si="7"/>
        <v>Medium</v>
      </c>
      <c r="R258" t="str">
        <f>_xlfn.XLOOKUP(Orders[[#This Row],[Customer ID]],customers!$A$1:$A$1001,customers!$I$1:$I$1001,,0)</f>
        <v>Yes</v>
      </c>
    </row>
    <row r="259" spans="1:18" x14ac:dyDescent="0.35">
      <c r="A259" s="2" t="s">
        <v>1940</v>
      </c>
      <c r="B259" s="3">
        <v>44676</v>
      </c>
      <c r="C259" s="2" t="s">
        <v>1941</v>
      </c>
      <c r="D259" t="s">
        <v>6185</v>
      </c>
      <c r="E259" s="2">
        <v>1</v>
      </c>
      <c r="F259" s="2" t="str">
        <f>_xlfn.XLOOKUP(Orders[[#This Row],[Customer ID]],customers!$A$1:$A$1001,customers!$B$1:$B$1001,,0)</f>
        <v>Denyse O'Calleran</v>
      </c>
      <c r="G259" s="2" t="str">
        <f>IF(_xlfn.XLOOKUP(C259,customers!$A$1:$A$1001,customers!C258:C1258,,0)=0,"",_xlfn.XLOOKUP(C259,customers!$A$1:$A$1001,customers!C258:C1258,,0))</f>
        <v>pwitheringtonea@networkadvertising.org</v>
      </c>
      <c r="H259" s="2" t="str">
        <f>_xlfn.XLOOKUP(Orders[[#This Row],[Customer ID]],customers!$A$1:$A$1001,customers!$G$1:$G$1001,,0)</f>
        <v>United States</v>
      </c>
      <c r="I259" s="2" t="str">
        <f>_xlfn.XLOOKUP(Orders[[#This Row],[Customer ID]],customers!$A$1:$A$1001,customers!$F$1:$F$1001,,0)</f>
        <v>Pompano Beach</v>
      </c>
      <c r="J259" t="str">
        <f>INDEX(products!$A$1:$G$49,MATCH(orders!$D259,products!$A$1:$A$49,0),MATCH(orders!J$1,products!$A$1:$G$1,0))</f>
        <v>Exc</v>
      </c>
      <c r="K259" t="str">
        <f>INDEX(products!$A$1:$G$49,MATCH(orders!$D259,products!$A$1:$A$49,0),MATCH(orders!K$1,products!$A$1:$G$1,0))</f>
        <v>D</v>
      </c>
      <c r="L259" s="4">
        <f>INDEX(products!$A$1:$G$49,MATCH(orders!$D259,products!$A$1:$A$49,0),MATCH(orders!L$1,products!$A$1:$G$1,0))</f>
        <v>2.5</v>
      </c>
      <c r="M259" s="5">
        <f>INDEX(products!$A$1:$G$49,MATCH(orders!$D259,products!$A$1:$A$49,0),MATCH(orders!M$1,products!$A$1:$G$1,0))</f>
        <v>27.945</v>
      </c>
      <c r="N259" s="5">
        <f>Orders[[#This Row],[Quantity]]*(INDEX(products!$A$1:$G$49,MATCH(orders!$D259,products!$A$1:$A$49,0),MATCH(orders!N$1,products!$A$1:$G$1,0)))</f>
        <v>3.07395</v>
      </c>
      <c r="O259" s="5">
        <f>M259*E259</f>
        <v>27.945</v>
      </c>
      <c r="P259" t="str">
        <f t="shared" ref="P259:P322" si="8">IF(J259="Rob","Robusta",IF(J259="Exc","Excelsa",IF(J259="Ara","Arabica",IF(J259="Lib","Liberica",""))))</f>
        <v>Excelsa</v>
      </c>
      <c r="Q259" t="str">
        <f t="shared" ref="Q259:Q322" si="9">IF(K259="M", "Medium", IF(K259="L", "Light", IF(K259="D", "Dark", "")))</f>
        <v>Dark</v>
      </c>
      <c r="R259" t="str">
        <f>_xlfn.XLOOKUP(Orders[[#This Row],[Customer ID]],customers!$A$1:$A$1001,customers!$I$1:$I$1001,,0)</f>
        <v>Yes</v>
      </c>
    </row>
    <row r="260" spans="1:18" x14ac:dyDescent="0.35">
      <c r="A260" s="2" t="s">
        <v>1946</v>
      </c>
      <c r="B260" s="3">
        <v>44513</v>
      </c>
      <c r="C260" s="2" t="s">
        <v>1947</v>
      </c>
      <c r="D260" t="s">
        <v>6185</v>
      </c>
      <c r="E260" s="2">
        <v>5</v>
      </c>
      <c r="F260" s="2" t="str">
        <f>_xlfn.XLOOKUP(Orders[[#This Row],[Customer ID]],customers!$A$1:$A$1001,customers!$B$1:$B$1001,,0)</f>
        <v>Cobby Cromwell</v>
      </c>
      <c r="G260" s="2" t="str">
        <f>IF(_xlfn.XLOOKUP(C260,customers!$A$1:$A$1001,customers!C259:C1259,,0)=0,"",_xlfn.XLOOKUP(C260,customers!$A$1:$A$1001,customers!C259:C1259,,0))</f>
        <v/>
      </c>
      <c r="H260" s="2" t="str">
        <f>_xlfn.XLOOKUP(Orders[[#This Row],[Customer ID]],customers!$A$1:$A$1001,customers!$G$1:$G$1001,,0)</f>
        <v>United States</v>
      </c>
      <c r="I260" s="2" t="str">
        <f>_xlfn.XLOOKUP(Orders[[#This Row],[Customer ID]],customers!$A$1:$A$1001,customers!$F$1:$F$1001,,0)</f>
        <v>Whittier</v>
      </c>
      <c r="J260" t="str">
        <f>INDEX(products!$A$1:$G$49,MATCH(orders!$D260,products!$A$1:$A$49,0),MATCH(orders!J$1,products!$A$1:$G$1,0))</f>
        <v>Exc</v>
      </c>
      <c r="K260" t="str">
        <f>INDEX(products!$A$1:$G$49,MATCH(orders!$D260,products!$A$1:$A$49,0),MATCH(orders!K$1,products!$A$1:$G$1,0))</f>
        <v>D</v>
      </c>
      <c r="L260" s="4">
        <f>INDEX(products!$A$1:$G$49,MATCH(orders!$D260,products!$A$1:$A$49,0),MATCH(orders!L$1,products!$A$1:$G$1,0))</f>
        <v>2.5</v>
      </c>
      <c r="M260" s="5">
        <f>INDEX(products!$A$1:$G$49,MATCH(orders!$D260,products!$A$1:$A$49,0),MATCH(orders!M$1,products!$A$1:$G$1,0))</f>
        <v>27.945</v>
      </c>
      <c r="N260" s="5">
        <f>Orders[[#This Row],[Quantity]]*(INDEX(products!$A$1:$G$49,MATCH(orders!$D260,products!$A$1:$A$49,0),MATCH(orders!N$1,products!$A$1:$G$1,0)))</f>
        <v>15.36975</v>
      </c>
      <c r="O260" s="5">
        <f>M260*E260</f>
        <v>139.72499999999999</v>
      </c>
      <c r="P260" t="str">
        <f t="shared" si="8"/>
        <v>Excelsa</v>
      </c>
      <c r="Q260" t="str">
        <f t="shared" si="9"/>
        <v>Dark</v>
      </c>
      <c r="R260" t="str">
        <f>_xlfn.XLOOKUP(Orders[[#This Row],[Customer ID]],customers!$A$1:$A$1001,customers!$I$1:$I$1001,,0)</f>
        <v>No</v>
      </c>
    </row>
    <row r="261" spans="1:18" x14ac:dyDescent="0.35">
      <c r="A261" s="2" t="s">
        <v>1952</v>
      </c>
      <c r="B261" s="3">
        <v>44355</v>
      </c>
      <c r="C261" s="2" t="s">
        <v>1953</v>
      </c>
      <c r="D261" t="s">
        <v>6174</v>
      </c>
      <c r="E261" s="2">
        <v>2</v>
      </c>
      <c r="F261" s="2" t="str">
        <f>_xlfn.XLOOKUP(Orders[[#This Row],[Customer ID]],customers!$A$1:$A$1001,customers!$B$1:$B$1001,,0)</f>
        <v>Irv Hay</v>
      </c>
      <c r="G261" s="2" t="str">
        <f>IF(_xlfn.XLOOKUP(C261,customers!$A$1:$A$1001,customers!C260:C1260,,0)=0,"",_xlfn.XLOOKUP(C261,customers!$A$1:$A$1001,customers!C260:C1260,,0))</f>
        <v>kimortsee@alexa.com</v>
      </c>
      <c r="H261" s="2" t="str">
        <f>_xlfn.XLOOKUP(Orders[[#This Row],[Customer ID]],customers!$A$1:$A$1001,customers!$G$1:$G$1001,,0)</f>
        <v>United Kingdom</v>
      </c>
      <c r="I261" s="2" t="str">
        <f>_xlfn.XLOOKUP(Orders[[#This Row],[Customer ID]],customers!$A$1:$A$1001,customers!$F$1:$F$1001,,0)</f>
        <v>Sheffield</v>
      </c>
      <c r="J261" t="str">
        <f>INDEX(products!$A$1:$G$49,MATCH(orders!$D261,products!$A$1:$A$49,0),MATCH(orders!J$1,products!$A$1:$G$1,0))</f>
        <v>Rob</v>
      </c>
      <c r="K261" t="str">
        <f>INDEX(products!$A$1:$G$49,MATCH(orders!$D261,products!$A$1:$A$49,0),MATCH(orders!K$1,products!$A$1:$G$1,0))</f>
        <v>M</v>
      </c>
      <c r="L261" s="4">
        <f>INDEX(products!$A$1:$G$49,MATCH(orders!$D261,products!$A$1:$A$49,0),MATCH(orders!L$1,products!$A$1:$G$1,0))</f>
        <v>0.2</v>
      </c>
      <c r="M261" s="5">
        <f>INDEX(products!$A$1:$G$49,MATCH(orders!$D261,products!$A$1:$A$49,0),MATCH(orders!M$1,products!$A$1:$G$1,0))</f>
        <v>2.9849999999999999</v>
      </c>
      <c r="N261" s="5">
        <f>Orders[[#This Row],[Quantity]]*(INDEX(products!$A$1:$G$49,MATCH(orders!$D261,products!$A$1:$A$49,0),MATCH(orders!N$1,products!$A$1:$G$1,0)))</f>
        <v>0.35819999999999996</v>
      </c>
      <c r="O261" s="5">
        <f>M261*E261</f>
        <v>5.97</v>
      </c>
      <c r="P261" t="str">
        <f t="shared" si="8"/>
        <v>Robusta</v>
      </c>
      <c r="Q261" t="str">
        <f t="shared" si="9"/>
        <v>Medium</v>
      </c>
      <c r="R261" t="str">
        <f>_xlfn.XLOOKUP(Orders[[#This Row],[Customer ID]],customers!$A$1:$A$1001,customers!$I$1:$I$1001,,0)</f>
        <v>No</v>
      </c>
    </row>
    <row r="262" spans="1:18" x14ac:dyDescent="0.35">
      <c r="A262" s="2" t="s">
        <v>1958</v>
      </c>
      <c r="B262" s="3">
        <v>44156</v>
      </c>
      <c r="C262" s="2" t="s">
        <v>1959</v>
      </c>
      <c r="D262" t="s">
        <v>6142</v>
      </c>
      <c r="E262" s="2">
        <v>1</v>
      </c>
      <c r="F262" s="2" t="str">
        <f>_xlfn.XLOOKUP(Orders[[#This Row],[Customer ID]],customers!$A$1:$A$1001,customers!$B$1:$B$1001,,0)</f>
        <v>Tani Taffarello</v>
      </c>
      <c r="G262" s="2" t="str">
        <f>IF(_xlfn.XLOOKUP(C262,customers!$A$1:$A$1001,customers!C261:C1261,,0)=0,"",_xlfn.XLOOKUP(C262,customers!$A$1:$A$1001,customers!C261:C1261,,0))</f>
        <v>marmisteadeg@blogtalkradio.com</v>
      </c>
      <c r="H262" s="2" t="str">
        <f>_xlfn.XLOOKUP(Orders[[#This Row],[Customer ID]],customers!$A$1:$A$1001,customers!$G$1:$G$1001,,0)</f>
        <v>United States</v>
      </c>
      <c r="I262" s="2" t="str">
        <f>_xlfn.XLOOKUP(Orders[[#This Row],[Customer ID]],customers!$A$1:$A$1001,customers!$F$1:$F$1001,,0)</f>
        <v>Saint Louis</v>
      </c>
      <c r="J262" t="str">
        <f>INDEX(products!$A$1:$G$49,MATCH(orders!$D262,products!$A$1:$A$49,0),MATCH(orders!J$1,products!$A$1:$G$1,0))</f>
        <v>Rob</v>
      </c>
      <c r="K262" t="str">
        <f>INDEX(products!$A$1:$G$49,MATCH(orders!$D262,products!$A$1:$A$49,0),MATCH(orders!K$1,products!$A$1:$G$1,0))</f>
        <v>L</v>
      </c>
      <c r="L262" s="4">
        <f>INDEX(products!$A$1:$G$49,MATCH(orders!$D262,products!$A$1:$A$49,0),MATCH(orders!L$1,products!$A$1:$G$1,0))</f>
        <v>2.5</v>
      </c>
      <c r="M262" s="5">
        <f>INDEX(products!$A$1:$G$49,MATCH(orders!$D262,products!$A$1:$A$49,0),MATCH(orders!M$1,products!$A$1:$G$1,0))</f>
        <v>27.484999999999996</v>
      </c>
      <c r="N262" s="5">
        <f>Orders[[#This Row],[Quantity]]*(INDEX(products!$A$1:$G$49,MATCH(orders!$D262,products!$A$1:$A$49,0),MATCH(orders!N$1,products!$A$1:$G$1,0)))</f>
        <v>1.6490999999999998</v>
      </c>
      <c r="O262" s="5">
        <f>M262*E262</f>
        <v>27.484999999999996</v>
      </c>
      <c r="P262" t="str">
        <f t="shared" si="8"/>
        <v>Robusta</v>
      </c>
      <c r="Q262" t="str">
        <f t="shared" si="9"/>
        <v>Light</v>
      </c>
      <c r="R262" t="str">
        <f>_xlfn.XLOOKUP(Orders[[#This Row],[Customer ID]],customers!$A$1:$A$1001,customers!$I$1:$I$1001,,0)</f>
        <v>Yes</v>
      </c>
    </row>
    <row r="263" spans="1:18" x14ac:dyDescent="0.35">
      <c r="A263" s="2" t="s">
        <v>1963</v>
      </c>
      <c r="B263" s="3">
        <v>43538</v>
      </c>
      <c r="C263" s="2" t="s">
        <v>1964</v>
      </c>
      <c r="D263" t="s">
        <v>6179</v>
      </c>
      <c r="E263" s="2">
        <v>5</v>
      </c>
      <c r="F263" s="2" t="str">
        <f>_xlfn.XLOOKUP(Orders[[#This Row],[Customer ID]],customers!$A$1:$A$1001,customers!$B$1:$B$1001,,0)</f>
        <v>Monique Canty</v>
      </c>
      <c r="G263" s="2" t="str">
        <f>IF(_xlfn.XLOOKUP(C263,customers!$A$1:$A$1001,customers!C262:C1262,,0)=0,"",_xlfn.XLOOKUP(C263,customers!$A$1:$A$1001,customers!C262:C1262,,0))</f>
        <v>vupstoneei@google.pl</v>
      </c>
      <c r="H263" s="2" t="str">
        <f>_xlfn.XLOOKUP(Orders[[#This Row],[Customer ID]],customers!$A$1:$A$1001,customers!$G$1:$G$1001,,0)</f>
        <v>United States</v>
      </c>
      <c r="I263" s="2" t="str">
        <f>_xlfn.XLOOKUP(Orders[[#This Row],[Customer ID]],customers!$A$1:$A$1001,customers!$F$1:$F$1001,,0)</f>
        <v>Erie</v>
      </c>
      <c r="J263" t="str">
        <f>INDEX(products!$A$1:$G$49,MATCH(orders!$D263,products!$A$1:$A$49,0),MATCH(orders!J$1,products!$A$1:$G$1,0))</f>
        <v>Rob</v>
      </c>
      <c r="K263" t="str">
        <f>INDEX(products!$A$1:$G$49,MATCH(orders!$D263,products!$A$1:$A$49,0),MATCH(orders!K$1,products!$A$1:$G$1,0))</f>
        <v>L</v>
      </c>
      <c r="L263" s="4">
        <f>INDEX(products!$A$1:$G$49,MATCH(orders!$D263,products!$A$1:$A$49,0),MATCH(orders!L$1,products!$A$1:$G$1,0))</f>
        <v>1</v>
      </c>
      <c r="M263" s="5">
        <f>INDEX(products!$A$1:$G$49,MATCH(orders!$D263,products!$A$1:$A$49,0),MATCH(orders!M$1,products!$A$1:$G$1,0))</f>
        <v>11.95</v>
      </c>
      <c r="N263" s="5">
        <f>Orders[[#This Row],[Quantity]]*(INDEX(products!$A$1:$G$49,MATCH(orders!$D263,products!$A$1:$A$49,0),MATCH(orders!N$1,products!$A$1:$G$1,0)))</f>
        <v>3.585</v>
      </c>
      <c r="O263" s="5">
        <f>M263*E263</f>
        <v>59.75</v>
      </c>
      <c r="P263" t="str">
        <f t="shared" si="8"/>
        <v>Robusta</v>
      </c>
      <c r="Q263" t="str">
        <f t="shared" si="9"/>
        <v>Light</v>
      </c>
      <c r="R263" t="str">
        <f>_xlfn.XLOOKUP(Orders[[#This Row],[Customer ID]],customers!$A$1:$A$1001,customers!$I$1:$I$1001,,0)</f>
        <v>Yes</v>
      </c>
    </row>
    <row r="264" spans="1:18" x14ac:dyDescent="0.35">
      <c r="A264" s="2" t="s">
        <v>1969</v>
      </c>
      <c r="B264" s="3">
        <v>43693</v>
      </c>
      <c r="C264" s="2" t="s">
        <v>1970</v>
      </c>
      <c r="D264" t="s">
        <v>6141</v>
      </c>
      <c r="E264" s="2">
        <v>3</v>
      </c>
      <c r="F264" s="2" t="str">
        <f>_xlfn.XLOOKUP(Orders[[#This Row],[Customer ID]],customers!$A$1:$A$1001,customers!$B$1:$B$1001,,0)</f>
        <v>Javier Kopke</v>
      </c>
      <c r="G264" s="2" t="str">
        <f>IF(_xlfn.XLOOKUP(C264,customers!$A$1:$A$1001,customers!C263:C1263,,0)=0,"",_xlfn.XLOOKUP(C264,customers!$A$1:$A$1001,customers!C263:C1263,,0))</f>
        <v/>
      </c>
      <c r="H264" s="2" t="str">
        <f>_xlfn.XLOOKUP(Orders[[#This Row],[Customer ID]],customers!$A$1:$A$1001,customers!$G$1:$G$1001,,0)</f>
        <v>United States</v>
      </c>
      <c r="I264" s="2" t="str">
        <f>_xlfn.XLOOKUP(Orders[[#This Row],[Customer ID]],customers!$A$1:$A$1001,customers!$F$1:$F$1001,,0)</f>
        <v>Tacoma</v>
      </c>
      <c r="J264" t="str">
        <f>INDEX(products!$A$1:$G$49,MATCH(orders!$D264,products!$A$1:$A$49,0),MATCH(orders!J$1,products!$A$1:$G$1,0))</f>
        <v>Exc</v>
      </c>
      <c r="K264" t="str">
        <f>INDEX(products!$A$1:$G$49,MATCH(orders!$D264,products!$A$1:$A$49,0),MATCH(orders!K$1,products!$A$1:$G$1,0))</f>
        <v>M</v>
      </c>
      <c r="L264" s="4">
        <f>INDEX(products!$A$1:$G$49,MATCH(orders!$D264,products!$A$1:$A$49,0),MATCH(orders!L$1,products!$A$1:$G$1,0))</f>
        <v>1</v>
      </c>
      <c r="M264" s="5">
        <f>INDEX(products!$A$1:$G$49,MATCH(orders!$D264,products!$A$1:$A$49,0),MATCH(orders!M$1,products!$A$1:$G$1,0))</f>
        <v>13.75</v>
      </c>
      <c r="N264" s="5">
        <f>Orders[[#This Row],[Quantity]]*(INDEX(products!$A$1:$G$49,MATCH(orders!$D264,products!$A$1:$A$49,0),MATCH(orders!N$1,products!$A$1:$G$1,0)))</f>
        <v>4.5374999999999996</v>
      </c>
      <c r="O264" s="5">
        <f>M264*E264</f>
        <v>41.25</v>
      </c>
      <c r="P264" t="str">
        <f t="shared" si="8"/>
        <v>Excelsa</v>
      </c>
      <c r="Q264" t="str">
        <f t="shared" si="9"/>
        <v>Medium</v>
      </c>
      <c r="R264" t="str">
        <f>_xlfn.XLOOKUP(Orders[[#This Row],[Customer ID]],customers!$A$1:$A$1001,customers!$I$1:$I$1001,,0)</f>
        <v>No</v>
      </c>
    </row>
    <row r="265" spans="1:18" x14ac:dyDescent="0.35">
      <c r="A265" s="2" t="s">
        <v>1975</v>
      </c>
      <c r="B265" s="3">
        <v>43577</v>
      </c>
      <c r="C265" s="2" t="s">
        <v>1976</v>
      </c>
      <c r="D265" t="s">
        <v>6181</v>
      </c>
      <c r="E265" s="2">
        <v>4</v>
      </c>
      <c r="F265" s="2" t="str">
        <f>_xlfn.XLOOKUP(Orders[[#This Row],[Customer ID]],customers!$A$1:$A$1001,customers!$B$1:$B$1001,,0)</f>
        <v>Mar McIver</v>
      </c>
      <c r="G265" s="2" t="str">
        <f>IF(_xlfn.XLOOKUP(C265,customers!$A$1:$A$1001,customers!C264:C1264,,0)=0,"",_xlfn.XLOOKUP(C265,customers!$A$1:$A$1001,customers!C264:C1264,,0))</f>
        <v>wspeechlyem@amazon.com</v>
      </c>
      <c r="H265" s="2" t="str">
        <f>_xlfn.XLOOKUP(Orders[[#This Row],[Customer ID]],customers!$A$1:$A$1001,customers!$G$1:$G$1001,,0)</f>
        <v>United States</v>
      </c>
      <c r="I265" s="2" t="str">
        <f>_xlfn.XLOOKUP(Orders[[#This Row],[Customer ID]],customers!$A$1:$A$1001,customers!$F$1:$F$1001,,0)</f>
        <v>Richmond</v>
      </c>
      <c r="J265" t="str">
        <f>INDEX(products!$A$1:$G$49,MATCH(orders!$D265,products!$A$1:$A$49,0),MATCH(orders!J$1,products!$A$1:$G$1,0))</f>
        <v>Lib</v>
      </c>
      <c r="K265" t="str">
        <f>INDEX(products!$A$1:$G$49,MATCH(orders!$D265,products!$A$1:$A$49,0),MATCH(orders!K$1,products!$A$1:$G$1,0))</f>
        <v>M</v>
      </c>
      <c r="L265" s="4">
        <f>INDEX(products!$A$1:$G$49,MATCH(orders!$D265,products!$A$1:$A$49,0),MATCH(orders!L$1,products!$A$1:$G$1,0))</f>
        <v>2.5</v>
      </c>
      <c r="M265" s="5">
        <f>INDEX(products!$A$1:$G$49,MATCH(orders!$D265,products!$A$1:$A$49,0),MATCH(orders!M$1,products!$A$1:$G$1,0))</f>
        <v>33.464999999999996</v>
      </c>
      <c r="N265" s="5">
        <f>Orders[[#This Row],[Quantity]]*(INDEX(products!$A$1:$G$49,MATCH(orders!$D265,products!$A$1:$A$49,0),MATCH(orders!N$1,products!$A$1:$G$1,0)))</f>
        <v>17.401799999999998</v>
      </c>
      <c r="O265" s="5">
        <f>M265*E265</f>
        <v>133.85999999999999</v>
      </c>
      <c r="P265" t="str">
        <f t="shared" si="8"/>
        <v>Liberica</v>
      </c>
      <c r="Q265" t="str">
        <f t="shared" si="9"/>
        <v>Medium</v>
      </c>
      <c r="R265" t="str">
        <f>_xlfn.XLOOKUP(Orders[[#This Row],[Customer ID]],customers!$A$1:$A$1001,customers!$I$1:$I$1001,,0)</f>
        <v>No</v>
      </c>
    </row>
    <row r="266" spans="1:18" x14ac:dyDescent="0.35">
      <c r="A266" s="2" t="s">
        <v>1980</v>
      </c>
      <c r="B266" s="3">
        <v>44683</v>
      </c>
      <c r="C266" s="2" t="s">
        <v>1981</v>
      </c>
      <c r="D266" t="s">
        <v>6179</v>
      </c>
      <c r="E266" s="2">
        <v>5</v>
      </c>
      <c r="F266" s="2" t="str">
        <f>_xlfn.XLOOKUP(Orders[[#This Row],[Customer ID]],customers!$A$1:$A$1001,customers!$B$1:$B$1001,,0)</f>
        <v>Arabella Fransewich</v>
      </c>
      <c r="G266" s="2" t="str">
        <f>IF(_xlfn.XLOOKUP(C266,customers!$A$1:$A$1001,customers!C265:C1265,,0)=0,"",_xlfn.XLOOKUP(C266,customers!$A$1:$A$1001,customers!C265:C1265,,0))</f>
        <v>lpennaccieo@statcounter.com</v>
      </c>
      <c r="H266" s="2" t="str">
        <f>_xlfn.XLOOKUP(Orders[[#This Row],[Customer ID]],customers!$A$1:$A$1001,customers!$G$1:$G$1001,,0)</f>
        <v>Ireland</v>
      </c>
      <c r="I266" s="2" t="str">
        <f>_xlfn.XLOOKUP(Orders[[#This Row],[Customer ID]],customers!$A$1:$A$1001,customers!$F$1:$F$1001,,0)</f>
        <v>Kinsealy-Drinan</v>
      </c>
      <c r="J266" t="str">
        <f>INDEX(products!$A$1:$G$49,MATCH(orders!$D266,products!$A$1:$A$49,0),MATCH(orders!J$1,products!$A$1:$G$1,0))</f>
        <v>Rob</v>
      </c>
      <c r="K266" t="str">
        <f>INDEX(products!$A$1:$G$49,MATCH(orders!$D266,products!$A$1:$A$49,0),MATCH(orders!K$1,products!$A$1:$G$1,0))</f>
        <v>L</v>
      </c>
      <c r="L266" s="4">
        <f>INDEX(products!$A$1:$G$49,MATCH(orders!$D266,products!$A$1:$A$49,0),MATCH(orders!L$1,products!$A$1:$G$1,0))</f>
        <v>1</v>
      </c>
      <c r="M266" s="5">
        <f>INDEX(products!$A$1:$G$49,MATCH(orders!$D266,products!$A$1:$A$49,0),MATCH(orders!M$1,products!$A$1:$G$1,0))</f>
        <v>11.95</v>
      </c>
      <c r="N266" s="5">
        <f>Orders[[#This Row],[Quantity]]*(INDEX(products!$A$1:$G$49,MATCH(orders!$D266,products!$A$1:$A$49,0),MATCH(orders!N$1,products!$A$1:$G$1,0)))</f>
        <v>3.585</v>
      </c>
      <c r="O266" s="5">
        <f>M266*E266</f>
        <v>59.75</v>
      </c>
      <c r="P266" t="str">
        <f t="shared" si="8"/>
        <v>Robusta</v>
      </c>
      <c r="Q266" t="str">
        <f t="shared" si="9"/>
        <v>Light</v>
      </c>
      <c r="R266" t="str">
        <f>_xlfn.XLOOKUP(Orders[[#This Row],[Customer ID]],customers!$A$1:$A$1001,customers!$I$1:$I$1001,,0)</f>
        <v>Yes</v>
      </c>
    </row>
    <row r="267" spans="1:18" x14ac:dyDescent="0.35">
      <c r="A267" s="2" t="s">
        <v>1986</v>
      </c>
      <c r="B267" s="3">
        <v>43872</v>
      </c>
      <c r="C267" s="2" t="s">
        <v>1987</v>
      </c>
      <c r="D267" t="s">
        <v>6158</v>
      </c>
      <c r="E267" s="2">
        <v>1</v>
      </c>
      <c r="F267" s="2" t="str">
        <f>_xlfn.XLOOKUP(Orders[[#This Row],[Customer ID]],customers!$A$1:$A$1001,customers!$B$1:$B$1001,,0)</f>
        <v>Violette Hellmore</v>
      </c>
      <c r="G267" s="2" t="str">
        <f>IF(_xlfn.XLOOKUP(C267,customers!$A$1:$A$1001,customers!C266:C1266,,0)=0,"",_xlfn.XLOOKUP(C267,customers!$A$1:$A$1001,customers!C266:C1266,,0))</f>
        <v>dfrieseq@cargocollective.com</v>
      </c>
      <c r="H267" s="2" t="str">
        <f>_xlfn.XLOOKUP(Orders[[#This Row],[Customer ID]],customers!$A$1:$A$1001,customers!$G$1:$G$1001,,0)</f>
        <v>United States</v>
      </c>
      <c r="I267" s="2" t="str">
        <f>_xlfn.XLOOKUP(Orders[[#This Row],[Customer ID]],customers!$A$1:$A$1001,customers!$F$1:$F$1001,,0)</f>
        <v>Little Rock</v>
      </c>
      <c r="J267" t="str">
        <f>INDEX(products!$A$1:$G$49,MATCH(orders!$D267,products!$A$1:$A$49,0),MATCH(orders!J$1,products!$A$1:$G$1,0))</f>
        <v>Ara</v>
      </c>
      <c r="K267" t="str">
        <f>INDEX(products!$A$1:$G$49,MATCH(orders!$D267,products!$A$1:$A$49,0),MATCH(orders!K$1,products!$A$1:$G$1,0))</f>
        <v>D</v>
      </c>
      <c r="L267" s="4">
        <f>INDEX(products!$A$1:$G$49,MATCH(orders!$D267,products!$A$1:$A$49,0),MATCH(orders!L$1,products!$A$1:$G$1,0))</f>
        <v>0.5</v>
      </c>
      <c r="M267" s="5">
        <f>INDEX(products!$A$1:$G$49,MATCH(orders!$D267,products!$A$1:$A$49,0),MATCH(orders!M$1,products!$A$1:$G$1,0))</f>
        <v>5.97</v>
      </c>
      <c r="N267" s="5">
        <f>Orders[[#This Row],[Quantity]]*(INDEX(products!$A$1:$G$49,MATCH(orders!$D267,products!$A$1:$A$49,0),MATCH(orders!N$1,products!$A$1:$G$1,0)))</f>
        <v>0.5373</v>
      </c>
      <c r="O267" s="5">
        <f>M267*E267</f>
        <v>5.97</v>
      </c>
      <c r="P267" t="str">
        <f t="shared" si="8"/>
        <v>Arabica</v>
      </c>
      <c r="Q267" t="str">
        <f t="shared" si="9"/>
        <v>Dark</v>
      </c>
      <c r="R267" t="str">
        <f>_xlfn.XLOOKUP(Orders[[#This Row],[Customer ID]],customers!$A$1:$A$1001,customers!$I$1:$I$1001,,0)</f>
        <v>Yes</v>
      </c>
    </row>
    <row r="268" spans="1:18" x14ac:dyDescent="0.35">
      <c r="A268" s="2" t="s">
        <v>1992</v>
      </c>
      <c r="B268" s="3">
        <v>44283</v>
      </c>
      <c r="C268" s="2" t="s">
        <v>1993</v>
      </c>
      <c r="D268" t="s">
        <v>6183</v>
      </c>
      <c r="E268" s="2">
        <v>2</v>
      </c>
      <c r="F268" s="2" t="str">
        <f>_xlfn.XLOOKUP(Orders[[#This Row],[Customer ID]],customers!$A$1:$A$1001,customers!$B$1:$B$1001,,0)</f>
        <v>Myles Seawright</v>
      </c>
      <c r="G268" s="2" t="str">
        <f>IF(_xlfn.XLOOKUP(C268,customers!$A$1:$A$1001,customers!C267:C1267,,0)=0,"",_xlfn.XLOOKUP(C268,customers!$A$1:$A$1001,customers!C267:C1267,,0))</f>
        <v>nnasebyes@umich.edu</v>
      </c>
      <c r="H268" s="2" t="str">
        <f>_xlfn.XLOOKUP(Orders[[#This Row],[Customer ID]],customers!$A$1:$A$1001,customers!$G$1:$G$1001,,0)</f>
        <v>United Kingdom</v>
      </c>
      <c r="I268" s="2" t="str">
        <f>_xlfn.XLOOKUP(Orders[[#This Row],[Customer ID]],customers!$A$1:$A$1001,customers!$F$1:$F$1001,,0)</f>
        <v>Newton</v>
      </c>
      <c r="J268" t="str">
        <f>INDEX(products!$A$1:$G$49,MATCH(orders!$D268,products!$A$1:$A$49,0),MATCH(orders!J$1,products!$A$1:$G$1,0))</f>
        <v>Exc</v>
      </c>
      <c r="K268" t="str">
        <f>INDEX(products!$A$1:$G$49,MATCH(orders!$D268,products!$A$1:$A$49,0),MATCH(orders!K$1,products!$A$1:$G$1,0))</f>
        <v>D</v>
      </c>
      <c r="L268" s="4">
        <f>INDEX(products!$A$1:$G$49,MATCH(orders!$D268,products!$A$1:$A$49,0),MATCH(orders!L$1,products!$A$1:$G$1,0))</f>
        <v>1</v>
      </c>
      <c r="M268" s="5">
        <f>INDEX(products!$A$1:$G$49,MATCH(orders!$D268,products!$A$1:$A$49,0),MATCH(orders!M$1,products!$A$1:$G$1,0))</f>
        <v>12.15</v>
      </c>
      <c r="N268" s="5">
        <f>Orders[[#This Row],[Quantity]]*(INDEX(products!$A$1:$G$49,MATCH(orders!$D268,products!$A$1:$A$49,0),MATCH(orders!N$1,products!$A$1:$G$1,0)))</f>
        <v>2.673</v>
      </c>
      <c r="O268" s="5">
        <f>M268*E268</f>
        <v>24.3</v>
      </c>
      <c r="P268" t="str">
        <f t="shared" si="8"/>
        <v>Excelsa</v>
      </c>
      <c r="Q268" t="str">
        <f t="shared" si="9"/>
        <v>Dark</v>
      </c>
      <c r="R268" t="str">
        <f>_xlfn.XLOOKUP(Orders[[#This Row],[Customer ID]],customers!$A$1:$A$1001,customers!$I$1:$I$1001,,0)</f>
        <v>No</v>
      </c>
    </row>
    <row r="269" spans="1:18" x14ac:dyDescent="0.35">
      <c r="A269" s="2" t="s">
        <v>1998</v>
      </c>
      <c r="B269" s="3">
        <v>44324</v>
      </c>
      <c r="C269" s="2" t="s">
        <v>1999</v>
      </c>
      <c r="D269" t="s">
        <v>6153</v>
      </c>
      <c r="E269" s="2">
        <v>6</v>
      </c>
      <c r="F269" s="2" t="str">
        <f>_xlfn.XLOOKUP(Orders[[#This Row],[Customer ID]],customers!$A$1:$A$1001,customers!$B$1:$B$1001,,0)</f>
        <v>Silvana Northeast</v>
      </c>
      <c r="G269" s="2" t="str">
        <f>IF(_xlfn.XLOOKUP(C269,customers!$A$1:$A$1001,customers!C268:C1268,,0)=0,"",_xlfn.XLOOKUP(C269,customers!$A$1:$A$1001,customers!C268:C1268,,0))</f>
        <v>koculleneu@ca.gov</v>
      </c>
      <c r="H269" s="2" t="str">
        <f>_xlfn.XLOOKUP(Orders[[#This Row],[Customer ID]],customers!$A$1:$A$1001,customers!$G$1:$G$1001,,0)</f>
        <v>United States</v>
      </c>
      <c r="I269" s="2" t="str">
        <f>_xlfn.XLOOKUP(Orders[[#This Row],[Customer ID]],customers!$A$1:$A$1001,customers!$F$1:$F$1001,,0)</f>
        <v>Sparks</v>
      </c>
      <c r="J269" t="str">
        <f>INDEX(products!$A$1:$G$49,MATCH(orders!$D269,products!$A$1:$A$49,0),MATCH(orders!J$1,products!$A$1:$G$1,0))</f>
        <v>Exc</v>
      </c>
      <c r="K269" t="str">
        <f>INDEX(products!$A$1:$G$49,MATCH(orders!$D269,products!$A$1:$A$49,0),MATCH(orders!K$1,products!$A$1:$G$1,0))</f>
        <v>D</v>
      </c>
      <c r="L269" s="4">
        <f>INDEX(products!$A$1:$G$49,MATCH(orders!$D269,products!$A$1:$A$49,0),MATCH(orders!L$1,products!$A$1:$G$1,0))</f>
        <v>0.2</v>
      </c>
      <c r="M269" s="5">
        <f>INDEX(products!$A$1:$G$49,MATCH(orders!$D269,products!$A$1:$A$49,0),MATCH(orders!M$1,products!$A$1:$G$1,0))</f>
        <v>3.645</v>
      </c>
      <c r="N269" s="5">
        <f>Orders[[#This Row],[Quantity]]*(INDEX(products!$A$1:$G$49,MATCH(orders!$D269,products!$A$1:$A$49,0),MATCH(orders!N$1,products!$A$1:$G$1,0)))</f>
        <v>2.4057000000000004</v>
      </c>
      <c r="O269" s="5">
        <f>M269*E269</f>
        <v>21.87</v>
      </c>
      <c r="P269" t="str">
        <f t="shared" si="8"/>
        <v>Excelsa</v>
      </c>
      <c r="Q269" t="str">
        <f t="shared" si="9"/>
        <v>Dark</v>
      </c>
      <c r="R269" t="str">
        <f>_xlfn.XLOOKUP(Orders[[#This Row],[Customer ID]],customers!$A$1:$A$1001,customers!$I$1:$I$1001,,0)</f>
        <v>Yes</v>
      </c>
    </row>
    <row r="270" spans="1:18" x14ac:dyDescent="0.35">
      <c r="A270" s="2" t="s">
        <v>2004</v>
      </c>
      <c r="B270" s="3">
        <v>43790</v>
      </c>
      <c r="C270" s="2" t="s">
        <v>1672</v>
      </c>
      <c r="D270" t="s">
        <v>6147</v>
      </c>
      <c r="E270" s="2">
        <v>2</v>
      </c>
      <c r="F270" s="2" t="str">
        <f>_xlfn.XLOOKUP(Orders[[#This Row],[Customer ID]],customers!$A$1:$A$1001,customers!$B$1:$B$1001,,0)</f>
        <v>Anselma Attwater</v>
      </c>
      <c r="G270" s="2" t="str">
        <f>IF(_xlfn.XLOOKUP(C270,customers!$A$1:$A$1001,customers!C269:C1269,,0)=0,"",_xlfn.XLOOKUP(C270,customers!$A$1:$A$1001,customers!C269:C1269,,0))</f>
        <v>abrashda@plala.or.jp</v>
      </c>
      <c r="H270" s="2" t="str">
        <f>_xlfn.XLOOKUP(Orders[[#This Row],[Customer ID]],customers!$A$1:$A$1001,customers!$G$1:$G$1001,,0)</f>
        <v>United States</v>
      </c>
      <c r="I270" s="2" t="str">
        <f>_xlfn.XLOOKUP(Orders[[#This Row],[Customer ID]],customers!$A$1:$A$1001,customers!$F$1:$F$1001,,0)</f>
        <v>Charlottesville</v>
      </c>
      <c r="J270" t="str">
        <f>INDEX(products!$A$1:$G$49,MATCH(orders!$D270,products!$A$1:$A$49,0),MATCH(orders!J$1,products!$A$1:$G$1,0))</f>
        <v>Ara</v>
      </c>
      <c r="K270" t="str">
        <f>INDEX(products!$A$1:$G$49,MATCH(orders!$D270,products!$A$1:$A$49,0),MATCH(orders!K$1,products!$A$1:$G$1,0))</f>
        <v>D</v>
      </c>
      <c r="L270" s="4">
        <f>INDEX(products!$A$1:$G$49,MATCH(orders!$D270,products!$A$1:$A$49,0),MATCH(orders!L$1,products!$A$1:$G$1,0))</f>
        <v>1</v>
      </c>
      <c r="M270" s="5">
        <f>INDEX(products!$A$1:$G$49,MATCH(orders!$D270,products!$A$1:$A$49,0),MATCH(orders!M$1,products!$A$1:$G$1,0))</f>
        <v>9.9499999999999993</v>
      </c>
      <c r="N270" s="5">
        <f>Orders[[#This Row],[Quantity]]*(INDEX(products!$A$1:$G$49,MATCH(orders!$D270,products!$A$1:$A$49,0),MATCH(orders!N$1,products!$A$1:$G$1,0)))</f>
        <v>1.7909999999999997</v>
      </c>
      <c r="O270" s="5">
        <f>M270*E270</f>
        <v>19.899999999999999</v>
      </c>
      <c r="P270" t="str">
        <f t="shared" si="8"/>
        <v>Arabica</v>
      </c>
      <c r="Q270" t="str">
        <f t="shared" si="9"/>
        <v>Dark</v>
      </c>
      <c r="R270" t="str">
        <f>_xlfn.XLOOKUP(Orders[[#This Row],[Customer ID]],customers!$A$1:$A$1001,customers!$I$1:$I$1001,,0)</f>
        <v>Yes</v>
      </c>
    </row>
    <row r="271" spans="1:18" x14ac:dyDescent="0.35">
      <c r="A271" s="2" t="s">
        <v>2009</v>
      </c>
      <c r="B271" s="3">
        <v>44333</v>
      </c>
      <c r="C271" s="2" t="s">
        <v>2010</v>
      </c>
      <c r="D271" t="s">
        <v>6154</v>
      </c>
      <c r="E271" s="2">
        <v>2</v>
      </c>
      <c r="F271" s="2" t="str">
        <f>_xlfn.XLOOKUP(Orders[[#This Row],[Customer ID]],customers!$A$1:$A$1001,customers!$B$1:$B$1001,,0)</f>
        <v>Monica Fearon</v>
      </c>
      <c r="G271" s="2" t="str">
        <f>IF(_xlfn.XLOOKUP(C271,customers!$A$1:$A$1001,customers!C270:C1270,,0)=0,"",_xlfn.XLOOKUP(C271,customers!$A$1:$A$1001,customers!C270:C1270,,0))</f>
        <v>agallyoney@engadget.com</v>
      </c>
      <c r="H271" s="2" t="str">
        <f>_xlfn.XLOOKUP(Orders[[#This Row],[Customer ID]],customers!$A$1:$A$1001,customers!$G$1:$G$1001,,0)</f>
        <v>United States</v>
      </c>
      <c r="I271" s="2" t="str">
        <f>_xlfn.XLOOKUP(Orders[[#This Row],[Customer ID]],customers!$A$1:$A$1001,customers!$F$1:$F$1001,,0)</f>
        <v>Denton</v>
      </c>
      <c r="J271" t="str">
        <f>INDEX(products!$A$1:$G$49,MATCH(orders!$D271,products!$A$1:$A$49,0),MATCH(orders!J$1,products!$A$1:$G$1,0))</f>
        <v>Ara</v>
      </c>
      <c r="K271" t="str">
        <f>INDEX(products!$A$1:$G$49,MATCH(orders!$D271,products!$A$1:$A$49,0),MATCH(orders!K$1,products!$A$1:$G$1,0))</f>
        <v>D</v>
      </c>
      <c r="L271" s="4">
        <f>INDEX(products!$A$1:$G$49,MATCH(orders!$D271,products!$A$1:$A$49,0),MATCH(orders!L$1,products!$A$1:$G$1,0))</f>
        <v>0.2</v>
      </c>
      <c r="M271" s="5">
        <f>INDEX(products!$A$1:$G$49,MATCH(orders!$D271,products!$A$1:$A$49,0),MATCH(orders!M$1,products!$A$1:$G$1,0))</f>
        <v>2.9849999999999999</v>
      </c>
      <c r="N271" s="5">
        <f>Orders[[#This Row],[Quantity]]*(INDEX(products!$A$1:$G$49,MATCH(orders!$D271,products!$A$1:$A$49,0),MATCH(orders!N$1,products!$A$1:$G$1,0)))</f>
        <v>0.5373</v>
      </c>
      <c r="O271" s="5">
        <f>M271*E271</f>
        <v>5.97</v>
      </c>
      <c r="P271" t="str">
        <f t="shared" si="8"/>
        <v>Arabica</v>
      </c>
      <c r="Q271" t="str">
        <f t="shared" si="9"/>
        <v>Dark</v>
      </c>
      <c r="R271" t="str">
        <f>_xlfn.XLOOKUP(Orders[[#This Row],[Customer ID]],customers!$A$1:$A$1001,customers!$I$1:$I$1001,,0)</f>
        <v>No</v>
      </c>
    </row>
    <row r="272" spans="1:18" x14ac:dyDescent="0.35">
      <c r="A272" s="2" t="s">
        <v>2015</v>
      </c>
      <c r="B272" s="3">
        <v>43655</v>
      </c>
      <c r="C272" s="2" t="s">
        <v>2016</v>
      </c>
      <c r="D272" t="s">
        <v>6144</v>
      </c>
      <c r="E272" s="2">
        <v>1</v>
      </c>
      <c r="F272" s="2" t="str">
        <f>_xlfn.XLOOKUP(Orders[[#This Row],[Customer ID]],customers!$A$1:$A$1001,customers!$B$1:$B$1001,,0)</f>
        <v>Barney Chisnell</v>
      </c>
      <c r="G272" s="2" t="str">
        <f>IF(_xlfn.XLOOKUP(C272,customers!$A$1:$A$1001,customers!C271:C1271,,0)=0,"",_xlfn.XLOOKUP(C272,customers!$A$1:$A$1001,customers!C271:C1271,,0))</f>
        <v>koslerf0@gmpg.org</v>
      </c>
      <c r="H272" s="2" t="str">
        <f>_xlfn.XLOOKUP(Orders[[#This Row],[Customer ID]],customers!$A$1:$A$1001,customers!$G$1:$G$1001,,0)</f>
        <v>Ireland</v>
      </c>
      <c r="I272" s="2" t="str">
        <f>_xlfn.XLOOKUP(Orders[[#This Row],[Customer ID]],customers!$A$1:$A$1001,customers!$F$1:$F$1001,,0)</f>
        <v>Tullamore</v>
      </c>
      <c r="J272" t="str">
        <f>INDEX(products!$A$1:$G$49,MATCH(orders!$D272,products!$A$1:$A$49,0),MATCH(orders!J$1,products!$A$1:$G$1,0))</f>
        <v>Exc</v>
      </c>
      <c r="K272" t="str">
        <f>INDEX(products!$A$1:$G$49,MATCH(orders!$D272,products!$A$1:$A$49,0),MATCH(orders!K$1,products!$A$1:$G$1,0))</f>
        <v>D</v>
      </c>
      <c r="L272" s="4">
        <f>INDEX(products!$A$1:$G$49,MATCH(orders!$D272,products!$A$1:$A$49,0),MATCH(orders!L$1,products!$A$1:$G$1,0))</f>
        <v>0.5</v>
      </c>
      <c r="M272" s="5">
        <f>INDEX(products!$A$1:$G$49,MATCH(orders!$D272,products!$A$1:$A$49,0),MATCH(orders!M$1,products!$A$1:$G$1,0))</f>
        <v>7.29</v>
      </c>
      <c r="N272" s="5">
        <f>Orders[[#This Row],[Quantity]]*(INDEX(products!$A$1:$G$49,MATCH(orders!$D272,products!$A$1:$A$49,0),MATCH(orders!N$1,products!$A$1:$G$1,0)))</f>
        <v>0.80190000000000006</v>
      </c>
      <c r="O272" s="5">
        <f>M272*E272</f>
        <v>7.29</v>
      </c>
      <c r="P272" t="str">
        <f t="shared" si="8"/>
        <v>Excelsa</v>
      </c>
      <c r="Q272" t="str">
        <f t="shared" si="9"/>
        <v>Dark</v>
      </c>
      <c r="R272" t="str">
        <f>_xlfn.XLOOKUP(Orders[[#This Row],[Customer ID]],customers!$A$1:$A$1001,customers!$I$1:$I$1001,,0)</f>
        <v>Yes</v>
      </c>
    </row>
    <row r="273" spans="1:18" x14ac:dyDescent="0.35">
      <c r="A273" s="2" t="s">
        <v>2019</v>
      </c>
      <c r="B273" s="3">
        <v>43971</v>
      </c>
      <c r="C273" s="2" t="s">
        <v>2020</v>
      </c>
      <c r="D273" t="s">
        <v>6154</v>
      </c>
      <c r="E273" s="2">
        <v>4</v>
      </c>
      <c r="F273" s="2" t="str">
        <f>_xlfn.XLOOKUP(Orders[[#This Row],[Customer ID]],customers!$A$1:$A$1001,customers!$B$1:$B$1001,,0)</f>
        <v>Jasper Sisneros</v>
      </c>
      <c r="G273" s="2" t="str">
        <f>IF(_xlfn.XLOOKUP(C273,customers!$A$1:$A$1001,customers!C272:C1272,,0)=0,"",_xlfn.XLOOKUP(C273,customers!$A$1:$A$1001,customers!C272:C1272,,0))</f>
        <v>zpellettf2@dailymotion.com</v>
      </c>
      <c r="H273" s="2" t="str">
        <f>_xlfn.XLOOKUP(Orders[[#This Row],[Customer ID]],customers!$A$1:$A$1001,customers!$G$1:$G$1001,,0)</f>
        <v>United States</v>
      </c>
      <c r="I273" s="2" t="str">
        <f>_xlfn.XLOOKUP(Orders[[#This Row],[Customer ID]],customers!$A$1:$A$1001,customers!$F$1:$F$1001,,0)</f>
        <v>Raleigh</v>
      </c>
      <c r="J273" t="str">
        <f>INDEX(products!$A$1:$G$49,MATCH(orders!$D273,products!$A$1:$A$49,0),MATCH(orders!J$1,products!$A$1:$G$1,0))</f>
        <v>Ara</v>
      </c>
      <c r="K273" t="str">
        <f>INDEX(products!$A$1:$G$49,MATCH(orders!$D273,products!$A$1:$A$49,0),MATCH(orders!K$1,products!$A$1:$G$1,0))</f>
        <v>D</v>
      </c>
      <c r="L273" s="4">
        <f>INDEX(products!$A$1:$G$49,MATCH(orders!$D273,products!$A$1:$A$49,0),MATCH(orders!L$1,products!$A$1:$G$1,0))</f>
        <v>0.2</v>
      </c>
      <c r="M273" s="5">
        <f>INDEX(products!$A$1:$G$49,MATCH(orders!$D273,products!$A$1:$A$49,0),MATCH(orders!M$1,products!$A$1:$G$1,0))</f>
        <v>2.9849999999999999</v>
      </c>
      <c r="N273" s="5">
        <f>Orders[[#This Row],[Quantity]]*(INDEX(products!$A$1:$G$49,MATCH(orders!$D273,products!$A$1:$A$49,0),MATCH(orders!N$1,products!$A$1:$G$1,0)))</f>
        <v>1.0746</v>
      </c>
      <c r="O273" s="5">
        <f>M273*E273</f>
        <v>11.94</v>
      </c>
      <c r="P273" t="str">
        <f t="shared" si="8"/>
        <v>Arabica</v>
      </c>
      <c r="Q273" t="str">
        <f t="shared" si="9"/>
        <v>Dark</v>
      </c>
      <c r="R273" t="str">
        <f>_xlfn.XLOOKUP(Orders[[#This Row],[Customer ID]],customers!$A$1:$A$1001,customers!$I$1:$I$1001,,0)</f>
        <v>Yes</v>
      </c>
    </row>
    <row r="274" spans="1:18" x14ac:dyDescent="0.35">
      <c r="A274" s="2" t="s">
        <v>2025</v>
      </c>
      <c r="B274" s="3">
        <v>44435</v>
      </c>
      <c r="C274" s="2" t="s">
        <v>2026</v>
      </c>
      <c r="D274" t="s">
        <v>6179</v>
      </c>
      <c r="E274" s="2">
        <v>6</v>
      </c>
      <c r="F274" s="2" t="str">
        <f>_xlfn.XLOOKUP(Orders[[#This Row],[Customer ID]],customers!$A$1:$A$1001,customers!$B$1:$B$1001,,0)</f>
        <v>Zachariah Carlson</v>
      </c>
      <c r="G274" s="2" t="str">
        <f>IF(_xlfn.XLOOKUP(C274,customers!$A$1:$A$1001,customers!C273:C1273,,0)=0,"",_xlfn.XLOOKUP(C274,customers!$A$1:$A$1001,customers!C273:C1273,,0))</f>
        <v>hfromantf4@ucsd.edu</v>
      </c>
      <c r="H274" s="2" t="str">
        <f>_xlfn.XLOOKUP(Orders[[#This Row],[Customer ID]],customers!$A$1:$A$1001,customers!$G$1:$G$1001,,0)</f>
        <v>Ireland</v>
      </c>
      <c r="I274" s="2" t="str">
        <f>_xlfn.XLOOKUP(Orders[[#This Row],[Customer ID]],customers!$A$1:$A$1001,customers!$F$1:$F$1001,,0)</f>
        <v>Shankill</v>
      </c>
      <c r="J274" t="str">
        <f>INDEX(products!$A$1:$G$49,MATCH(orders!$D274,products!$A$1:$A$49,0),MATCH(orders!J$1,products!$A$1:$G$1,0))</f>
        <v>Rob</v>
      </c>
      <c r="K274" t="str">
        <f>INDEX(products!$A$1:$G$49,MATCH(orders!$D274,products!$A$1:$A$49,0),MATCH(orders!K$1,products!$A$1:$G$1,0))</f>
        <v>L</v>
      </c>
      <c r="L274" s="4">
        <f>INDEX(products!$A$1:$G$49,MATCH(orders!$D274,products!$A$1:$A$49,0),MATCH(orders!L$1,products!$A$1:$G$1,0))</f>
        <v>1</v>
      </c>
      <c r="M274" s="5">
        <f>INDEX(products!$A$1:$G$49,MATCH(orders!$D274,products!$A$1:$A$49,0),MATCH(orders!M$1,products!$A$1:$G$1,0))</f>
        <v>11.95</v>
      </c>
      <c r="N274" s="5">
        <f>Orders[[#This Row],[Quantity]]*(INDEX(products!$A$1:$G$49,MATCH(orders!$D274,products!$A$1:$A$49,0),MATCH(orders!N$1,products!$A$1:$G$1,0)))</f>
        <v>4.3019999999999996</v>
      </c>
      <c r="O274" s="5">
        <f>M274*E274</f>
        <v>71.699999999999989</v>
      </c>
      <c r="P274" t="str">
        <f t="shared" si="8"/>
        <v>Robusta</v>
      </c>
      <c r="Q274" t="str">
        <f t="shared" si="9"/>
        <v>Light</v>
      </c>
      <c r="R274" t="str">
        <f>_xlfn.XLOOKUP(Orders[[#This Row],[Customer ID]],customers!$A$1:$A$1001,customers!$I$1:$I$1001,,0)</f>
        <v>Yes</v>
      </c>
    </row>
    <row r="275" spans="1:18" x14ac:dyDescent="0.35">
      <c r="A275" s="2" t="s">
        <v>2032</v>
      </c>
      <c r="B275" s="3">
        <v>44681</v>
      </c>
      <c r="C275" s="2" t="s">
        <v>2033</v>
      </c>
      <c r="D275" t="s">
        <v>6167</v>
      </c>
      <c r="E275" s="2">
        <v>2</v>
      </c>
      <c r="F275" s="2" t="str">
        <f>_xlfn.XLOOKUP(Orders[[#This Row],[Customer ID]],customers!$A$1:$A$1001,customers!$B$1:$B$1001,,0)</f>
        <v>Warner Maddox</v>
      </c>
      <c r="G275" s="2" t="str">
        <f>IF(_xlfn.XLOOKUP(C275,customers!$A$1:$A$1001,customers!C274:C1274,,0)=0,"",_xlfn.XLOOKUP(C275,customers!$A$1:$A$1001,customers!C274:C1274,,0))</f>
        <v/>
      </c>
      <c r="H275" s="2" t="str">
        <f>_xlfn.XLOOKUP(Orders[[#This Row],[Customer ID]],customers!$A$1:$A$1001,customers!$G$1:$G$1001,,0)</f>
        <v>United States</v>
      </c>
      <c r="I275" s="2" t="str">
        <f>_xlfn.XLOOKUP(Orders[[#This Row],[Customer ID]],customers!$A$1:$A$1001,customers!$F$1:$F$1001,,0)</f>
        <v>New York City</v>
      </c>
      <c r="J275" t="str">
        <f>INDEX(products!$A$1:$G$49,MATCH(orders!$D275,products!$A$1:$A$49,0),MATCH(orders!J$1,products!$A$1:$G$1,0))</f>
        <v>Ara</v>
      </c>
      <c r="K275" t="str">
        <f>INDEX(products!$A$1:$G$49,MATCH(orders!$D275,products!$A$1:$A$49,0),MATCH(orders!K$1,products!$A$1:$G$1,0))</f>
        <v>L</v>
      </c>
      <c r="L275" s="4">
        <f>INDEX(products!$A$1:$G$49,MATCH(orders!$D275,products!$A$1:$A$49,0),MATCH(orders!L$1,products!$A$1:$G$1,0))</f>
        <v>0.2</v>
      </c>
      <c r="M275" s="5">
        <f>INDEX(products!$A$1:$G$49,MATCH(orders!$D275,products!$A$1:$A$49,0),MATCH(orders!M$1,products!$A$1:$G$1,0))</f>
        <v>3.8849999999999998</v>
      </c>
      <c r="N275" s="5">
        <f>Orders[[#This Row],[Quantity]]*(INDEX(products!$A$1:$G$49,MATCH(orders!$D275,products!$A$1:$A$49,0),MATCH(orders!N$1,products!$A$1:$G$1,0)))</f>
        <v>0.69929999999999992</v>
      </c>
      <c r="O275" s="5">
        <f>M275*E275</f>
        <v>7.77</v>
      </c>
      <c r="P275" t="str">
        <f t="shared" si="8"/>
        <v>Arabica</v>
      </c>
      <c r="Q275" t="str">
        <f t="shared" si="9"/>
        <v>Light</v>
      </c>
      <c r="R275" t="str">
        <f>_xlfn.XLOOKUP(Orders[[#This Row],[Customer ID]],customers!$A$1:$A$1001,customers!$I$1:$I$1001,,0)</f>
        <v>No</v>
      </c>
    </row>
    <row r="276" spans="1:18" x14ac:dyDescent="0.35">
      <c r="A276" s="2" t="s">
        <v>2038</v>
      </c>
      <c r="B276" s="3">
        <v>43985</v>
      </c>
      <c r="C276" s="2" t="s">
        <v>2039</v>
      </c>
      <c r="D276" t="s">
        <v>6175</v>
      </c>
      <c r="E276" s="2">
        <v>1</v>
      </c>
      <c r="F276" s="2" t="str">
        <f>_xlfn.XLOOKUP(Orders[[#This Row],[Customer ID]],customers!$A$1:$A$1001,customers!$B$1:$B$1001,,0)</f>
        <v>Donnie Hedlestone</v>
      </c>
      <c r="G276" s="2" t="str">
        <f>IF(_xlfn.XLOOKUP(C276,customers!$A$1:$A$1001,customers!C275:C1275,,0)=0,"",_xlfn.XLOOKUP(C276,customers!$A$1:$A$1001,customers!C275:C1275,,0))</f>
        <v>bmundenf8@elpais.com</v>
      </c>
      <c r="H276" s="2" t="str">
        <f>_xlfn.XLOOKUP(Orders[[#This Row],[Customer ID]],customers!$A$1:$A$1001,customers!$G$1:$G$1001,,0)</f>
        <v>United States</v>
      </c>
      <c r="I276" s="2" t="str">
        <f>_xlfn.XLOOKUP(Orders[[#This Row],[Customer ID]],customers!$A$1:$A$1001,customers!$F$1:$F$1001,,0)</f>
        <v>Stamford</v>
      </c>
      <c r="J276" t="str">
        <f>INDEX(products!$A$1:$G$49,MATCH(orders!$D276,products!$A$1:$A$49,0),MATCH(orders!J$1,products!$A$1:$G$1,0))</f>
        <v>Ara</v>
      </c>
      <c r="K276" t="str">
        <f>INDEX(products!$A$1:$G$49,MATCH(orders!$D276,products!$A$1:$A$49,0),MATCH(orders!K$1,products!$A$1:$G$1,0))</f>
        <v>M</v>
      </c>
      <c r="L276" s="4">
        <f>INDEX(products!$A$1:$G$49,MATCH(orders!$D276,products!$A$1:$A$49,0),MATCH(orders!L$1,products!$A$1:$G$1,0))</f>
        <v>2.5</v>
      </c>
      <c r="M276" s="5">
        <f>INDEX(products!$A$1:$G$49,MATCH(orders!$D276,products!$A$1:$A$49,0),MATCH(orders!M$1,products!$A$1:$G$1,0))</f>
        <v>25.874999999999996</v>
      </c>
      <c r="N276" s="5">
        <f>Orders[[#This Row],[Quantity]]*(INDEX(products!$A$1:$G$49,MATCH(orders!$D276,products!$A$1:$A$49,0),MATCH(orders!N$1,products!$A$1:$G$1,0)))</f>
        <v>2.3287499999999994</v>
      </c>
      <c r="O276" s="5">
        <f>M276*E276</f>
        <v>25.874999999999996</v>
      </c>
      <c r="P276" t="str">
        <f t="shared" si="8"/>
        <v>Arabica</v>
      </c>
      <c r="Q276" t="str">
        <f t="shared" si="9"/>
        <v>Medium</v>
      </c>
      <c r="R276" t="str">
        <f>_xlfn.XLOOKUP(Orders[[#This Row],[Customer ID]],customers!$A$1:$A$1001,customers!$I$1:$I$1001,,0)</f>
        <v>No</v>
      </c>
    </row>
    <row r="277" spans="1:18" x14ac:dyDescent="0.35">
      <c r="A277" s="2" t="s">
        <v>2044</v>
      </c>
      <c r="B277" s="3">
        <v>44725</v>
      </c>
      <c r="C277" s="2" t="s">
        <v>2045</v>
      </c>
      <c r="D277" t="s">
        <v>6148</v>
      </c>
      <c r="E277" s="2">
        <v>6</v>
      </c>
      <c r="F277" s="2" t="str">
        <f>_xlfn.XLOOKUP(Orders[[#This Row],[Customer ID]],customers!$A$1:$A$1001,customers!$B$1:$B$1001,,0)</f>
        <v>Teddi Crowthe</v>
      </c>
      <c r="G277" s="2" t="str">
        <f>IF(_xlfn.XLOOKUP(C277,customers!$A$1:$A$1001,customers!C276:C1276,,0)=0,"",_xlfn.XLOOKUP(C277,customers!$A$1:$A$1001,customers!C276:C1276,,0))</f>
        <v>nbrakespearfa@rediff.com</v>
      </c>
      <c r="H277" s="2" t="str">
        <f>_xlfn.XLOOKUP(Orders[[#This Row],[Customer ID]],customers!$A$1:$A$1001,customers!$G$1:$G$1001,,0)</f>
        <v>United States</v>
      </c>
      <c r="I277" s="2" t="str">
        <f>_xlfn.XLOOKUP(Orders[[#This Row],[Customer ID]],customers!$A$1:$A$1001,customers!$F$1:$F$1001,,0)</f>
        <v>Toledo</v>
      </c>
      <c r="J277" t="str">
        <f>INDEX(products!$A$1:$G$49,MATCH(orders!$D277,products!$A$1:$A$49,0),MATCH(orders!J$1,products!$A$1:$G$1,0))</f>
        <v>Exc</v>
      </c>
      <c r="K277" t="str">
        <f>INDEX(products!$A$1:$G$49,MATCH(orders!$D277,products!$A$1:$A$49,0),MATCH(orders!K$1,products!$A$1:$G$1,0))</f>
        <v>L</v>
      </c>
      <c r="L277" s="4">
        <f>INDEX(products!$A$1:$G$49,MATCH(orders!$D277,products!$A$1:$A$49,0),MATCH(orders!L$1,products!$A$1:$G$1,0))</f>
        <v>2.5</v>
      </c>
      <c r="M277" s="5">
        <f>INDEX(products!$A$1:$G$49,MATCH(orders!$D277,products!$A$1:$A$49,0),MATCH(orders!M$1,products!$A$1:$G$1,0))</f>
        <v>34.154999999999994</v>
      </c>
      <c r="N277" s="5">
        <f>Orders[[#This Row],[Quantity]]*(INDEX(products!$A$1:$G$49,MATCH(orders!$D277,products!$A$1:$A$49,0),MATCH(orders!N$1,products!$A$1:$G$1,0)))</f>
        <v>22.542299999999997</v>
      </c>
      <c r="O277" s="5">
        <f>M277*E277</f>
        <v>204.92999999999995</v>
      </c>
      <c r="P277" t="str">
        <f t="shared" si="8"/>
        <v>Excelsa</v>
      </c>
      <c r="Q277" t="str">
        <f t="shared" si="9"/>
        <v>Light</v>
      </c>
      <c r="R277" t="str">
        <f>_xlfn.XLOOKUP(Orders[[#This Row],[Customer ID]],customers!$A$1:$A$1001,customers!$I$1:$I$1001,,0)</f>
        <v>No</v>
      </c>
    </row>
    <row r="278" spans="1:18" x14ac:dyDescent="0.35">
      <c r="A278" s="2" t="s">
        <v>2050</v>
      </c>
      <c r="B278" s="3">
        <v>43992</v>
      </c>
      <c r="C278" s="2" t="s">
        <v>2051</v>
      </c>
      <c r="D278" t="s">
        <v>6142</v>
      </c>
      <c r="E278" s="2">
        <v>4</v>
      </c>
      <c r="F278" s="2" t="str">
        <f>_xlfn.XLOOKUP(Orders[[#This Row],[Customer ID]],customers!$A$1:$A$1001,customers!$B$1:$B$1001,,0)</f>
        <v>Dorelia Bury</v>
      </c>
      <c r="G278" s="2" t="str">
        <f>IF(_xlfn.XLOOKUP(C278,customers!$A$1:$A$1001,customers!C277:C1277,,0)=0,"",_xlfn.XLOOKUP(C278,customers!$A$1:$A$1001,customers!C277:C1277,,0))</f>
        <v>galbertsfc@etsy.com</v>
      </c>
      <c r="H278" s="2" t="str">
        <f>_xlfn.XLOOKUP(Orders[[#This Row],[Customer ID]],customers!$A$1:$A$1001,customers!$G$1:$G$1001,,0)</f>
        <v>Ireland</v>
      </c>
      <c r="I278" s="2" t="str">
        <f>_xlfn.XLOOKUP(Orders[[#This Row],[Customer ID]],customers!$A$1:$A$1001,customers!$F$1:$F$1001,,0)</f>
        <v>Castleblayney</v>
      </c>
      <c r="J278" t="str">
        <f>INDEX(products!$A$1:$G$49,MATCH(orders!$D278,products!$A$1:$A$49,0),MATCH(orders!J$1,products!$A$1:$G$1,0))</f>
        <v>Rob</v>
      </c>
      <c r="K278" t="str">
        <f>INDEX(products!$A$1:$G$49,MATCH(orders!$D278,products!$A$1:$A$49,0),MATCH(orders!K$1,products!$A$1:$G$1,0))</f>
        <v>L</v>
      </c>
      <c r="L278" s="4">
        <f>INDEX(products!$A$1:$G$49,MATCH(orders!$D278,products!$A$1:$A$49,0),MATCH(orders!L$1,products!$A$1:$G$1,0))</f>
        <v>2.5</v>
      </c>
      <c r="M278" s="5">
        <f>INDEX(products!$A$1:$G$49,MATCH(orders!$D278,products!$A$1:$A$49,0),MATCH(orders!M$1,products!$A$1:$G$1,0))</f>
        <v>27.484999999999996</v>
      </c>
      <c r="N278" s="5">
        <f>Orders[[#This Row],[Quantity]]*(INDEX(products!$A$1:$G$49,MATCH(orders!$D278,products!$A$1:$A$49,0),MATCH(orders!N$1,products!$A$1:$G$1,0)))</f>
        <v>6.5963999999999992</v>
      </c>
      <c r="O278" s="5">
        <f>M278*E278</f>
        <v>109.93999999999998</v>
      </c>
      <c r="P278" t="str">
        <f t="shared" si="8"/>
        <v>Robusta</v>
      </c>
      <c r="Q278" t="str">
        <f t="shared" si="9"/>
        <v>Light</v>
      </c>
      <c r="R278" t="str">
        <f>_xlfn.XLOOKUP(Orders[[#This Row],[Customer ID]],customers!$A$1:$A$1001,customers!$I$1:$I$1001,,0)</f>
        <v>Yes</v>
      </c>
    </row>
    <row r="279" spans="1:18" x14ac:dyDescent="0.35">
      <c r="A279" s="2" t="s">
        <v>2056</v>
      </c>
      <c r="B279" s="3">
        <v>44183</v>
      </c>
      <c r="C279" s="2" t="s">
        <v>2057</v>
      </c>
      <c r="D279" t="s">
        <v>6171</v>
      </c>
      <c r="E279" s="2">
        <v>6</v>
      </c>
      <c r="F279" s="2" t="str">
        <f>_xlfn.XLOOKUP(Orders[[#This Row],[Customer ID]],customers!$A$1:$A$1001,customers!$B$1:$B$1001,,0)</f>
        <v>Gussy Broadbear</v>
      </c>
      <c r="G279" s="2" t="str">
        <f>IF(_xlfn.XLOOKUP(C279,customers!$A$1:$A$1001,customers!C278:C1278,,0)=0,"",_xlfn.XLOOKUP(C279,customers!$A$1:$A$1001,customers!C278:C1278,,0))</f>
        <v/>
      </c>
      <c r="H279" s="2" t="str">
        <f>_xlfn.XLOOKUP(Orders[[#This Row],[Customer ID]],customers!$A$1:$A$1001,customers!$G$1:$G$1001,,0)</f>
        <v>United States</v>
      </c>
      <c r="I279" s="2" t="str">
        <f>_xlfn.XLOOKUP(Orders[[#This Row],[Customer ID]],customers!$A$1:$A$1001,customers!$F$1:$F$1001,,0)</f>
        <v>Columbia</v>
      </c>
      <c r="J279" t="str">
        <f>INDEX(products!$A$1:$G$49,MATCH(orders!$D279,products!$A$1:$A$49,0),MATCH(orders!J$1,products!$A$1:$G$1,0))</f>
        <v>Exc</v>
      </c>
      <c r="K279" t="str">
        <f>INDEX(products!$A$1:$G$49,MATCH(orders!$D279,products!$A$1:$A$49,0),MATCH(orders!K$1,products!$A$1:$G$1,0))</f>
        <v>L</v>
      </c>
      <c r="L279" s="4">
        <f>INDEX(products!$A$1:$G$49,MATCH(orders!$D279,products!$A$1:$A$49,0),MATCH(orders!L$1,products!$A$1:$G$1,0))</f>
        <v>1</v>
      </c>
      <c r="M279" s="5">
        <f>INDEX(products!$A$1:$G$49,MATCH(orders!$D279,products!$A$1:$A$49,0),MATCH(orders!M$1,products!$A$1:$G$1,0))</f>
        <v>14.85</v>
      </c>
      <c r="N279" s="5">
        <f>Orders[[#This Row],[Quantity]]*(INDEX(products!$A$1:$G$49,MATCH(orders!$D279,products!$A$1:$A$49,0),MATCH(orders!N$1,products!$A$1:$G$1,0)))</f>
        <v>9.8010000000000002</v>
      </c>
      <c r="O279" s="5">
        <f>M279*E279</f>
        <v>89.1</v>
      </c>
      <c r="P279" t="str">
        <f t="shared" si="8"/>
        <v>Excelsa</v>
      </c>
      <c r="Q279" t="str">
        <f t="shared" si="9"/>
        <v>Light</v>
      </c>
      <c r="R279" t="str">
        <f>_xlfn.XLOOKUP(Orders[[#This Row],[Customer ID]],customers!$A$1:$A$1001,customers!$I$1:$I$1001,,0)</f>
        <v>No</v>
      </c>
    </row>
    <row r="280" spans="1:18" x14ac:dyDescent="0.35">
      <c r="A280" s="2" t="s">
        <v>2062</v>
      </c>
      <c r="B280" s="3">
        <v>43708</v>
      </c>
      <c r="C280" s="2" t="s">
        <v>2063</v>
      </c>
      <c r="D280" t="s">
        <v>6167</v>
      </c>
      <c r="E280" s="2">
        <v>2</v>
      </c>
      <c r="F280" s="2" t="str">
        <f>_xlfn.XLOOKUP(Orders[[#This Row],[Customer ID]],customers!$A$1:$A$1001,customers!$B$1:$B$1001,,0)</f>
        <v>Emlynne Palfrey</v>
      </c>
      <c r="G280" s="2" t="str">
        <f>IF(_xlfn.XLOOKUP(C280,customers!$A$1:$A$1001,customers!C279:C1279,,0)=0,"",_xlfn.XLOOKUP(C280,customers!$A$1:$A$1001,customers!C279:C1279,,0))</f>
        <v>craisbeckfg@webnode.com</v>
      </c>
      <c r="H280" s="2" t="str">
        <f>_xlfn.XLOOKUP(Orders[[#This Row],[Customer ID]],customers!$A$1:$A$1001,customers!$G$1:$G$1001,,0)</f>
        <v>United States</v>
      </c>
      <c r="I280" s="2" t="str">
        <f>_xlfn.XLOOKUP(Orders[[#This Row],[Customer ID]],customers!$A$1:$A$1001,customers!$F$1:$F$1001,,0)</f>
        <v>Fort Wayne</v>
      </c>
      <c r="J280" t="str">
        <f>INDEX(products!$A$1:$G$49,MATCH(orders!$D280,products!$A$1:$A$49,0),MATCH(orders!J$1,products!$A$1:$G$1,0))</f>
        <v>Ara</v>
      </c>
      <c r="K280" t="str">
        <f>INDEX(products!$A$1:$G$49,MATCH(orders!$D280,products!$A$1:$A$49,0),MATCH(orders!K$1,products!$A$1:$G$1,0))</f>
        <v>L</v>
      </c>
      <c r="L280" s="4">
        <f>INDEX(products!$A$1:$G$49,MATCH(orders!$D280,products!$A$1:$A$49,0),MATCH(orders!L$1,products!$A$1:$G$1,0))</f>
        <v>0.2</v>
      </c>
      <c r="M280" s="5">
        <f>INDEX(products!$A$1:$G$49,MATCH(orders!$D280,products!$A$1:$A$49,0),MATCH(orders!M$1,products!$A$1:$G$1,0))</f>
        <v>3.8849999999999998</v>
      </c>
      <c r="N280" s="5">
        <f>Orders[[#This Row],[Quantity]]*(INDEX(products!$A$1:$G$49,MATCH(orders!$D280,products!$A$1:$A$49,0),MATCH(orders!N$1,products!$A$1:$G$1,0)))</f>
        <v>0.69929999999999992</v>
      </c>
      <c r="O280" s="5">
        <f>M280*E280</f>
        <v>7.77</v>
      </c>
      <c r="P280" t="str">
        <f t="shared" si="8"/>
        <v>Arabica</v>
      </c>
      <c r="Q280" t="str">
        <f t="shared" si="9"/>
        <v>Light</v>
      </c>
      <c r="R280" t="str">
        <f>_xlfn.XLOOKUP(Orders[[#This Row],[Customer ID]],customers!$A$1:$A$1001,customers!$I$1:$I$1001,,0)</f>
        <v>Yes</v>
      </c>
    </row>
    <row r="281" spans="1:18" x14ac:dyDescent="0.35">
      <c r="A281" s="2" t="s">
        <v>2068</v>
      </c>
      <c r="B281" s="3">
        <v>43521</v>
      </c>
      <c r="C281" s="2" t="s">
        <v>2069</v>
      </c>
      <c r="D281" t="s">
        <v>6181</v>
      </c>
      <c r="E281" s="2">
        <v>1</v>
      </c>
      <c r="F281" s="2" t="str">
        <f>_xlfn.XLOOKUP(Orders[[#This Row],[Customer ID]],customers!$A$1:$A$1001,customers!$B$1:$B$1001,,0)</f>
        <v>Parsifal Metrick</v>
      </c>
      <c r="G281" s="2" t="str">
        <f>IF(_xlfn.XLOOKUP(C281,customers!$A$1:$A$1001,customers!C280:C1280,,0)=0,"",_xlfn.XLOOKUP(C281,customers!$A$1:$A$1001,customers!C280:C1280,,0))</f>
        <v/>
      </c>
      <c r="H281" s="2" t="str">
        <f>_xlfn.XLOOKUP(Orders[[#This Row],[Customer ID]],customers!$A$1:$A$1001,customers!$G$1:$G$1001,,0)</f>
        <v>United States</v>
      </c>
      <c r="I281" s="2" t="str">
        <f>_xlfn.XLOOKUP(Orders[[#This Row],[Customer ID]],customers!$A$1:$A$1001,customers!$F$1:$F$1001,,0)</f>
        <v>Saint Louis</v>
      </c>
      <c r="J281" t="str">
        <f>INDEX(products!$A$1:$G$49,MATCH(orders!$D281,products!$A$1:$A$49,0),MATCH(orders!J$1,products!$A$1:$G$1,0))</f>
        <v>Lib</v>
      </c>
      <c r="K281" t="str">
        <f>INDEX(products!$A$1:$G$49,MATCH(orders!$D281,products!$A$1:$A$49,0),MATCH(orders!K$1,products!$A$1:$G$1,0))</f>
        <v>M</v>
      </c>
      <c r="L281" s="4">
        <f>INDEX(products!$A$1:$G$49,MATCH(orders!$D281,products!$A$1:$A$49,0),MATCH(orders!L$1,products!$A$1:$G$1,0))</f>
        <v>2.5</v>
      </c>
      <c r="M281" s="5">
        <f>INDEX(products!$A$1:$G$49,MATCH(orders!$D281,products!$A$1:$A$49,0),MATCH(orders!M$1,products!$A$1:$G$1,0))</f>
        <v>33.464999999999996</v>
      </c>
      <c r="N281" s="5">
        <f>Orders[[#This Row],[Quantity]]*(INDEX(products!$A$1:$G$49,MATCH(orders!$D281,products!$A$1:$A$49,0),MATCH(orders!N$1,products!$A$1:$G$1,0)))</f>
        <v>4.3504499999999995</v>
      </c>
      <c r="O281" s="5">
        <f>M281*E281</f>
        <v>33.464999999999996</v>
      </c>
      <c r="P281" t="str">
        <f t="shared" si="8"/>
        <v>Liberica</v>
      </c>
      <c r="Q281" t="str">
        <f t="shared" si="9"/>
        <v>Medium</v>
      </c>
      <c r="R281" t="str">
        <f>_xlfn.XLOOKUP(Orders[[#This Row],[Customer ID]],customers!$A$1:$A$1001,customers!$I$1:$I$1001,,0)</f>
        <v>Yes</v>
      </c>
    </row>
    <row r="282" spans="1:18" x14ac:dyDescent="0.35">
      <c r="A282" s="2" t="s">
        <v>2074</v>
      </c>
      <c r="B282" s="3">
        <v>44234</v>
      </c>
      <c r="C282" s="2" t="s">
        <v>2075</v>
      </c>
      <c r="D282" t="s">
        <v>6139</v>
      </c>
      <c r="E282" s="2">
        <v>5</v>
      </c>
      <c r="F282" s="2" t="str">
        <f>_xlfn.XLOOKUP(Orders[[#This Row],[Customer ID]],customers!$A$1:$A$1001,customers!$B$1:$B$1001,,0)</f>
        <v>Christopher Grieveson</v>
      </c>
      <c r="G282" s="2" t="str">
        <f>IF(_xlfn.XLOOKUP(C282,customers!$A$1:$A$1001,customers!C281:C1281,,0)=0,"",_xlfn.XLOOKUP(C282,customers!$A$1:$A$1001,customers!C281:C1281,,0))</f>
        <v/>
      </c>
      <c r="H282" s="2" t="str">
        <f>_xlfn.XLOOKUP(Orders[[#This Row],[Customer ID]],customers!$A$1:$A$1001,customers!$G$1:$G$1001,,0)</f>
        <v>United States</v>
      </c>
      <c r="I282" s="2" t="str">
        <f>_xlfn.XLOOKUP(Orders[[#This Row],[Customer ID]],customers!$A$1:$A$1001,customers!$F$1:$F$1001,,0)</f>
        <v>Portland</v>
      </c>
      <c r="J282" t="str">
        <f>INDEX(products!$A$1:$G$49,MATCH(orders!$D282,products!$A$1:$A$49,0),MATCH(orders!J$1,products!$A$1:$G$1,0))</f>
        <v>Exc</v>
      </c>
      <c r="K282" t="str">
        <f>INDEX(products!$A$1:$G$49,MATCH(orders!$D282,products!$A$1:$A$49,0),MATCH(orders!K$1,products!$A$1:$G$1,0))</f>
        <v>M</v>
      </c>
      <c r="L282" s="4">
        <f>INDEX(products!$A$1:$G$49,MATCH(orders!$D282,products!$A$1:$A$49,0),MATCH(orders!L$1,products!$A$1:$G$1,0))</f>
        <v>0.5</v>
      </c>
      <c r="M282" s="5">
        <f>INDEX(products!$A$1:$G$49,MATCH(orders!$D282,products!$A$1:$A$49,0),MATCH(orders!M$1,products!$A$1:$G$1,0))</f>
        <v>8.25</v>
      </c>
      <c r="N282" s="5">
        <f>Orders[[#This Row],[Quantity]]*(INDEX(products!$A$1:$G$49,MATCH(orders!$D282,products!$A$1:$A$49,0),MATCH(orders!N$1,products!$A$1:$G$1,0)))</f>
        <v>4.5374999999999996</v>
      </c>
      <c r="O282" s="5">
        <f>M282*E282</f>
        <v>41.25</v>
      </c>
      <c r="P282" t="str">
        <f t="shared" si="8"/>
        <v>Excelsa</v>
      </c>
      <c r="Q282" t="str">
        <f t="shared" si="9"/>
        <v>Medium</v>
      </c>
      <c r="R282" t="str">
        <f>_xlfn.XLOOKUP(Orders[[#This Row],[Customer ID]],customers!$A$1:$A$1001,customers!$I$1:$I$1001,,0)</f>
        <v>Yes</v>
      </c>
    </row>
    <row r="283" spans="1:18" x14ac:dyDescent="0.35">
      <c r="A283" s="2" t="s">
        <v>2079</v>
      </c>
      <c r="B283" s="3">
        <v>44210</v>
      </c>
      <c r="C283" s="2" t="s">
        <v>2080</v>
      </c>
      <c r="D283" t="s">
        <v>6171</v>
      </c>
      <c r="E283" s="2">
        <v>4</v>
      </c>
      <c r="F283" s="2" t="str">
        <f>_xlfn.XLOOKUP(Orders[[#This Row],[Customer ID]],customers!$A$1:$A$1001,customers!$B$1:$B$1001,,0)</f>
        <v>Karlan Karby</v>
      </c>
      <c r="G283" s="2" t="str">
        <f>IF(_xlfn.XLOOKUP(C283,customers!$A$1:$A$1001,customers!C282:C1282,,0)=0,"",_xlfn.XLOOKUP(C283,customers!$A$1:$A$1001,customers!C282:C1282,,0))</f>
        <v>bgrecefm@naver.com</v>
      </c>
      <c r="H283" s="2" t="str">
        <f>_xlfn.XLOOKUP(Orders[[#This Row],[Customer ID]],customers!$A$1:$A$1001,customers!$G$1:$G$1001,,0)</f>
        <v>United States</v>
      </c>
      <c r="I283" s="2" t="str">
        <f>_xlfn.XLOOKUP(Orders[[#This Row],[Customer ID]],customers!$A$1:$A$1001,customers!$F$1:$F$1001,,0)</f>
        <v>Boulder</v>
      </c>
      <c r="J283" t="str">
        <f>INDEX(products!$A$1:$G$49,MATCH(orders!$D283,products!$A$1:$A$49,0),MATCH(orders!J$1,products!$A$1:$G$1,0))</f>
        <v>Exc</v>
      </c>
      <c r="K283" t="str">
        <f>INDEX(products!$A$1:$G$49,MATCH(orders!$D283,products!$A$1:$A$49,0),MATCH(orders!K$1,products!$A$1:$G$1,0))</f>
        <v>L</v>
      </c>
      <c r="L283" s="4">
        <f>INDEX(products!$A$1:$G$49,MATCH(orders!$D283,products!$A$1:$A$49,0),MATCH(orders!L$1,products!$A$1:$G$1,0))</f>
        <v>1</v>
      </c>
      <c r="M283" s="5">
        <f>INDEX(products!$A$1:$G$49,MATCH(orders!$D283,products!$A$1:$A$49,0),MATCH(orders!M$1,products!$A$1:$G$1,0))</f>
        <v>14.85</v>
      </c>
      <c r="N283" s="5">
        <f>Orders[[#This Row],[Quantity]]*(INDEX(products!$A$1:$G$49,MATCH(orders!$D283,products!$A$1:$A$49,0),MATCH(orders!N$1,products!$A$1:$G$1,0)))</f>
        <v>6.5339999999999998</v>
      </c>
      <c r="O283" s="5">
        <f>M283*E283</f>
        <v>59.4</v>
      </c>
      <c r="P283" t="str">
        <f t="shared" si="8"/>
        <v>Excelsa</v>
      </c>
      <c r="Q283" t="str">
        <f t="shared" si="9"/>
        <v>Light</v>
      </c>
      <c r="R283" t="str">
        <f>_xlfn.XLOOKUP(Orders[[#This Row],[Customer ID]],customers!$A$1:$A$1001,customers!$I$1:$I$1001,,0)</f>
        <v>Yes</v>
      </c>
    </row>
    <row r="284" spans="1:18" x14ac:dyDescent="0.35">
      <c r="A284" s="2" t="s">
        <v>2085</v>
      </c>
      <c r="B284" s="3">
        <v>43520</v>
      </c>
      <c r="C284" s="2" t="s">
        <v>2086</v>
      </c>
      <c r="D284" t="s">
        <v>6180</v>
      </c>
      <c r="E284" s="2">
        <v>1</v>
      </c>
      <c r="F284" s="2" t="str">
        <f>_xlfn.XLOOKUP(Orders[[#This Row],[Customer ID]],customers!$A$1:$A$1001,customers!$B$1:$B$1001,,0)</f>
        <v>Flory Crumpe</v>
      </c>
      <c r="G284" s="2" t="str">
        <f>IF(_xlfn.XLOOKUP(C284,customers!$A$1:$A$1001,customers!C283:C1283,,0)=0,"",_xlfn.XLOOKUP(C284,customers!$A$1:$A$1001,customers!C283:C1283,,0))</f>
        <v>athysfo@cdc.gov</v>
      </c>
      <c r="H284" s="2" t="str">
        <f>_xlfn.XLOOKUP(Orders[[#This Row],[Customer ID]],customers!$A$1:$A$1001,customers!$G$1:$G$1001,,0)</f>
        <v>United Kingdom</v>
      </c>
      <c r="I284" s="2" t="str">
        <f>_xlfn.XLOOKUP(Orders[[#This Row],[Customer ID]],customers!$A$1:$A$1001,customers!$F$1:$F$1001,,0)</f>
        <v>Norton</v>
      </c>
      <c r="J284" t="str">
        <f>INDEX(products!$A$1:$G$49,MATCH(orders!$D284,products!$A$1:$A$49,0),MATCH(orders!J$1,products!$A$1:$G$1,0))</f>
        <v>Ara</v>
      </c>
      <c r="K284" t="str">
        <f>INDEX(products!$A$1:$G$49,MATCH(orders!$D284,products!$A$1:$A$49,0),MATCH(orders!K$1,products!$A$1:$G$1,0))</f>
        <v>L</v>
      </c>
      <c r="L284" s="4">
        <f>INDEX(products!$A$1:$G$49,MATCH(orders!$D284,products!$A$1:$A$49,0),MATCH(orders!L$1,products!$A$1:$G$1,0))</f>
        <v>0.5</v>
      </c>
      <c r="M284" s="5">
        <f>INDEX(products!$A$1:$G$49,MATCH(orders!$D284,products!$A$1:$A$49,0),MATCH(orders!M$1,products!$A$1:$G$1,0))</f>
        <v>7.77</v>
      </c>
      <c r="N284" s="5">
        <f>Orders[[#This Row],[Quantity]]*(INDEX(products!$A$1:$G$49,MATCH(orders!$D284,products!$A$1:$A$49,0),MATCH(orders!N$1,products!$A$1:$G$1,0)))</f>
        <v>0.69929999999999992</v>
      </c>
      <c r="O284" s="5">
        <f>M284*E284</f>
        <v>7.77</v>
      </c>
      <c r="P284" t="str">
        <f t="shared" si="8"/>
        <v>Arabica</v>
      </c>
      <c r="Q284" t="str">
        <f t="shared" si="9"/>
        <v>Light</v>
      </c>
      <c r="R284" t="str">
        <f>_xlfn.XLOOKUP(Orders[[#This Row],[Customer ID]],customers!$A$1:$A$1001,customers!$I$1:$I$1001,,0)</f>
        <v>No</v>
      </c>
    </row>
    <row r="285" spans="1:18" x14ac:dyDescent="0.35">
      <c r="A285" s="2" t="s">
        <v>2091</v>
      </c>
      <c r="B285" s="3">
        <v>43639</v>
      </c>
      <c r="C285" s="2" t="s">
        <v>2092</v>
      </c>
      <c r="D285" t="s">
        <v>6172</v>
      </c>
      <c r="E285" s="2">
        <v>1</v>
      </c>
      <c r="F285" s="2" t="str">
        <f>_xlfn.XLOOKUP(Orders[[#This Row],[Customer ID]],customers!$A$1:$A$1001,customers!$B$1:$B$1001,,0)</f>
        <v>Amity Chatto</v>
      </c>
      <c r="G285" s="2" t="str">
        <f>IF(_xlfn.XLOOKUP(C285,customers!$A$1:$A$1001,customers!C284:C1284,,0)=0,"",_xlfn.XLOOKUP(C285,customers!$A$1:$A$1001,customers!C284:C1284,,0))</f>
        <v>akelstonfq@sakura.ne.jp</v>
      </c>
      <c r="H285" s="2" t="str">
        <f>_xlfn.XLOOKUP(Orders[[#This Row],[Customer ID]],customers!$A$1:$A$1001,customers!$G$1:$G$1001,,0)</f>
        <v>United Kingdom</v>
      </c>
      <c r="I285" s="2" t="str">
        <f>_xlfn.XLOOKUP(Orders[[#This Row],[Customer ID]],customers!$A$1:$A$1001,customers!$F$1:$F$1001,,0)</f>
        <v>Sheffield</v>
      </c>
      <c r="J285" t="str">
        <f>INDEX(products!$A$1:$G$49,MATCH(orders!$D285,products!$A$1:$A$49,0),MATCH(orders!J$1,products!$A$1:$G$1,0))</f>
        <v>Rob</v>
      </c>
      <c r="K285" t="str">
        <f>INDEX(products!$A$1:$G$49,MATCH(orders!$D285,products!$A$1:$A$49,0),MATCH(orders!K$1,products!$A$1:$G$1,0))</f>
        <v>D</v>
      </c>
      <c r="L285" s="4">
        <f>INDEX(products!$A$1:$G$49,MATCH(orders!$D285,products!$A$1:$A$49,0),MATCH(orders!L$1,products!$A$1:$G$1,0))</f>
        <v>0.5</v>
      </c>
      <c r="M285" s="5">
        <f>INDEX(products!$A$1:$G$49,MATCH(orders!$D285,products!$A$1:$A$49,0),MATCH(orders!M$1,products!$A$1:$G$1,0))</f>
        <v>5.3699999999999992</v>
      </c>
      <c r="N285" s="5">
        <f>Orders[[#This Row],[Quantity]]*(INDEX(products!$A$1:$G$49,MATCH(orders!$D285,products!$A$1:$A$49,0),MATCH(orders!N$1,products!$A$1:$G$1,0)))</f>
        <v>0.32219999999999993</v>
      </c>
      <c r="O285" s="5">
        <f>M285*E285</f>
        <v>5.3699999999999992</v>
      </c>
      <c r="P285" t="str">
        <f t="shared" si="8"/>
        <v>Robusta</v>
      </c>
      <c r="Q285" t="str">
        <f t="shared" si="9"/>
        <v>Dark</v>
      </c>
      <c r="R285" t="str">
        <f>_xlfn.XLOOKUP(Orders[[#This Row],[Customer ID]],customers!$A$1:$A$1001,customers!$I$1:$I$1001,,0)</f>
        <v>Yes</v>
      </c>
    </row>
    <row r="286" spans="1:18" x14ac:dyDescent="0.35">
      <c r="A286" s="2" t="s">
        <v>2097</v>
      </c>
      <c r="B286" s="3">
        <v>43960</v>
      </c>
      <c r="C286" s="2" t="s">
        <v>2098</v>
      </c>
      <c r="D286" t="s">
        <v>6166</v>
      </c>
      <c r="E286" s="2">
        <v>3</v>
      </c>
      <c r="F286" s="2" t="str">
        <f>_xlfn.XLOOKUP(Orders[[#This Row],[Customer ID]],customers!$A$1:$A$1001,customers!$B$1:$B$1001,,0)</f>
        <v>Nanine McCarthy</v>
      </c>
      <c r="G286" s="2" t="str">
        <f>IF(_xlfn.XLOOKUP(C286,customers!$A$1:$A$1001,customers!C285:C1285,,0)=0,"",_xlfn.XLOOKUP(C286,customers!$A$1:$A$1001,customers!C285:C1285,,0))</f>
        <v>cmottramfs@harvard.edu</v>
      </c>
      <c r="H286" s="2" t="str">
        <f>_xlfn.XLOOKUP(Orders[[#This Row],[Customer ID]],customers!$A$1:$A$1001,customers!$G$1:$G$1001,,0)</f>
        <v>United States</v>
      </c>
      <c r="I286" s="2" t="str">
        <f>_xlfn.XLOOKUP(Orders[[#This Row],[Customer ID]],customers!$A$1:$A$1001,customers!$F$1:$F$1001,,0)</f>
        <v>Louisville</v>
      </c>
      <c r="J286" t="str">
        <f>INDEX(products!$A$1:$G$49,MATCH(orders!$D286,products!$A$1:$A$49,0),MATCH(orders!J$1,products!$A$1:$G$1,0))</f>
        <v>Exc</v>
      </c>
      <c r="K286" t="str">
        <f>INDEX(products!$A$1:$G$49,MATCH(orders!$D286,products!$A$1:$A$49,0),MATCH(orders!K$1,products!$A$1:$G$1,0))</f>
        <v>M</v>
      </c>
      <c r="L286" s="4">
        <f>INDEX(products!$A$1:$G$49,MATCH(orders!$D286,products!$A$1:$A$49,0),MATCH(orders!L$1,products!$A$1:$G$1,0))</f>
        <v>2.5</v>
      </c>
      <c r="M286" s="5">
        <f>INDEX(products!$A$1:$G$49,MATCH(orders!$D286,products!$A$1:$A$49,0),MATCH(orders!M$1,products!$A$1:$G$1,0))</f>
        <v>31.624999999999996</v>
      </c>
      <c r="N286" s="5">
        <f>Orders[[#This Row],[Quantity]]*(INDEX(products!$A$1:$G$49,MATCH(orders!$D286,products!$A$1:$A$49,0),MATCH(orders!N$1,products!$A$1:$G$1,0)))</f>
        <v>10.436249999999999</v>
      </c>
      <c r="O286" s="5">
        <f>M286*E286</f>
        <v>94.874999999999986</v>
      </c>
      <c r="P286" t="str">
        <f t="shared" si="8"/>
        <v>Excelsa</v>
      </c>
      <c r="Q286" t="str">
        <f t="shared" si="9"/>
        <v>Medium</v>
      </c>
      <c r="R286" t="str">
        <f>_xlfn.XLOOKUP(Orders[[#This Row],[Customer ID]],customers!$A$1:$A$1001,customers!$I$1:$I$1001,,0)</f>
        <v>No</v>
      </c>
    </row>
    <row r="287" spans="1:18" x14ac:dyDescent="0.35">
      <c r="A287" s="2" t="s">
        <v>2102</v>
      </c>
      <c r="B287" s="3">
        <v>44030</v>
      </c>
      <c r="C287" s="2" t="s">
        <v>2103</v>
      </c>
      <c r="D287" t="s">
        <v>6164</v>
      </c>
      <c r="E287" s="2">
        <v>1</v>
      </c>
      <c r="F287" s="2" t="str">
        <f>_xlfn.XLOOKUP(Orders[[#This Row],[Customer ID]],customers!$A$1:$A$1001,customers!$B$1:$B$1001,,0)</f>
        <v>Lyndsey Megany</v>
      </c>
      <c r="G287" s="2" t="str">
        <f>IF(_xlfn.XLOOKUP(C287,customers!$A$1:$A$1001,customers!C286:C1286,,0)=0,"",_xlfn.XLOOKUP(C287,customers!$A$1:$A$1001,customers!C286:C1286,,0))</f>
        <v>dsangwinfu@weebly.com</v>
      </c>
      <c r="H287" s="2" t="str">
        <f>_xlfn.XLOOKUP(Orders[[#This Row],[Customer ID]],customers!$A$1:$A$1001,customers!$G$1:$G$1001,,0)</f>
        <v>United States</v>
      </c>
      <c r="I287" s="2" t="str">
        <f>_xlfn.XLOOKUP(Orders[[#This Row],[Customer ID]],customers!$A$1:$A$1001,customers!$F$1:$F$1001,,0)</f>
        <v>Buffalo</v>
      </c>
      <c r="J287" t="str">
        <f>INDEX(products!$A$1:$G$49,MATCH(orders!$D287,products!$A$1:$A$49,0),MATCH(orders!J$1,products!$A$1:$G$1,0))</f>
        <v>Lib</v>
      </c>
      <c r="K287" t="str">
        <f>INDEX(products!$A$1:$G$49,MATCH(orders!$D287,products!$A$1:$A$49,0),MATCH(orders!K$1,products!$A$1:$G$1,0))</f>
        <v>L</v>
      </c>
      <c r="L287" s="4">
        <f>INDEX(products!$A$1:$G$49,MATCH(orders!$D287,products!$A$1:$A$49,0),MATCH(orders!L$1,products!$A$1:$G$1,0))</f>
        <v>2.5</v>
      </c>
      <c r="M287" s="5">
        <f>INDEX(products!$A$1:$G$49,MATCH(orders!$D287,products!$A$1:$A$49,0),MATCH(orders!M$1,products!$A$1:$G$1,0))</f>
        <v>36.454999999999998</v>
      </c>
      <c r="N287" s="5">
        <f>Orders[[#This Row],[Quantity]]*(INDEX(products!$A$1:$G$49,MATCH(orders!$D287,products!$A$1:$A$49,0),MATCH(orders!N$1,products!$A$1:$G$1,0)))</f>
        <v>4.7391499999999995</v>
      </c>
      <c r="O287" s="5">
        <f>M287*E287</f>
        <v>36.454999999999998</v>
      </c>
      <c r="P287" t="str">
        <f t="shared" si="8"/>
        <v>Liberica</v>
      </c>
      <c r="Q287" t="str">
        <f t="shared" si="9"/>
        <v>Light</v>
      </c>
      <c r="R287" t="str">
        <f>_xlfn.XLOOKUP(Orders[[#This Row],[Customer ID]],customers!$A$1:$A$1001,customers!$I$1:$I$1001,,0)</f>
        <v>No</v>
      </c>
    </row>
    <row r="288" spans="1:18" x14ac:dyDescent="0.35">
      <c r="A288" s="2" t="s">
        <v>2107</v>
      </c>
      <c r="B288" s="3">
        <v>43755</v>
      </c>
      <c r="C288" s="2" t="s">
        <v>2108</v>
      </c>
      <c r="D288" t="s">
        <v>6152</v>
      </c>
      <c r="E288" s="2">
        <v>4</v>
      </c>
      <c r="F288" s="2" t="str">
        <f>_xlfn.XLOOKUP(Orders[[#This Row],[Customer ID]],customers!$A$1:$A$1001,customers!$B$1:$B$1001,,0)</f>
        <v>Byram Mergue</v>
      </c>
      <c r="G288" s="2" t="str">
        <f>IF(_xlfn.XLOOKUP(C288,customers!$A$1:$A$1001,customers!C287:C1287,,0)=0,"",_xlfn.XLOOKUP(C288,customers!$A$1:$A$1001,customers!C287:C1287,,0))</f>
        <v/>
      </c>
      <c r="H288" s="2" t="str">
        <f>_xlfn.XLOOKUP(Orders[[#This Row],[Customer ID]],customers!$A$1:$A$1001,customers!$G$1:$G$1001,,0)</f>
        <v>United States</v>
      </c>
      <c r="I288" s="2" t="str">
        <f>_xlfn.XLOOKUP(Orders[[#This Row],[Customer ID]],customers!$A$1:$A$1001,customers!$F$1:$F$1001,,0)</f>
        <v>Canton</v>
      </c>
      <c r="J288" t="str">
        <f>INDEX(products!$A$1:$G$49,MATCH(orders!$D288,products!$A$1:$A$49,0),MATCH(orders!J$1,products!$A$1:$G$1,0))</f>
        <v>Ara</v>
      </c>
      <c r="K288" t="str">
        <f>INDEX(products!$A$1:$G$49,MATCH(orders!$D288,products!$A$1:$A$49,0),MATCH(orders!K$1,products!$A$1:$G$1,0))</f>
        <v>M</v>
      </c>
      <c r="L288" s="4">
        <f>INDEX(products!$A$1:$G$49,MATCH(orders!$D288,products!$A$1:$A$49,0),MATCH(orders!L$1,products!$A$1:$G$1,0))</f>
        <v>0.2</v>
      </c>
      <c r="M288" s="5">
        <f>INDEX(products!$A$1:$G$49,MATCH(orders!$D288,products!$A$1:$A$49,0),MATCH(orders!M$1,products!$A$1:$G$1,0))</f>
        <v>3.375</v>
      </c>
      <c r="N288" s="5">
        <f>Orders[[#This Row],[Quantity]]*(INDEX(products!$A$1:$G$49,MATCH(orders!$D288,products!$A$1:$A$49,0),MATCH(orders!N$1,products!$A$1:$G$1,0)))</f>
        <v>1.2149999999999999</v>
      </c>
      <c r="O288" s="5">
        <f>M288*E288</f>
        <v>13.5</v>
      </c>
      <c r="P288" t="str">
        <f t="shared" si="8"/>
        <v>Arabica</v>
      </c>
      <c r="Q288" t="str">
        <f t="shared" si="9"/>
        <v>Medium</v>
      </c>
      <c r="R288" t="str">
        <f>_xlfn.XLOOKUP(Orders[[#This Row],[Customer ID]],customers!$A$1:$A$1001,customers!$I$1:$I$1001,,0)</f>
        <v>Yes</v>
      </c>
    </row>
    <row r="289" spans="1:18" x14ac:dyDescent="0.35">
      <c r="A289" s="2" t="s">
        <v>2112</v>
      </c>
      <c r="B289" s="3">
        <v>44697</v>
      </c>
      <c r="C289" s="2" t="s">
        <v>2113</v>
      </c>
      <c r="D289" t="s">
        <v>6178</v>
      </c>
      <c r="E289" s="2">
        <v>4</v>
      </c>
      <c r="F289" s="2" t="str">
        <f>_xlfn.XLOOKUP(Orders[[#This Row],[Customer ID]],customers!$A$1:$A$1001,customers!$B$1:$B$1001,,0)</f>
        <v>Kerr Patise</v>
      </c>
      <c r="G289" s="2" t="str">
        <f>IF(_xlfn.XLOOKUP(C289,customers!$A$1:$A$1001,customers!C288:C1288,,0)=0,"",_xlfn.XLOOKUP(C289,customers!$A$1:$A$1001,customers!C288:C1288,,0))</f>
        <v>mharbyfy@163.com</v>
      </c>
      <c r="H289" s="2" t="str">
        <f>_xlfn.XLOOKUP(Orders[[#This Row],[Customer ID]],customers!$A$1:$A$1001,customers!$G$1:$G$1001,,0)</f>
        <v>United States</v>
      </c>
      <c r="I289" s="2" t="str">
        <f>_xlfn.XLOOKUP(Orders[[#This Row],[Customer ID]],customers!$A$1:$A$1001,customers!$F$1:$F$1001,,0)</f>
        <v>Boston</v>
      </c>
      <c r="J289" t="str">
        <f>INDEX(products!$A$1:$G$49,MATCH(orders!$D289,products!$A$1:$A$49,0),MATCH(orders!J$1,products!$A$1:$G$1,0))</f>
        <v>Rob</v>
      </c>
      <c r="K289" t="str">
        <f>INDEX(products!$A$1:$G$49,MATCH(orders!$D289,products!$A$1:$A$49,0),MATCH(orders!K$1,products!$A$1:$G$1,0))</f>
        <v>L</v>
      </c>
      <c r="L289" s="4">
        <f>INDEX(products!$A$1:$G$49,MATCH(orders!$D289,products!$A$1:$A$49,0),MATCH(orders!L$1,products!$A$1:$G$1,0))</f>
        <v>0.2</v>
      </c>
      <c r="M289" s="5">
        <f>INDEX(products!$A$1:$G$49,MATCH(orders!$D289,products!$A$1:$A$49,0),MATCH(orders!M$1,products!$A$1:$G$1,0))</f>
        <v>3.5849999999999995</v>
      </c>
      <c r="N289" s="5">
        <f>Orders[[#This Row],[Quantity]]*(INDEX(products!$A$1:$G$49,MATCH(orders!$D289,products!$A$1:$A$49,0),MATCH(orders!N$1,products!$A$1:$G$1,0)))</f>
        <v>0.86039999999999983</v>
      </c>
      <c r="O289" s="5">
        <f>M289*E289</f>
        <v>14.339999999999998</v>
      </c>
      <c r="P289" t="str">
        <f t="shared" si="8"/>
        <v>Robusta</v>
      </c>
      <c r="Q289" t="str">
        <f t="shared" si="9"/>
        <v>Light</v>
      </c>
      <c r="R289" t="str">
        <f>_xlfn.XLOOKUP(Orders[[#This Row],[Customer ID]],customers!$A$1:$A$1001,customers!$I$1:$I$1001,,0)</f>
        <v>No</v>
      </c>
    </row>
    <row r="290" spans="1:18" x14ac:dyDescent="0.35">
      <c r="A290" s="2" t="s">
        <v>2118</v>
      </c>
      <c r="B290" s="3">
        <v>44279</v>
      </c>
      <c r="C290" s="2" t="s">
        <v>2119</v>
      </c>
      <c r="D290" t="s">
        <v>6139</v>
      </c>
      <c r="E290" s="2">
        <v>1</v>
      </c>
      <c r="F290" s="2" t="str">
        <f>_xlfn.XLOOKUP(Orders[[#This Row],[Customer ID]],customers!$A$1:$A$1001,customers!$B$1:$B$1001,,0)</f>
        <v>Mathew Goulter</v>
      </c>
      <c r="G290" s="2" t="str">
        <f>IF(_xlfn.XLOOKUP(C290,customers!$A$1:$A$1001,customers!C289:C1289,,0)=0,"",_xlfn.XLOOKUP(C290,customers!$A$1:$A$1001,customers!C289:C1289,,0))</f>
        <v>pormerodg0@redcross.org</v>
      </c>
      <c r="H290" s="2" t="str">
        <f>_xlfn.XLOOKUP(Orders[[#This Row],[Customer ID]],customers!$A$1:$A$1001,customers!$G$1:$G$1001,,0)</f>
        <v>Ireland</v>
      </c>
      <c r="I290" s="2" t="str">
        <f>_xlfn.XLOOKUP(Orders[[#This Row],[Customer ID]],customers!$A$1:$A$1001,customers!$F$1:$F$1001,,0)</f>
        <v>Kinlough</v>
      </c>
      <c r="J290" t="str">
        <f>INDEX(products!$A$1:$G$49,MATCH(orders!$D290,products!$A$1:$A$49,0),MATCH(orders!J$1,products!$A$1:$G$1,0))</f>
        <v>Exc</v>
      </c>
      <c r="K290" t="str">
        <f>INDEX(products!$A$1:$G$49,MATCH(orders!$D290,products!$A$1:$A$49,0),MATCH(orders!K$1,products!$A$1:$G$1,0))</f>
        <v>M</v>
      </c>
      <c r="L290" s="4">
        <f>INDEX(products!$A$1:$G$49,MATCH(orders!$D290,products!$A$1:$A$49,0),MATCH(orders!L$1,products!$A$1:$G$1,0))</f>
        <v>0.5</v>
      </c>
      <c r="M290" s="5">
        <f>INDEX(products!$A$1:$G$49,MATCH(orders!$D290,products!$A$1:$A$49,0),MATCH(orders!M$1,products!$A$1:$G$1,0))</f>
        <v>8.25</v>
      </c>
      <c r="N290" s="5">
        <f>Orders[[#This Row],[Quantity]]*(INDEX(products!$A$1:$G$49,MATCH(orders!$D290,products!$A$1:$A$49,0),MATCH(orders!N$1,products!$A$1:$G$1,0)))</f>
        <v>0.90749999999999997</v>
      </c>
      <c r="O290" s="5">
        <f>M290*E290</f>
        <v>8.25</v>
      </c>
      <c r="P290" t="str">
        <f t="shared" si="8"/>
        <v>Excelsa</v>
      </c>
      <c r="Q290" t="str">
        <f t="shared" si="9"/>
        <v>Medium</v>
      </c>
      <c r="R290" t="str">
        <f>_xlfn.XLOOKUP(Orders[[#This Row],[Customer ID]],customers!$A$1:$A$1001,customers!$I$1:$I$1001,,0)</f>
        <v>Yes</v>
      </c>
    </row>
    <row r="291" spans="1:18" x14ac:dyDescent="0.35">
      <c r="A291" s="2" t="s">
        <v>2123</v>
      </c>
      <c r="B291" s="3">
        <v>43772</v>
      </c>
      <c r="C291" s="2" t="s">
        <v>2124</v>
      </c>
      <c r="D291" t="s">
        <v>6163</v>
      </c>
      <c r="E291" s="2">
        <v>5</v>
      </c>
      <c r="F291" s="2" t="str">
        <f>_xlfn.XLOOKUP(Orders[[#This Row],[Customer ID]],customers!$A$1:$A$1001,customers!$B$1:$B$1001,,0)</f>
        <v>Marris Grcic</v>
      </c>
      <c r="G291" s="2" t="str">
        <f>IF(_xlfn.XLOOKUP(C291,customers!$A$1:$A$1001,customers!C290:C1290,,0)=0,"",_xlfn.XLOOKUP(C291,customers!$A$1:$A$1001,customers!C290:C1290,,0))</f>
        <v>tzanettig2@gravatar.com</v>
      </c>
      <c r="H291" s="2" t="str">
        <f>_xlfn.XLOOKUP(Orders[[#This Row],[Customer ID]],customers!$A$1:$A$1001,customers!$G$1:$G$1001,,0)</f>
        <v>United States</v>
      </c>
      <c r="I291" s="2" t="str">
        <f>_xlfn.XLOOKUP(Orders[[#This Row],[Customer ID]],customers!$A$1:$A$1001,customers!$F$1:$F$1001,,0)</f>
        <v>Lynchburg</v>
      </c>
      <c r="J291" t="str">
        <f>INDEX(products!$A$1:$G$49,MATCH(orders!$D291,products!$A$1:$A$49,0),MATCH(orders!J$1,products!$A$1:$G$1,0))</f>
        <v>Rob</v>
      </c>
      <c r="K291" t="str">
        <f>INDEX(products!$A$1:$G$49,MATCH(orders!$D291,products!$A$1:$A$49,0),MATCH(orders!K$1,products!$A$1:$G$1,0))</f>
        <v>D</v>
      </c>
      <c r="L291" s="4">
        <f>INDEX(products!$A$1:$G$49,MATCH(orders!$D291,products!$A$1:$A$49,0),MATCH(orders!L$1,products!$A$1:$G$1,0))</f>
        <v>0.2</v>
      </c>
      <c r="M291" s="5">
        <f>INDEX(products!$A$1:$G$49,MATCH(orders!$D291,products!$A$1:$A$49,0),MATCH(orders!M$1,products!$A$1:$G$1,0))</f>
        <v>2.6849999999999996</v>
      </c>
      <c r="N291" s="5">
        <f>Orders[[#This Row],[Quantity]]*(INDEX(products!$A$1:$G$49,MATCH(orders!$D291,products!$A$1:$A$49,0),MATCH(orders!N$1,products!$A$1:$G$1,0)))</f>
        <v>0.80549999999999988</v>
      </c>
      <c r="O291" s="5">
        <f>M291*E291</f>
        <v>13.424999999999997</v>
      </c>
      <c r="P291" t="str">
        <f t="shared" si="8"/>
        <v>Robusta</v>
      </c>
      <c r="Q291" t="str">
        <f t="shared" si="9"/>
        <v>Dark</v>
      </c>
      <c r="R291" t="str">
        <f>_xlfn.XLOOKUP(Orders[[#This Row],[Customer ID]],customers!$A$1:$A$1001,customers!$I$1:$I$1001,,0)</f>
        <v>Yes</v>
      </c>
    </row>
    <row r="292" spans="1:18" x14ac:dyDescent="0.35">
      <c r="A292" s="2" t="s">
        <v>2127</v>
      </c>
      <c r="B292" s="3">
        <v>44497</v>
      </c>
      <c r="C292" s="2" t="s">
        <v>2128</v>
      </c>
      <c r="D292" t="s">
        <v>6147</v>
      </c>
      <c r="E292" s="2">
        <v>5</v>
      </c>
      <c r="F292" s="2" t="str">
        <f>_xlfn.XLOOKUP(Orders[[#This Row],[Customer ID]],customers!$A$1:$A$1001,customers!$B$1:$B$1001,,0)</f>
        <v>Domeniga Duke</v>
      </c>
      <c r="G292" s="2" t="str">
        <f>IF(_xlfn.XLOOKUP(C292,customers!$A$1:$A$1001,customers!C291:C1291,,0)=0,"",_xlfn.XLOOKUP(C292,customers!$A$1:$A$1001,customers!C291:C1291,,0))</f>
        <v>rkirtleyg4@hatena.ne.jp</v>
      </c>
      <c r="H292" s="2" t="str">
        <f>_xlfn.XLOOKUP(Orders[[#This Row],[Customer ID]],customers!$A$1:$A$1001,customers!$G$1:$G$1001,,0)</f>
        <v>United States</v>
      </c>
      <c r="I292" s="2" t="str">
        <f>_xlfn.XLOOKUP(Orders[[#This Row],[Customer ID]],customers!$A$1:$A$1001,customers!$F$1:$F$1001,,0)</f>
        <v>Los Angeles</v>
      </c>
      <c r="J292" t="str">
        <f>INDEX(products!$A$1:$G$49,MATCH(orders!$D292,products!$A$1:$A$49,0),MATCH(orders!J$1,products!$A$1:$G$1,0))</f>
        <v>Ara</v>
      </c>
      <c r="K292" t="str">
        <f>INDEX(products!$A$1:$G$49,MATCH(orders!$D292,products!$A$1:$A$49,0),MATCH(orders!K$1,products!$A$1:$G$1,0))</f>
        <v>D</v>
      </c>
      <c r="L292" s="4">
        <f>INDEX(products!$A$1:$G$49,MATCH(orders!$D292,products!$A$1:$A$49,0),MATCH(orders!L$1,products!$A$1:$G$1,0))</f>
        <v>1</v>
      </c>
      <c r="M292" s="5">
        <f>INDEX(products!$A$1:$G$49,MATCH(orders!$D292,products!$A$1:$A$49,0),MATCH(orders!M$1,products!$A$1:$G$1,0))</f>
        <v>9.9499999999999993</v>
      </c>
      <c r="N292" s="5">
        <f>Orders[[#This Row],[Quantity]]*(INDEX(products!$A$1:$G$49,MATCH(orders!$D292,products!$A$1:$A$49,0),MATCH(orders!N$1,products!$A$1:$G$1,0)))</f>
        <v>4.4774999999999991</v>
      </c>
      <c r="O292" s="5">
        <f>M292*E292</f>
        <v>49.75</v>
      </c>
      <c r="P292" t="str">
        <f t="shared" si="8"/>
        <v>Arabica</v>
      </c>
      <c r="Q292" t="str">
        <f t="shared" si="9"/>
        <v>Dark</v>
      </c>
      <c r="R292" t="str">
        <f>_xlfn.XLOOKUP(Orders[[#This Row],[Customer ID]],customers!$A$1:$A$1001,customers!$I$1:$I$1001,,0)</f>
        <v>No</v>
      </c>
    </row>
    <row r="293" spans="1:18" x14ac:dyDescent="0.35">
      <c r="A293" s="2" t="s">
        <v>2133</v>
      </c>
      <c r="B293" s="3">
        <v>44181</v>
      </c>
      <c r="C293" s="2" t="s">
        <v>2134</v>
      </c>
      <c r="D293" t="s">
        <v>6139</v>
      </c>
      <c r="E293" s="2">
        <v>2</v>
      </c>
      <c r="F293" s="2" t="str">
        <f>_xlfn.XLOOKUP(Orders[[#This Row],[Customer ID]],customers!$A$1:$A$1001,customers!$B$1:$B$1001,,0)</f>
        <v>Violante Skouling</v>
      </c>
      <c r="G293" s="2" t="str">
        <f>IF(_xlfn.XLOOKUP(C293,customers!$A$1:$A$1001,customers!C292:C1292,,0)=0,"",_xlfn.XLOOKUP(C293,customers!$A$1:$A$1001,customers!C292:C1292,,0))</f>
        <v>rdonetg6@oakley.com</v>
      </c>
      <c r="H293" s="2" t="str">
        <f>_xlfn.XLOOKUP(Orders[[#This Row],[Customer ID]],customers!$A$1:$A$1001,customers!$G$1:$G$1001,,0)</f>
        <v>Ireland</v>
      </c>
      <c r="I293" s="2" t="str">
        <f>_xlfn.XLOOKUP(Orders[[#This Row],[Customer ID]],customers!$A$1:$A$1001,customers!$F$1:$F$1001,,0)</f>
        <v>Drumcondra</v>
      </c>
      <c r="J293" t="str">
        <f>INDEX(products!$A$1:$G$49,MATCH(orders!$D293,products!$A$1:$A$49,0),MATCH(orders!J$1,products!$A$1:$G$1,0))</f>
        <v>Exc</v>
      </c>
      <c r="K293" t="str">
        <f>INDEX(products!$A$1:$G$49,MATCH(orders!$D293,products!$A$1:$A$49,0),MATCH(orders!K$1,products!$A$1:$G$1,0))</f>
        <v>M</v>
      </c>
      <c r="L293" s="4">
        <f>INDEX(products!$A$1:$G$49,MATCH(orders!$D293,products!$A$1:$A$49,0),MATCH(orders!L$1,products!$A$1:$G$1,0))</f>
        <v>0.5</v>
      </c>
      <c r="M293" s="5">
        <f>INDEX(products!$A$1:$G$49,MATCH(orders!$D293,products!$A$1:$A$49,0),MATCH(orders!M$1,products!$A$1:$G$1,0))</f>
        <v>8.25</v>
      </c>
      <c r="N293" s="5">
        <f>Orders[[#This Row],[Quantity]]*(INDEX(products!$A$1:$G$49,MATCH(orders!$D293,products!$A$1:$A$49,0),MATCH(orders!N$1,products!$A$1:$G$1,0)))</f>
        <v>1.8149999999999999</v>
      </c>
      <c r="O293" s="5">
        <f>M293*E293</f>
        <v>16.5</v>
      </c>
      <c r="P293" t="str">
        <f t="shared" si="8"/>
        <v>Excelsa</v>
      </c>
      <c r="Q293" t="str">
        <f t="shared" si="9"/>
        <v>Medium</v>
      </c>
      <c r="R293" t="str">
        <f>_xlfn.XLOOKUP(Orders[[#This Row],[Customer ID]],customers!$A$1:$A$1001,customers!$I$1:$I$1001,,0)</f>
        <v>No</v>
      </c>
    </row>
    <row r="294" spans="1:18" x14ac:dyDescent="0.35">
      <c r="A294" s="2" t="s">
        <v>2137</v>
      </c>
      <c r="B294" s="3">
        <v>44529</v>
      </c>
      <c r="C294" s="2" t="s">
        <v>2138</v>
      </c>
      <c r="D294" t="s">
        <v>6158</v>
      </c>
      <c r="E294" s="2">
        <v>3</v>
      </c>
      <c r="F294" s="2" t="str">
        <f>_xlfn.XLOOKUP(Orders[[#This Row],[Customer ID]],customers!$A$1:$A$1001,customers!$B$1:$B$1001,,0)</f>
        <v>Isidore Hussey</v>
      </c>
      <c r="G294" s="2" t="str">
        <f>IF(_xlfn.XLOOKUP(C294,customers!$A$1:$A$1001,customers!C293:C1293,,0)=0,"",_xlfn.XLOOKUP(C294,customers!$A$1:$A$1001,customers!C293:C1293,,0))</f>
        <v>rreadieg8@guardian.co.uk</v>
      </c>
      <c r="H294" s="2" t="str">
        <f>_xlfn.XLOOKUP(Orders[[#This Row],[Customer ID]],customers!$A$1:$A$1001,customers!$G$1:$G$1001,,0)</f>
        <v>United States</v>
      </c>
      <c r="I294" s="2" t="str">
        <f>_xlfn.XLOOKUP(Orders[[#This Row],[Customer ID]],customers!$A$1:$A$1001,customers!$F$1:$F$1001,,0)</f>
        <v>Birmingham</v>
      </c>
      <c r="J294" t="str">
        <f>INDEX(products!$A$1:$G$49,MATCH(orders!$D294,products!$A$1:$A$49,0),MATCH(orders!J$1,products!$A$1:$G$1,0))</f>
        <v>Ara</v>
      </c>
      <c r="K294" t="str">
        <f>INDEX(products!$A$1:$G$49,MATCH(orders!$D294,products!$A$1:$A$49,0),MATCH(orders!K$1,products!$A$1:$G$1,0))</f>
        <v>D</v>
      </c>
      <c r="L294" s="4">
        <f>INDEX(products!$A$1:$G$49,MATCH(orders!$D294,products!$A$1:$A$49,0),MATCH(orders!L$1,products!$A$1:$G$1,0))</f>
        <v>0.5</v>
      </c>
      <c r="M294" s="5">
        <f>INDEX(products!$A$1:$G$49,MATCH(orders!$D294,products!$A$1:$A$49,0),MATCH(orders!M$1,products!$A$1:$G$1,0))</f>
        <v>5.97</v>
      </c>
      <c r="N294" s="5">
        <f>Orders[[#This Row],[Quantity]]*(INDEX(products!$A$1:$G$49,MATCH(orders!$D294,products!$A$1:$A$49,0),MATCH(orders!N$1,products!$A$1:$G$1,0)))</f>
        <v>1.6118999999999999</v>
      </c>
      <c r="O294" s="5">
        <f>M294*E294</f>
        <v>17.91</v>
      </c>
      <c r="P294" t="str">
        <f t="shared" si="8"/>
        <v>Arabica</v>
      </c>
      <c r="Q294" t="str">
        <f t="shared" si="9"/>
        <v>Dark</v>
      </c>
      <c r="R294" t="str">
        <f>_xlfn.XLOOKUP(Orders[[#This Row],[Customer ID]],customers!$A$1:$A$1001,customers!$I$1:$I$1001,,0)</f>
        <v>No</v>
      </c>
    </row>
    <row r="295" spans="1:18" x14ac:dyDescent="0.35">
      <c r="A295" s="2" t="s">
        <v>2142</v>
      </c>
      <c r="B295" s="3">
        <v>44275</v>
      </c>
      <c r="C295" s="2" t="s">
        <v>2143</v>
      </c>
      <c r="D295" t="s">
        <v>6158</v>
      </c>
      <c r="E295" s="2">
        <v>5</v>
      </c>
      <c r="F295" s="2" t="str">
        <f>_xlfn.XLOOKUP(Orders[[#This Row],[Customer ID]],customers!$A$1:$A$1001,customers!$B$1:$B$1001,,0)</f>
        <v>Cassie Pinkerton</v>
      </c>
      <c r="G295" s="2" t="str">
        <f>IF(_xlfn.XLOOKUP(C295,customers!$A$1:$A$1001,customers!C294:C1294,,0)=0,"",_xlfn.XLOOKUP(C295,customers!$A$1:$A$1001,customers!C294:C1294,,0))</f>
        <v/>
      </c>
      <c r="H295" s="2" t="str">
        <f>_xlfn.XLOOKUP(Orders[[#This Row],[Customer ID]],customers!$A$1:$A$1001,customers!$G$1:$G$1001,,0)</f>
        <v>United States</v>
      </c>
      <c r="I295" s="2" t="str">
        <f>_xlfn.XLOOKUP(Orders[[#This Row],[Customer ID]],customers!$A$1:$A$1001,customers!$F$1:$F$1001,,0)</f>
        <v>Alexandria</v>
      </c>
      <c r="J295" t="str">
        <f>INDEX(products!$A$1:$G$49,MATCH(orders!$D295,products!$A$1:$A$49,0),MATCH(orders!J$1,products!$A$1:$G$1,0))</f>
        <v>Ara</v>
      </c>
      <c r="K295" t="str">
        <f>INDEX(products!$A$1:$G$49,MATCH(orders!$D295,products!$A$1:$A$49,0),MATCH(orders!K$1,products!$A$1:$G$1,0))</f>
        <v>D</v>
      </c>
      <c r="L295" s="4">
        <f>INDEX(products!$A$1:$G$49,MATCH(orders!$D295,products!$A$1:$A$49,0),MATCH(orders!L$1,products!$A$1:$G$1,0))</f>
        <v>0.5</v>
      </c>
      <c r="M295" s="5">
        <f>INDEX(products!$A$1:$G$49,MATCH(orders!$D295,products!$A$1:$A$49,0),MATCH(orders!M$1,products!$A$1:$G$1,0))</f>
        <v>5.97</v>
      </c>
      <c r="N295" s="5">
        <f>Orders[[#This Row],[Quantity]]*(INDEX(products!$A$1:$G$49,MATCH(orders!$D295,products!$A$1:$A$49,0),MATCH(orders!N$1,products!$A$1:$G$1,0)))</f>
        <v>2.6865000000000001</v>
      </c>
      <c r="O295" s="5">
        <f>M295*E295</f>
        <v>29.849999999999998</v>
      </c>
      <c r="P295" t="str">
        <f t="shared" si="8"/>
        <v>Arabica</v>
      </c>
      <c r="Q295" t="str">
        <f t="shared" si="9"/>
        <v>Dark</v>
      </c>
      <c r="R295" t="str">
        <f>_xlfn.XLOOKUP(Orders[[#This Row],[Customer ID]],customers!$A$1:$A$1001,customers!$I$1:$I$1001,,0)</f>
        <v>No</v>
      </c>
    </row>
    <row r="296" spans="1:18" x14ac:dyDescent="0.35">
      <c r="A296" s="2" t="s">
        <v>2148</v>
      </c>
      <c r="B296" s="3">
        <v>44659</v>
      </c>
      <c r="C296" s="2" t="s">
        <v>2149</v>
      </c>
      <c r="D296" t="s">
        <v>6171</v>
      </c>
      <c r="E296" s="2">
        <v>3</v>
      </c>
      <c r="F296" s="2" t="str">
        <f>_xlfn.XLOOKUP(Orders[[#This Row],[Customer ID]],customers!$A$1:$A$1001,customers!$B$1:$B$1001,,0)</f>
        <v>Micki Fero</v>
      </c>
      <c r="G296" s="2" t="str">
        <f>IF(_xlfn.XLOOKUP(C296,customers!$A$1:$A$1001,customers!C295:C1295,,0)=0,"",_xlfn.XLOOKUP(C296,customers!$A$1:$A$1001,customers!C295:C1295,,0))</f>
        <v>vstansburygc@unblog.fr</v>
      </c>
      <c r="H296" s="2" t="str">
        <f>_xlfn.XLOOKUP(Orders[[#This Row],[Customer ID]],customers!$A$1:$A$1001,customers!$G$1:$G$1001,,0)</f>
        <v>United States</v>
      </c>
      <c r="I296" s="2" t="str">
        <f>_xlfn.XLOOKUP(Orders[[#This Row],[Customer ID]],customers!$A$1:$A$1001,customers!$F$1:$F$1001,,0)</f>
        <v>Danbury</v>
      </c>
      <c r="J296" t="str">
        <f>INDEX(products!$A$1:$G$49,MATCH(orders!$D296,products!$A$1:$A$49,0),MATCH(orders!J$1,products!$A$1:$G$1,0))</f>
        <v>Exc</v>
      </c>
      <c r="K296" t="str">
        <f>INDEX(products!$A$1:$G$49,MATCH(orders!$D296,products!$A$1:$A$49,0),MATCH(orders!K$1,products!$A$1:$G$1,0))</f>
        <v>L</v>
      </c>
      <c r="L296" s="4">
        <f>INDEX(products!$A$1:$G$49,MATCH(orders!$D296,products!$A$1:$A$49,0),MATCH(orders!L$1,products!$A$1:$G$1,0))</f>
        <v>1</v>
      </c>
      <c r="M296" s="5">
        <f>INDEX(products!$A$1:$G$49,MATCH(orders!$D296,products!$A$1:$A$49,0),MATCH(orders!M$1,products!$A$1:$G$1,0))</f>
        <v>14.85</v>
      </c>
      <c r="N296" s="5">
        <f>Orders[[#This Row],[Quantity]]*(INDEX(products!$A$1:$G$49,MATCH(orders!$D296,products!$A$1:$A$49,0),MATCH(orders!N$1,products!$A$1:$G$1,0)))</f>
        <v>4.9005000000000001</v>
      </c>
      <c r="O296" s="5">
        <f>M296*E296</f>
        <v>44.55</v>
      </c>
      <c r="P296" t="str">
        <f t="shared" si="8"/>
        <v>Excelsa</v>
      </c>
      <c r="Q296" t="str">
        <f t="shared" si="9"/>
        <v>Light</v>
      </c>
      <c r="R296" t="str">
        <f>_xlfn.XLOOKUP(Orders[[#This Row],[Customer ID]],customers!$A$1:$A$1001,customers!$I$1:$I$1001,,0)</f>
        <v>No</v>
      </c>
    </row>
    <row r="297" spans="1:18" x14ac:dyDescent="0.35">
      <c r="A297" s="2" t="s">
        <v>2153</v>
      </c>
      <c r="B297" s="3">
        <v>44057</v>
      </c>
      <c r="C297" s="2" t="s">
        <v>2154</v>
      </c>
      <c r="D297" t="s">
        <v>6141</v>
      </c>
      <c r="E297" s="2">
        <v>2</v>
      </c>
      <c r="F297" s="2" t="str">
        <f>_xlfn.XLOOKUP(Orders[[#This Row],[Customer ID]],customers!$A$1:$A$1001,customers!$B$1:$B$1001,,0)</f>
        <v>Cybill Graddell</v>
      </c>
      <c r="G297" s="2" t="str">
        <f>IF(_xlfn.XLOOKUP(C297,customers!$A$1:$A$1001,customers!C296:C1296,,0)=0,"",_xlfn.XLOOKUP(C297,customers!$A$1:$A$1001,customers!C296:C1296,,0))</f>
        <v>jshentonge@google.com.hk</v>
      </c>
      <c r="H297" s="2" t="str">
        <f>_xlfn.XLOOKUP(Orders[[#This Row],[Customer ID]],customers!$A$1:$A$1001,customers!$G$1:$G$1001,,0)</f>
        <v>United States</v>
      </c>
      <c r="I297" s="2" t="str">
        <f>_xlfn.XLOOKUP(Orders[[#This Row],[Customer ID]],customers!$A$1:$A$1001,customers!$F$1:$F$1001,,0)</f>
        <v>Albany</v>
      </c>
      <c r="J297" t="str">
        <f>INDEX(products!$A$1:$G$49,MATCH(orders!$D297,products!$A$1:$A$49,0),MATCH(orders!J$1,products!$A$1:$G$1,0))</f>
        <v>Exc</v>
      </c>
      <c r="K297" t="str">
        <f>INDEX(products!$A$1:$G$49,MATCH(orders!$D297,products!$A$1:$A$49,0),MATCH(orders!K$1,products!$A$1:$G$1,0))</f>
        <v>M</v>
      </c>
      <c r="L297" s="4">
        <f>INDEX(products!$A$1:$G$49,MATCH(orders!$D297,products!$A$1:$A$49,0),MATCH(orders!L$1,products!$A$1:$G$1,0))</f>
        <v>1</v>
      </c>
      <c r="M297" s="5">
        <f>INDEX(products!$A$1:$G$49,MATCH(orders!$D297,products!$A$1:$A$49,0),MATCH(orders!M$1,products!$A$1:$G$1,0))</f>
        <v>13.75</v>
      </c>
      <c r="N297" s="5">
        <f>Orders[[#This Row],[Quantity]]*(INDEX(products!$A$1:$G$49,MATCH(orders!$D297,products!$A$1:$A$49,0),MATCH(orders!N$1,products!$A$1:$G$1,0)))</f>
        <v>3.0249999999999999</v>
      </c>
      <c r="O297" s="5">
        <f>M297*E297</f>
        <v>27.5</v>
      </c>
      <c r="P297" t="str">
        <f t="shared" si="8"/>
        <v>Excelsa</v>
      </c>
      <c r="Q297" t="str">
        <f t="shared" si="9"/>
        <v>Medium</v>
      </c>
      <c r="R297" t="str">
        <f>_xlfn.XLOOKUP(Orders[[#This Row],[Customer ID]],customers!$A$1:$A$1001,customers!$I$1:$I$1001,,0)</f>
        <v>No</v>
      </c>
    </row>
    <row r="298" spans="1:18" x14ac:dyDescent="0.35">
      <c r="A298" s="2" t="s">
        <v>2157</v>
      </c>
      <c r="B298" s="3">
        <v>43597</v>
      </c>
      <c r="C298" s="2" t="s">
        <v>2158</v>
      </c>
      <c r="D298" t="s">
        <v>6146</v>
      </c>
      <c r="E298" s="2">
        <v>6</v>
      </c>
      <c r="F298" s="2" t="str">
        <f>_xlfn.XLOOKUP(Orders[[#This Row],[Customer ID]],customers!$A$1:$A$1001,customers!$B$1:$B$1001,,0)</f>
        <v>Dorian Vizor</v>
      </c>
      <c r="G298" s="2" t="str">
        <f>IF(_xlfn.XLOOKUP(C298,customers!$A$1:$A$1001,customers!C297:C1297,,0)=0,"",_xlfn.XLOOKUP(C298,customers!$A$1:$A$1001,customers!C297:C1297,,0))</f>
        <v/>
      </c>
      <c r="H298" s="2" t="str">
        <f>_xlfn.XLOOKUP(Orders[[#This Row],[Customer ID]],customers!$A$1:$A$1001,customers!$G$1:$G$1001,,0)</f>
        <v>United States</v>
      </c>
      <c r="I298" s="2" t="str">
        <f>_xlfn.XLOOKUP(Orders[[#This Row],[Customer ID]],customers!$A$1:$A$1001,customers!$F$1:$F$1001,,0)</f>
        <v>Naples</v>
      </c>
      <c r="J298" t="str">
        <f>INDEX(products!$A$1:$G$49,MATCH(orders!$D298,products!$A$1:$A$49,0),MATCH(orders!J$1,products!$A$1:$G$1,0))</f>
        <v>Rob</v>
      </c>
      <c r="K298" t="str">
        <f>INDEX(products!$A$1:$G$49,MATCH(orders!$D298,products!$A$1:$A$49,0),MATCH(orders!K$1,products!$A$1:$G$1,0))</f>
        <v>M</v>
      </c>
      <c r="L298" s="4">
        <f>INDEX(products!$A$1:$G$49,MATCH(orders!$D298,products!$A$1:$A$49,0),MATCH(orders!L$1,products!$A$1:$G$1,0))</f>
        <v>0.5</v>
      </c>
      <c r="M298" s="5">
        <f>INDEX(products!$A$1:$G$49,MATCH(orders!$D298,products!$A$1:$A$49,0),MATCH(orders!M$1,products!$A$1:$G$1,0))</f>
        <v>5.97</v>
      </c>
      <c r="N298" s="5">
        <f>Orders[[#This Row],[Quantity]]*(INDEX(products!$A$1:$G$49,MATCH(orders!$D298,products!$A$1:$A$49,0),MATCH(orders!N$1,products!$A$1:$G$1,0)))</f>
        <v>2.1491999999999996</v>
      </c>
      <c r="O298" s="5">
        <f>M298*E298</f>
        <v>35.82</v>
      </c>
      <c r="P298" t="str">
        <f t="shared" si="8"/>
        <v>Robusta</v>
      </c>
      <c r="Q298" t="str">
        <f t="shared" si="9"/>
        <v>Medium</v>
      </c>
      <c r="R298" t="str">
        <f>_xlfn.XLOOKUP(Orders[[#This Row],[Customer ID]],customers!$A$1:$A$1001,customers!$I$1:$I$1001,,0)</f>
        <v>Yes</v>
      </c>
    </row>
    <row r="299" spans="1:18" x14ac:dyDescent="0.35">
      <c r="A299" s="2" t="s">
        <v>2163</v>
      </c>
      <c r="B299" s="3">
        <v>44258</v>
      </c>
      <c r="C299" s="2" t="s">
        <v>2164</v>
      </c>
      <c r="D299" t="s">
        <v>6172</v>
      </c>
      <c r="E299" s="2">
        <v>3</v>
      </c>
      <c r="F299" s="2" t="str">
        <f>_xlfn.XLOOKUP(Orders[[#This Row],[Customer ID]],customers!$A$1:$A$1001,customers!$B$1:$B$1001,,0)</f>
        <v>Eddi Sedgebeer</v>
      </c>
      <c r="G299" s="2" t="str">
        <f>IF(_xlfn.XLOOKUP(C299,customers!$A$1:$A$1001,customers!C298:C1298,,0)=0,"",_xlfn.XLOOKUP(C299,customers!$A$1:$A$1001,customers!C298:C1298,,0))</f>
        <v>gstarcksgi@abc.net.au</v>
      </c>
      <c r="H299" s="2" t="str">
        <f>_xlfn.XLOOKUP(Orders[[#This Row],[Customer ID]],customers!$A$1:$A$1001,customers!$G$1:$G$1001,,0)</f>
        <v>United States</v>
      </c>
      <c r="I299" s="2" t="str">
        <f>_xlfn.XLOOKUP(Orders[[#This Row],[Customer ID]],customers!$A$1:$A$1001,customers!$F$1:$F$1001,,0)</f>
        <v>Miami Beach</v>
      </c>
      <c r="J299" t="str">
        <f>INDEX(products!$A$1:$G$49,MATCH(orders!$D299,products!$A$1:$A$49,0),MATCH(orders!J$1,products!$A$1:$G$1,0))</f>
        <v>Rob</v>
      </c>
      <c r="K299" t="str">
        <f>INDEX(products!$A$1:$G$49,MATCH(orders!$D299,products!$A$1:$A$49,0),MATCH(orders!K$1,products!$A$1:$G$1,0))</f>
        <v>D</v>
      </c>
      <c r="L299" s="4">
        <f>INDEX(products!$A$1:$G$49,MATCH(orders!$D299,products!$A$1:$A$49,0),MATCH(orders!L$1,products!$A$1:$G$1,0))</f>
        <v>0.5</v>
      </c>
      <c r="M299" s="5">
        <f>INDEX(products!$A$1:$G$49,MATCH(orders!$D299,products!$A$1:$A$49,0),MATCH(orders!M$1,products!$A$1:$G$1,0))</f>
        <v>5.3699999999999992</v>
      </c>
      <c r="N299" s="5">
        <f>Orders[[#This Row],[Quantity]]*(INDEX(products!$A$1:$G$49,MATCH(orders!$D299,products!$A$1:$A$49,0),MATCH(orders!N$1,products!$A$1:$G$1,0)))</f>
        <v>0.96659999999999979</v>
      </c>
      <c r="O299" s="5">
        <f>M299*E299</f>
        <v>16.11</v>
      </c>
      <c r="P299" t="str">
        <f t="shared" si="8"/>
        <v>Robusta</v>
      </c>
      <c r="Q299" t="str">
        <f t="shared" si="9"/>
        <v>Dark</v>
      </c>
      <c r="R299" t="str">
        <f>_xlfn.XLOOKUP(Orders[[#This Row],[Customer ID]],customers!$A$1:$A$1001,customers!$I$1:$I$1001,,0)</f>
        <v>Yes</v>
      </c>
    </row>
    <row r="300" spans="1:18" x14ac:dyDescent="0.35">
      <c r="A300" s="2" t="s">
        <v>2169</v>
      </c>
      <c r="B300" s="3">
        <v>43872</v>
      </c>
      <c r="C300" s="2" t="s">
        <v>2170</v>
      </c>
      <c r="D300" t="s">
        <v>6184</v>
      </c>
      <c r="E300" s="2">
        <v>6</v>
      </c>
      <c r="F300" s="2" t="str">
        <f>_xlfn.XLOOKUP(Orders[[#This Row],[Customer ID]],customers!$A$1:$A$1001,customers!$B$1:$B$1001,,0)</f>
        <v>Ken Lestrange</v>
      </c>
      <c r="G300" s="2" t="str">
        <f>IF(_xlfn.XLOOKUP(C300,customers!$A$1:$A$1001,customers!C299:C1299,,0)=0,"",_xlfn.XLOOKUP(C300,customers!$A$1:$A$1001,customers!C299:C1299,,0))</f>
        <v>kscholardgk@sbwire.com</v>
      </c>
      <c r="H300" s="2" t="str">
        <f>_xlfn.XLOOKUP(Orders[[#This Row],[Customer ID]],customers!$A$1:$A$1001,customers!$G$1:$G$1001,,0)</f>
        <v>United States</v>
      </c>
      <c r="I300" s="2" t="str">
        <f>_xlfn.XLOOKUP(Orders[[#This Row],[Customer ID]],customers!$A$1:$A$1001,customers!$F$1:$F$1001,,0)</f>
        <v>Atlanta</v>
      </c>
      <c r="J300" t="str">
        <f>INDEX(products!$A$1:$G$49,MATCH(orders!$D300,products!$A$1:$A$49,0),MATCH(orders!J$1,products!$A$1:$G$1,0))</f>
        <v>Exc</v>
      </c>
      <c r="K300" t="str">
        <f>INDEX(products!$A$1:$G$49,MATCH(orders!$D300,products!$A$1:$A$49,0),MATCH(orders!K$1,products!$A$1:$G$1,0))</f>
        <v>L</v>
      </c>
      <c r="L300" s="4">
        <f>INDEX(products!$A$1:$G$49,MATCH(orders!$D300,products!$A$1:$A$49,0),MATCH(orders!L$1,products!$A$1:$G$1,0))</f>
        <v>0.2</v>
      </c>
      <c r="M300" s="5">
        <f>INDEX(products!$A$1:$G$49,MATCH(orders!$D300,products!$A$1:$A$49,0),MATCH(orders!M$1,products!$A$1:$G$1,0))</f>
        <v>4.4550000000000001</v>
      </c>
      <c r="N300" s="5">
        <f>Orders[[#This Row],[Quantity]]*(INDEX(products!$A$1:$G$49,MATCH(orders!$D300,products!$A$1:$A$49,0),MATCH(orders!N$1,products!$A$1:$G$1,0)))</f>
        <v>2.9402999999999997</v>
      </c>
      <c r="O300" s="5">
        <f>M300*E300</f>
        <v>26.73</v>
      </c>
      <c r="P300" t="str">
        <f t="shared" si="8"/>
        <v>Excelsa</v>
      </c>
      <c r="Q300" t="str">
        <f t="shared" si="9"/>
        <v>Light</v>
      </c>
      <c r="R300" t="str">
        <f>_xlfn.XLOOKUP(Orders[[#This Row],[Customer ID]],customers!$A$1:$A$1001,customers!$I$1:$I$1001,,0)</f>
        <v>Yes</v>
      </c>
    </row>
    <row r="301" spans="1:18" x14ac:dyDescent="0.35">
      <c r="A301" s="2" t="s">
        <v>2175</v>
      </c>
      <c r="B301" s="3">
        <v>43582</v>
      </c>
      <c r="C301" s="2" t="s">
        <v>2176</v>
      </c>
      <c r="D301" t="s">
        <v>6148</v>
      </c>
      <c r="E301" s="2">
        <v>6</v>
      </c>
      <c r="F301" s="2" t="str">
        <f>_xlfn.XLOOKUP(Orders[[#This Row],[Customer ID]],customers!$A$1:$A$1001,customers!$B$1:$B$1001,,0)</f>
        <v>Lacee Tanti</v>
      </c>
      <c r="G301" s="2" t="str">
        <f>IF(_xlfn.XLOOKUP(C301,customers!$A$1:$A$1001,customers!C300:C1300,,0)=0,"",_xlfn.XLOOKUP(C301,customers!$A$1:$A$1001,customers!C300:C1300,,0))</f>
        <v>khammettgm@dmoz.org</v>
      </c>
      <c r="H301" s="2" t="str">
        <f>_xlfn.XLOOKUP(Orders[[#This Row],[Customer ID]],customers!$A$1:$A$1001,customers!$G$1:$G$1001,,0)</f>
        <v>United States</v>
      </c>
      <c r="I301" s="2" t="str">
        <f>_xlfn.XLOOKUP(Orders[[#This Row],[Customer ID]],customers!$A$1:$A$1001,customers!$F$1:$F$1001,,0)</f>
        <v>Corpus Christi</v>
      </c>
      <c r="J301" t="str">
        <f>INDEX(products!$A$1:$G$49,MATCH(orders!$D301,products!$A$1:$A$49,0),MATCH(orders!J$1,products!$A$1:$G$1,0))</f>
        <v>Exc</v>
      </c>
      <c r="K301" t="str">
        <f>INDEX(products!$A$1:$G$49,MATCH(orders!$D301,products!$A$1:$A$49,0),MATCH(orders!K$1,products!$A$1:$G$1,0))</f>
        <v>L</v>
      </c>
      <c r="L301" s="4">
        <f>INDEX(products!$A$1:$G$49,MATCH(orders!$D301,products!$A$1:$A$49,0),MATCH(orders!L$1,products!$A$1:$G$1,0))</f>
        <v>2.5</v>
      </c>
      <c r="M301" s="5">
        <f>INDEX(products!$A$1:$G$49,MATCH(orders!$D301,products!$A$1:$A$49,0),MATCH(orders!M$1,products!$A$1:$G$1,0))</f>
        <v>34.154999999999994</v>
      </c>
      <c r="N301" s="5">
        <f>Orders[[#This Row],[Quantity]]*(INDEX(products!$A$1:$G$49,MATCH(orders!$D301,products!$A$1:$A$49,0),MATCH(orders!N$1,products!$A$1:$G$1,0)))</f>
        <v>22.542299999999997</v>
      </c>
      <c r="O301" s="5">
        <f>M301*E301</f>
        <v>204.92999999999995</v>
      </c>
      <c r="P301" t="str">
        <f t="shared" si="8"/>
        <v>Excelsa</v>
      </c>
      <c r="Q301" t="str">
        <f t="shared" si="9"/>
        <v>Light</v>
      </c>
      <c r="R301" t="str">
        <f>_xlfn.XLOOKUP(Orders[[#This Row],[Customer ID]],customers!$A$1:$A$1001,customers!$I$1:$I$1001,,0)</f>
        <v>Yes</v>
      </c>
    </row>
    <row r="302" spans="1:18" x14ac:dyDescent="0.35">
      <c r="A302" s="2" t="s">
        <v>2181</v>
      </c>
      <c r="B302" s="3">
        <v>44646</v>
      </c>
      <c r="C302" s="2" t="s">
        <v>2182</v>
      </c>
      <c r="D302" t="s">
        <v>6140</v>
      </c>
      <c r="E302" s="2">
        <v>3</v>
      </c>
      <c r="F302" s="2" t="str">
        <f>_xlfn.XLOOKUP(Orders[[#This Row],[Customer ID]],customers!$A$1:$A$1001,customers!$B$1:$B$1001,,0)</f>
        <v>Arel De Lasci</v>
      </c>
      <c r="G302" s="2" t="str">
        <f>IF(_xlfn.XLOOKUP(C302,customers!$A$1:$A$1001,customers!C301:C1301,,0)=0,"",_xlfn.XLOOKUP(C302,customers!$A$1:$A$1001,customers!C301:C1301,,0))</f>
        <v>plauritzengo@photobucket.com</v>
      </c>
      <c r="H302" s="2" t="str">
        <f>_xlfn.XLOOKUP(Orders[[#This Row],[Customer ID]],customers!$A$1:$A$1001,customers!$G$1:$G$1001,,0)</f>
        <v>United States</v>
      </c>
      <c r="I302" s="2" t="str">
        <f>_xlfn.XLOOKUP(Orders[[#This Row],[Customer ID]],customers!$A$1:$A$1001,customers!$F$1:$F$1001,,0)</f>
        <v>Honolulu</v>
      </c>
      <c r="J302" t="str">
        <f>INDEX(products!$A$1:$G$49,MATCH(orders!$D302,products!$A$1:$A$49,0),MATCH(orders!J$1,products!$A$1:$G$1,0))</f>
        <v>Ara</v>
      </c>
      <c r="K302" t="str">
        <f>INDEX(products!$A$1:$G$49,MATCH(orders!$D302,products!$A$1:$A$49,0),MATCH(orders!K$1,products!$A$1:$G$1,0))</f>
        <v>L</v>
      </c>
      <c r="L302" s="4">
        <f>INDEX(products!$A$1:$G$49,MATCH(orders!$D302,products!$A$1:$A$49,0),MATCH(orders!L$1,products!$A$1:$G$1,0))</f>
        <v>1</v>
      </c>
      <c r="M302" s="5">
        <f>INDEX(products!$A$1:$G$49,MATCH(orders!$D302,products!$A$1:$A$49,0),MATCH(orders!M$1,products!$A$1:$G$1,0))</f>
        <v>12.95</v>
      </c>
      <c r="N302" s="5">
        <f>Orders[[#This Row],[Quantity]]*(INDEX(products!$A$1:$G$49,MATCH(orders!$D302,products!$A$1:$A$49,0),MATCH(orders!N$1,products!$A$1:$G$1,0)))</f>
        <v>3.4965000000000002</v>
      </c>
      <c r="O302" s="5">
        <f>M302*E302</f>
        <v>38.849999999999994</v>
      </c>
      <c r="P302" t="str">
        <f t="shared" si="8"/>
        <v>Arabica</v>
      </c>
      <c r="Q302" t="str">
        <f t="shared" si="9"/>
        <v>Light</v>
      </c>
      <c r="R302" t="str">
        <f>_xlfn.XLOOKUP(Orders[[#This Row],[Customer ID]],customers!$A$1:$A$1001,customers!$I$1:$I$1001,,0)</f>
        <v>Yes</v>
      </c>
    </row>
    <row r="303" spans="1:18" x14ac:dyDescent="0.35">
      <c r="A303" s="2" t="s">
        <v>2187</v>
      </c>
      <c r="B303" s="3">
        <v>44102</v>
      </c>
      <c r="C303" s="2" t="s">
        <v>2188</v>
      </c>
      <c r="D303" t="s">
        <v>6150</v>
      </c>
      <c r="E303" s="2">
        <v>4</v>
      </c>
      <c r="F303" s="2" t="str">
        <f>_xlfn.XLOOKUP(Orders[[#This Row],[Customer ID]],customers!$A$1:$A$1001,customers!$B$1:$B$1001,,0)</f>
        <v>Trescha Jedrachowicz</v>
      </c>
      <c r="G303" s="2" t="str">
        <f>IF(_xlfn.XLOOKUP(C303,customers!$A$1:$A$1001,customers!C302:C1302,,0)=0,"",_xlfn.XLOOKUP(C303,customers!$A$1:$A$1001,customers!C302:C1302,,0))</f>
        <v>erolingq@google.fr</v>
      </c>
      <c r="H303" s="2" t="str">
        <f>_xlfn.XLOOKUP(Orders[[#This Row],[Customer ID]],customers!$A$1:$A$1001,customers!$G$1:$G$1001,,0)</f>
        <v>United States</v>
      </c>
      <c r="I303" s="2" t="str">
        <f>_xlfn.XLOOKUP(Orders[[#This Row],[Customer ID]],customers!$A$1:$A$1001,customers!$F$1:$F$1001,,0)</f>
        <v>Austin</v>
      </c>
      <c r="J303" t="str">
        <f>INDEX(products!$A$1:$G$49,MATCH(orders!$D303,products!$A$1:$A$49,0),MATCH(orders!J$1,products!$A$1:$G$1,0))</f>
        <v>Lib</v>
      </c>
      <c r="K303" t="str">
        <f>INDEX(products!$A$1:$G$49,MATCH(orders!$D303,products!$A$1:$A$49,0),MATCH(orders!K$1,products!$A$1:$G$1,0))</f>
        <v>D</v>
      </c>
      <c r="L303" s="4">
        <f>INDEX(products!$A$1:$G$49,MATCH(orders!$D303,products!$A$1:$A$49,0),MATCH(orders!L$1,products!$A$1:$G$1,0))</f>
        <v>0.2</v>
      </c>
      <c r="M303" s="5">
        <f>INDEX(products!$A$1:$G$49,MATCH(orders!$D303,products!$A$1:$A$49,0),MATCH(orders!M$1,products!$A$1:$G$1,0))</f>
        <v>3.8849999999999998</v>
      </c>
      <c r="N303" s="5">
        <f>Orders[[#This Row],[Quantity]]*(INDEX(products!$A$1:$G$49,MATCH(orders!$D303,products!$A$1:$A$49,0),MATCH(orders!N$1,products!$A$1:$G$1,0)))</f>
        <v>2.0202</v>
      </c>
      <c r="O303" s="5">
        <f>M303*E303</f>
        <v>15.54</v>
      </c>
      <c r="P303" t="str">
        <f t="shared" si="8"/>
        <v>Liberica</v>
      </c>
      <c r="Q303" t="str">
        <f t="shared" si="9"/>
        <v>Dark</v>
      </c>
      <c r="R303" t="str">
        <f>_xlfn.XLOOKUP(Orders[[#This Row],[Customer ID]],customers!$A$1:$A$1001,customers!$I$1:$I$1001,,0)</f>
        <v>Yes</v>
      </c>
    </row>
    <row r="304" spans="1:18" x14ac:dyDescent="0.35">
      <c r="A304" s="2" t="s">
        <v>2193</v>
      </c>
      <c r="B304" s="3">
        <v>43762</v>
      </c>
      <c r="C304" s="2" t="s">
        <v>2194</v>
      </c>
      <c r="D304" t="s">
        <v>6157</v>
      </c>
      <c r="E304" s="2">
        <v>1</v>
      </c>
      <c r="F304" s="2" t="str">
        <f>_xlfn.XLOOKUP(Orders[[#This Row],[Customer ID]],customers!$A$1:$A$1001,customers!$B$1:$B$1001,,0)</f>
        <v>Perkin Stonner</v>
      </c>
      <c r="G304" s="2" t="str">
        <f>IF(_xlfn.XLOOKUP(C304,customers!$A$1:$A$1001,customers!C303:C1303,,0)=0,"",_xlfn.XLOOKUP(C304,customers!$A$1:$A$1001,customers!C303:C1303,,0))</f>
        <v/>
      </c>
      <c r="H304" s="2" t="str">
        <f>_xlfn.XLOOKUP(Orders[[#This Row],[Customer ID]],customers!$A$1:$A$1001,customers!$G$1:$G$1001,,0)</f>
        <v>United States</v>
      </c>
      <c r="I304" s="2" t="str">
        <f>_xlfn.XLOOKUP(Orders[[#This Row],[Customer ID]],customers!$A$1:$A$1001,customers!$F$1:$F$1001,,0)</f>
        <v>Baltimore</v>
      </c>
      <c r="J304" t="str">
        <f>INDEX(products!$A$1:$G$49,MATCH(orders!$D304,products!$A$1:$A$49,0),MATCH(orders!J$1,products!$A$1:$G$1,0))</f>
        <v>Ara</v>
      </c>
      <c r="K304" t="str">
        <f>INDEX(products!$A$1:$G$49,MATCH(orders!$D304,products!$A$1:$A$49,0),MATCH(orders!K$1,products!$A$1:$G$1,0))</f>
        <v>M</v>
      </c>
      <c r="L304" s="4">
        <f>INDEX(products!$A$1:$G$49,MATCH(orders!$D304,products!$A$1:$A$49,0),MATCH(orders!L$1,products!$A$1:$G$1,0))</f>
        <v>0.5</v>
      </c>
      <c r="M304" s="5">
        <f>INDEX(products!$A$1:$G$49,MATCH(orders!$D304,products!$A$1:$A$49,0),MATCH(orders!M$1,products!$A$1:$G$1,0))</f>
        <v>6.75</v>
      </c>
      <c r="N304" s="5">
        <f>Orders[[#This Row],[Quantity]]*(INDEX(products!$A$1:$G$49,MATCH(orders!$D304,products!$A$1:$A$49,0),MATCH(orders!N$1,products!$A$1:$G$1,0)))</f>
        <v>0.60749999999999993</v>
      </c>
      <c r="O304" s="5">
        <f>M304*E304</f>
        <v>6.75</v>
      </c>
      <c r="P304" t="str">
        <f t="shared" si="8"/>
        <v>Arabica</v>
      </c>
      <c r="Q304" t="str">
        <f t="shared" si="9"/>
        <v>Medium</v>
      </c>
      <c r="R304" t="str">
        <f>_xlfn.XLOOKUP(Orders[[#This Row],[Customer ID]],customers!$A$1:$A$1001,customers!$I$1:$I$1001,,0)</f>
        <v>No</v>
      </c>
    </row>
    <row r="305" spans="1:18" x14ac:dyDescent="0.35">
      <c r="A305" s="2" t="s">
        <v>2199</v>
      </c>
      <c r="B305" s="3">
        <v>44412</v>
      </c>
      <c r="C305" s="2" t="s">
        <v>2200</v>
      </c>
      <c r="D305" t="s">
        <v>6185</v>
      </c>
      <c r="E305" s="2">
        <v>4</v>
      </c>
      <c r="F305" s="2" t="str">
        <f>_xlfn.XLOOKUP(Orders[[#This Row],[Customer ID]],customers!$A$1:$A$1001,customers!$B$1:$B$1001,,0)</f>
        <v>Darrin Tingly</v>
      </c>
      <c r="G305" s="2" t="str">
        <f>IF(_xlfn.XLOOKUP(C305,customers!$A$1:$A$1001,customers!C304:C1304,,0)=0,"",_xlfn.XLOOKUP(C305,customers!$A$1:$A$1001,customers!C304:C1304,,0))</f>
        <v>bpeattiegu@imgur.com</v>
      </c>
      <c r="H305" s="2" t="str">
        <f>_xlfn.XLOOKUP(Orders[[#This Row],[Customer ID]],customers!$A$1:$A$1001,customers!$G$1:$G$1001,,0)</f>
        <v>United States</v>
      </c>
      <c r="I305" s="2" t="str">
        <f>_xlfn.XLOOKUP(Orders[[#This Row],[Customer ID]],customers!$A$1:$A$1001,customers!$F$1:$F$1001,,0)</f>
        <v>Lexington</v>
      </c>
      <c r="J305" t="str">
        <f>INDEX(products!$A$1:$G$49,MATCH(orders!$D305,products!$A$1:$A$49,0),MATCH(orders!J$1,products!$A$1:$G$1,0))</f>
        <v>Exc</v>
      </c>
      <c r="K305" t="str">
        <f>INDEX(products!$A$1:$G$49,MATCH(orders!$D305,products!$A$1:$A$49,0),MATCH(orders!K$1,products!$A$1:$G$1,0))</f>
        <v>D</v>
      </c>
      <c r="L305" s="4">
        <f>INDEX(products!$A$1:$G$49,MATCH(orders!$D305,products!$A$1:$A$49,0),MATCH(orders!L$1,products!$A$1:$G$1,0))</f>
        <v>2.5</v>
      </c>
      <c r="M305" s="5">
        <f>INDEX(products!$A$1:$G$49,MATCH(orders!$D305,products!$A$1:$A$49,0),MATCH(orders!M$1,products!$A$1:$G$1,0))</f>
        <v>27.945</v>
      </c>
      <c r="N305" s="5">
        <f>Orders[[#This Row],[Quantity]]*(INDEX(products!$A$1:$G$49,MATCH(orders!$D305,products!$A$1:$A$49,0),MATCH(orders!N$1,products!$A$1:$G$1,0)))</f>
        <v>12.2958</v>
      </c>
      <c r="O305" s="5">
        <f>M305*E305</f>
        <v>111.78</v>
      </c>
      <c r="P305" t="str">
        <f t="shared" si="8"/>
        <v>Excelsa</v>
      </c>
      <c r="Q305" t="str">
        <f t="shared" si="9"/>
        <v>Dark</v>
      </c>
      <c r="R305" t="str">
        <f>_xlfn.XLOOKUP(Orders[[#This Row],[Customer ID]],customers!$A$1:$A$1001,customers!$I$1:$I$1001,,0)</f>
        <v>Yes</v>
      </c>
    </row>
    <row r="306" spans="1:18" x14ac:dyDescent="0.35">
      <c r="A306" s="2" t="s">
        <v>2204</v>
      </c>
      <c r="B306" s="3">
        <v>43828</v>
      </c>
      <c r="C306" s="2" t="s">
        <v>2245</v>
      </c>
      <c r="D306" t="s">
        <v>6167</v>
      </c>
      <c r="E306" s="2">
        <v>1</v>
      </c>
      <c r="F306" s="2" t="str">
        <f>_xlfn.XLOOKUP(Orders[[#This Row],[Customer ID]],customers!$A$1:$A$1001,customers!$B$1:$B$1001,,0)</f>
        <v>Claudetta Rushe</v>
      </c>
      <c r="G306" s="2" t="str">
        <f>IF(_xlfn.XLOOKUP(C306,customers!$A$1:$A$1001,customers!C305:C1305,,0)=0,"",_xlfn.XLOOKUP(C306,customers!$A$1:$A$1001,customers!C305:C1305,,0))</f>
        <v>scouronneh3@mozilla.org</v>
      </c>
      <c r="H306" s="2" t="str">
        <f>_xlfn.XLOOKUP(Orders[[#This Row],[Customer ID]],customers!$A$1:$A$1001,customers!$G$1:$G$1001,,0)</f>
        <v>United States</v>
      </c>
      <c r="I306" s="2" t="str">
        <f>_xlfn.XLOOKUP(Orders[[#This Row],[Customer ID]],customers!$A$1:$A$1001,customers!$F$1:$F$1001,,0)</f>
        <v>Charlotte</v>
      </c>
      <c r="J306" t="str">
        <f>INDEX(products!$A$1:$G$49,MATCH(orders!$D306,products!$A$1:$A$49,0),MATCH(orders!J$1,products!$A$1:$G$1,0))</f>
        <v>Ara</v>
      </c>
      <c r="K306" t="str">
        <f>INDEX(products!$A$1:$G$49,MATCH(orders!$D306,products!$A$1:$A$49,0),MATCH(orders!K$1,products!$A$1:$G$1,0))</f>
        <v>L</v>
      </c>
      <c r="L306" s="4">
        <f>INDEX(products!$A$1:$G$49,MATCH(orders!$D306,products!$A$1:$A$49,0),MATCH(orders!L$1,products!$A$1:$G$1,0))</f>
        <v>0.2</v>
      </c>
      <c r="M306" s="5">
        <f>INDEX(products!$A$1:$G$49,MATCH(orders!$D306,products!$A$1:$A$49,0),MATCH(orders!M$1,products!$A$1:$G$1,0))</f>
        <v>3.8849999999999998</v>
      </c>
      <c r="N306" s="5">
        <f>Orders[[#This Row],[Quantity]]*(INDEX(products!$A$1:$G$49,MATCH(orders!$D306,products!$A$1:$A$49,0),MATCH(orders!N$1,products!$A$1:$G$1,0)))</f>
        <v>0.34964999999999996</v>
      </c>
      <c r="O306" s="5">
        <f>M306*E306</f>
        <v>3.8849999999999998</v>
      </c>
      <c r="P306" t="str">
        <f t="shared" si="8"/>
        <v>Arabica</v>
      </c>
      <c r="Q306" t="str">
        <f t="shared" si="9"/>
        <v>Light</v>
      </c>
      <c r="R306" t="str">
        <f>_xlfn.XLOOKUP(Orders[[#This Row],[Customer ID]],customers!$A$1:$A$1001,customers!$I$1:$I$1001,,0)</f>
        <v>Yes</v>
      </c>
    </row>
    <row r="307" spans="1:18" x14ac:dyDescent="0.35">
      <c r="A307" s="2" t="s">
        <v>2209</v>
      </c>
      <c r="B307" s="3">
        <v>43796</v>
      </c>
      <c r="C307" s="2" t="s">
        <v>2210</v>
      </c>
      <c r="D307" t="s">
        <v>6159</v>
      </c>
      <c r="E307" s="2">
        <v>5</v>
      </c>
      <c r="F307" s="2" t="str">
        <f>_xlfn.XLOOKUP(Orders[[#This Row],[Customer ID]],customers!$A$1:$A$1001,customers!$B$1:$B$1001,,0)</f>
        <v>Benn Checci</v>
      </c>
      <c r="G307" s="2" t="str">
        <f>IF(_xlfn.XLOOKUP(C307,customers!$A$1:$A$1001,customers!C306:C1306,,0)=0,"",_xlfn.XLOOKUP(C307,customers!$A$1:$A$1001,customers!C306:C1306,,0))</f>
        <v>acleyburngy@lycos.com</v>
      </c>
      <c r="H307" s="2" t="str">
        <f>_xlfn.XLOOKUP(Orders[[#This Row],[Customer ID]],customers!$A$1:$A$1001,customers!$G$1:$G$1001,,0)</f>
        <v>United Kingdom</v>
      </c>
      <c r="I307" s="2" t="str">
        <f>_xlfn.XLOOKUP(Orders[[#This Row],[Customer ID]],customers!$A$1:$A$1001,customers!$F$1:$F$1001,,0)</f>
        <v>Eaton</v>
      </c>
      <c r="J307" t="str">
        <f>INDEX(products!$A$1:$G$49,MATCH(orders!$D307,products!$A$1:$A$49,0),MATCH(orders!J$1,products!$A$1:$G$1,0))</f>
        <v>Lib</v>
      </c>
      <c r="K307" t="str">
        <f>INDEX(products!$A$1:$G$49,MATCH(orders!$D307,products!$A$1:$A$49,0),MATCH(orders!K$1,products!$A$1:$G$1,0))</f>
        <v>M</v>
      </c>
      <c r="L307" s="4">
        <f>INDEX(products!$A$1:$G$49,MATCH(orders!$D307,products!$A$1:$A$49,0),MATCH(orders!L$1,products!$A$1:$G$1,0))</f>
        <v>0.2</v>
      </c>
      <c r="M307" s="5">
        <f>INDEX(products!$A$1:$G$49,MATCH(orders!$D307,products!$A$1:$A$49,0),MATCH(orders!M$1,products!$A$1:$G$1,0))</f>
        <v>4.3650000000000002</v>
      </c>
      <c r="N307" s="5">
        <f>Orders[[#This Row],[Quantity]]*(INDEX(products!$A$1:$G$49,MATCH(orders!$D307,products!$A$1:$A$49,0),MATCH(orders!N$1,products!$A$1:$G$1,0)))</f>
        <v>2.83725</v>
      </c>
      <c r="O307" s="5">
        <f>M307*E307</f>
        <v>21.825000000000003</v>
      </c>
      <c r="P307" t="str">
        <f t="shared" si="8"/>
        <v>Liberica</v>
      </c>
      <c r="Q307" t="str">
        <f t="shared" si="9"/>
        <v>Medium</v>
      </c>
      <c r="R307" t="str">
        <f>_xlfn.XLOOKUP(Orders[[#This Row],[Customer ID]],customers!$A$1:$A$1001,customers!$I$1:$I$1001,,0)</f>
        <v>No</v>
      </c>
    </row>
    <row r="308" spans="1:18" x14ac:dyDescent="0.35">
      <c r="A308" s="2" t="s">
        <v>2215</v>
      </c>
      <c r="B308" s="3">
        <v>43890</v>
      </c>
      <c r="C308" s="2" t="s">
        <v>2216</v>
      </c>
      <c r="D308" t="s">
        <v>6174</v>
      </c>
      <c r="E308" s="2">
        <v>5</v>
      </c>
      <c r="F308" s="2" t="str">
        <f>_xlfn.XLOOKUP(Orders[[#This Row],[Customer ID]],customers!$A$1:$A$1001,customers!$B$1:$B$1001,,0)</f>
        <v>Janifer Bagot</v>
      </c>
      <c r="G308" s="2" t="str">
        <f>IF(_xlfn.XLOOKUP(C308,customers!$A$1:$A$1001,customers!C307:C1307,,0)=0,"",_xlfn.XLOOKUP(C308,customers!$A$1:$A$1001,customers!C307:C1307,,0))</f>
        <v/>
      </c>
      <c r="H308" s="2" t="str">
        <f>_xlfn.XLOOKUP(Orders[[#This Row],[Customer ID]],customers!$A$1:$A$1001,customers!$G$1:$G$1001,,0)</f>
        <v>United States</v>
      </c>
      <c r="I308" s="2" t="str">
        <f>_xlfn.XLOOKUP(Orders[[#This Row],[Customer ID]],customers!$A$1:$A$1001,customers!$F$1:$F$1001,,0)</f>
        <v>Lincoln</v>
      </c>
      <c r="J308" t="str">
        <f>INDEX(products!$A$1:$G$49,MATCH(orders!$D308,products!$A$1:$A$49,0),MATCH(orders!J$1,products!$A$1:$G$1,0))</f>
        <v>Rob</v>
      </c>
      <c r="K308" t="str">
        <f>INDEX(products!$A$1:$G$49,MATCH(orders!$D308,products!$A$1:$A$49,0),MATCH(orders!K$1,products!$A$1:$G$1,0))</f>
        <v>M</v>
      </c>
      <c r="L308" s="4">
        <f>INDEX(products!$A$1:$G$49,MATCH(orders!$D308,products!$A$1:$A$49,0),MATCH(orders!L$1,products!$A$1:$G$1,0))</f>
        <v>0.2</v>
      </c>
      <c r="M308" s="5">
        <f>INDEX(products!$A$1:$G$49,MATCH(orders!$D308,products!$A$1:$A$49,0),MATCH(orders!M$1,products!$A$1:$G$1,0))</f>
        <v>2.9849999999999999</v>
      </c>
      <c r="N308" s="5">
        <f>Orders[[#This Row],[Quantity]]*(INDEX(products!$A$1:$G$49,MATCH(orders!$D308,products!$A$1:$A$49,0),MATCH(orders!N$1,products!$A$1:$G$1,0)))</f>
        <v>0.89549999999999996</v>
      </c>
      <c r="O308" s="5">
        <f>M308*E308</f>
        <v>14.924999999999999</v>
      </c>
      <c r="P308" t="str">
        <f t="shared" si="8"/>
        <v>Robusta</v>
      </c>
      <c r="Q308" t="str">
        <f t="shared" si="9"/>
        <v>Medium</v>
      </c>
      <c r="R308" t="str">
        <f>_xlfn.XLOOKUP(Orders[[#This Row],[Customer ID]],customers!$A$1:$A$1001,customers!$I$1:$I$1001,,0)</f>
        <v>No</v>
      </c>
    </row>
    <row r="309" spans="1:18" x14ac:dyDescent="0.35">
      <c r="A309" s="2" t="s">
        <v>2221</v>
      </c>
      <c r="B309" s="3">
        <v>44227</v>
      </c>
      <c r="C309" s="2" t="s">
        <v>2222</v>
      </c>
      <c r="D309" t="s">
        <v>6155</v>
      </c>
      <c r="E309" s="2">
        <v>3</v>
      </c>
      <c r="F309" s="2" t="str">
        <f>_xlfn.XLOOKUP(Orders[[#This Row],[Customer ID]],customers!$A$1:$A$1001,customers!$B$1:$B$1001,,0)</f>
        <v>Ermin Beeble</v>
      </c>
      <c r="G309" s="2" t="str">
        <f>IF(_xlfn.XLOOKUP(C309,customers!$A$1:$A$1001,customers!C308:C1308,,0)=0,"",_xlfn.XLOOKUP(C309,customers!$A$1:$A$1001,customers!C308:C1308,,0))</f>
        <v/>
      </c>
      <c r="H309" s="2" t="str">
        <f>_xlfn.XLOOKUP(Orders[[#This Row],[Customer ID]],customers!$A$1:$A$1001,customers!$G$1:$G$1001,,0)</f>
        <v>United States</v>
      </c>
      <c r="I309" s="2" t="str">
        <f>_xlfn.XLOOKUP(Orders[[#This Row],[Customer ID]],customers!$A$1:$A$1001,customers!$F$1:$F$1001,,0)</f>
        <v>Cincinnati</v>
      </c>
      <c r="J309" t="str">
        <f>INDEX(products!$A$1:$G$49,MATCH(orders!$D309,products!$A$1:$A$49,0),MATCH(orders!J$1,products!$A$1:$G$1,0))</f>
        <v>Ara</v>
      </c>
      <c r="K309" t="str">
        <f>INDEX(products!$A$1:$G$49,MATCH(orders!$D309,products!$A$1:$A$49,0),MATCH(orders!K$1,products!$A$1:$G$1,0))</f>
        <v>M</v>
      </c>
      <c r="L309" s="4">
        <f>INDEX(products!$A$1:$G$49,MATCH(orders!$D309,products!$A$1:$A$49,0),MATCH(orders!L$1,products!$A$1:$G$1,0))</f>
        <v>1</v>
      </c>
      <c r="M309" s="5">
        <f>INDEX(products!$A$1:$G$49,MATCH(orders!$D309,products!$A$1:$A$49,0),MATCH(orders!M$1,products!$A$1:$G$1,0))</f>
        <v>11.25</v>
      </c>
      <c r="N309" s="5">
        <f>Orders[[#This Row],[Quantity]]*(INDEX(products!$A$1:$G$49,MATCH(orders!$D309,products!$A$1:$A$49,0),MATCH(orders!N$1,products!$A$1:$G$1,0)))</f>
        <v>3.0374999999999996</v>
      </c>
      <c r="O309" s="5">
        <f>M309*E309</f>
        <v>33.75</v>
      </c>
      <c r="P309" t="str">
        <f t="shared" si="8"/>
        <v>Arabica</v>
      </c>
      <c r="Q309" t="str">
        <f t="shared" si="9"/>
        <v>Medium</v>
      </c>
      <c r="R309" t="str">
        <f>_xlfn.XLOOKUP(Orders[[#This Row],[Customer ID]],customers!$A$1:$A$1001,customers!$I$1:$I$1001,,0)</f>
        <v>Yes</v>
      </c>
    </row>
    <row r="310" spans="1:18" x14ac:dyDescent="0.35">
      <c r="A310" s="2" t="s">
        <v>2227</v>
      </c>
      <c r="B310" s="3">
        <v>44729</v>
      </c>
      <c r="C310" s="2" t="s">
        <v>2228</v>
      </c>
      <c r="D310" t="s">
        <v>6155</v>
      </c>
      <c r="E310" s="2">
        <v>3</v>
      </c>
      <c r="F310" s="2" t="str">
        <f>_xlfn.XLOOKUP(Orders[[#This Row],[Customer ID]],customers!$A$1:$A$1001,customers!$B$1:$B$1001,,0)</f>
        <v>Cos Fluin</v>
      </c>
      <c r="G310" s="2" t="str">
        <f>IF(_xlfn.XLOOKUP(C310,customers!$A$1:$A$1001,customers!C309:C1309,,0)=0,"",_xlfn.XLOOKUP(C310,customers!$A$1:$A$1001,customers!C309:C1309,,0))</f>
        <v>lflippellih4@github.io</v>
      </c>
      <c r="H310" s="2" t="str">
        <f>_xlfn.XLOOKUP(Orders[[#This Row],[Customer ID]],customers!$A$1:$A$1001,customers!$G$1:$G$1001,,0)</f>
        <v>United Kingdom</v>
      </c>
      <c r="I310" s="2" t="str">
        <f>_xlfn.XLOOKUP(Orders[[#This Row],[Customer ID]],customers!$A$1:$A$1001,customers!$F$1:$F$1001,,0)</f>
        <v>Sheffield</v>
      </c>
      <c r="J310" t="str">
        <f>INDEX(products!$A$1:$G$49,MATCH(orders!$D310,products!$A$1:$A$49,0),MATCH(orders!J$1,products!$A$1:$G$1,0))</f>
        <v>Ara</v>
      </c>
      <c r="K310" t="str">
        <f>INDEX(products!$A$1:$G$49,MATCH(orders!$D310,products!$A$1:$A$49,0),MATCH(orders!K$1,products!$A$1:$G$1,0))</f>
        <v>M</v>
      </c>
      <c r="L310" s="4">
        <f>INDEX(products!$A$1:$G$49,MATCH(orders!$D310,products!$A$1:$A$49,0),MATCH(orders!L$1,products!$A$1:$G$1,0))</f>
        <v>1</v>
      </c>
      <c r="M310" s="5">
        <f>INDEX(products!$A$1:$G$49,MATCH(orders!$D310,products!$A$1:$A$49,0),MATCH(orders!M$1,products!$A$1:$G$1,0))</f>
        <v>11.25</v>
      </c>
      <c r="N310" s="5">
        <f>Orders[[#This Row],[Quantity]]*(INDEX(products!$A$1:$G$49,MATCH(orders!$D310,products!$A$1:$A$49,0),MATCH(orders!N$1,products!$A$1:$G$1,0)))</f>
        <v>3.0374999999999996</v>
      </c>
      <c r="O310" s="5">
        <f>M310*E310</f>
        <v>33.75</v>
      </c>
      <c r="P310" t="str">
        <f t="shared" si="8"/>
        <v>Arabica</v>
      </c>
      <c r="Q310" t="str">
        <f t="shared" si="9"/>
        <v>Medium</v>
      </c>
      <c r="R310" t="str">
        <f>_xlfn.XLOOKUP(Orders[[#This Row],[Customer ID]],customers!$A$1:$A$1001,customers!$I$1:$I$1001,,0)</f>
        <v>No</v>
      </c>
    </row>
    <row r="311" spans="1:18" x14ac:dyDescent="0.35">
      <c r="A311" s="2" t="s">
        <v>2232</v>
      </c>
      <c r="B311" s="3">
        <v>43864</v>
      </c>
      <c r="C311" s="2" t="s">
        <v>2233</v>
      </c>
      <c r="D311" t="s">
        <v>6159</v>
      </c>
      <c r="E311" s="2">
        <v>6</v>
      </c>
      <c r="F311" s="2" t="str">
        <f>_xlfn.XLOOKUP(Orders[[#This Row],[Customer ID]],customers!$A$1:$A$1001,customers!$B$1:$B$1001,,0)</f>
        <v>Eveleen Bletsor</v>
      </c>
      <c r="G311" s="2" t="str">
        <f>IF(_xlfn.XLOOKUP(C311,customers!$A$1:$A$1001,customers!C310:C1310,,0)=0,"",_xlfn.XLOOKUP(C311,customers!$A$1:$A$1001,customers!C310:C1310,,0))</f>
        <v>irenhardh6@i2i.jp</v>
      </c>
      <c r="H311" s="2" t="str">
        <f>_xlfn.XLOOKUP(Orders[[#This Row],[Customer ID]],customers!$A$1:$A$1001,customers!$G$1:$G$1001,,0)</f>
        <v>United States</v>
      </c>
      <c r="I311" s="2" t="str">
        <f>_xlfn.XLOOKUP(Orders[[#This Row],[Customer ID]],customers!$A$1:$A$1001,customers!$F$1:$F$1001,,0)</f>
        <v>West Hartford</v>
      </c>
      <c r="J311" t="str">
        <f>INDEX(products!$A$1:$G$49,MATCH(orders!$D311,products!$A$1:$A$49,0),MATCH(orders!J$1,products!$A$1:$G$1,0))</f>
        <v>Lib</v>
      </c>
      <c r="K311" t="str">
        <f>INDEX(products!$A$1:$G$49,MATCH(orders!$D311,products!$A$1:$A$49,0),MATCH(orders!K$1,products!$A$1:$G$1,0))</f>
        <v>M</v>
      </c>
      <c r="L311" s="4">
        <f>INDEX(products!$A$1:$G$49,MATCH(orders!$D311,products!$A$1:$A$49,0),MATCH(orders!L$1,products!$A$1:$G$1,0))</f>
        <v>0.2</v>
      </c>
      <c r="M311" s="5">
        <f>INDEX(products!$A$1:$G$49,MATCH(orders!$D311,products!$A$1:$A$49,0),MATCH(orders!M$1,products!$A$1:$G$1,0))</f>
        <v>4.3650000000000002</v>
      </c>
      <c r="N311" s="5">
        <f>Orders[[#This Row],[Quantity]]*(INDEX(products!$A$1:$G$49,MATCH(orders!$D311,products!$A$1:$A$49,0),MATCH(orders!N$1,products!$A$1:$G$1,0)))</f>
        <v>3.4047000000000001</v>
      </c>
      <c r="O311" s="5">
        <f>M311*E311</f>
        <v>26.19</v>
      </c>
      <c r="P311" t="str">
        <f t="shared" si="8"/>
        <v>Liberica</v>
      </c>
      <c r="Q311" t="str">
        <f t="shared" si="9"/>
        <v>Medium</v>
      </c>
      <c r="R311" t="str">
        <f>_xlfn.XLOOKUP(Orders[[#This Row],[Customer ID]],customers!$A$1:$A$1001,customers!$I$1:$I$1001,,0)</f>
        <v>Yes</v>
      </c>
    </row>
    <row r="312" spans="1:18" x14ac:dyDescent="0.35">
      <c r="A312" s="2" t="s">
        <v>2238</v>
      </c>
      <c r="B312" s="3">
        <v>44586</v>
      </c>
      <c r="C312" s="2" t="s">
        <v>2239</v>
      </c>
      <c r="D312" t="s">
        <v>6171</v>
      </c>
      <c r="E312" s="2">
        <v>1</v>
      </c>
      <c r="F312" s="2" t="str">
        <f>_xlfn.XLOOKUP(Orders[[#This Row],[Customer ID]],customers!$A$1:$A$1001,customers!$B$1:$B$1001,,0)</f>
        <v>Paola Brydell</v>
      </c>
      <c r="G312" s="2" t="str">
        <f>IF(_xlfn.XLOOKUP(C312,customers!$A$1:$A$1001,customers!C311:C1311,,0)=0,"",_xlfn.XLOOKUP(C312,customers!$A$1:$A$1001,customers!C311:C1311,,0))</f>
        <v>jbush8@guardian.co.uk</v>
      </c>
      <c r="H312" s="2" t="str">
        <f>_xlfn.XLOOKUP(Orders[[#This Row],[Customer ID]],customers!$A$1:$A$1001,customers!$G$1:$G$1001,,0)</f>
        <v>Ireland</v>
      </c>
      <c r="I312" s="2" t="str">
        <f>_xlfn.XLOOKUP(Orders[[#This Row],[Customer ID]],customers!$A$1:$A$1001,customers!$F$1:$F$1001,,0)</f>
        <v>Listowel</v>
      </c>
      <c r="J312" t="str">
        <f>INDEX(products!$A$1:$G$49,MATCH(orders!$D312,products!$A$1:$A$49,0),MATCH(orders!J$1,products!$A$1:$G$1,0))</f>
        <v>Exc</v>
      </c>
      <c r="K312" t="str">
        <f>INDEX(products!$A$1:$G$49,MATCH(orders!$D312,products!$A$1:$A$49,0),MATCH(orders!K$1,products!$A$1:$G$1,0))</f>
        <v>L</v>
      </c>
      <c r="L312" s="4">
        <f>INDEX(products!$A$1:$G$49,MATCH(orders!$D312,products!$A$1:$A$49,0),MATCH(orders!L$1,products!$A$1:$G$1,0))</f>
        <v>1</v>
      </c>
      <c r="M312" s="5">
        <f>INDEX(products!$A$1:$G$49,MATCH(orders!$D312,products!$A$1:$A$49,0),MATCH(orders!M$1,products!$A$1:$G$1,0))</f>
        <v>14.85</v>
      </c>
      <c r="N312" s="5">
        <f>Orders[[#This Row],[Quantity]]*(INDEX(products!$A$1:$G$49,MATCH(orders!$D312,products!$A$1:$A$49,0),MATCH(orders!N$1,products!$A$1:$G$1,0)))</f>
        <v>1.6335</v>
      </c>
      <c r="O312" s="5">
        <f>M312*E312</f>
        <v>14.85</v>
      </c>
      <c r="P312" t="str">
        <f t="shared" si="8"/>
        <v>Excelsa</v>
      </c>
      <c r="Q312" t="str">
        <f t="shared" si="9"/>
        <v>Light</v>
      </c>
      <c r="R312" t="str">
        <f>_xlfn.XLOOKUP(Orders[[#This Row],[Customer ID]],customers!$A$1:$A$1001,customers!$I$1:$I$1001,,0)</f>
        <v>No</v>
      </c>
    </row>
    <row r="313" spans="1:18" x14ac:dyDescent="0.35">
      <c r="A313" s="2" t="s">
        <v>2244</v>
      </c>
      <c r="B313" s="3">
        <v>43951</v>
      </c>
      <c r="C313" s="2" t="s">
        <v>2245</v>
      </c>
      <c r="D313" t="s">
        <v>6166</v>
      </c>
      <c r="E313" s="2">
        <v>6</v>
      </c>
      <c r="F313" s="2" t="str">
        <f>_xlfn.XLOOKUP(Orders[[#This Row],[Customer ID]],customers!$A$1:$A$1001,customers!$B$1:$B$1001,,0)</f>
        <v>Claudetta Rushe</v>
      </c>
      <c r="G313" s="2" t="str">
        <f>IF(_xlfn.XLOOKUP(C313,customers!$A$1:$A$1001,customers!C312:C1312,,0)=0,"",_xlfn.XLOOKUP(C313,customers!$A$1:$A$1001,customers!C312:C1312,,0))</f>
        <v>bbyrdha@4shared.com</v>
      </c>
      <c r="H313" s="2" t="str">
        <f>_xlfn.XLOOKUP(Orders[[#This Row],[Customer ID]],customers!$A$1:$A$1001,customers!$G$1:$G$1001,,0)</f>
        <v>United States</v>
      </c>
      <c r="I313" s="2" t="str">
        <f>_xlfn.XLOOKUP(Orders[[#This Row],[Customer ID]],customers!$A$1:$A$1001,customers!$F$1:$F$1001,,0)</f>
        <v>Charlotte</v>
      </c>
      <c r="J313" t="str">
        <f>INDEX(products!$A$1:$G$49,MATCH(orders!$D313,products!$A$1:$A$49,0),MATCH(orders!J$1,products!$A$1:$G$1,0))</f>
        <v>Exc</v>
      </c>
      <c r="K313" t="str">
        <f>INDEX(products!$A$1:$G$49,MATCH(orders!$D313,products!$A$1:$A$49,0),MATCH(orders!K$1,products!$A$1:$G$1,0))</f>
        <v>M</v>
      </c>
      <c r="L313" s="4">
        <f>INDEX(products!$A$1:$G$49,MATCH(orders!$D313,products!$A$1:$A$49,0),MATCH(orders!L$1,products!$A$1:$G$1,0))</f>
        <v>2.5</v>
      </c>
      <c r="M313" s="5">
        <f>INDEX(products!$A$1:$G$49,MATCH(orders!$D313,products!$A$1:$A$49,0),MATCH(orders!M$1,products!$A$1:$G$1,0))</f>
        <v>31.624999999999996</v>
      </c>
      <c r="N313" s="5">
        <f>Orders[[#This Row],[Quantity]]*(INDEX(products!$A$1:$G$49,MATCH(orders!$D313,products!$A$1:$A$49,0),MATCH(orders!N$1,products!$A$1:$G$1,0)))</f>
        <v>20.872499999999999</v>
      </c>
      <c r="O313" s="5">
        <f>M313*E313</f>
        <v>189.74999999999997</v>
      </c>
      <c r="P313" t="str">
        <f t="shared" si="8"/>
        <v>Excelsa</v>
      </c>
      <c r="Q313" t="str">
        <f t="shared" si="9"/>
        <v>Medium</v>
      </c>
      <c r="R313" t="str">
        <f>_xlfn.XLOOKUP(Orders[[#This Row],[Customer ID]],customers!$A$1:$A$1001,customers!$I$1:$I$1001,,0)</f>
        <v>Yes</v>
      </c>
    </row>
    <row r="314" spans="1:18" x14ac:dyDescent="0.35">
      <c r="A314" s="2" t="s">
        <v>2250</v>
      </c>
      <c r="B314" s="3">
        <v>44317</v>
      </c>
      <c r="C314" s="2" t="s">
        <v>2251</v>
      </c>
      <c r="D314" t="s">
        <v>6146</v>
      </c>
      <c r="E314" s="2">
        <v>1</v>
      </c>
      <c r="F314" s="2" t="str">
        <f>_xlfn.XLOOKUP(Orders[[#This Row],[Customer ID]],customers!$A$1:$A$1001,customers!$B$1:$B$1001,,0)</f>
        <v>Natka Leethem</v>
      </c>
      <c r="G314" s="2" t="str">
        <f>IF(_xlfn.XLOOKUP(C314,customers!$A$1:$A$1001,customers!C313:C1313,,0)=0,"",_xlfn.XLOOKUP(C314,customers!$A$1:$A$1001,customers!C313:C1313,,0))</f>
        <v>dchardinhc@nhs.uk</v>
      </c>
      <c r="H314" s="2" t="str">
        <f>_xlfn.XLOOKUP(Orders[[#This Row],[Customer ID]],customers!$A$1:$A$1001,customers!$G$1:$G$1001,,0)</f>
        <v>United States</v>
      </c>
      <c r="I314" s="2" t="str">
        <f>_xlfn.XLOOKUP(Orders[[#This Row],[Customer ID]],customers!$A$1:$A$1001,customers!$F$1:$F$1001,,0)</f>
        <v>Alexandria</v>
      </c>
      <c r="J314" t="str">
        <f>INDEX(products!$A$1:$G$49,MATCH(orders!$D314,products!$A$1:$A$49,0),MATCH(orders!J$1,products!$A$1:$G$1,0))</f>
        <v>Rob</v>
      </c>
      <c r="K314" t="str">
        <f>INDEX(products!$A$1:$G$49,MATCH(orders!$D314,products!$A$1:$A$49,0),MATCH(orders!K$1,products!$A$1:$G$1,0))</f>
        <v>M</v>
      </c>
      <c r="L314" s="4">
        <f>INDEX(products!$A$1:$G$49,MATCH(orders!$D314,products!$A$1:$A$49,0),MATCH(orders!L$1,products!$A$1:$G$1,0))</f>
        <v>0.5</v>
      </c>
      <c r="M314" s="5">
        <f>INDEX(products!$A$1:$G$49,MATCH(orders!$D314,products!$A$1:$A$49,0),MATCH(orders!M$1,products!$A$1:$G$1,0))</f>
        <v>5.97</v>
      </c>
      <c r="N314" s="5">
        <f>Orders[[#This Row],[Quantity]]*(INDEX(products!$A$1:$G$49,MATCH(orders!$D314,products!$A$1:$A$49,0),MATCH(orders!N$1,products!$A$1:$G$1,0)))</f>
        <v>0.35819999999999996</v>
      </c>
      <c r="O314" s="5">
        <f>M314*E314</f>
        <v>5.97</v>
      </c>
      <c r="P314" t="str">
        <f t="shared" si="8"/>
        <v>Robusta</v>
      </c>
      <c r="Q314" t="str">
        <f t="shared" si="9"/>
        <v>Medium</v>
      </c>
      <c r="R314" t="str">
        <f>_xlfn.XLOOKUP(Orders[[#This Row],[Customer ID]],customers!$A$1:$A$1001,customers!$I$1:$I$1001,,0)</f>
        <v>Yes</v>
      </c>
    </row>
    <row r="315" spans="1:18" x14ac:dyDescent="0.35">
      <c r="A315" s="2" t="s">
        <v>2256</v>
      </c>
      <c r="B315" s="3">
        <v>44497</v>
      </c>
      <c r="C315" s="2" t="s">
        <v>2257</v>
      </c>
      <c r="D315" t="s">
        <v>6138</v>
      </c>
      <c r="E315" s="2">
        <v>3</v>
      </c>
      <c r="F315" s="2" t="str">
        <f>_xlfn.XLOOKUP(Orders[[#This Row],[Customer ID]],customers!$A$1:$A$1001,customers!$B$1:$B$1001,,0)</f>
        <v>Ailene Nesfield</v>
      </c>
      <c r="G315" s="2" t="str">
        <f>IF(_xlfn.XLOOKUP(C315,customers!$A$1:$A$1001,customers!C314:C1314,,0)=0,"",_xlfn.XLOOKUP(C315,customers!$A$1:$A$1001,customers!C314:C1314,,0))</f>
        <v>wbernthhe@miitbeian.gov.cn</v>
      </c>
      <c r="H315" s="2" t="str">
        <f>_xlfn.XLOOKUP(Orders[[#This Row],[Customer ID]],customers!$A$1:$A$1001,customers!$G$1:$G$1001,,0)</f>
        <v>United Kingdom</v>
      </c>
      <c r="I315" s="2" t="str">
        <f>_xlfn.XLOOKUP(Orders[[#This Row],[Customer ID]],customers!$A$1:$A$1001,customers!$F$1:$F$1001,,0)</f>
        <v>Belfast</v>
      </c>
      <c r="J315" t="str">
        <f>INDEX(products!$A$1:$G$49,MATCH(orders!$D315,products!$A$1:$A$49,0),MATCH(orders!J$1,products!$A$1:$G$1,0))</f>
        <v>Rob</v>
      </c>
      <c r="K315" t="str">
        <f>INDEX(products!$A$1:$G$49,MATCH(orders!$D315,products!$A$1:$A$49,0),MATCH(orders!K$1,products!$A$1:$G$1,0))</f>
        <v>M</v>
      </c>
      <c r="L315" s="4">
        <f>INDEX(products!$A$1:$G$49,MATCH(orders!$D315,products!$A$1:$A$49,0),MATCH(orders!L$1,products!$A$1:$G$1,0))</f>
        <v>1</v>
      </c>
      <c r="M315" s="5">
        <f>INDEX(products!$A$1:$G$49,MATCH(orders!$D315,products!$A$1:$A$49,0),MATCH(orders!M$1,products!$A$1:$G$1,0))</f>
        <v>9.9499999999999993</v>
      </c>
      <c r="N315" s="5">
        <f>Orders[[#This Row],[Quantity]]*(INDEX(products!$A$1:$G$49,MATCH(orders!$D315,products!$A$1:$A$49,0),MATCH(orders!N$1,products!$A$1:$G$1,0)))</f>
        <v>1.7909999999999999</v>
      </c>
      <c r="O315" s="5">
        <f>M315*E315</f>
        <v>29.849999999999998</v>
      </c>
      <c r="P315" t="str">
        <f t="shared" si="8"/>
        <v>Robusta</v>
      </c>
      <c r="Q315" t="str">
        <f t="shared" si="9"/>
        <v>Medium</v>
      </c>
      <c r="R315" t="str">
        <f>_xlfn.XLOOKUP(Orders[[#This Row],[Customer ID]],customers!$A$1:$A$1001,customers!$I$1:$I$1001,,0)</f>
        <v>Yes</v>
      </c>
    </row>
    <row r="316" spans="1:18" x14ac:dyDescent="0.35">
      <c r="A316" s="2" t="s">
        <v>2262</v>
      </c>
      <c r="B316" s="3">
        <v>44437</v>
      </c>
      <c r="C316" s="2" t="s">
        <v>2263</v>
      </c>
      <c r="D316" t="s">
        <v>6177</v>
      </c>
      <c r="E316" s="2">
        <v>5</v>
      </c>
      <c r="F316" s="2" t="str">
        <f>_xlfn.XLOOKUP(Orders[[#This Row],[Customer ID]],customers!$A$1:$A$1001,customers!$B$1:$B$1001,,0)</f>
        <v>Stacy Pickworth</v>
      </c>
      <c r="G316" s="2" t="str">
        <f>IF(_xlfn.XLOOKUP(C316,customers!$A$1:$A$1001,customers!C315:C1315,,0)=0,"",_xlfn.XLOOKUP(C316,customers!$A$1:$A$1001,customers!C315:C1315,,0))</f>
        <v>fbrighamhg@blog.com</v>
      </c>
      <c r="H316" s="2" t="str">
        <f>_xlfn.XLOOKUP(Orders[[#This Row],[Customer ID]],customers!$A$1:$A$1001,customers!$G$1:$G$1001,,0)</f>
        <v>United States</v>
      </c>
      <c r="I316" s="2" t="str">
        <f>_xlfn.XLOOKUP(Orders[[#This Row],[Customer ID]],customers!$A$1:$A$1001,customers!$F$1:$F$1001,,0)</f>
        <v>Las Vegas</v>
      </c>
      <c r="J316" t="str">
        <f>INDEX(products!$A$1:$G$49,MATCH(orders!$D316,products!$A$1:$A$49,0),MATCH(orders!J$1,products!$A$1:$G$1,0))</f>
        <v>Rob</v>
      </c>
      <c r="K316" t="str">
        <f>INDEX(products!$A$1:$G$49,MATCH(orders!$D316,products!$A$1:$A$49,0),MATCH(orders!K$1,products!$A$1:$G$1,0))</f>
        <v>D</v>
      </c>
      <c r="L316" s="4">
        <f>INDEX(products!$A$1:$G$49,MATCH(orders!$D316,products!$A$1:$A$49,0),MATCH(orders!L$1,products!$A$1:$G$1,0))</f>
        <v>1</v>
      </c>
      <c r="M316" s="5">
        <f>INDEX(products!$A$1:$G$49,MATCH(orders!$D316,products!$A$1:$A$49,0),MATCH(orders!M$1,products!$A$1:$G$1,0))</f>
        <v>8.9499999999999993</v>
      </c>
      <c r="N316" s="5">
        <f>Orders[[#This Row],[Quantity]]*(INDEX(products!$A$1:$G$49,MATCH(orders!$D316,products!$A$1:$A$49,0),MATCH(orders!N$1,products!$A$1:$G$1,0)))</f>
        <v>2.6849999999999996</v>
      </c>
      <c r="O316" s="5">
        <f>M316*E316</f>
        <v>44.75</v>
      </c>
      <c r="P316" t="str">
        <f t="shared" si="8"/>
        <v>Robusta</v>
      </c>
      <c r="Q316" t="str">
        <f t="shared" si="9"/>
        <v>Dark</v>
      </c>
      <c r="R316" t="str">
        <f>_xlfn.XLOOKUP(Orders[[#This Row],[Customer ID]],customers!$A$1:$A$1001,customers!$I$1:$I$1001,,0)</f>
        <v>No</v>
      </c>
    </row>
    <row r="317" spans="1:18" x14ac:dyDescent="0.35">
      <c r="A317" s="2" t="s">
        <v>2267</v>
      </c>
      <c r="B317" s="3">
        <v>43826</v>
      </c>
      <c r="C317" s="2" t="s">
        <v>2268</v>
      </c>
      <c r="D317" t="s">
        <v>6148</v>
      </c>
      <c r="E317" s="2">
        <v>1</v>
      </c>
      <c r="F317" s="2" t="str">
        <f>_xlfn.XLOOKUP(Orders[[#This Row],[Customer ID]],customers!$A$1:$A$1001,customers!$B$1:$B$1001,,0)</f>
        <v>Melli Brockway</v>
      </c>
      <c r="G317" s="2" t="str">
        <f>IF(_xlfn.XLOOKUP(C317,customers!$A$1:$A$1001,customers!C316:C1316,,0)=0,"",_xlfn.XLOOKUP(C317,customers!$A$1:$A$1001,customers!C316:C1316,,0))</f>
        <v>cmeirhi@cnet.com</v>
      </c>
      <c r="H317" s="2" t="str">
        <f>_xlfn.XLOOKUP(Orders[[#This Row],[Customer ID]],customers!$A$1:$A$1001,customers!$G$1:$G$1001,,0)</f>
        <v>United States</v>
      </c>
      <c r="I317" s="2" t="str">
        <f>_xlfn.XLOOKUP(Orders[[#This Row],[Customer ID]],customers!$A$1:$A$1001,customers!$F$1:$F$1001,,0)</f>
        <v>Des Moines</v>
      </c>
      <c r="J317" t="str">
        <f>INDEX(products!$A$1:$G$49,MATCH(orders!$D317,products!$A$1:$A$49,0),MATCH(orders!J$1,products!$A$1:$G$1,0))</f>
        <v>Exc</v>
      </c>
      <c r="K317" t="str">
        <f>INDEX(products!$A$1:$G$49,MATCH(orders!$D317,products!$A$1:$A$49,0),MATCH(orders!K$1,products!$A$1:$G$1,0))</f>
        <v>L</v>
      </c>
      <c r="L317" s="4">
        <f>INDEX(products!$A$1:$G$49,MATCH(orders!$D317,products!$A$1:$A$49,0),MATCH(orders!L$1,products!$A$1:$G$1,0))</f>
        <v>2.5</v>
      </c>
      <c r="M317" s="5">
        <f>INDEX(products!$A$1:$G$49,MATCH(orders!$D317,products!$A$1:$A$49,0),MATCH(orders!M$1,products!$A$1:$G$1,0))</f>
        <v>34.154999999999994</v>
      </c>
      <c r="N317" s="5">
        <f>Orders[[#This Row],[Quantity]]*(INDEX(products!$A$1:$G$49,MATCH(orders!$D317,products!$A$1:$A$49,0),MATCH(orders!N$1,products!$A$1:$G$1,0)))</f>
        <v>3.7570499999999996</v>
      </c>
      <c r="O317" s="5">
        <f>M317*E317</f>
        <v>34.154999999999994</v>
      </c>
      <c r="P317" t="str">
        <f t="shared" si="8"/>
        <v>Excelsa</v>
      </c>
      <c r="Q317" t="str">
        <f t="shared" si="9"/>
        <v>Light</v>
      </c>
      <c r="R317" t="str">
        <f>_xlfn.XLOOKUP(Orders[[#This Row],[Customer ID]],customers!$A$1:$A$1001,customers!$I$1:$I$1001,,0)</f>
        <v>Yes</v>
      </c>
    </row>
    <row r="318" spans="1:18" x14ac:dyDescent="0.35">
      <c r="A318" s="2" t="s">
        <v>2273</v>
      </c>
      <c r="B318" s="3">
        <v>43641</v>
      </c>
      <c r="C318" s="2" t="s">
        <v>2274</v>
      </c>
      <c r="D318" t="s">
        <v>6148</v>
      </c>
      <c r="E318" s="2">
        <v>6</v>
      </c>
      <c r="F318" s="2" t="str">
        <f>_xlfn.XLOOKUP(Orders[[#This Row],[Customer ID]],customers!$A$1:$A$1001,customers!$B$1:$B$1001,,0)</f>
        <v>Nanny Lush</v>
      </c>
      <c r="G318" s="2" t="str">
        <f>IF(_xlfn.XLOOKUP(C318,customers!$A$1:$A$1001,customers!C317:C1317,,0)=0,"",_xlfn.XLOOKUP(C318,customers!$A$1:$A$1001,customers!C317:C1317,,0))</f>
        <v>myoxenhk@google.com</v>
      </c>
      <c r="H318" s="2" t="str">
        <f>_xlfn.XLOOKUP(Orders[[#This Row],[Customer ID]],customers!$A$1:$A$1001,customers!$G$1:$G$1001,,0)</f>
        <v>Ireland</v>
      </c>
      <c r="I318" s="2" t="str">
        <f>_xlfn.XLOOKUP(Orders[[#This Row],[Customer ID]],customers!$A$1:$A$1001,customers!$F$1:$F$1001,,0)</f>
        <v>Ballivor</v>
      </c>
      <c r="J318" t="str">
        <f>INDEX(products!$A$1:$G$49,MATCH(orders!$D318,products!$A$1:$A$49,0),MATCH(orders!J$1,products!$A$1:$G$1,0))</f>
        <v>Exc</v>
      </c>
      <c r="K318" t="str">
        <f>INDEX(products!$A$1:$G$49,MATCH(orders!$D318,products!$A$1:$A$49,0),MATCH(orders!K$1,products!$A$1:$G$1,0))</f>
        <v>L</v>
      </c>
      <c r="L318" s="4">
        <f>INDEX(products!$A$1:$G$49,MATCH(orders!$D318,products!$A$1:$A$49,0),MATCH(orders!L$1,products!$A$1:$G$1,0))</f>
        <v>2.5</v>
      </c>
      <c r="M318" s="5">
        <f>INDEX(products!$A$1:$G$49,MATCH(orders!$D318,products!$A$1:$A$49,0),MATCH(orders!M$1,products!$A$1:$G$1,0))</f>
        <v>34.154999999999994</v>
      </c>
      <c r="N318" s="5">
        <f>Orders[[#This Row],[Quantity]]*(INDEX(products!$A$1:$G$49,MATCH(orders!$D318,products!$A$1:$A$49,0),MATCH(orders!N$1,products!$A$1:$G$1,0)))</f>
        <v>22.542299999999997</v>
      </c>
      <c r="O318" s="5">
        <f>M318*E318</f>
        <v>204.92999999999995</v>
      </c>
      <c r="P318" t="str">
        <f t="shared" si="8"/>
        <v>Excelsa</v>
      </c>
      <c r="Q318" t="str">
        <f t="shared" si="9"/>
        <v>Light</v>
      </c>
      <c r="R318" t="str">
        <f>_xlfn.XLOOKUP(Orders[[#This Row],[Customer ID]],customers!$A$1:$A$1001,customers!$I$1:$I$1001,,0)</f>
        <v>No</v>
      </c>
    </row>
    <row r="319" spans="1:18" x14ac:dyDescent="0.35">
      <c r="A319" s="2" t="s">
        <v>2279</v>
      </c>
      <c r="B319" s="3">
        <v>43526</v>
      </c>
      <c r="C319" s="2" t="s">
        <v>2280</v>
      </c>
      <c r="D319" t="s">
        <v>6144</v>
      </c>
      <c r="E319" s="2">
        <v>3</v>
      </c>
      <c r="F319" s="2" t="str">
        <f>_xlfn.XLOOKUP(Orders[[#This Row],[Customer ID]],customers!$A$1:$A$1001,customers!$B$1:$B$1001,,0)</f>
        <v>Selma McMillian</v>
      </c>
      <c r="G319" s="2" t="str">
        <f>IF(_xlfn.XLOOKUP(C319,customers!$A$1:$A$1001,customers!C318:C1318,,0)=0,"",_xlfn.XLOOKUP(C319,customers!$A$1:$A$1001,customers!C318:C1318,,0))</f>
        <v>luttermarehm@engadget.com</v>
      </c>
      <c r="H319" s="2" t="str">
        <f>_xlfn.XLOOKUP(Orders[[#This Row],[Customer ID]],customers!$A$1:$A$1001,customers!$G$1:$G$1001,,0)</f>
        <v>United States</v>
      </c>
      <c r="I319" s="2" t="str">
        <f>_xlfn.XLOOKUP(Orders[[#This Row],[Customer ID]],customers!$A$1:$A$1001,customers!$F$1:$F$1001,,0)</f>
        <v>Akron</v>
      </c>
      <c r="J319" t="str">
        <f>INDEX(products!$A$1:$G$49,MATCH(orders!$D319,products!$A$1:$A$49,0),MATCH(orders!J$1,products!$A$1:$G$1,0))</f>
        <v>Exc</v>
      </c>
      <c r="K319" t="str">
        <f>INDEX(products!$A$1:$G$49,MATCH(orders!$D319,products!$A$1:$A$49,0),MATCH(orders!K$1,products!$A$1:$G$1,0))</f>
        <v>D</v>
      </c>
      <c r="L319" s="4">
        <f>INDEX(products!$A$1:$G$49,MATCH(orders!$D319,products!$A$1:$A$49,0),MATCH(orders!L$1,products!$A$1:$G$1,0))</f>
        <v>0.5</v>
      </c>
      <c r="M319" s="5">
        <f>INDEX(products!$A$1:$G$49,MATCH(orders!$D319,products!$A$1:$A$49,0),MATCH(orders!M$1,products!$A$1:$G$1,0))</f>
        <v>7.29</v>
      </c>
      <c r="N319" s="5">
        <f>Orders[[#This Row],[Quantity]]*(INDEX(products!$A$1:$G$49,MATCH(orders!$D319,products!$A$1:$A$49,0),MATCH(orders!N$1,products!$A$1:$G$1,0)))</f>
        <v>2.4057000000000004</v>
      </c>
      <c r="O319" s="5">
        <f>M319*E319</f>
        <v>21.87</v>
      </c>
      <c r="P319" t="str">
        <f t="shared" si="8"/>
        <v>Excelsa</v>
      </c>
      <c r="Q319" t="str">
        <f t="shared" si="9"/>
        <v>Dark</v>
      </c>
      <c r="R319" t="str">
        <f>_xlfn.XLOOKUP(Orders[[#This Row],[Customer ID]],customers!$A$1:$A$1001,customers!$I$1:$I$1001,,0)</f>
        <v>No</v>
      </c>
    </row>
    <row r="320" spans="1:18" x14ac:dyDescent="0.35">
      <c r="A320" s="2" t="s">
        <v>2285</v>
      </c>
      <c r="B320" s="3">
        <v>44563</v>
      </c>
      <c r="C320" s="2" t="s">
        <v>2286</v>
      </c>
      <c r="D320" t="s">
        <v>6175</v>
      </c>
      <c r="E320" s="2">
        <v>2</v>
      </c>
      <c r="F320" s="2" t="str">
        <f>_xlfn.XLOOKUP(Orders[[#This Row],[Customer ID]],customers!$A$1:$A$1001,customers!$B$1:$B$1001,,0)</f>
        <v>Tess Bennison</v>
      </c>
      <c r="G320" s="2" t="str">
        <f>IF(_xlfn.XLOOKUP(C320,customers!$A$1:$A$1001,customers!C319:C1319,,0)=0,"",_xlfn.XLOOKUP(C320,customers!$A$1:$A$1001,customers!C319:C1319,,0))</f>
        <v>cwinchcombeho@jiathis.com</v>
      </c>
      <c r="H320" s="2" t="str">
        <f>_xlfn.XLOOKUP(Orders[[#This Row],[Customer ID]],customers!$A$1:$A$1001,customers!$G$1:$G$1001,,0)</f>
        <v>United States</v>
      </c>
      <c r="I320" s="2" t="str">
        <f>_xlfn.XLOOKUP(Orders[[#This Row],[Customer ID]],customers!$A$1:$A$1001,customers!$F$1:$F$1001,,0)</f>
        <v>West Palm Beach</v>
      </c>
      <c r="J320" t="str">
        <f>INDEX(products!$A$1:$G$49,MATCH(orders!$D320,products!$A$1:$A$49,0),MATCH(orders!J$1,products!$A$1:$G$1,0))</f>
        <v>Ara</v>
      </c>
      <c r="K320" t="str">
        <f>INDEX(products!$A$1:$G$49,MATCH(orders!$D320,products!$A$1:$A$49,0),MATCH(orders!K$1,products!$A$1:$G$1,0))</f>
        <v>M</v>
      </c>
      <c r="L320" s="4">
        <f>INDEX(products!$A$1:$G$49,MATCH(orders!$D320,products!$A$1:$A$49,0),MATCH(orders!L$1,products!$A$1:$G$1,0))</f>
        <v>2.5</v>
      </c>
      <c r="M320" s="5">
        <f>INDEX(products!$A$1:$G$49,MATCH(orders!$D320,products!$A$1:$A$49,0),MATCH(orders!M$1,products!$A$1:$G$1,0))</f>
        <v>25.874999999999996</v>
      </c>
      <c r="N320" s="5">
        <f>Orders[[#This Row],[Quantity]]*(INDEX(products!$A$1:$G$49,MATCH(orders!$D320,products!$A$1:$A$49,0),MATCH(orders!N$1,products!$A$1:$G$1,0)))</f>
        <v>4.6574999999999989</v>
      </c>
      <c r="O320" s="5">
        <f>M320*E320</f>
        <v>51.749999999999993</v>
      </c>
      <c r="P320" t="str">
        <f t="shared" si="8"/>
        <v>Arabica</v>
      </c>
      <c r="Q320" t="str">
        <f t="shared" si="9"/>
        <v>Medium</v>
      </c>
      <c r="R320" t="str">
        <f>_xlfn.XLOOKUP(Orders[[#This Row],[Customer ID]],customers!$A$1:$A$1001,customers!$I$1:$I$1001,,0)</f>
        <v>Yes</v>
      </c>
    </row>
    <row r="321" spans="1:18" x14ac:dyDescent="0.35">
      <c r="A321" s="2" t="s">
        <v>2291</v>
      </c>
      <c r="B321" s="3">
        <v>43676</v>
      </c>
      <c r="C321" s="2" t="s">
        <v>2292</v>
      </c>
      <c r="D321" t="s">
        <v>6156</v>
      </c>
      <c r="E321" s="2">
        <v>2</v>
      </c>
      <c r="F321" s="2" t="str">
        <f>_xlfn.XLOOKUP(Orders[[#This Row],[Customer ID]],customers!$A$1:$A$1001,customers!$B$1:$B$1001,,0)</f>
        <v>Gabie Tweed</v>
      </c>
      <c r="G321" s="2" t="str">
        <f>IF(_xlfn.XLOOKUP(C321,customers!$A$1:$A$1001,customers!C320:C1320,,0)=0,"",_xlfn.XLOOKUP(C321,customers!$A$1:$A$1001,customers!C320:C1320,,0))</f>
        <v/>
      </c>
      <c r="H321" s="2" t="str">
        <f>_xlfn.XLOOKUP(Orders[[#This Row],[Customer ID]],customers!$A$1:$A$1001,customers!$G$1:$G$1001,,0)</f>
        <v>United States</v>
      </c>
      <c r="I321" s="2" t="str">
        <f>_xlfn.XLOOKUP(Orders[[#This Row],[Customer ID]],customers!$A$1:$A$1001,customers!$F$1:$F$1001,,0)</f>
        <v>Fresno</v>
      </c>
      <c r="J321" t="str">
        <f>INDEX(products!$A$1:$G$49,MATCH(orders!$D321,products!$A$1:$A$49,0),MATCH(orders!J$1,products!$A$1:$G$1,0))</f>
        <v>Exc</v>
      </c>
      <c r="K321" t="str">
        <f>INDEX(products!$A$1:$G$49,MATCH(orders!$D321,products!$A$1:$A$49,0),MATCH(orders!K$1,products!$A$1:$G$1,0))</f>
        <v>M</v>
      </c>
      <c r="L321" s="4">
        <f>INDEX(products!$A$1:$G$49,MATCH(orders!$D321,products!$A$1:$A$49,0),MATCH(orders!L$1,products!$A$1:$G$1,0))</f>
        <v>0.2</v>
      </c>
      <c r="M321" s="5">
        <f>INDEX(products!$A$1:$G$49,MATCH(orders!$D321,products!$A$1:$A$49,0),MATCH(orders!M$1,products!$A$1:$G$1,0))</f>
        <v>4.125</v>
      </c>
      <c r="N321" s="5">
        <f>Orders[[#This Row],[Quantity]]*(INDEX(products!$A$1:$G$49,MATCH(orders!$D321,products!$A$1:$A$49,0),MATCH(orders!N$1,products!$A$1:$G$1,0)))</f>
        <v>0.90749999999999997</v>
      </c>
      <c r="O321" s="5">
        <f>M321*E321</f>
        <v>8.25</v>
      </c>
      <c r="P321" t="str">
        <f t="shared" si="8"/>
        <v>Excelsa</v>
      </c>
      <c r="Q321" t="str">
        <f t="shared" si="9"/>
        <v>Medium</v>
      </c>
      <c r="R321" t="str">
        <f>_xlfn.XLOOKUP(Orders[[#This Row],[Customer ID]],customers!$A$1:$A$1001,customers!$I$1:$I$1001,,0)</f>
        <v>Yes</v>
      </c>
    </row>
    <row r="322" spans="1:18" x14ac:dyDescent="0.35">
      <c r="A322" s="2" t="s">
        <v>2291</v>
      </c>
      <c r="B322" s="3">
        <v>43676</v>
      </c>
      <c r="C322" s="2" t="s">
        <v>2292</v>
      </c>
      <c r="D322" t="s">
        <v>6167</v>
      </c>
      <c r="E322" s="2">
        <v>5</v>
      </c>
      <c r="F322" s="2" t="str">
        <f>_xlfn.XLOOKUP(Orders[[#This Row],[Customer ID]],customers!$A$1:$A$1001,customers!$B$1:$B$1001,,0)</f>
        <v>Gabie Tweed</v>
      </c>
      <c r="G322" s="2" t="str">
        <f>IF(_xlfn.XLOOKUP(C322,customers!$A$1:$A$1001,customers!C321:C1321,,0)=0,"",_xlfn.XLOOKUP(C322,customers!$A$1:$A$1001,customers!C321:C1321,,0))</f>
        <v>jcapeyhr@bravesites.com</v>
      </c>
      <c r="H322" s="2" t="str">
        <f>_xlfn.XLOOKUP(Orders[[#This Row],[Customer ID]],customers!$A$1:$A$1001,customers!$G$1:$G$1001,,0)</f>
        <v>United States</v>
      </c>
      <c r="I322" s="2" t="str">
        <f>_xlfn.XLOOKUP(Orders[[#This Row],[Customer ID]],customers!$A$1:$A$1001,customers!$F$1:$F$1001,,0)</f>
        <v>Fresno</v>
      </c>
      <c r="J322" t="str">
        <f>INDEX(products!$A$1:$G$49,MATCH(orders!$D322,products!$A$1:$A$49,0),MATCH(orders!J$1,products!$A$1:$G$1,0))</f>
        <v>Ara</v>
      </c>
      <c r="K322" t="str">
        <f>INDEX(products!$A$1:$G$49,MATCH(orders!$D322,products!$A$1:$A$49,0),MATCH(orders!K$1,products!$A$1:$G$1,0))</f>
        <v>L</v>
      </c>
      <c r="L322" s="4">
        <f>INDEX(products!$A$1:$G$49,MATCH(orders!$D322,products!$A$1:$A$49,0),MATCH(orders!L$1,products!$A$1:$G$1,0))</f>
        <v>0.2</v>
      </c>
      <c r="M322" s="5">
        <f>INDEX(products!$A$1:$G$49,MATCH(orders!$D322,products!$A$1:$A$49,0),MATCH(orders!M$1,products!$A$1:$G$1,0))</f>
        <v>3.8849999999999998</v>
      </c>
      <c r="N322" s="5">
        <f>Orders[[#This Row],[Quantity]]*(INDEX(products!$A$1:$G$49,MATCH(orders!$D322,products!$A$1:$A$49,0),MATCH(orders!N$1,products!$A$1:$G$1,0)))</f>
        <v>1.7482499999999999</v>
      </c>
      <c r="O322" s="5">
        <f>M322*E322</f>
        <v>19.424999999999997</v>
      </c>
      <c r="P322" t="str">
        <f t="shared" si="8"/>
        <v>Arabica</v>
      </c>
      <c r="Q322" t="str">
        <f t="shared" si="9"/>
        <v>Light</v>
      </c>
      <c r="R322" t="str">
        <f>_xlfn.XLOOKUP(Orders[[#This Row],[Customer ID]],customers!$A$1:$A$1001,customers!$I$1:$I$1001,,0)</f>
        <v>Yes</v>
      </c>
    </row>
    <row r="323" spans="1:18" x14ac:dyDescent="0.35">
      <c r="A323" s="2" t="s">
        <v>2301</v>
      </c>
      <c r="B323" s="3">
        <v>44170</v>
      </c>
      <c r="C323" s="2" t="s">
        <v>2302</v>
      </c>
      <c r="D323" t="s">
        <v>6152</v>
      </c>
      <c r="E323" s="2">
        <v>6</v>
      </c>
      <c r="F323" s="2" t="str">
        <f>_xlfn.XLOOKUP(Orders[[#This Row],[Customer ID]],customers!$A$1:$A$1001,customers!$B$1:$B$1001,,0)</f>
        <v>Gaile Goggin</v>
      </c>
      <c r="G323" s="2" t="str">
        <f>IF(_xlfn.XLOOKUP(C323,customers!$A$1:$A$1001,customers!C322:C1322,,0)=0,"",_xlfn.XLOOKUP(C323,customers!$A$1:$A$1001,customers!C322:C1322,,0))</f>
        <v>mbaistowhu@i2i.jp</v>
      </c>
      <c r="H323" s="2" t="str">
        <f>_xlfn.XLOOKUP(Orders[[#This Row],[Customer ID]],customers!$A$1:$A$1001,customers!$G$1:$G$1001,,0)</f>
        <v>Ireland</v>
      </c>
      <c r="I323" s="2" t="str">
        <f>_xlfn.XLOOKUP(Orders[[#This Row],[Customer ID]],customers!$A$1:$A$1001,customers!$F$1:$F$1001,,0)</f>
        <v>Sandyford</v>
      </c>
      <c r="J323" t="str">
        <f>INDEX(products!$A$1:$G$49,MATCH(orders!$D323,products!$A$1:$A$49,0),MATCH(orders!J$1,products!$A$1:$G$1,0))</f>
        <v>Ara</v>
      </c>
      <c r="K323" t="str">
        <f>INDEX(products!$A$1:$G$49,MATCH(orders!$D323,products!$A$1:$A$49,0),MATCH(orders!K$1,products!$A$1:$G$1,0))</f>
        <v>M</v>
      </c>
      <c r="L323" s="4">
        <f>INDEX(products!$A$1:$G$49,MATCH(orders!$D323,products!$A$1:$A$49,0),MATCH(orders!L$1,products!$A$1:$G$1,0))</f>
        <v>0.2</v>
      </c>
      <c r="M323" s="5">
        <f>INDEX(products!$A$1:$G$49,MATCH(orders!$D323,products!$A$1:$A$49,0),MATCH(orders!M$1,products!$A$1:$G$1,0))</f>
        <v>3.375</v>
      </c>
      <c r="N323" s="5">
        <f>Orders[[#This Row],[Quantity]]*(INDEX(products!$A$1:$G$49,MATCH(orders!$D323,products!$A$1:$A$49,0),MATCH(orders!N$1,products!$A$1:$G$1,0)))</f>
        <v>1.8224999999999998</v>
      </c>
      <c r="O323" s="5">
        <f>M323*E323</f>
        <v>20.25</v>
      </c>
      <c r="P323" t="str">
        <f t="shared" ref="P323:P386" si="10">IF(J323="Rob","Robusta",IF(J323="Exc","Excelsa",IF(J323="Ara","Arabica",IF(J323="Lib","Liberica",""))))</f>
        <v>Arabica</v>
      </c>
      <c r="Q323" t="str">
        <f t="shared" ref="Q323:Q386" si="11">IF(K323="M", "Medium", IF(K323="L", "Light", IF(K323="D", "Dark", "")))</f>
        <v>Medium</v>
      </c>
      <c r="R323" t="str">
        <f>_xlfn.XLOOKUP(Orders[[#This Row],[Customer ID]],customers!$A$1:$A$1001,customers!$I$1:$I$1001,,0)</f>
        <v>Yes</v>
      </c>
    </row>
    <row r="324" spans="1:18" x14ac:dyDescent="0.35">
      <c r="A324" s="2" t="s">
        <v>2307</v>
      </c>
      <c r="B324" s="3">
        <v>44182</v>
      </c>
      <c r="C324" s="2" t="s">
        <v>2308</v>
      </c>
      <c r="D324" t="s">
        <v>6169</v>
      </c>
      <c r="E324" s="2">
        <v>3</v>
      </c>
      <c r="F324" s="2" t="str">
        <f>_xlfn.XLOOKUP(Orders[[#This Row],[Customer ID]],customers!$A$1:$A$1001,customers!$B$1:$B$1001,,0)</f>
        <v>Skylar Jeyness</v>
      </c>
      <c r="G324" s="2" t="str">
        <f>IF(_xlfn.XLOOKUP(C324,customers!$A$1:$A$1001,customers!C323:C1323,,0)=0,"",_xlfn.XLOOKUP(C324,customers!$A$1:$A$1001,customers!C323:C1323,,0))</f>
        <v/>
      </c>
      <c r="H324" s="2" t="str">
        <f>_xlfn.XLOOKUP(Orders[[#This Row],[Customer ID]],customers!$A$1:$A$1001,customers!$G$1:$G$1001,,0)</f>
        <v>Ireland</v>
      </c>
      <c r="I324" s="2" t="str">
        <f>_xlfn.XLOOKUP(Orders[[#This Row],[Customer ID]],customers!$A$1:$A$1001,customers!$F$1:$F$1001,,0)</f>
        <v>Dublin</v>
      </c>
      <c r="J324" t="str">
        <f>INDEX(products!$A$1:$G$49,MATCH(orders!$D324,products!$A$1:$A$49,0),MATCH(orders!J$1,products!$A$1:$G$1,0))</f>
        <v>Lib</v>
      </c>
      <c r="K324" t="str">
        <f>INDEX(products!$A$1:$G$49,MATCH(orders!$D324,products!$A$1:$A$49,0),MATCH(orders!K$1,products!$A$1:$G$1,0))</f>
        <v>D</v>
      </c>
      <c r="L324" s="4">
        <f>INDEX(products!$A$1:$G$49,MATCH(orders!$D324,products!$A$1:$A$49,0),MATCH(orders!L$1,products!$A$1:$G$1,0))</f>
        <v>0.5</v>
      </c>
      <c r="M324" s="5">
        <f>INDEX(products!$A$1:$G$49,MATCH(orders!$D324,products!$A$1:$A$49,0),MATCH(orders!M$1,products!$A$1:$G$1,0))</f>
        <v>7.77</v>
      </c>
      <c r="N324" s="5">
        <f>Orders[[#This Row],[Quantity]]*(INDEX(products!$A$1:$G$49,MATCH(orders!$D324,products!$A$1:$A$49,0),MATCH(orders!N$1,products!$A$1:$G$1,0)))</f>
        <v>3.0303</v>
      </c>
      <c r="O324" s="5">
        <f>M324*E324</f>
        <v>23.31</v>
      </c>
      <c r="P324" t="str">
        <f t="shared" si="10"/>
        <v>Liberica</v>
      </c>
      <c r="Q324" t="str">
        <f t="shared" si="11"/>
        <v>Dark</v>
      </c>
      <c r="R324" t="str">
        <f>_xlfn.XLOOKUP(Orders[[#This Row],[Customer ID]],customers!$A$1:$A$1001,customers!$I$1:$I$1001,,0)</f>
        <v>No</v>
      </c>
    </row>
    <row r="325" spans="1:18" x14ac:dyDescent="0.35">
      <c r="A325" s="2" t="s">
        <v>2313</v>
      </c>
      <c r="B325" s="3">
        <v>44373</v>
      </c>
      <c r="C325" s="2" t="s">
        <v>2314</v>
      </c>
      <c r="D325" t="s">
        <v>6153</v>
      </c>
      <c r="E325" s="2">
        <v>5</v>
      </c>
      <c r="F325" s="2" t="str">
        <f>_xlfn.XLOOKUP(Orders[[#This Row],[Customer ID]],customers!$A$1:$A$1001,customers!$B$1:$B$1001,,0)</f>
        <v>Donica Bonhome</v>
      </c>
      <c r="G325" s="2" t="str">
        <f>IF(_xlfn.XLOOKUP(C325,customers!$A$1:$A$1001,customers!C324:C1324,,0)=0,"",_xlfn.XLOOKUP(C325,customers!$A$1:$A$1001,customers!C324:C1324,,0))</f>
        <v>drallinhy@howstuffworks.com</v>
      </c>
      <c r="H325" s="2" t="str">
        <f>_xlfn.XLOOKUP(Orders[[#This Row],[Customer ID]],customers!$A$1:$A$1001,customers!$G$1:$G$1001,,0)</f>
        <v>United States</v>
      </c>
      <c r="I325" s="2" t="str">
        <f>_xlfn.XLOOKUP(Orders[[#This Row],[Customer ID]],customers!$A$1:$A$1001,customers!$F$1:$F$1001,,0)</f>
        <v>Knoxville</v>
      </c>
      <c r="J325" t="str">
        <f>INDEX(products!$A$1:$G$49,MATCH(orders!$D325,products!$A$1:$A$49,0),MATCH(orders!J$1,products!$A$1:$G$1,0))</f>
        <v>Exc</v>
      </c>
      <c r="K325" t="str">
        <f>INDEX(products!$A$1:$G$49,MATCH(orders!$D325,products!$A$1:$A$49,0),MATCH(orders!K$1,products!$A$1:$G$1,0))</f>
        <v>D</v>
      </c>
      <c r="L325" s="4">
        <f>INDEX(products!$A$1:$G$49,MATCH(orders!$D325,products!$A$1:$A$49,0),MATCH(orders!L$1,products!$A$1:$G$1,0))</f>
        <v>0.2</v>
      </c>
      <c r="M325" s="5">
        <f>INDEX(products!$A$1:$G$49,MATCH(orders!$D325,products!$A$1:$A$49,0),MATCH(orders!M$1,products!$A$1:$G$1,0))</f>
        <v>3.645</v>
      </c>
      <c r="N325" s="5">
        <f>Orders[[#This Row],[Quantity]]*(INDEX(products!$A$1:$G$49,MATCH(orders!$D325,products!$A$1:$A$49,0),MATCH(orders!N$1,products!$A$1:$G$1,0)))</f>
        <v>2.00475</v>
      </c>
      <c r="O325" s="5">
        <f>M325*E325</f>
        <v>18.225000000000001</v>
      </c>
      <c r="P325" t="str">
        <f t="shared" si="10"/>
        <v>Excelsa</v>
      </c>
      <c r="Q325" t="str">
        <f t="shared" si="11"/>
        <v>Dark</v>
      </c>
      <c r="R325" t="str">
        <f>_xlfn.XLOOKUP(Orders[[#This Row],[Customer ID]],customers!$A$1:$A$1001,customers!$I$1:$I$1001,,0)</f>
        <v>Yes</v>
      </c>
    </row>
    <row r="326" spans="1:18" x14ac:dyDescent="0.35">
      <c r="A326" s="2" t="s">
        <v>2319</v>
      </c>
      <c r="B326" s="3">
        <v>43666</v>
      </c>
      <c r="C326" s="2" t="s">
        <v>2320</v>
      </c>
      <c r="D326" t="s">
        <v>6141</v>
      </c>
      <c r="E326" s="2">
        <v>1</v>
      </c>
      <c r="F326" s="2" t="str">
        <f>_xlfn.XLOOKUP(Orders[[#This Row],[Customer ID]],customers!$A$1:$A$1001,customers!$B$1:$B$1001,,0)</f>
        <v>Diena Peetermann</v>
      </c>
      <c r="G326" s="2" t="str">
        <f>IF(_xlfn.XLOOKUP(C326,customers!$A$1:$A$1001,customers!C325:C1325,,0)=0,"",_xlfn.XLOOKUP(C326,customers!$A$1:$A$1001,customers!C325:C1325,,0))</f>
        <v>tmathonneti0@google.co.jp</v>
      </c>
      <c r="H326" s="2" t="str">
        <f>_xlfn.XLOOKUP(Orders[[#This Row],[Customer ID]],customers!$A$1:$A$1001,customers!$G$1:$G$1001,,0)</f>
        <v>United States</v>
      </c>
      <c r="I326" s="2" t="str">
        <f>_xlfn.XLOOKUP(Orders[[#This Row],[Customer ID]],customers!$A$1:$A$1001,customers!$F$1:$F$1001,,0)</f>
        <v>Shawnee Mission</v>
      </c>
      <c r="J326" t="str">
        <f>INDEX(products!$A$1:$G$49,MATCH(orders!$D326,products!$A$1:$A$49,0),MATCH(orders!J$1,products!$A$1:$G$1,0))</f>
        <v>Exc</v>
      </c>
      <c r="K326" t="str">
        <f>INDEX(products!$A$1:$G$49,MATCH(orders!$D326,products!$A$1:$A$49,0),MATCH(orders!K$1,products!$A$1:$G$1,0))</f>
        <v>M</v>
      </c>
      <c r="L326" s="4">
        <f>INDEX(products!$A$1:$G$49,MATCH(orders!$D326,products!$A$1:$A$49,0),MATCH(orders!L$1,products!$A$1:$G$1,0))</f>
        <v>1</v>
      </c>
      <c r="M326" s="5">
        <f>INDEX(products!$A$1:$G$49,MATCH(orders!$D326,products!$A$1:$A$49,0),MATCH(orders!M$1,products!$A$1:$G$1,0))</f>
        <v>13.75</v>
      </c>
      <c r="N326" s="5">
        <f>Orders[[#This Row],[Quantity]]*(INDEX(products!$A$1:$G$49,MATCH(orders!$D326,products!$A$1:$A$49,0),MATCH(orders!N$1,products!$A$1:$G$1,0)))</f>
        <v>1.5125</v>
      </c>
      <c r="O326" s="5">
        <f>M326*E326</f>
        <v>13.75</v>
      </c>
      <c r="P326" t="str">
        <f t="shared" si="10"/>
        <v>Excelsa</v>
      </c>
      <c r="Q326" t="str">
        <f t="shared" si="11"/>
        <v>Medium</v>
      </c>
      <c r="R326" t="str">
        <f>_xlfn.XLOOKUP(Orders[[#This Row],[Customer ID]],customers!$A$1:$A$1001,customers!$I$1:$I$1001,,0)</f>
        <v>No</v>
      </c>
    </row>
    <row r="327" spans="1:18" x14ac:dyDescent="0.35">
      <c r="A327" s="2" t="s">
        <v>2324</v>
      </c>
      <c r="B327" s="3">
        <v>44756</v>
      </c>
      <c r="C327" s="2" t="s">
        <v>2325</v>
      </c>
      <c r="D327" t="s">
        <v>6182</v>
      </c>
      <c r="E327" s="2">
        <v>1</v>
      </c>
      <c r="F327" s="2" t="str">
        <f>_xlfn.XLOOKUP(Orders[[#This Row],[Customer ID]],customers!$A$1:$A$1001,customers!$B$1:$B$1001,,0)</f>
        <v>Trina Le Sarr</v>
      </c>
      <c r="G327" s="2" t="str">
        <f>IF(_xlfn.XLOOKUP(C327,customers!$A$1:$A$1001,customers!C326:C1326,,0)=0,"",_xlfn.XLOOKUP(C327,customers!$A$1:$A$1001,customers!C326:C1326,,0))</f>
        <v>cstebbingsi2@drupal.org</v>
      </c>
      <c r="H327" s="2" t="str">
        <f>_xlfn.XLOOKUP(Orders[[#This Row],[Customer ID]],customers!$A$1:$A$1001,customers!$G$1:$G$1001,,0)</f>
        <v>United States</v>
      </c>
      <c r="I327" s="2" t="str">
        <f>_xlfn.XLOOKUP(Orders[[#This Row],[Customer ID]],customers!$A$1:$A$1001,customers!$F$1:$F$1001,,0)</f>
        <v>San Francisco</v>
      </c>
      <c r="J327" t="str">
        <f>INDEX(products!$A$1:$G$49,MATCH(orders!$D327,products!$A$1:$A$49,0),MATCH(orders!J$1,products!$A$1:$G$1,0))</f>
        <v>Ara</v>
      </c>
      <c r="K327" t="str">
        <f>INDEX(products!$A$1:$G$49,MATCH(orders!$D327,products!$A$1:$A$49,0),MATCH(orders!K$1,products!$A$1:$G$1,0))</f>
        <v>L</v>
      </c>
      <c r="L327" s="4">
        <f>INDEX(products!$A$1:$G$49,MATCH(orders!$D327,products!$A$1:$A$49,0),MATCH(orders!L$1,products!$A$1:$G$1,0))</f>
        <v>2.5</v>
      </c>
      <c r="M327" s="5">
        <f>INDEX(products!$A$1:$G$49,MATCH(orders!$D327,products!$A$1:$A$49,0),MATCH(orders!M$1,products!$A$1:$G$1,0))</f>
        <v>29.784999999999997</v>
      </c>
      <c r="N327" s="5">
        <f>Orders[[#This Row],[Quantity]]*(INDEX(products!$A$1:$G$49,MATCH(orders!$D327,products!$A$1:$A$49,0),MATCH(orders!N$1,products!$A$1:$G$1,0)))</f>
        <v>2.6806499999999995</v>
      </c>
      <c r="O327" s="5">
        <f>M327*E327</f>
        <v>29.784999999999997</v>
      </c>
      <c r="P327" t="str">
        <f t="shared" si="10"/>
        <v>Arabica</v>
      </c>
      <c r="Q327" t="str">
        <f t="shared" si="11"/>
        <v>Light</v>
      </c>
      <c r="R327" t="str">
        <f>_xlfn.XLOOKUP(Orders[[#This Row],[Customer ID]],customers!$A$1:$A$1001,customers!$I$1:$I$1001,,0)</f>
        <v>Yes</v>
      </c>
    </row>
    <row r="328" spans="1:18" x14ac:dyDescent="0.35">
      <c r="A328" s="2" t="s">
        <v>2330</v>
      </c>
      <c r="B328" s="3">
        <v>44057</v>
      </c>
      <c r="C328" s="2" t="s">
        <v>2331</v>
      </c>
      <c r="D328" t="s">
        <v>6177</v>
      </c>
      <c r="E328" s="2">
        <v>5</v>
      </c>
      <c r="F328" s="2" t="str">
        <f>_xlfn.XLOOKUP(Orders[[#This Row],[Customer ID]],customers!$A$1:$A$1001,customers!$B$1:$B$1001,,0)</f>
        <v>Flynn Antony</v>
      </c>
      <c r="G328" s="2" t="str">
        <f>IF(_xlfn.XLOOKUP(C328,customers!$A$1:$A$1001,customers!C327:C1327,,0)=0,"",_xlfn.XLOOKUP(C328,customers!$A$1:$A$1001,customers!C327:C1327,,0))</f>
        <v>rzywickii4@ifeng.com</v>
      </c>
      <c r="H328" s="2" t="str">
        <f>_xlfn.XLOOKUP(Orders[[#This Row],[Customer ID]],customers!$A$1:$A$1001,customers!$G$1:$G$1001,,0)</f>
        <v>United States</v>
      </c>
      <c r="I328" s="2" t="str">
        <f>_xlfn.XLOOKUP(Orders[[#This Row],[Customer ID]],customers!$A$1:$A$1001,customers!$F$1:$F$1001,,0)</f>
        <v>Birmingham</v>
      </c>
      <c r="J328" t="str">
        <f>INDEX(products!$A$1:$G$49,MATCH(orders!$D328,products!$A$1:$A$49,0),MATCH(orders!J$1,products!$A$1:$G$1,0))</f>
        <v>Rob</v>
      </c>
      <c r="K328" t="str">
        <f>INDEX(products!$A$1:$G$49,MATCH(orders!$D328,products!$A$1:$A$49,0),MATCH(orders!K$1,products!$A$1:$G$1,0))</f>
        <v>D</v>
      </c>
      <c r="L328" s="4">
        <f>INDEX(products!$A$1:$G$49,MATCH(orders!$D328,products!$A$1:$A$49,0),MATCH(orders!L$1,products!$A$1:$G$1,0))</f>
        <v>1</v>
      </c>
      <c r="M328" s="5">
        <f>INDEX(products!$A$1:$G$49,MATCH(orders!$D328,products!$A$1:$A$49,0),MATCH(orders!M$1,products!$A$1:$G$1,0))</f>
        <v>8.9499999999999993</v>
      </c>
      <c r="N328" s="5">
        <f>Orders[[#This Row],[Quantity]]*(INDEX(products!$A$1:$G$49,MATCH(orders!$D328,products!$A$1:$A$49,0),MATCH(orders!N$1,products!$A$1:$G$1,0)))</f>
        <v>2.6849999999999996</v>
      </c>
      <c r="O328" s="5">
        <f>M328*E328</f>
        <v>44.75</v>
      </c>
      <c r="P328" t="str">
        <f t="shared" si="10"/>
        <v>Robusta</v>
      </c>
      <c r="Q328" t="str">
        <f t="shared" si="11"/>
        <v>Dark</v>
      </c>
      <c r="R328" t="str">
        <f>_xlfn.XLOOKUP(Orders[[#This Row],[Customer ID]],customers!$A$1:$A$1001,customers!$I$1:$I$1001,,0)</f>
        <v>No</v>
      </c>
    </row>
    <row r="329" spans="1:18" x14ac:dyDescent="0.35">
      <c r="A329" s="2" t="s">
        <v>2335</v>
      </c>
      <c r="B329" s="3">
        <v>43579</v>
      </c>
      <c r="C329" s="2" t="s">
        <v>2336</v>
      </c>
      <c r="D329" t="s">
        <v>6177</v>
      </c>
      <c r="E329" s="2">
        <v>5</v>
      </c>
      <c r="F329" s="2" t="str">
        <f>_xlfn.XLOOKUP(Orders[[#This Row],[Customer ID]],customers!$A$1:$A$1001,customers!$B$1:$B$1001,,0)</f>
        <v>Baudoin Alldridge</v>
      </c>
      <c r="G329" s="2" t="str">
        <f>IF(_xlfn.XLOOKUP(C329,customers!$A$1:$A$1001,customers!C328:C1328,,0)=0,"",_xlfn.XLOOKUP(C329,customers!$A$1:$A$1001,customers!C328:C1328,,0))</f>
        <v>mmalloyi6@seattletimes.com</v>
      </c>
      <c r="H329" s="2" t="str">
        <f>_xlfn.XLOOKUP(Orders[[#This Row],[Customer ID]],customers!$A$1:$A$1001,customers!$G$1:$G$1001,,0)</f>
        <v>United States</v>
      </c>
      <c r="I329" s="2" t="str">
        <f>_xlfn.XLOOKUP(Orders[[#This Row],[Customer ID]],customers!$A$1:$A$1001,customers!$F$1:$F$1001,,0)</f>
        <v>Brooklyn</v>
      </c>
      <c r="J329" t="str">
        <f>INDEX(products!$A$1:$G$49,MATCH(orders!$D329,products!$A$1:$A$49,0),MATCH(orders!J$1,products!$A$1:$G$1,0))</f>
        <v>Rob</v>
      </c>
      <c r="K329" t="str">
        <f>INDEX(products!$A$1:$G$49,MATCH(orders!$D329,products!$A$1:$A$49,0),MATCH(orders!K$1,products!$A$1:$G$1,0))</f>
        <v>D</v>
      </c>
      <c r="L329" s="4">
        <f>INDEX(products!$A$1:$G$49,MATCH(orders!$D329,products!$A$1:$A$49,0),MATCH(orders!L$1,products!$A$1:$G$1,0))</f>
        <v>1</v>
      </c>
      <c r="M329" s="5">
        <f>INDEX(products!$A$1:$G$49,MATCH(orders!$D329,products!$A$1:$A$49,0),MATCH(orders!M$1,products!$A$1:$G$1,0))</f>
        <v>8.9499999999999993</v>
      </c>
      <c r="N329" s="5">
        <f>Orders[[#This Row],[Quantity]]*(INDEX(products!$A$1:$G$49,MATCH(orders!$D329,products!$A$1:$A$49,0),MATCH(orders!N$1,products!$A$1:$G$1,0)))</f>
        <v>2.6849999999999996</v>
      </c>
      <c r="O329" s="5">
        <f>M329*E329</f>
        <v>44.75</v>
      </c>
      <c r="P329" t="str">
        <f t="shared" si="10"/>
        <v>Robusta</v>
      </c>
      <c r="Q329" t="str">
        <f t="shared" si="11"/>
        <v>Dark</v>
      </c>
      <c r="R329" t="str">
        <f>_xlfn.XLOOKUP(Orders[[#This Row],[Customer ID]],customers!$A$1:$A$1001,customers!$I$1:$I$1001,,0)</f>
        <v>Yes</v>
      </c>
    </row>
    <row r="330" spans="1:18" x14ac:dyDescent="0.35">
      <c r="A330" s="2" t="s">
        <v>2341</v>
      </c>
      <c r="B330" s="3">
        <v>43620</v>
      </c>
      <c r="C330" s="2" t="s">
        <v>2342</v>
      </c>
      <c r="D330" t="s">
        <v>6161</v>
      </c>
      <c r="E330" s="2">
        <v>4</v>
      </c>
      <c r="F330" s="2" t="str">
        <f>_xlfn.XLOOKUP(Orders[[#This Row],[Customer ID]],customers!$A$1:$A$1001,customers!$B$1:$B$1001,,0)</f>
        <v>Homer Dulany</v>
      </c>
      <c r="G330" s="2" t="str">
        <f>IF(_xlfn.XLOOKUP(C330,customers!$A$1:$A$1001,customers!C329:C1329,,0)=0,"",_xlfn.XLOOKUP(C330,customers!$A$1:$A$1001,customers!C329:C1329,,0))</f>
        <v>sjennaroyi8@purevolume.com</v>
      </c>
      <c r="H330" s="2" t="str">
        <f>_xlfn.XLOOKUP(Orders[[#This Row],[Customer ID]],customers!$A$1:$A$1001,customers!$G$1:$G$1001,,0)</f>
        <v>United States</v>
      </c>
      <c r="I330" s="2" t="str">
        <f>_xlfn.XLOOKUP(Orders[[#This Row],[Customer ID]],customers!$A$1:$A$1001,customers!$F$1:$F$1001,,0)</f>
        <v>El Paso</v>
      </c>
      <c r="J330" t="str">
        <f>INDEX(products!$A$1:$G$49,MATCH(orders!$D330,products!$A$1:$A$49,0),MATCH(orders!J$1,products!$A$1:$G$1,0))</f>
        <v>Lib</v>
      </c>
      <c r="K330" t="str">
        <f>INDEX(products!$A$1:$G$49,MATCH(orders!$D330,products!$A$1:$A$49,0),MATCH(orders!K$1,products!$A$1:$G$1,0))</f>
        <v>L</v>
      </c>
      <c r="L330" s="4">
        <f>INDEX(products!$A$1:$G$49,MATCH(orders!$D330,products!$A$1:$A$49,0),MATCH(orders!L$1,products!$A$1:$G$1,0))</f>
        <v>0.5</v>
      </c>
      <c r="M330" s="5">
        <f>INDEX(products!$A$1:$G$49,MATCH(orders!$D330,products!$A$1:$A$49,0),MATCH(orders!M$1,products!$A$1:$G$1,0))</f>
        <v>9.51</v>
      </c>
      <c r="N330" s="5">
        <f>Orders[[#This Row],[Quantity]]*(INDEX(products!$A$1:$G$49,MATCH(orders!$D330,products!$A$1:$A$49,0),MATCH(orders!N$1,products!$A$1:$G$1,0)))</f>
        <v>4.9451999999999998</v>
      </c>
      <c r="O330" s="5">
        <f>M330*E330</f>
        <v>38.04</v>
      </c>
      <c r="P330" t="str">
        <f t="shared" si="10"/>
        <v>Liberica</v>
      </c>
      <c r="Q330" t="str">
        <f t="shared" si="11"/>
        <v>Light</v>
      </c>
      <c r="R330" t="str">
        <f>_xlfn.XLOOKUP(Orders[[#This Row],[Customer ID]],customers!$A$1:$A$1001,customers!$I$1:$I$1001,,0)</f>
        <v>Yes</v>
      </c>
    </row>
    <row r="331" spans="1:18" x14ac:dyDescent="0.35">
      <c r="A331" s="2" t="s">
        <v>2346</v>
      </c>
      <c r="B331" s="3">
        <v>44781</v>
      </c>
      <c r="C331" s="2" t="s">
        <v>2347</v>
      </c>
      <c r="D331" t="s">
        <v>6172</v>
      </c>
      <c r="E331" s="2">
        <v>4</v>
      </c>
      <c r="F331" s="2" t="str">
        <f>_xlfn.XLOOKUP(Orders[[#This Row],[Customer ID]],customers!$A$1:$A$1001,customers!$B$1:$B$1001,,0)</f>
        <v>Lisa Goodger</v>
      </c>
      <c r="G331" s="2" t="str">
        <f>IF(_xlfn.XLOOKUP(C331,customers!$A$1:$A$1001,customers!C330:C1330,,0)=0,"",_xlfn.XLOOKUP(C331,customers!$A$1:$A$1001,customers!C330:C1330,,0))</f>
        <v/>
      </c>
      <c r="H331" s="2" t="str">
        <f>_xlfn.XLOOKUP(Orders[[#This Row],[Customer ID]],customers!$A$1:$A$1001,customers!$G$1:$G$1001,,0)</f>
        <v>United States</v>
      </c>
      <c r="I331" s="2" t="str">
        <f>_xlfn.XLOOKUP(Orders[[#This Row],[Customer ID]],customers!$A$1:$A$1001,customers!$F$1:$F$1001,,0)</f>
        <v>Sacramento</v>
      </c>
      <c r="J331" t="str">
        <f>INDEX(products!$A$1:$G$49,MATCH(orders!$D331,products!$A$1:$A$49,0),MATCH(orders!J$1,products!$A$1:$G$1,0))</f>
        <v>Rob</v>
      </c>
      <c r="K331" t="str">
        <f>INDEX(products!$A$1:$G$49,MATCH(orders!$D331,products!$A$1:$A$49,0),MATCH(orders!K$1,products!$A$1:$G$1,0))</f>
        <v>D</v>
      </c>
      <c r="L331" s="4">
        <f>INDEX(products!$A$1:$G$49,MATCH(orders!$D331,products!$A$1:$A$49,0),MATCH(orders!L$1,products!$A$1:$G$1,0))</f>
        <v>0.5</v>
      </c>
      <c r="M331" s="5">
        <f>INDEX(products!$A$1:$G$49,MATCH(orders!$D331,products!$A$1:$A$49,0),MATCH(orders!M$1,products!$A$1:$G$1,0))</f>
        <v>5.3699999999999992</v>
      </c>
      <c r="N331" s="5">
        <f>Orders[[#This Row],[Quantity]]*(INDEX(products!$A$1:$G$49,MATCH(orders!$D331,products!$A$1:$A$49,0),MATCH(orders!N$1,products!$A$1:$G$1,0)))</f>
        <v>1.2887999999999997</v>
      </c>
      <c r="O331" s="5">
        <f>M331*E331</f>
        <v>21.479999999999997</v>
      </c>
      <c r="P331" t="str">
        <f t="shared" si="10"/>
        <v>Robusta</v>
      </c>
      <c r="Q331" t="str">
        <f t="shared" si="11"/>
        <v>Dark</v>
      </c>
      <c r="R331" t="str">
        <f>_xlfn.XLOOKUP(Orders[[#This Row],[Customer ID]],customers!$A$1:$A$1001,customers!$I$1:$I$1001,,0)</f>
        <v>Yes</v>
      </c>
    </row>
    <row r="332" spans="1:18" x14ac:dyDescent="0.35">
      <c r="A332" s="2" t="s">
        <v>2351</v>
      </c>
      <c r="B332" s="3">
        <v>43782</v>
      </c>
      <c r="C332" s="2" t="s">
        <v>2280</v>
      </c>
      <c r="D332" t="s">
        <v>6172</v>
      </c>
      <c r="E332" s="2">
        <v>3</v>
      </c>
      <c r="F332" s="2" t="str">
        <f>_xlfn.XLOOKUP(Orders[[#This Row],[Customer ID]],customers!$A$1:$A$1001,customers!$B$1:$B$1001,,0)</f>
        <v>Selma McMillian</v>
      </c>
      <c r="G332" s="2" t="str">
        <f>IF(_xlfn.XLOOKUP(C332,customers!$A$1:$A$1001,customers!C331:C1331,,0)=0,"",_xlfn.XLOOKUP(C332,customers!$A$1:$A$1001,customers!C331:C1331,,0))</f>
        <v>achillhz@epa.gov</v>
      </c>
      <c r="H332" s="2" t="str">
        <f>_xlfn.XLOOKUP(Orders[[#This Row],[Customer ID]],customers!$A$1:$A$1001,customers!$G$1:$G$1001,,0)</f>
        <v>United States</v>
      </c>
      <c r="I332" s="2" t="str">
        <f>_xlfn.XLOOKUP(Orders[[#This Row],[Customer ID]],customers!$A$1:$A$1001,customers!$F$1:$F$1001,,0)</f>
        <v>Akron</v>
      </c>
      <c r="J332" t="str">
        <f>INDEX(products!$A$1:$G$49,MATCH(orders!$D332,products!$A$1:$A$49,0),MATCH(orders!J$1,products!$A$1:$G$1,0))</f>
        <v>Rob</v>
      </c>
      <c r="K332" t="str">
        <f>INDEX(products!$A$1:$G$49,MATCH(orders!$D332,products!$A$1:$A$49,0),MATCH(orders!K$1,products!$A$1:$G$1,0))</f>
        <v>D</v>
      </c>
      <c r="L332" s="4">
        <f>INDEX(products!$A$1:$G$49,MATCH(orders!$D332,products!$A$1:$A$49,0),MATCH(orders!L$1,products!$A$1:$G$1,0))</f>
        <v>0.5</v>
      </c>
      <c r="M332" s="5">
        <f>INDEX(products!$A$1:$G$49,MATCH(orders!$D332,products!$A$1:$A$49,0),MATCH(orders!M$1,products!$A$1:$G$1,0))</f>
        <v>5.3699999999999992</v>
      </c>
      <c r="N332" s="5">
        <f>Orders[[#This Row],[Quantity]]*(INDEX(products!$A$1:$G$49,MATCH(orders!$D332,products!$A$1:$A$49,0),MATCH(orders!N$1,products!$A$1:$G$1,0)))</f>
        <v>0.96659999999999979</v>
      </c>
      <c r="O332" s="5">
        <f>M332*E332</f>
        <v>16.11</v>
      </c>
      <c r="P332" t="str">
        <f t="shared" si="10"/>
        <v>Robusta</v>
      </c>
      <c r="Q332" t="str">
        <f t="shared" si="11"/>
        <v>Dark</v>
      </c>
      <c r="R332" t="str">
        <f>_xlfn.XLOOKUP(Orders[[#This Row],[Customer ID]],customers!$A$1:$A$1001,customers!$I$1:$I$1001,,0)</f>
        <v>No</v>
      </c>
    </row>
    <row r="333" spans="1:18" x14ac:dyDescent="0.35">
      <c r="A333" s="2" t="s">
        <v>2357</v>
      </c>
      <c r="B333" s="3">
        <v>43989</v>
      </c>
      <c r="C333" s="2" t="s">
        <v>2358</v>
      </c>
      <c r="D333" t="s">
        <v>6151</v>
      </c>
      <c r="E333" s="2">
        <v>1</v>
      </c>
      <c r="F333" s="2" t="str">
        <f>_xlfn.XLOOKUP(Orders[[#This Row],[Customer ID]],customers!$A$1:$A$1001,customers!$B$1:$B$1001,,0)</f>
        <v>Corine Drewett</v>
      </c>
      <c r="G333" s="2" t="str">
        <f>IF(_xlfn.XLOOKUP(C333,customers!$A$1:$A$1001,customers!C332:C1332,,0)=0,"",_xlfn.XLOOKUP(C333,customers!$A$1:$A$1001,customers!C332:C1332,,0))</f>
        <v>smosebyie@stanford.edu</v>
      </c>
      <c r="H333" s="2" t="str">
        <f>_xlfn.XLOOKUP(Orders[[#This Row],[Customer ID]],customers!$A$1:$A$1001,customers!$G$1:$G$1001,,0)</f>
        <v>United States</v>
      </c>
      <c r="I333" s="2" t="str">
        <f>_xlfn.XLOOKUP(Orders[[#This Row],[Customer ID]],customers!$A$1:$A$1001,customers!$F$1:$F$1001,,0)</f>
        <v>Boynton Beach</v>
      </c>
      <c r="J333" t="str">
        <f>INDEX(products!$A$1:$G$49,MATCH(orders!$D333,products!$A$1:$A$49,0),MATCH(orders!J$1,products!$A$1:$G$1,0))</f>
        <v>Rob</v>
      </c>
      <c r="K333" t="str">
        <f>INDEX(products!$A$1:$G$49,MATCH(orders!$D333,products!$A$1:$A$49,0),MATCH(orders!K$1,products!$A$1:$G$1,0))</f>
        <v>M</v>
      </c>
      <c r="L333" s="4">
        <f>INDEX(products!$A$1:$G$49,MATCH(orders!$D333,products!$A$1:$A$49,0),MATCH(orders!L$1,products!$A$1:$G$1,0))</f>
        <v>2.5</v>
      </c>
      <c r="M333" s="5">
        <f>INDEX(products!$A$1:$G$49,MATCH(orders!$D333,products!$A$1:$A$49,0),MATCH(orders!M$1,products!$A$1:$G$1,0))</f>
        <v>22.884999999999998</v>
      </c>
      <c r="N333" s="5">
        <f>Orders[[#This Row],[Quantity]]*(INDEX(products!$A$1:$G$49,MATCH(orders!$D333,products!$A$1:$A$49,0),MATCH(orders!N$1,products!$A$1:$G$1,0)))</f>
        <v>1.3730999999999998</v>
      </c>
      <c r="O333" s="5">
        <f>M333*E333</f>
        <v>22.884999999999998</v>
      </c>
      <c r="P333" t="str">
        <f t="shared" si="10"/>
        <v>Robusta</v>
      </c>
      <c r="Q333" t="str">
        <f t="shared" si="11"/>
        <v>Medium</v>
      </c>
      <c r="R333" t="str">
        <f>_xlfn.XLOOKUP(Orders[[#This Row],[Customer ID]],customers!$A$1:$A$1001,customers!$I$1:$I$1001,,0)</f>
        <v>Yes</v>
      </c>
    </row>
    <row r="334" spans="1:18" x14ac:dyDescent="0.35">
      <c r="A334" s="2" t="s">
        <v>2363</v>
      </c>
      <c r="B334" s="3">
        <v>43689</v>
      </c>
      <c r="C334" s="2" t="s">
        <v>2364</v>
      </c>
      <c r="D334" t="s">
        <v>6158</v>
      </c>
      <c r="E334" s="2">
        <v>3</v>
      </c>
      <c r="F334" s="2" t="str">
        <f>_xlfn.XLOOKUP(Orders[[#This Row],[Customer ID]],customers!$A$1:$A$1001,customers!$B$1:$B$1001,,0)</f>
        <v>Quinn Parsons</v>
      </c>
      <c r="G334" s="2" t="str">
        <f>IF(_xlfn.XLOOKUP(C334,customers!$A$1:$A$1001,customers!C333:C1333,,0)=0,"",_xlfn.XLOOKUP(C334,customers!$A$1:$A$1001,customers!C333:C1333,,0))</f>
        <v>isjostromig@pbs.org</v>
      </c>
      <c r="H334" s="2" t="str">
        <f>_xlfn.XLOOKUP(Orders[[#This Row],[Customer ID]],customers!$A$1:$A$1001,customers!$G$1:$G$1001,,0)</f>
        <v>United States</v>
      </c>
      <c r="I334" s="2" t="str">
        <f>_xlfn.XLOOKUP(Orders[[#This Row],[Customer ID]],customers!$A$1:$A$1001,customers!$F$1:$F$1001,,0)</f>
        <v>Los Angeles</v>
      </c>
      <c r="J334" t="str">
        <f>INDEX(products!$A$1:$G$49,MATCH(orders!$D334,products!$A$1:$A$49,0),MATCH(orders!J$1,products!$A$1:$G$1,0))</f>
        <v>Ara</v>
      </c>
      <c r="K334" t="str">
        <f>INDEX(products!$A$1:$G$49,MATCH(orders!$D334,products!$A$1:$A$49,0),MATCH(orders!K$1,products!$A$1:$G$1,0))</f>
        <v>D</v>
      </c>
      <c r="L334" s="4">
        <f>INDEX(products!$A$1:$G$49,MATCH(orders!$D334,products!$A$1:$A$49,0),MATCH(orders!L$1,products!$A$1:$G$1,0))</f>
        <v>0.5</v>
      </c>
      <c r="M334" s="5">
        <f>INDEX(products!$A$1:$G$49,MATCH(orders!$D334,products!$A$1:$A$49,0),MATCH(orders!M$1,products!$A$1:$G$1,0))</f>
        <v>5.97</v>
      </c>
      <c r="N334" s="5">
        <f>Orders[[#This Row],[Quantity]]*(INDEX(products!$A$1:$G$49,MATCH(orders!$D334,products!$A$1:$A$49,0),MATCH(orders!N$1,products!$A$1:$G$1,0)))</f>
        <v>1.6118999999999999</v>
      </c>
      <c r="O334" s="5">
        <f>M334*E334</f>
        <v>17.91</v>
      </c>
      <c r="P334" t="str">
        <f t="shared" si="10"/>
        <v>Arabica</v>
      </c>
      <c r="Q334" t="str">
        <f t="shared" si="11"/>
        <v>Dark</v>
      </c>
      <c r="R334" t="str">
        <f>_xlfn.XLOOKUP(Orders[[#This Row],[Customer ID]],customers!$A$1:$A$1001,customers!$I$1:$I$1001,,0)</f>
        <v>Yes</v>
      </c>
    </row>
    <row r="335" spans="1:18" x14ac:dyDescent="0.35">
      <c r="A335" s="2" t="s">
        <v>2369</v>
      </c>
      <c r="B335" s="3">
        <v>43712</v>
      </c>
      <c r="C335" s="2" t="s">
        <v>2370</v>
      </c>
      <c r="D335" t="s">
        <v>6146</v>
      </c>
      <c r="E335" s="2">
        <v>4</v>
      </c>
      <c r="F335" s="2" t="str">
        <f>_xlfn.XLOOKUP(Orders[[#This Row],[Customer ID]],customers!$A$1:$A$1001,customers!$B$1:$B$1001,,0)</f>
        <v>Vivyan Ceely</v>
      </c>
      <c r="G335" s="2" t="str">
        <f>IF(_xlfn.XLOOKUP(C335,customers!$A$1:$A$1001,customers!C334:C1334,,0)=0,"",_xlfn.XLOOKUP(C335,customers!$A$1:$A$1001,customers!C334:C1334,,0))</f>
        <v>jbranchettii@bravesites.com</v>
      </c>
      <c r="H335" s="2" t="str">
        <f>_xlfn.XLOOKUP(Orders[[#This Row],[Customer ID]],customers!$A$1:$A$1001,customers!$G$1:$G$1001,,0)</f>
        <v>United States</v>
      </c>
      <c r="I335" s="2" t="str">
        <f>_xlfn.XLOOKUP(Orders[[#This Row],[Customer ID]],customers!$A$1:$A$1001,customers!$F$1:$F$1001,,0)</f>
        <v>Baltimore</v>
      </c>
      <c r="J335" t="str">
        <f>INDEX(products!$A$1:$G$49,MATCH(orders!$D335,products!$A$1:$A$49,0),MATCH(orders!J$1,products!$A$1:$G$1,0))</f>
        <v>Rob</v>
      </c>
      <c r="K335" t="str">
        <f>INDEX(products!$A$1:$G$49,MATCH(orders!$D335,products!$A$1:$A$49,0),MATCH(orders!K$1,products!$A$1:$G$1,0))</f>
        <v>M</v>
      </c>
      <c r="L335" s="4">
        <f>INDEX(products!$A$1:$G$49,MATCH(orders!$D335,products!$A$1:$A$49,0),MATCH(orders!L$1,products!$A$1:$G$1,0))</f>
        <v>0.5</v>
      </c>
      <c r="M335" s="5">
        <f>INDEX(products!$A$1:$G$49,MATCH(orders!$D335,products!$A$1:$A$49,0),MATCH(orders!M$1,products!$A$1:$G$1,0))</f>
        <v>5.97</v>
      </c>
      <c r="N335" s="5">
        <f>Orders[[#This Row],[Quantity]]*(INDEX(products!$A$1:$G$49,MATCH(orders!$D335,products!$A$1:$A$49,0),MATCH(orders!N$1,products!$A$1:$G$1,0)))</f>
        <v>1.4327999999999999</v>
      </c>
      <c r="O335" s="5">
        <f>M335*E335</f>
        <v>23.88</v>
      </c>
      <c r="P335" t="str">
        <f t="shared" si="10"/>
        <v>Robusta</v>
      </c>
      <c r="Q335" t="str">
        <f t="shared" si="11"/>
        <v>Medium</v>
      </c>
      <c r="R335" t="str">
        <f>_xlfn.XLOOKUP(Orders[[#This Row],[Customer ID]],customers!$A$1:$A$1001,customers!$I$1:$I$1001,,0)</f>
        <v>Yes</v>
      </c>
    </row>
    <row r="336" spans="1:18" x14ac:dyDescent="0.35">
      <c r="A336" s="2" t="s">
        <v>2375</v>
      </c>
      <c r="B336" s="3">
        <v>43742</v>
      </c>
      <c r="C336" s="2" t="s">
        <v>2376</v>
      </c>
      <c r="D336" t="s">
        <v>6179</v>
      </c>
      <c r="E336" s="2">
        <v>5</v>
      </c>
      <c r="F336" s="2" t="str">
        <f>_xlfn.XLOOKUP(Orders[[#This Row],[Customer ID]],customers!$A$1:$A$1001,customers!$B$1:$B$1001,,0)</f>
        <v>Elonore Goodings</v>
      </c>
      <c r="G336" s="2" t="str">
        <f>IF(_xlfn.XLOOKUP(C336,customers!$A$1:$A$1001,customers!C335:C1335,,0)=0,"",_xlfn.XLOOKUP(C336,customers!$A$1:$A$1001,customers!C335:C1335,,0))</f>
        <v>jmillettik@addtoany.com</v>
      </c>
      <c r="H336" s="2" t="str">
        <f>_xlfn.XLOOKUP(Orders[[#This Row],[Customer ID]],customers!$A$1:$A$1001,customers!$G$1:$G$1001,,0)</f>
        <v>United States</v>
      </c>
      <c r="I336" s="2" t="str">
        <f>_xlfn.XLOOKUP(Orders[[#This Row],[Customer ID]],customers!$A$1:$A$1001,customers!$F$1:$F$1001,,0)</f>
        <v>Salt Lake City</v>
      </c>
      <c r="J336" t="str">
        <f>INDEX(products!$A$1:$G$49,MATCH(orders!$D336,products!$A$1:$A$49,0),MATCH(orders!J$1,products!$A$1:$G$1,0))</f>
        <v>Rob</v>
      </c>
      <c r="K336" t="str">
        <f>INDEX(products!$A$1:$G$49,MATCH(orders!$D336,products!$A$1:$A$49,0),MATCH(orders!K$1,products!$A$1:$G$1,0))</f>
        <v>L</v>
      </c>
      <c r="L336" s="4">
        <f>INDEX(products!$A$1:$G$49,MATCH(orders!$D336,products!$A$1:$A$49,0),MATCH(orders!L$1,products!$A$1:$G$1,0))</f>
        <v>1</v>
      </c>
      <c r="M336" s="5">
        <f>INDEX(products!$A$1:$G$49,MATCH(orders!$D336,products!$A$1:$A$49,0),MATCH(orders!M$1,products!$A$1:$G$1,0))</f>
        <v>11.95</v>
      </c>
      <c r="N336" s="5">
        <f>Orders[[#This Row],[Quantity]]*(INDEX(products!$A$1:$G$49,MATCH(orders!$D336,products!$A$1:$A$49,0),MATCH(orders!N$1,products!$A$1:$G$1,0)))</f>
        <v>3.585</v>
      </c>
      <c r="O336" s="5">
        <f>M336*E336</f>
        <v>59.75</v>
      </c>
      <c r="P336" t="str">
        <f t="shared" si="10"/>
        <v>Robusta</v>
      </c>
      <c r="Q336" t="str">
        <f t="shared" si="11"/>
        <v>Light</v>
      </c>
      <c r="R336" t="str">
        <f>_xlfn.XLOOKUP(Orders[[#This Row],[Customer ID]],customers!$A$1:$A$1001,customers!$I$1:$I$1001,,0)</f>
        <v>No</v>
      </c>
    </row>
    <row r="337" spans="1:18" x14ac:dyDescent="0.35">
      <c r="A337" s="2" t="s">
        <v>2379</v>
      </c>
      <c r="B337" s="3">
        <v>43885</v>
      </c>
      <c r="C337" s="2" t="s">
        <v>2380</v>
      </c>
      <c r="D337" t="s">
        <v>6145</v>
      </c>
      <c r="E337" s="2">
        <v>6</v>
      </c>
      <c r="F337" s="2" t="str">
        <f>_xlfn.XLOOKUP(Orders[[#This Row],[Customer ID]],customers!$A$1:$A$1001,customers!$B$1:$B$1001,,0)</f>
        <v>Clement Vasiliev</v>
      </c>
      <c r="G337" s="2" t="str">
        <f>IF(_xlfn.XLOOKUP(C337,customers!$A$1:$A$1001,customers!C336:C1336,,0)=0,"",_xlfn.XLOOKUP(C337,customers!$A$1:$A$1001,customers!C336:C1336,,0))</f>
        <v>cweatherallim@toplist.cz</v>
      </c>
      <c r="H337" s="2" t="str">
        <f>_xlfn.XLOOKUP(Orders[[#This Row],[Customer ID]],customers!$A$1:$A$1001,customers!$G$1:$G$1001,,0)</f>
        <v>United States</v>
      </c>
      <c r="I337" s="2" t="str">
        <f>_xlfn.XLOOKUP(Orders[[#This Row],[Customer ID]],customers!$A$1:$A$1001,customers!$F$1:$F$1001,,0)</f>
        <v>Garland</v>
      </c>
      <c r="J337" t="str">
        <f>INDEX(products!$A$1:$G$49,MATCH(orders!$D337,products!$A$1:$A$49,0),MATCH(orders!J$1,products!$A$1:$G$1,0))</f>
        <v>Lib</v>
      </c>
      <c r="K337" t="str">
        <f>INDEX(products!$A$1:$G$49,MATCH(orders!$D337,products!$A$1:$A$49,0),MATCH(orders!K$1,products!$A$1:$G$1,0))</f>
        <v>L</v>
      </c>
      <c r="L337" s="4">
        <f>INDEX(products!$A$1:$G$49,MATCH(orders!$D337,products!$A$1:$A$49,0),MATCH(orders!L$1,products!$A$1:$G$1,0))</f>
        <v>0.2</v>
      </c>
      <c r="M337" s="5">
        <f>INDEX(products!$A$1:$G$49,MATCH(orders!$D337,products!$A$1:$A$49,0),MATCH(orders!M$1,products!$A$1:$G$1,0))</f>
        <v>4.7549999999999999</v>
      </c>
      <c r="N337" s="5">
        <f>Orders[[#This Row],[Quantity]]*(INDEX(products!$A$1:$G$49,MATCH(orders!$D337,products!$A$1:$A$49,0),MATCH(orders!N$1,products!$A$1:$G$1,0)))</f>
        <v>3.7088999999999999</v>
      </c>
      <c r="O337" s="5">
        <f>M337*E337</f>
        <v>28.53</v>
      </c>
      <c r="P337" t="str">
        <f t="shared" si="10"/>
        <v>Liberica</v>
      </c>
      <c r="Q337" t="str">
        <f t="shared" si="11"/>
        <v>Light</v>
      </c>
      <c r="R337" t="str">
        <f>_xlfn.XLOOKUP(Orders[[#This Row],[Customer ID]],customers!$A$1:$A$1001,customers!$I$1:$I$1001,,0)</f>
        <v>Yes</v>
      </c>
    </row>
    <row r="338" spans="1:18" x14ac:dyDescent="0.35">
      <c r="A338" s="2" t="s">
        <v>2385</v>
      </c>
      <c r="B338" s="3">
        <v>44434</v>
      </c>
      <c r="C338" s="2" t="s">
        <v>2386</v>
      </c>
      <c r="D338" t="s">
        <v>6155</v>
      </c>
      <c r="E338" s="2">
        <v>4</v>
      </c>
      <c r="F338" s="2" t="str">
        <f>_xlfn.XLOOKUP(Orders[[#This Row],[Customer ID]],customers!$A$1:$A$1001,customers!$B$1:$B$1001,,0)</f>
        <v>Terencio O'Moylan</v>
      </c>
      <c r="G338" s="2" t="str">
        <f>IF(_xlfn.XLOOKUP(C338,customers!$A$1:$A$1001,customers!C337:C1337,,0)=0,"",_xlfn.XLOOKUP(C338,customers!$A$1:$A$1001,customers!C337:C1337,,0))</f>
        <v>limasonio@discuz.net</v>
      </c>
      <c r="H338" s="2" t="str">
        <f>_xlfn.XLOOKUP(Orders[[#This Row],[Customer ID]],customers!$A$1:$A$1001,customers!$G$1:$G$1001,,0)</f>
        <v>United Kingdom</v>
      </c>
      <c r="I338" s="2" t="str">
        <f>_xlfn.XLOOKUP(Orders[[#This Row],[Customer ID]],customers!$A$1:$A$1001,customers!$F$1:$F$1001,,0)</f>
        <v>Church End</v>
      </c>
      <c r="J338" t="str">
        <f>INDEX(products!$A$1:$G$49,MATCH(orders!$D338,products!$A$1:$A$49,0),MATCH(orders!J$1,products!$A$1:$G$1,0))</f>
        <v>Ara</v>
      </c>
      <c r="K338" t="str">
        <f>INDEX(products!$A$1:$G$49,MATCH(orders!$D338,products!$A$1:$A$49,0),MATCH(orders!K$1,products!$A$1:$G$1,0))</f>
        <v>M</v>
      </c>
      <c r="L338" s="4">
        <f>INDEX(products!$A$1:$G$49,MATCH(orders!$D338,products!$A$1:$A$49,0),MATCH(orders!L$1,products!$A$1:$G$1,0))</f>
        <v>1</v>
      </c>
      <c r="M338" s="5">
        <f>INDEX(products!$A$1:$G$49,MATCH(orders!$D338,products!$A$1:$A$49,0),MATCH(orders!M$1,products!$A$1:$G$1,0))</f>
        <v>11.25</v>
      </c>
      <c r="N338" s="5">
        <f>Orders[[#This Row],[Quantity]]*(INDEX(products!$A$1:$G$49,MATCH(orders!$D338,products!$A$1:$A$49,0),MATCH(orders!N$1,products!$A$1:$G$1,0)))</f>
        <v>4.05</v>
      </c>
      <c r="O338" s="5">
        <f>M338*E338</f>
        <v>45</v>
      </c>
      <c r="P338" t="str">
        <f t="shared" si="10"/>
        <v>Arabica</v>
      </c>
      <c r="Q338" t="str">
        <f t="shared" si="11"/>
        <v>Medium</v>
      </c>
      <c r="R338" t="str">
        <f>_xlfn.XLOOKUP(Orders[[#This Row],[Customer ID]],customers!$A$1:$A$1001,customers!$I$1:$I$1001,,0)</f>
        <v>No</v>
      </c>
    </row>
    <row r="339" spans="1:18" x14ac:dyDescent="0.35">
      <c r="A339" s="2" t="s">
        <v>2391</v>
      </c>
      <c r="B339" s="3">
        <v>44472</v>
      </c>
      <c r="C339" s="2" t="s">
        <v>2331</v>
      </c>
      <c r="D339" t="s">
        <v>6185</v>
      </c>
      <c r="E339" s="2">
        <v>2</v>
      </c>
      <c r="F339" s="2" t="str">
        <f>_xlfn.XLOOKUP(Orders[[#This Row],[Customer ID]],customers!$A$1:$A$1001,customers!$B$1:$B$1001,,0)</f>
        <v>Flynn Antony</v>
      </c>
      <c r="G339" s="2" t="str">
        <f>IF(_xlfn.XLOOKUP(C339,customers!$A$1:$A$1001,customers!C338:C1338,,0)=0,"",_xlfn.XLOOKUP(C339,customers!$A$1:$A$1001,customers!C338:C1338,,0))</f>
        <v>cwassif@prweb.com</v>
      </c>
      <c r="H339" s="2" t="str">
        <f>_xlfn.XLOOKUP(Orders[[#This Row],[Customer ID]],customers!$A$1:$A$1001,customers!$G$1:$G$1001,,0)</f>
        <v>United States</v>
      </c>
      <c r="I339" s="2" t="str">
        <f>_xlfn.XLOOKUP(Orders[[#This Row],[Customer ID]],customers!$A$1:$A$1001,customers!$F$1:$F$1001,,0)</f>
        <v>Birmingham</v>
      </c>
      <c r="J339" t="str">
        <f>INDEX(products!$A$1:$G$49,MATCH(orders!$D339,products!$A$1:$A$49,0),MATCH(orders!J$1,products!$A$1:$G$1,0))</f>
        <v>Exc</v>
      </c>
      <c r="K339" t="str">
        <f>INDEX(products!$A$1:$G$49,MATCH(orders!$D339,products!$A$1:$A$49,0),MATCH(orders!K$1,products!$A$1:$G$1,0))</f>
        <v>D</v>
      </c>
      <c r="L339" s="4">
        <f>INDEX(products!$A$1:$G$49,MATCH(orders!$D339,products!$A$1:$A$49,0),MATCH(orders!L$1,products!$A$1:$G$1,0))</f>
        <v>2.5</v>
      </c>
      <c r="M339" s="5">
        <f>INDEX(products!$A$1:$G$49,MATCH(orders!$D339,products!$A$1:$A$49,0),MATCH(orders!M$1,products!$A$1:$G$1,0))</f>
        <v>27.945</v>
      </c>
      <c r="N339" s="5">
        <f>Orders[[#This Row],[Quantity]]*(INDEX(products!$A$1:$G$49,MATCH(orders!$D339,products!$A$1:$A$49,0),MATCH(orders!N$1,products!$A$1:$G$1,0)))</f>
        <v>6.1478999999999999</v>
      </c>
      <c r="O339" s="5">
        <f>M339*E339</f>
        <v>55.89</v>
      </c>
      <c r="P339" t="str">
        <f t="shared" si="10"/>
        <v>Excelsa</v>
      </c>
      <c r="Q339" t="str">
        <f t="shared" si="11"/>
        <v>Dark</v>
      </c>
      <c r="R339" t="str">
        <f>_xlfn.XLOOKUP(Orders[[#This Row],[Customer ID]],customers!$A$1:$A$1001,customers!$I$1:$I$1001,,0)</f>
        <v>No</v>
      </c>
    </row>
    <row r="340" spans="1:18" x14ac:dyDescent="0.35">
      <c r="A340" s="2" t="s">
        <v>2396</v>
      </c>
      <c r="B340" s="3">
        <v>43995</v>
      </c>
      <c r="C340" s="2" t="s">
        <v>2397</v>
      </c>
      <c r="D340" t="s">
        <v>6171</v>
      </c>
      <c r="E340" s="2">
        <v>4</v>
      </c>
      <c r="F340" s="2" t="str">
        <f>_xlfn.XLOOKUP(Orders[[#This Row],[Customer ID]],customers!$A$1:$A$1001,customers!$B$1:$B$1001,,0)</f>
        <v>Wyatan Fetherston</v>
      </c>
      <c r="G340" s="2" t="str">
        <f>IF(_xlfn.XLOOKUP(C340,customers!$A$1:$A$1001,customers!C339:C1339,,0)=0,"",_xlfn.XLOOKUP(C340,customers!$A$1:$A$1001,customers!C339:C1339,,0))</f>
        <v/>
      </c>
      <c r="H340" s="2" t="str">
        <f>_xlfn.XLOOKUP(Orders[[#This Row],[Customer ID]],customers!$A$1:$A$1001,customers!$G$1:$G$1001,,0)</f>
        <v>United States</v>
      </c>
      <c r="I340" s="2" t="str">
        <f>_xlfn.XLOOKUP(Orders[[#This Row],[Customer ID]],customers!$A$1:$A$1001,customers!$F$1:$F$1001,,0)</f>
        <v>New York City</v>
      </c>
      <c r="J340" t="str">
        <f>INDEX(products!$A$1:$G$49,MATCH(orders!$D340,products!$A$1:$A$49,0),MATCH(orders!J$1,products!$A$1:$G$1,0))</f>
        <v>Exc</v>
      </c>
      <c r="K340" t="str">
        <f>INDEX(products!$A$1:$G$49,MATCH(orders!$D340,products!$A$1:$A$49,0),MATCH(orders!K$1,products!$A$1:$G$1,0))</f>
        <v>L</v>
      </c>
      <c r="L340" s="4">
        <f>INDEX(products!$A$1:$G$49,MATCH(orders!$D340,products!$A$1:$A$49,0),MATCH(orders!L$1,products!$A$1:$G$1,0))</f>
        <v>1</v>
      </c>
      <c r="M340" s="5">
        <f>INDEX(products!$A$1:$G$49,MATCH(orders!$D340,products!$A$1:$A$49,0),MATCH(orders!M$1,products!$A$1:$G$1,0))</f>
        <v>14.85</v>
      </c>
      <c r="N340" s="5">
        <f>Orders[[#This Row],[Quantity]]*(INDEX(products!$A$1:$G$49,MATCH(orders!$D340,products!$A$1:$A$49,0),MATCH(orders!N$1,products!$A$1:$G$1,0)))</f>
        <v>6.5339999999999998</v>
      </c>
      <c r="O340" s="5">
        <f>M340*E340</f>
        <v>59.4</v>
      </c>
      <c r="P340" t="str">
        <f t="shared" si="10"/>
        <v>Excelsa</v>
      </c>
      <c r="Q340" t="str">
        <f t="shared" si="11"/>
        <v>Light</v>
      </c>
      <c r="R340" t="str">
        <f>_xlfn.XLOOKUP(Orders[[#This Row],[Customer ID]],customers!$A$1:$A$1001,customers!$I$1:$I$1001,,0)</f>
        <v>No</v>
      </c>
    </row>
    <row r="341" spans="1:18" x14ac:dyDescent="0.35">
      <c r="A341" s="2" t="s">
        <v>2402</v>
      </c>
      <c r="B341" s="3">
        <v>44256</v>
      </c>
      <c r="C341" s="2" t="s">
        <v>2403</v>
      </c>
      <c r="D341" t="s">
        <v>6153</v>
      </c>
      <c r="E341" s="2">
        <v>2</v>
      </c>
      <c r="F341" s="2" t="str">
        <f>_xlfn.XLOOKUP(Orders[[#This Row],[Customer ID]],customers!$A$1:$A$1001,customers!$B$1:$B$1001,,0)</f>
        <v>Emmaline Rasmus</v>
      </c>
      <c r="G341" s="2" t="str">
        <f>IF(_xlfn.XLOOKUP(C341,customers!$A$1:$A$1001,customers!C340:C1340,,0)=0,"",_xlfn.XLOOKUP(C341,customers!$A$1:$A$1001,customers!C340:C1340,,0))</f>
        <v>mmiddisiu@dmoz.org</v>
      </c>
      <c r="H341" s="2" t="str">
        <f>_xlfn.XLOOKUP(Orders[[#This Row],[Customer ID]],customers!$A$1:$A$1001,customers!$G$1:$G$1001,,0)</f>
        <v>United States</v>
      </c>
      <c r="I341" s="2" t="str">
        <f>_xlfn.XLOOKUP(Orders[[#This Row],[Customer ID]],customers!$A$1:$A$1001,customers!$F$1:$F$1001,,0)</f>
        <v>Boston</v>
      </c>
      <c r="J341" t="str">
        <f>INDEX(products!$A$1:$G$49,MATCH(orders!$D341,products!$A$1:$A$49,0),MATCH(orders!J$1,products!$A$1:$G$1,0))</f>
        <v>Exc</v>
      </c>
      <c r="K341" t="str">
        <f>INDEX(products!$A$1:$G$49,MATCH(orders!$D341,products!$A$1:$A$49,0),MATCH(orders!K$1,products!$A$1:$G$1,0))</f>
        <v>D</v>
      </c>
      <c r="L341" s="4">
        <f>INDEX(products!$A$1:$G$49,MATCH(orders!$D341,products!$A$1:$A$49,0),MATCH(orders!L$1,products!$A$1:$G$1,0))</f>
        <v>0.2</v>
      </c>
      <c r="M341" s="5">
        <f>INDEX(products!$A$1:$G$49,MATCH(orders!$D341,products!$A$1:$A$49,0),MATCH(orders!M$1,products!$A$1:$G$1,0))</f>
        <v>3.645</v>
      </c>
      <c r="N341" s="5">
        <f>Orders[[#This Row],[Quantity]]*(INDEX(products!$A$1:$G$49,MATCH(orders!$D341,products!$A$1:$A$49,0),MATCH(orders!N$1,products!$A$1:$G$1,0)))</f>
        <v>0.80190000000000006</v>
      </c>
      <c r="O341" s="5">
        <f>M341*E341</f>
        <v>7.29</v>
      </c>
      <c r="P341" t="str">
        <f t="shared" si="10"/>
        <v>Excelsa</v>
      </c>
      <c r="Q341" t="str">
        <f t="shared" si="11"/>
        <v>Dark</v>
      </c>
      <c r="R341" t="str">
        <f>_xlfn.XLOOKUP(Orders[[#This Row],[Customer ID]],customers!$A$1:$A$1001,customers!$I$1:$I$1001,,0)</f>
        <v>Yes</v>
      </c>
    </row>
    <row r="342" spans="1:18" x14ac:dyDescent="0.35">
      <c r="A342" s="2" t="s">
        <v>2408</v>
      </c>
      <c r="B342" s="3">
        <v>43528</v>
      </c>
      <c r="C342" s="2" t="s">
        <v>2409</v>
      </c>
      <c r="D342" t="s">
        <v>6144</v>
      </c>
      <c r="E342" s="2">
        <v>1</v>
      </c>
      <c r="F342" s="2" t="str">
        <f>_xlfn.XLOOKUP(Orders[[#This Row],[Customer ID]],customers!$A$1:$A$1001,customers!$B$1:$B$1001,,0)</f>
        <v>Wesley Giorgioni</v>
      </c>
      <c r="G342" s="2" t="str">
        <f>IF(_xlfn.XLOOKUP(C342,customers!$A$1:$A$1001,customers!C341:C1341,,0)=0,"",_xlfn.XLOOKUP(C342,customers!$A$1:$A$1001,customers!C341:C1341,,0))</f>
        <v>agoldieiw@goo.gl</v>
      </c>
      <c r="H342" s="2" t="str">
        <f>_xlfn.XLOOKUP(Orders[[#This Row],[Customer ID]],customers!$A$1:$A$1001,customers!$G$1:$G$1001,,0)</f>
        <v>United States</v>
      </c>
      <c r="I342" s="2" t="str">
        <f>_xlfn.XLOOKUP(Orders[[#This Row],[Customer ID]],customers!$A$1:$A$1001,customers!$F$1:$F$1001,,0)</f>
        <v>San Francisco</v>
      </c>
      <c r="J342" t="str">
        <f>INDEX(products!$A$1:$G$49,MATCH(orders!$D342,products!$A$1:$A$49,0),MATCH(orders!J$1,products!$A$1:$G$1,0))</f>
        <v>Exc</v>
      </c>
      <c r="K342" t="str">
        <f>INDEX(products!$A$1:$G$49,MATCH(orders!$D342,products!$A$1:$A$49,0),MATCH(orders!K$1,products!$A$1:$G$1,0))</f>
        <v>D</v>
      </c>
      <c r="L342" s="4">
        <f>INDEX(products!$A$1:$G$49,MATCH(orders!$D342,products!$A$1:$A$49,0),MATCH(orders!L$1,products!$A$1:$G$1,0))</f>
        <v>0.5</v>
      </c>
      <c r="M342" s="5">
        <f>INDEX(products!$A$1:$G$49,MATCH(orders!$D342,products!$A$1:$A$49,0),MATCH(orders!M$1,products!$A$1:$G$1,0))</f>
        <v>7.29</v>
      </c>
      <c r="N342" s="5">
        <f>Orders[[#This Row],[Quantity]]*(INDEX(products!$A$1:$G$49,MATCH(orders!$D342,products!$A$1:$A$49,0),MATCH(orders!N$1,products!$A$1:$G$1,0)))</f>
        <v>0.80190000000000006</v>
      </c>
      <c r="O342" s="5">
        <f>M342*E342</f>
        <v>7.29</v>
      </c>
      <c r="P342" t="str">
        <f t="shared" si="10"/>
        <v>Excelsa</v>
      </c>
      <c r="Q342" t="str">
        <f t="shared" si="11"/>
        <v>Dark</v>
      </c>
      <c r="R342" t="str">
        <f>_xlfn.XLOOKUP(Orders[[#This Row],[Customer ID]],customers!$A$1:$A$1001,customers!$I$1:$I$1001,,0)</f>
        <v>Yes</v>
      </c>
    </row>
    <row r="343" spans="1:18" x14ac:dyDescent="0.35">
      <c r="A343" s="2" t="s">
        <v>2414</v>
      </c>
      <c r="B343" s="3">
        <v>43751</v>
      </c>
      <c r="C343" s="2" t="s">
        <v>2415</v>
      </c>
      <c r="D343" t="s">
        <v>6176</v>
      </c>
      <c r="E343" s="2">
        <v>2</v>
      </c>
      <c r="F343" s="2" t="str">
        <f>_xlfn.XLOOKUP(Orders[[#This Row],[Customer ID]],customers!$A$1:$A$1001,customers!$B$1:$B$1001,,0)</f>
        <v>Lucienne Scargle</v>
      </c>
      <c r="G343" s="2" t="str">
        <f>IF(_xlfn.XLOOKUP(C343,customers!$A$1:$A$1001,customers!C342:C1342,,0)=0,"",_xlfn.XLOOKUP(C343,customers!$A$1:$A$1001,customers!C342:C1342,,0))</f>
        <v>lbenediktovichiy@wunderground.com</v>
      </c>
      <c r="H343" s="2" t="str">
        <f>_xlfn.XLOOKUP(Orders[[#This Row],[Customer ID]],customers!$A$1:$A$1001,customers!$G$1:$G$1001,,0)</f>
        <v>United States</v>
      </c>
      <c r="I343" s="2" t="str">
        <f>_xlfn.XLOOKUP(Orders[[#This Row],[Customer ID]],customers!$A$1:$A$1001,customers!$F$1:$F$1001,,0)</f>
        <v>Indianapolis</v>
      </c>
      <c r="J343" t="str">
        <f>INDEX(products!$A$1:$G$49,MATCH(orders!$D343,products!$A$1:$A$49,0),MATCH(orders!J$1,products!$A$1:$G$1,0))</f>
        <v>Exc</v>
      </c>
      <c r="K343" t="str">
        <f>INDEX(products!$A$1:$G$49,MATCH(orders!$D343,products!$A$1:$A$49,0),MATCH(orders!K$1,products!$A$1:$G$1,0))</f>
        <v>L</v>
      </c>
      <c r="L343" s="4">
        <f>INDEX(products!$A$1:$G$49,MATCH(orders!$D343,products!$A$1:$A$49,0),MATCH(orders!L$1,products!$A$1:$G$1,0))</f>
        <v>0.5</v>
      </c>
      <c r="M343" s="5">
        <f>INDEX(products!$A$1:$G$49,MATCH(orders!$D343,products!$A$1:$A$49,0),MATCH(orders!M$1,products!$A$1:$G$1,0))</f>
        <v>8.91</v>
      </c>
      <c r="N343" s="5">
        <f>Orders[[#This Row],[Quantity]]*(INDEX(products!$A$1:$G$49,MATCH(orders!$D343,products!$A$1:$A$49,0),MATCH(orders!N$1,products!$A$1:$G$1,0)))</f>
        <v>1.9601999999999999</v>
      </c>
      <c r="O343" s="5">
        <f>M343*E343</f>
        <v>17.82</v>
      </c>
      <c r="P343" t="str">
        <f t="shared" si="10"/>
        <v>Excelsa</v>
      </c>
      <c r="Q343" t="str">
        <f t="shared" si="11"/>
        <v>Light</v>
      </c>
      <c r="R343" t="str">
        <f>_xlfn.XLOOKUP(Orders[[#This Row],[Customer ID]],customers!$A$1:$A$1001,customers!$I$1:$I$1001,,0)</f>
        <v>No</v>
      </c>
    </row>
    <row r="344" spans="1:18" x14ac:dyDescent="0.35">
      <c r="A344" s="2" t="s">
        <v>2414</v>
      </c>
      <c r="B344" s="3">
        <v>43751</v>
      </c>
      <c r="C344" s="2" t="s">
        <v>2415</v>
      </c>
      <c r="D344" t="s">
        <v>6169</v>
      </c>
      <c r="E344" s="2">
        <v>5</v>
      </c>
      <c r="F344" s="2" t="str">
        <f>_xlfn.XLOOKUP(Orders[[#This Row],[Customer ID]],customers!$A$1:$A$1001,customers!$B$1:$B$1001,,0)</f>
        <v>Lucienne Scargle</v>
      </c>
      <c r="G344" s="2" t="str">
        <f>IF(_xlfn.XLOOKUP(C344,customers!$A$1:$A$1001,customers!C343:C1343,,0)=0,"",_xlfn.XLOOKUP(C344,customers!$A$1:$A$1001,customers!C343:C1343,,0))</f>
        <v>tjacobovitziz@cbc.ca</v>
      </c>
      <c r="H344" s="2" t="str">
        <f>_xlfn.XLOOKUP(Orders[[#This Row],[Customer ID]],customers!$A$1:$A$1001,customers!$G$1:$G$1001,,0)</f>
        <v>United States</v>
      </c>
      <c r="I344" s="2" t="str">
        <f>_xlfn.XLOOKUP(Orders[[#This Row],[Customer ID]],customers!$A$1:$A$1001,customers!$F$1:$F$1001,,0)</f>
        <v>Indianapolis</v>
      </c>
      <c r="J344" t="str">
        <f>INDEX(products!$A$1:$G$49,MATCH(orders!$D344,products!$A$1:$A$49,0),MATCH(orders!J$1,products!$A$1:$G$1,0))</f>
        <v>Lib</v>
      </c>
      <c r="K344" t="str">
        <f>INDEX(products!$A$1:$G$49,MATCH(orders!$D344,products!$A$1:$A$49,0),MATCH(orders!K$1,products!$A$1:$G$1,0))</f>
        <v>D</v>
      </c>
      <c r="L344" s="4">
        <f>INDEX(products!$A$1:$G$49,MATCH(orders!$D344,products!$A$1:$A$49,0),MATCH(orders!L$1,products!$A$1:$G$1,0))</f>
        <v>0.5</v>
      </c>
      <c r="M344" s="5">
        <f>INDEX(products!$A$1:$G$49,MATCH(orders!$D344,products!$A$1:$A$49,0),MATCH(orders!M$1,products!$A$1:$G$1,0))</f>
        <v>7.77</v>
      </c>
      <c r="N344" s="5">
        <f>Orders[[#This Row],[Quantity]]*(INDEX(products!$A$1:$G$49,MATCH(orders!$D344,products!$A$1:$A$49,0),MATCH(orders!N$1,products!$A$1:$G$1,0)))</f>
        <v>5.0504999999999995</v>
      </c>
      <c r="O344" s="5">
        <f>M344*E344</f>
        <v>38.849999999999994</v>
      </c>
      <c r="P344" t="str">
        <f t="shared" si="10"/>
        <v>Liberica</v>
      </c>
      <c r="Q344" t="str">
        <f t="shared" si="11"/>
        <v>Dark</v>
      </c>
      <c r="R344" t="str">
        <f>_xlfn.XLOOKUP(Orders[[#This Row],[Customer ID]],customers!$A$1:$A$1001,customers!$I$1:$I$1001,,0)</f>
        <v>No</v>
      </c>
    </row>
    <row r="345" spans="1:18" x14ac:dyDescent="0.35">
      <c r="A345" s="2" t="s">
        <v>2424</v>
      </c>
      <c r="B345" s="3">
        <v>43692</v>
      </c>
      <c r="C345" s="2" t="s">
        <v>2425</v>
      </c>
      <c r="D345" t="s">
        <v>6172</v>
      </c>
      <c r="E345" s="2">
        <v>6</v>
      </c>
      <c r="F345" s="2" t="str">
        <f>_xlfn.XLOOKUP(Orders[[#This Row],[Customer ID]],customers!$A$1:$A$1001,customers!$B$1:$B$1001,,0)</f>
        <v>Noam Climance</v>
      </c>
      <c r="G345" s="2" t="str">
        <f>IF(_xlfn.XLOOKUP(C345,customers!$A$1:$A$1001,customers!C344:C1344,,0)=0,"",_xlfn.XLOOKUP(C345,customers!$A$1:$A$1001,customers!C344:C1344,,0))</f>
        <v>dshortallj2@wikipedia.org</v>
      </c>
      <c r="H345" s="2" t="str">
        <f>_xlfn.XLOOKUP(Orders[[#This Row],[Customer ID]],customers!$A$1:$A$1001,customers!$G$1:$G$1001,,0)</f>
        <v>United States</v>
      </c>
      <c r="I345" s="2" t="str">
        <f>_xlfn.XLOOKUP(Orders[[#This Row],[Customer ID]],customers!$A$1:$A$1001,customers!$F$1:$F$1001,,0)</f>
        <v>Seattle</v>
      </c>
      <c r="J345" t="str">
        <f>INDEX(products!$A$1:$G$49,MATCH(orders!$D345,products!$A$1:$A$49,0),MATCH(orders!J$1,products!$A$1:$G$1,0))</f>
        <v>Rob</v>
      </c>
      <c r="K345" t="str">
        <f>INDEX(products!$A$1:$G$49,MATCH(orders!$D345,products!$A$1:$A$49,0),MATCH(orders!K$1,products!$A$1:$G$1,0))</f>
        <v>D</v>
      </c>
      <c r="L345" s="4">
        <f>INDEX(products!$A$1:$G$49,MATCH(orders!$D345,products!$A$1:$A$49,0),MATCH(orders!L$1,products!$A$1:$G$1,0))</f>
        <v>0.5</v>
      </c>
      <c r="M345" s="5">
        <f>INDEX(products!$A$1:$G$49,MATCH(orders!$D345,products!$A$1:$A$49,0),MATCH(orders!M$1,products!$A$1:$G$1,0))</f>
        <v>5.3699999999999992</v>
      </c>
      <c r="N345" s="5">
        <f>Orders[[#This Row],[Quantity]]*(INDEX(products!$A$1:$G$49,MATCH(orders!$D345,products!$A$1:$A$49,0),MATCH(orders!N$1,products!$A$1:$G$1,0)))</f>
        <v>1.9331999999999996</v>
      </c>
      <c r="O345" s="5">
        <f>M345*E345</f>
        <v>32.22</v>
      </c>
      <c r="P345" t="str">
        <f t="shared" si="10"/>
        <v>Robusta</v>
      </c>
      <c r="Q345" t="str">
        <f t="shared" si="11"/>
        <v>Dark</v>
      </c>
      <c r="R345" t="str">
        <f>_xlfn.XLOOKUP(Orders[[#This Row],[Customer ID]],customers!$A$1:$A$1001,customers!$I$1:$I$1001,,0)</f>
        <v>No</v>
      </c>
    </row>
    <row r="346" spans="1:18" x14ac:dyDescent="0.35">
      <c r="A346" s="2" t="s">
        <v>2429</v>
      </c>
      <c r="B346" s="3">
        <v>44529</v>
      </c>
      <c r="C346" s="2" t="s">
        <v>2430</v>
      </c>
      <c r="D346" t="s">
        <v>6138</v>
      </c>
      <c r="E346" s="2">
        <v>2</v>
      </c>
      <c r="F346" s="2" t="str">
        <f>_xlfn.XLOOKUP(Orders[[#This Row],[Customer ID]],customers!$A$1:$A$1001,customers!$B$1:$B$1001,,0)</f>
        <v>Catarina Donn</v>
      </c>
      <c r="G346" s="2" t="str">
        <f>IF(_xlfn.XLOOKUP(C346,customers!$A$1:$A$1001,customers!C345:C1345,,0)=0,"",_xlfn.XLOOKUP(C346,customers!$A$1:$A$1001,customers!C345:C1345,,0))</f>
        <v>kgrinstedj4@google.com.br</v>
      </c>
      <c r="H346" s="2" t="str">
        <f>_xlfn.XLOOKUP(Orders[[#This Row],[Customer ID]],customers!$A$1:$A$1001,customers!$G$1:$G$1001,,0)</f>
        <v>Ireland</v>
      </c>
      <c r="I346" s="2" t="str">
        <f>_xlfn.XLOOKUP(Orders[[#This Row],[Customer ID]],customers!$A$1:$A$1001,customers!$F$1:$F$1001,,0)</f>
        <v>Dunmanway</v>
      </c>
      <c r="J346" t="str">
        <f>INDEX(products!$A$1:$G$49,MATCH(orders!$D346,products!$A$1:$A$49,0),MATCH(orders!J$1,products!$A$1:$G$1,0))</f>
        <v>Rob</v>
      </c>
      <c r="K346" t="str">
        <f>INDEX(products!$A$1:$G$49,MATCH(orders!$D346,products!$A$1:$A$49,0),MATCH(orders!K$1,products!$A$1:$G$1,0))</f>
        <v>M</v>
      </c>
      <c r="L346" s="4">
        <f>INDEX(products!$A$1:$G$49,MATCH(orders!$D346,products!$A$1:$A$49,0),MATCH(orders!L$1,products!$A$1:$G$1,0))</f>
        <v>1</v>
      </c>
      <c r="M346" s="5">
        <f>INDEX(products!$A$1:$G$49,MATCH(orders!$D346,products!$A$1:$A$49,0),MATCH(orders!M$1,products!$A$1:$G$1,0))</f>
        <v>9.9499999999999993</v>
      </c>
      <c r="N346" s="5">
        <f>Orders[[#This Row],[Quantity]]*(INDEX(products!$A$1:$G$49,MATCH(orders!$D346,products!$A$1:$A$49,0),MATCH(orders!N$1,products!$A$1:$G$1,0)))</f>
        <v>1.194</v>
      </c>
      <c r="O346" s="5">
        <f>M346*E346</f>
        <v>19.899999999999999</v>
      </c>
      <c r="P346" t="str">
        <f t="shared" si="10"/>
        <v>Robusta</v>
      </c>
      <c r="Q346" t="str">
        <f t="shared" si="11"/>
        <v>Medium</v>
      </c>
      <c r="R346" t="str">
        <f>_xlfn.XLOOKUP(Orders[[#This Row],[Customer ID]],customers!$A$1:$A$1001,customers!$I$1:$I$1001,,0)</f>
        <v>Yes</v>
      </c>
    </row>
    <row r="347" spans="1:18" x14ac:dyDescent="0.35">
      <c r="A347" s="2" t="s">
        <v>2434</v>
      </c>
      <c r="B347" s="3">
        <v>43849</v>
      </c>
      <c r="C347" s="2" t="s">
        <v>2435</v>
      </c>
      <c r="D347" t="s">
        <v>6179</v>
      </c>
      <c r="E347" s="2">
        <v>5</v>
      </c>
      <c r="F347" s="2" t="str">
        <f>_xlfn.XLOOKUP(Orders[[#This Row],[Customer ID]],customers!$A$1:$A$1001,customers!$B$1:$B$1001,,0)</f>
        <v>Ameline Snazle</v>
      </c>
      <c r="G347" s="2" t="str">
        <f>IF(_xlfn.XLOOKUP(C347,customers!$A$1:$A$1001,customers!C346:C1346,,0)=0,"",_xlfn.XLOOKUP(C347,customers!$A$1:$A$1001,customers!C346:C1346,,0))</f>
        <v/>
      </c>
      <c r="H347" s="2" t="str">
        <f>_xlfn.XLOOKUP(Orders[[#This Row],[Customer ID]],customers!$A$1:$A$1001,customers!$G$1:$G$1001,,0)</f>
        <v>United States</v>
      </c>
      <c r="I347" s="2" t="str">
        <f>_xlfn.XLOOKUP(Orders[[#This Row],[Customer ID]],customers!$A$1:$A$1001,customers!$F$1:$F$1001,,0)</f>
        <v>Montgomery</v>
      </c>
      <c r="J347" t="str">
        <f>INDEX(products!$A$1:$G$49,MATCH(orders!$D347,products!$A$1:$A$49,0),MATCH(orders!J$1,products!$A$1:$G$1,0))</f>
        <v>Rob</v>
      </c>
      <c r="K347" t="str">
        <f>INDEX(products!$A$1:$G$49,MATCH(orders!$D347,products!$A$1:$A$49,0),MATCH(orders!K$1,products!$A$1:$G$1,0))</f>
        <v>L</v>
      </c>
      <c r="L347" s="4">
        <f>INDEX(products!$A$1:$G$49,MATCH(orders!$D347,products!$A$1:$A$49,0),MATCH(orders!L$1,products!$A$1:$G$1,0))</f>
        <v>1</v>
      </c>
      <c r="M347" s="5">
        <f>INDEX(products!$A$1:$G$49,MATCH(orders!$D347,products!$A$1:$A$49,0),MATCH(orders!M$1,products!$A$1:$G$1,0))</f>
        <v>11.95</v>
      </c>
      <c r="N347" s="5">
        <f>Orders[[#This Row],[Quantity]]*(INDEX(products!$A$1:$G$49,MATCH(orders!$D347,products!$A$1:$A$49,0),MATCH(orders!N$1,products!$A$1:$G$1,0)))</f>
        <v>3.585</v>
      </c>
      <c r="O347" s="5">
        <f>M347*E347</f>
        <v>59.75</v>
      </c>
      <c r="P347" t="str">
        <f t="shared" si="10"/>
        <v>Robusta</v>
      </c>
      <c r="Q347" t="str">
        <f t="shared" si="11"/>
        <v>Light</v>
      </c>
      <c r="R347" t="str">
        <f>_xlfn.XLOOKUP(Orders[[#This Row],[Customer ID]],customers!$A$1:$A$1001,customers!$I$1:$I$1001,,0)</f>
        <v>No</v>
      </c>
    </row>
    <row r="348" spans="1:18" x14ac:dyDescent="0.35">
      <c r="A348" s="2" t="s">
        <v>2440</v>
      </c>
      <c r="B348" s="3">
        <v>44344</v>
      </c>
      <c r="C348" s="2" t="s">
        <v>2441</v>
      </c>
      <c r="D348" t="s">
        <v>6180</v>
      </c>
      <c r="E348" s="2">
        <v>3</v>
      </c>
      <c r="F348" s="2" t="str">
        <f>_xlfn.XLOOKUP(Orders[[#This Row],[Customer ID]],customers!$A$1:$A$1001,customers!$B$1:$B$1001,,0)</f>
        <v>Rebeka Worg</v>
      </c>
      <c r="G348" s="2" t="str">
        <f>IF(_xlfn.XLOOKUP(C348,customers!$A$1:$A$1001,customers!C347:C1347,,0)=0,"",_xlfn.XLOOKUP(C348,customers!$A$1:$A$1001,customers!C347:C1347,,0))</f>
        <v>aweinmannj8@shinystat.com</v>
      </c>
      <c r="H348" s="2" t="str">
        <f>_xlfn.XLOOKUP(Orders[[#This Row],[Customer ID]],customers!$A$1:$A$1001,customers!$G$1:$G$1001,,0)</f>
        <v>United States</v>
      </c>
      <c r="I348" s="2" t="str">
        <f>_xlfn.XLOOKUP(Orders[[#This Row],[Customer ID]],customers!$A$1:$A$1001,customers!$F$1:$F$1001,,0)</f>
        <v>Dallas</v>
      </c>
      <c r="J348" t="str">
        <f>INDEX(products!$A$1:$G$49,MATCH(orders!$D348,products!$A$1:$A$49,0),MATCH(orders!J$1,products!$A$1:$G$1,0))</f>
        <v>Ara</v>
      </c>
      <c r="K348" t="str">
        <f>INDEX(products!$A$1:$G$49,MATCH(orders!$D348,products!$A$1:$A$49,0),MATCH(orders!K$1,products!$A$1:$G$1,0))</f>
        <v>L</v>
      </c>
      <c r="L348" s="4">
        <f>INDEX(products!$A$1:$G$49,MATCH(orders!$D348,products!$A$1:$A$49,0),MATCH(orders!L$1,products!$A$1:$G$1,0))</f>
        <v>0.5</v>
      </c>
      <c r="M348" s="5">
        <f>INDEX(products!$A$1:$G$49,MATCH(orders!$D348,products!$A$1:$A$49,0),MATCH(orders!M$1,products!$A$1:$G$1,0))</f>
        <v>7.77</v>
      </c>
      <c r="N348" s="5">
        <f>Orders[[#This Row],[Quantity]]*(INDEX(products!$A$1:$G$49,MATCH(orders!$D348,products!$A$1:$A$49,0),MATCH(orders!N$1,products!$A$1:$G$1,0)))</f>
        <v>2.0978999999999997</v>
      </c>
      <c r="O348" s="5">
        <f>M348*E348</f>
        <v>23.31</v>
      </c>
      <c r="P348" t="str">
        <f t="shared" si="10"/>
        <v>Arabica</v>
      </c>
      <c r="Q348" t="str">
        <f t="shared" si="11"/>
        <v>Light</v>
      </c>
      <c r="R348" t="str">
        <f>_xlfn.XLOOKUP(Orders[[#This Row],[Customer ID]],customers!$A$1:$A$1001,customers!$I$1:$I$1001,,0)</f>
        <v>Yes</v>
      </c>
    </row>
    <row r="349" spans="1:18" x14ac:dyDescent="0.35">
      <c r="A349" s="2" t="s">
        <v>2446</v>
      </c>
      <c r="B349" s="3">
        <v>44576</v>
      </c>
      <c r="C349" s="2" t="s">
        <v>2447</v>
      </c>
      <c r="D349" t="s">
        <v>6162</v>
      </c>
      <c r="E349" s="2">
        <v>3</v>
      </c>
      <c r="F349" s="2" t="str">
        <f>_xlfn.XLOOKUP(Orders[[#This Row],[Customer ID]],customers!$A$1:$A$1001,customers!$B$1:$B$1001,,0)</f>
        <v>Lewes Danes</v>
      </c>
      <c r="G349" s="2" t="str">
        <f>IF(_xlfn.XLOOKUP(C349,customers!$A$1:$A$1001,customers!C348:C1348,,0)=0,"",_xlfn.XLOOKUP(C349,customers!$A$1:$A$1001,customers!C348:C1348,,0))</f>
        <v>rdeaconsonja@archive.org</v>
      </c>
      <c r="H349" s="2" t="str">
        <f>_xlfn.XLOOKUP(Orders[[#This Row],[Customer ID]],customers!$A$1:$A$1001,customers!$G$1:$G$1001,,0)</f>
        <v>United States</v>
      </c>
      <c r="I349" s="2" t="str">
        <f>_xlfn.XLOOKUP(Orders[[#This Row],[Customer ID]],customers!$A$1:$A$1001,customers!$F$1:$F$1001,,0)</f>
        <v>Topeka</v>
      </c>
      <c r="J349" t="str">
        <f>INDEX(products!$A$1:$G$49,MATCH(orders!$D349,products!$A$1:$A$49,0),MATCH(orders!J$1,products!$A$1:$G$1,0))</f>
        <v>Lib</v>
      </c>
      <c r="K349" t="str">
        <f>INDEX(products!$A$1:$G$49,MATCH(orders!$D349,products!$A$1:$A$49,0),MATCH(orders!K$1,products!$A$1:$G$1,0))</f>
        <v>M</v>
      </c>
      <c r="L349" s="4">
        <f>INDEX(products!$A$1:$G$49,MATCH(orders!$D349,products!$A$1:$A$49,0),MATCH(orders!L$1,products!$A$1:$G$1,0))</f>
        <v>1</v>
      </c>
      <c r="M349" s="5">
        <f>INDEX(products!$A$1:$G$49,MATCH(orders!$D349,products!$A$1:$A$49,0),MATCH(orders!M$1,products!$A$1:$G$1,0))</f>
        <v>14.55</v>
      </c>
      <c r="N349" s="5">
        <f>Orders[[#This Row],[Quantity]]*(INDEX(products!$A$1:$G$49,MATCH(orders!$D349,products!$A$1:$A$49,0),MATCH(orders!N$1,products!$A$1:$G$1,0)))</f>
        <v>5.6745000000000001</v>
      </c>
      <c r="O349" s="5">
        <f>M349*E349</f>
        <v>43.650000000000006</v>
      </c>
      <c r="P349" t="str">
        <f t="shared" si="10"/>
        <v>Liberica</v>
      </c>
      <c r="Q349" t="str">
        <f t="shared" si="11"/>
        <v>Medium</v>
      </c>
      <c r="R349" t="str">
        <f>_xlfn.XLOOKUP(Orders[[#This Row],[Customer ID]],customers!$A$1:$A$1001,customers!$I$1:$I$1001,,0)</f>
        <v>No</v>
      </c>
    </row>
    <row r="350" spans="1:18" x14ac:dyDescent="0.35">
      <c r="A350" s="2" t="s">
        <v>2452</v>
      </c>
      <c r="B350" s="3">
        <v>43803</v>
      </c>
      <c r="C350" s="2" t="s">
        <v>2453</v>
      </c>
      <c r="D350" t="s">
        <v>6148</v>
      </c>
      <c r="E350" s="2">
        <v>6</v>
      </c>
      <c r="F350" s="2" t="str">
        <f>_xlfn.XLOOKUP(Orders[[#This Row],[Customer ID]],customers!$A$1:$A$1001,customers!$B$1:$B$1001,,0)</f>
        <v>Shelli Keynd</v>
      </c>
      <c r="G350" s="2" t="str">
        <f>IF(_xlfn.XLOOKUP(C350,customers!$A$1:$A$1001,customers!C349:C1349,,0)=0,"",_xlfn.XLOOKUP(C350,customers!$A$1:$A$1001,customers!C349:C1349,,0))</f>
        <v>jbluckjc@imageshack.us</v>
      </c>
      <c r="H350" s="2" t="str">
        <f>_xlfn.XLOOKUP(Orders[[#This Row],[Customer ID]],customers!$A$1:$A$1001,customers!$G$1:$G$1001,,0)</f>
        <v>United States</v>
      </c>
      <c r="I350" s="2" t="str">
        <f>_xlfn.XLOOKUP(Orders[[#This Row],[Customer ID]],customers!$A$1:$A$1001,customers!$F$1:$F$1001,,0)</f>
        <v>Tyler</v>
      </c>
      <c r="J350" t="str">
        <f>INDEX(products!$A$1:$G$49,MATCH(orders!$D350,products!$A$1:$A$49,0),MATCH(orders!J$1,products!$A$1:$G$1,0))</f>
        <v>Exc</v>
      </c>
      <c r="K350" t="str">
        <f>INDEX(products!$A$1:$G$49,MATCH(orders!$D350,products!$A$1:$A$49,0),MATCH(orders!K$1,products!$A$1:$G$1,0))</f>
        <v>L</v>
      </c>
      <c r="L350" s="4">
        <f>INDEX(products!$A$1:$G$49,MATCH(orders!$D350,products!$A$1:$A$49,0),MATCH(orders!L$1,products!$A$1:$G$1,0))</f>
        <v>2.5</v>
      </c>
      <c r="M350" s="5">
        <f>INDEX(products!$A$1:$G$49,MATCH(orders!$D350,products!$A$1:$A$49,0),MATCH(orders!M$1,products!$A$1:$G$1,0))</f>
        <v>34.154999999999994</v>
      </c>
      <c r="N350" s="5">
        <f>Orders[[#This Row],[Quantity]]*(INDEX(products!$A$1:$G$49,MATCH(orders!$D350,products!$A$1:$A$49,0),MATCH(orders!N$1,products!$A$1:$G$1,0)))</f>
        <v>22.542299999999997</v>
      </c>
      <c r="O350" s="5">
        <f>M350*E350</f>
        <v>204.92999999999995</v>
      </c>
      <c r="P350" t="str">
        <f t="shared" si="10"/>
        <v>Excelsa</v>
      </c>
      <c r="Q350" t="str">
        <f t="shared" si="11"/>
        <v>Light</v>
      </c>
      <c r="R350" t="str">
        <f>_xlfn.XLOOKUP(Orders[[#This Row],[Customer ID]],customers!$A$1:$A$1001,customers!$I$1:$I$1001,,0)</f>
        <v>No</v>
      </c>
    </row>
    <row r="351" spans="1:18" x14ac:dyDescent="0.35">
      <c r="A351" s="2" t="s">
        <v>2458</v>
      </c>
      <c r="B351" s="3">
        <v>44743</v>
      </c>
      <c r="C351" s="2" t="s">
        <v>2459</v>
      </c>
      <c r="D351" t="s">
        <v>6178</v>
      </c>
      <c r="E351" s="2">
        <v>4</v>
      </c>
      <c r="F351" s="2" t="str">
        <f>_xlfn.XLOOKUP(Orders[[#This Row],[Customer ID]],customers!$A$1:$A$1001,customers!$B$1:$B$1001,,0)</f>
        <v>Dell Daveridge</v>
      </c>
      <c r="G351" s="2" t="str">
        <f>IF(_xlfn.XLOOKUP(C351,customers!$A$1:$A$1001,customers!C350:C1350,,0)=0,"",_xlfn.XLOOKUP(C351,customers!$A$1:$A$1001,customers!C350:C1350,,0))</f>
        <v>jdymokeje@prnewswire.com</v>
      </c>
      <c r="H351" s="2" t="str">
        <f>_xlfn.XLOOKUP(Orders[[#This Row],[Customer ID]],customers!$A$1:$A$1001,customers!$G$1:$G$1001,,0)</f>
        <v>United States</v>
      </c>
      <c r="I351" s="2" t="str">
        <f>_xlfn.XLOOKUP(Orders[[#This Row],[Customer ID]],customers!$A$1:$A$1001,customers!$F$1:$F$1001,,0)</f>
        <v>Los Angeles</v>
      </c>
      <c r="J351" t="str">
        <f>INDEX(products!$A$1:$G$49,MATCH(orders!$D351,products!$A$1:$A$49,0),MATCH(orders!J$1,products!$A$1:$G$1,0))</f>
        <v>Rob</v>
      </c>
      <c r="K351" t="str">
        <f>INDEX(products!$A$1:$G$49,MATCH(orders!$D351,products!$A$1:$A$49,0),MATCH(orders!K$1,products!$A$1:$G$1,0))</f>
        <v>L</v>
      </c>
      <c r="L351" s="4">
        <f>INDEX(products!$A$1:$G$49,MATCH(orders!$D351,products!$A$1:$A$49,0),MATCH(orders!L$1,products!$A$1:$G$1,0))</f>
        <v>0.2</v>
      </c>
      <c r="M351" s="5">
        <f>INDEX(products!$A$1:$G$49,MATCH(orders!$D351,products!$A$1:$A$49,0),MATCH(orders!M$1,products!$A$1:$G$1,0))</f>
        <v>3.5849999999999995</v>
      </c>
      <c r="N351" s="5">
        <f>Orders[[#This Row],[Quantity]]*(INDEX(products!$A$1:$G$49,MATCH(orders!$D351,products!$A$1:$A$49,0),MATCH(orders!N$1,products!$A$1:$G$1,0)))</f>
        <v>0.86039999999999983</v>
      </c>
      <c r="O351" s="5">
        <f>M351*E351</f>
        <v>14.339999999999998</v>
      </c>
      <c r="P351" t="str">
        <f t="shared" si="10"/>
        <v>Robusta</v>
      </c>
      <c r="Q351" t="str">
        <f t="shared" si="11"/>
        <v>Light</v>
      </c>
      <c r="R351" t="str">
        <f>_xlfn.XLOOKUP(Orders[[#This Row],[Customer ID]],customers!$A$1:$A$1001,customers!$I$1:$I$1001,,0)</f>
        <v>No</v>
      </c>
    </row>
    <row r="352" spans="1:18" x14ac:dyDescent="0.35">
      <c r="A352" s="2" t="s">
        <v>2464</v>
      </c>
      <c r="B352" s="3">
        <v>43592</v>
      </c>
      <c r="C352" s="2" t="s">
        <v>2465</v>
      </c>
      <c r="D352" t="s">
        <v>6158</v>
      </c>
      <c r="E352" s="2">
        <v>4</v>
      </c>
      <c r="F352" s="2" t="str">
        <f>_xlfn.XLOOKUP(Orders[[#This Row],[Customer ID]],customers!$A$1:$A$1001,customers!$B$1:$B$1001,,0)</f>
        <v>Joshuah Awdry</v>
      </c>
      <c r="G352" s="2" t="str">
        <f>IF(_xlfn.XLOOKUP(C352,customers!$A$1:$A$1001,customers!C351:C1351,,0)=0,"",_xlfn.XLOOKUP(C352,customers!$A$1:$A$1001,customers!C351:C1351,,0))</f>
        <v>bguddejg@dailymotion.com</v>
      </c>
      <c r="H352" s="2" t="str">
        <f>_xlfn.XLOOKUP(Orders[[#This Row],[Customer ID]],customers!$A$1:$A$1001,customers!$G$1:$G$1001,,0)</f>
        <v>United States</v>
      </c>
      <c r="I352" s="2" t="str">
        <f>_xlfn.XLOOKUP(Orders[[#This Row],[Customer ID]],customers!$A$1:$A$1001,customers!$F$1:$F$1001,,0)</f>
        <v>Shreveport</v>
      </c>
      <c r="J352" t="str">
        <f>INDEX(products!$A$1:$G$49,MATCH(orders!$D352,products!$A$1:$A$49,0),MATCH(orders!J$1,products!$A$1:$G$1,0))</f>
        <v>Ara</v>
      </c>
      <c r="K352" t="str">
        <f>INDEX(products!$A$1:$G$49,MATCH(orders!$D352,products!$A$1:$A$49,0),MATCH(orders!K$1,products!$A$1:$G$1,0))</f>
        <v>D</v>
      </c>
      <c r="L352" s="4">
        <f>INDEX(products!$A$1:$G$49,MATCH(orders!$D352,products!$A$1:$A$49,0),MATCH(orders!L$1,products!$A$1:$G$1,0))</f>
        <v>0.5</v>
      </c>
      <c r="M352" s="5">
        <f>INDEX(products!$A$1:$G$49,MATCH(orders!$D352,products!$A$1:$A$49,0),MATCH(orders!M$1,products!$A$1:$G$1,0))</f>
        <v>5.97</v>
      </c>
      <c r="N352" s="5">
        <f>Orders[[#This Row],[Quantity]]*(INDEX(products!$A$1:$G$49,MATCH(orders!$D352,products!$A$1:$A$49,0),MATCH(orders!N$1,products!$A$1:$G$1,0)))</f>
        <v>2.1492</v>
      </c>
      <c r="O352" s="5">
        <f>M352*E352</f>
        <v>23.88</v>
      </c>
      <c r="P352" t="str">
        <f t="shared" si="10"/>
        <v>Arabica</v>
      </c>
      <c r="Q352" t="str">
        <f t="shared" si="11"/>
        <v>Dark</v>
      </c>
      <c r="R352" t="str">
        <f>_xlfn.XLOOKUP(Orders[[#This Row],[Customer ID]],customers!$A$1:$A$1001,customers!$I$1:$I$1001,,0)</f>
        <v>No</v>
      </c>
    </row>
    <row r="353" spans="1:18" x14ac:dyDescent="0.35">
      <c r="A353" s="2" t="s">
        <v>2470</v>
      </c>
      <c r="B353" s="3">
        <v>44066</v>
      </c>
      <c r="C353" s="2" t="s">
        <v>2471</v>
      </c>
      <c r="D353" t="s">
        <v>6155</v>
      </c>
      <c r="E353" s="2">
        <v>2</v>
      </c>
      <c r="F353" s="2" t="str">
        <f>_xlfn.XLOOKUP(Orders[[#This Row],[Customer ID]],customers!$A$1:$A$1001,customers!$B$1:$B$1001,,0)</f>
        <v>Ethel Ryles</v>
      </c>
      <c r="G353" s="2" t="str">
        <f>IF(_xlfn.XLOOKUP(C353,customers!$A$1:$A$1001,customers!C352:C1352,,0)=0,"",_xlfn.XLOOKUP(C353,customers!$A$1:$A$1001,customers!C352:C1352,,0))</f>
        <v>vdunningji@independent.co.uk</v>
      </c>
      <c r="H353" s="2" t="str">
        <f>_xlfn.XLOOKUP(Orders[[#This Row],[Customer ID]],customers!$A$1:$A$1001,customers!$G$1:$G$1001,,0)</f>
        <v>United States</v>
      </c>
      <c r="I353" s="2" t="str">
        <f>_xlfn.XLOOKUP(Orders[[#This Row],[Customer ID]],customers!$A$1:$A$1001,customers!$F$1:$F$1001,,0)</f>
        <v>Boise</v>
      </c>
      <c r="J353" t="str">
        <f>INDEX(products!$A$1:$G$49,MATCH(orders!$D353,products!$A$1:$A$49,0),MATCH(orders!J$1,products!$A$1:$G$1,0))</f>
        <v>Ara</v>
      </c>
      <c r="K353" t="str">
        <f>INDEX(products!$A$1:$G$49,MATCH(orders!$D353,products!$A$1:$A$49,0),MATCH(orders!K$1,products!$A$1:$G$1,0))</f>
        <v>M</v>
      </c>
      <c r="L353" s="4">
        <f>INDEX(products!$A$1:$G$49,MATCH(orders!$D353,products!$A$1:$A$49,0),MATCH(orders!L$1,products!$A$1:$G$1,0))</f>
        <v>1</v>
      </c>
      <c r="M353" s="5">
        <f>INDEX(products!$A$1:$G$49,MATCH(orders!$D353,products!$A$1:$A$49,0),MATCH(orders!M$1,products!$A$1:$G$1,0))</f>
        <v>11.25</v>
      </c>
      <c r="N353" s="5">
        <f>Orders[[#This Row],[Quantity]]*(INDEX(products!$A$1:$G$49,MATCH(orders!$D353,products!$A$1:$A$49,0),MATCH(orders!N$1,products!$A$1:$G$1,0)))</f>
        <v>2.0249999999999999</v>
      </c>
      <c r="O353" s="5">
        <f>M353*E353</f>
        <v>22.5</v>
      </c>
      <c r="P353" t="str">
        <f t="shared" si="10"/>
        <v>Arabica</v>
      </c>
      <c r="Q353" t="str">
        <f t="shared" si="11"/>
        <v>Medium</v>
      </c>
      <c r="R353" t="str">
        <f>_xlfn.XLOOKUP(Orders[[#This Row],[Customer ID]],customers!$A$1:$A$1001,customers!$I$1:$I$1001,,0)</f>
        <v>No</v>
      </c>
    </row>
    <row r="354" spans="1:18" x14ac:dyDescent="0.35">
      <c r="A354" s="2" t="s">
        <v>2476</v>
      </c>
      <c r="B354" s="3">
        <v>43984</v>
      </c>
      <c r="C354" s="2" t="s">
        <v>2331</v>
      </c>
      <c r="D354" t="s">
        <v>6144</v>
      </c>
      <c r="E354" s="2">
        <v>5</v>
      </c>
      <c r="F354" s="2" t="str">
        <f>_xlfn.XLOOKUP(Orders[[#This Row],[Customer ID]],customers!$A$1:$A$1001,customers!$B$1:$B$1001,,0)</f>
        <v>Flynn Antony</v>
      </c>
      <c r="G354" s="2" t="str">
        <f>IF(_xlfn.XLOOKUP(C354,customers!$A$1:$A$1001,customers!C353:C1353,,0)=0,"",_xlfn.XLOOKUP(C354,customers!$A$1:$A$1001,customers!C353:C1353,,0))</f>
        <v>mmiddisiu@dmoz.org</v>
      </c>
      <c r="H354" s="2" t="str">
        <f>_xlfn.XLOOKUP(Orders[[#This Row],[Customer ID]],customers!$A$1:$A$1001,customers!$G$1:$G$1001,,0)</f>
        <v>United States</v>
      </c>
      <c r="I354" s="2" t="str">
        <f>_xlfn.XLOOKUP(Orders[[#This Row],[Customer ID]],customers!$A$1:$A$1001,customers!$F$1:$F$1001,,0)</f>
        <v>Birmingham</v>
      </c>
      <c r="J354" t="str">
        <f>INDEX(products!$A$1:$G$49,MATCH(orders!$D354,products!$A$1:$A$49,0),MATCH(orders!J$1,products!$A$1:$G$1,0))</f>
        <v>Exc</v>
      </c>
      <c r="K354" t="str">
        <f>INDEX(products!$A$1:$G$49,MATCH(orders!$D354,products!$A$1:$A$49,0),MATCH(orders!K$1,products!$A$1:$G$1,0))</f>
        <v>D</v>
      </c>
      <c r="L354" s="4">
        <f>INDEX(products!$A$1:$G$49,MATCH(orders!$D354,products!$A$1:$A$49,0),MATCH(orders!L$1,products!$A$1:$G$1,0))</f>
        <v>0.5</v>
      </c>
      <c r="M354" s="5">
        <f>INDEX(products!$A$1:$G$49,MATCH(orders!$D354,products!$A$1:$A$49,0),MATCH(orders!M$1,products!$A$1:$G$1,0))</f>
        <v>7.29</v>
      </c>
      <c r="N354" s="5">
        <f>Orders[[#This Row],[Quantity]]*(INDEX(products!$A$1:$G$49,MATCH(orders!$D354,products!$A$1:$A$49,0),MATCH(orders!N$1,products!$A$1:$G$1,0)))</f>
        <v>4.0095000000000001</v>
      </c>
      <c r="O354" s="5">
        <f>M354*E354</f>
        <v>36.450000000000003</v>
      </c>
      <c r="P354" t="str">
        <f t="shared" si="10"/>
        <v>Excelsa</v>
      </c>
      <c r="Q354" t="str">
        <f t="shared" si="11"/>
        <v>Dark</v>
      </c>
      <c r="R354" t="str">
        <f>_xlfn.XLOOKUP(Orders[[#This Row],[Customer ID]],customers!$A$1:$A$1001,customers!$I$1:$I$1001,,0)</f>
        <v>No</v>
      </c>
    </row>
    <row r="355" spans="1:18" x14ac:dyDescent="0.35">
      <c r="A355" s="2" t="s">
        <v>2482</v>
      </c>
      <c r="B355" s="3">
        <v>43860</v>
      </c>
      <c r="C355" s="2" t="s">
        <v>2483</v>
      </c>
      <c r="D355" t="s">
        <v>6157</v>
      </c>
      <c r="E355" s="2">
        <v>4</v>
      </c>
      <c r="F355" s="2" t="str">
        <f>_xlfn.XLOOKUP(Orders[[#This Row],[Customer ID]],customers!$A$1:$A$1001,customers!$B$1:$B$1001,,0)</f>
        <v>Maitilde Boxill</v>
      </c>
      <c r="G355" s="2" t="str">
        <f>IF(_xlfn.XLOOKUP(C355,customers!$A$1:$A$1001,customers!C354:C1354,,0)=0,"",_xlfn.XLOOKUP(C355,customers!$A$1:$A$1001,customers!C354:C1354,,0))</f>
        <v>bfallowesjm@purevolume.com</v>
      </c>
      <c r="H355" s="2" t="str">
        <f>_xlfn.XLOOKUP(Orders[[#This Row],[Customer ID]],customers!$A$1:$A$1001,customers!$G$1:$G$1001,,0)</f>
        <v>United States</v>
      </c>
      <c r="I355" s="2" t="str">
        <f>_xlfn.XLOOKUP(Orders[[#This Row],[Customer ID]],customers!$A$1:$A$1001,customers!$F$1:$F$1001,,0)</f>
        <v>Montgomery</v>
      </c>
      <c r="J355" t="str">
        <f>INDEX(products!$A$1:$G$49,MATCH(orders!$D355,products!$A$1:$A$49,0),MATCH(orders!J$1,products!$A$1:$G$1,0))</f>
        <v>Ara</v>
      </c>
      <c r="K355" t="str">
        <f>INDEX(products!$A$1:$G$49,MATCH(orders!$D355,products!$A$1:$A$49,0),MATCH(orders!K$1,products!$A$1:$G$1,0))</f>
        <v>M</v>
      </c>
      <c r="L355" s="4">
        <f>INDEX(products!$A$1:$G$49,MATCH(orders!$D355,products!$A$1:$A$49,0),MATCH(orders!L$1,products!$A$1:$G$1,0))</f>
        <v>0.5</v>
      </c>
      <c r="M355" s="5">
        <f>INDEX(products!$A$1:$G$49,MATCH(orders!$D355,products!$A$1:$A$49,0),MATCH(orders!M$1,products!$A$1:$G$1,0))</f>
        <v>6.75</v>
      </c>
      <c r="N355" s="5">
        <f>Orders[[#This Row],[Quantity]]*(INDEX(products!$A$1:$G$49,MATCH(orders!$D355,products!$A$1:$A$49,0),MATCH(orders!N$1,products!$A$1:$G$1,0)))</f>
        <v>2.4299999999999997</v>
      </c>
      <c r="O355" s="5">
        <f>M355*E355</f>
        <v>27</v>
      </c>
      <c r="P355" t="str">
        <f t="shared" si="10"/>
        <v>Arabica</v>
      </c>
      <c r="Q355" t="str">
        <f t="shared" si="11"/>
        <v>Medium</v>
      </c>
      <c r="R355" t="str">
        <f>_xlfn.XLOOKUP(Orders[[#This Row],[Customer ID]],customers!$A$1:$A$1001,customers!$I$1:$I$1001,,0)</f>
        <v>Yes</v>
      </c>
    </row>
    <row r="356" spans="1:18" x14ac:dyDescent="0.35">
      <c r="A356" s="2" t="s">
        <v>2487</v>
      </c>
      <c r="B356" s="3">
        <v>43876</v>
      </c>
      <c r="C356" s="2" t="s">
        <v>2488</v>
      </c>
      <c r="D356" t="s">
        <v>6175</v>
      </c>
      <c r="E356" s="2">
        <v>6</v>
      </c>
      <c r="F356" s="2" t="str">
        <f>_xlfn.XLOOKUP(Orders[[#This Row],[Customer ID]],customers!$A$1:$A$1001,customers!$B$1:$B$1001,,0)</f>
        <v>Jodee Caldicott</v>
      </c>
      <c r="G356" s="2" t="str">
        <f>IF(_xlfn.XLOOKUP(C356,customers!$A$1:$A$1001,customers!C355:C1355,,0)=0,"",_xlfn.XLOOKUP(C356,customers!$A$1:$A$1001,customers!C355:C1355,,0))</f>
        <v>sdejo@newsvine.com</v>
      </c>
      <c r="H356" s="2" t="str">
        <f>_xlfn.XLOOKUP(Orders[[#This Row],[Customer ID]],customers!$A$1:$A$1001,customers!$G$1:$G$1001,,0)</f>
        <v>United States</v>
      </c>
      <c r="I356" s="2" t="str">
        <f>_xlfn.XLOOKUP(Orders[[#This Row],[Customer ID]],customers!$A$1:$A$1001,customers!$F$1:$F$1001,,0)</f>
        <v>Fort Pierce</v>
      </c>
      <c r="J356" t="str">
        <f>INDEX(products!$A$1:$G$49,MATCH(orders!$D356,products!$A$1:$A$49,0),MATCH(orders!J$1,products!$A$1:$G$1,0))</f>
        <v>Ara</v>
      </c>
      <c r="K356" t="str">
        <f>INDEX(products!$A$1:$G$49,MATCH(orders!$D356,products!$A$1:$A$49,0),MATCH(orders!K$1,products!$A$1:$G$1,0))</f>
        <v>M</v>
      </c>
      <c r="L356" s="4">
        <f>INDEX(products!$A$1:$G$49,MATCH(orders!$D356,products!$A$1:$A$49,0),MATCH(orders!L$1,products!$A$1:$G$1,0))</f>
        <v>2.5</v>
      </c>
      <c r="M356" s="5">
        <f>INDEX(products!$A$1:$G$49,MATCH(orders!$D356,products!$A$1:$A$49,0),MATCH(orders!M$1,products!$A$1:$G$1,0))</f>
        <v>25.874999999999996</v>
      </c>
      <c r="N356" s="5">
        <f>Orders[[#This Row],[Quantity]]*(INDEX(products!$A$1:$G$49,MATCH(orders!$D356,products!$A$1:$A$49,0),MATCH(orders!N$1,products!$A$1:$G$1,0)))</f>
        <v>13.972499999999997</v>
      </c>
      <c r="O356" s="5">
        <f>M356*E356</f>
        <v>155.24999999999997</v>
      </c>
      <c r="P356" t="str">
        <f t="shared" si="10"/>
        <v>Arabica</v>
      </c>
      <c r="Q356" t="str">
        <f t="shared" si="11"/>
        <v>Medium</v>
      </c>
      <c r="R356" t="str">
        <f>_xlfn.XLOOKUP(Orders[[#This Row],[Customer ID]],customers!$A$1:$A$1001,customers!$I$1:$I$1001,,0)</f>
        <v>No</v>
      </c>
    </row>
    <row r="357" spans="1:18" x14ac:dyDescent="0.35">
      <c r="A357" s="2" t="s">
        <v>2492</v>
      </c>
      <c r="B357" s="3">
        <v>44358</v>
      </c>
      <c r="C357" s="2" t="s">
        <v>2493</v>
      </c>
      <c r="D357" t="s">
        <v>6168</v>
      </c>
      <c r="E357" s="2">
        <v>5</v>
      </c>
      <c r="F357" s="2" t="str">
        <f>_xlfn.XLOOKUP(Orders[[#This Row],[Customer ID]],customers!$A$1:$A$1001,customers!$B$1:$B$1001,,0)</f>
        <v>Marianna Vedmore</v>
      </c>
      <c r="G357" s="2" t="str">
        <f>IF(_xlfn.XLOOKUP(C357,customers!$A$1:$A$1001,customers!C356:C1356,,0)=0,"",_xlfn.XLOOKUP(C357,customers!$A$1:$A$1001,customers!C356:C1356,,0))</f>
        <v>scountjq@nba.com</v>
      </c>
      <c r="H357" s="2" t="str">
        <f>_xlfn.XLOOKUP(Orders[[#This Row],[Customer ID]],customers!$A$1:$A$1001,customers!$G$1:$G$1001,,0)</f>
        <v>United States</v>
      </c>
      <c r="I357" s="2" t="str">
        <f>_xlfn.XLOOKUP(Orders[[#This Row],[Customer ID]],customers!$A$1:$A$1001,customers!$F$1:$F$1001,,0)</f>
        <v>Greensboro</v>
      </c>
      <c r="J357" t="str">
        <f>INDEX(products!$A$1:$G$49,MATCH(orders!$D357,products!$A$1:$A$49,0),MATCH(orders!J$1,products!$A$1:$G$1,0))</f>
        <v>Ara</v>
      </c>
      <c r="K357" t="str">
        <f>INDEX(products!$A$1:$G$49,MATCH(orders!$D357,products!$A$1:$A$49,0),MATCH(orders!K$1,products!$A$1:$G$1,0))</f>
        <v>D</v>
      </c>
      <c r="L357" s="4">
        <f>INDEX(products!$A$1:$G$49,MATCH(orders!$D357,products!$A$1:$A$49,0),MATCH(orders!L$1,products!$A$1:$G$1,0))</f>
        <v>2.5</v>
      </c>
      <c r="M357" s="5">
        <f>INDEX(products!$A$1:$G$49,MATCH(orders!$D357,products!$A$1:$A$49,0),MATCH(orders!M$1,products!$A$1:$G$1,0))</f>
        <v>22.884999999999998</v>
      </c>
      <c r="N357" s="5">
        <f>Orders[[#This Row],[Quantity]]*(INDEX(products!$A$1:$G$49,MATCH(orders!$D357,products!$A$1:$A$49,0),MATCH(orders!N$1,products!$A$1:$G$1,0)))</f>
        <v>10.298249999999998</v>
      </c>
      <c r="O357" s="5">
        <f>M357*E357</f>
        <v>114.42499999999998</v>
      </c>
      <c r="P357" t="str">
        <f t="shared" si="10"/>
        <v>Arabica</v>
      </c>
      <c r="Q357" t="str">
        <f t="shared" si="11"/>
        <v>Dark</v>
      </c>
      <c r="R357" t="str">
        <f>_xlfn.XLOOKUP(Orders[[#This Row],[Customer ID]],customers!$A$1:$A$1001,customers!$I$1:$I$1001,,0)</f>
        <v>Yes</v>
      </c>
    </row>
    <row r="358" spans="1:18" x14ac:dyDescent="0.35">
      <c r="A358" s="2" t="s">
        <v>2498</v>
      </c>
      <c r="B358" s="3">
        <v>44631</v>
      </c>
      <c r="C358" s="2" t="s">
        <v>2499</v>
      </c>
      <c r="D358" t="s">
        <v>6143</v>
      </c>
      <c r="E358" s="2">
        <v>4</v>
      </c>
      <c r="F358" s="2" t="str">
        <f>_xlfn.XLOOKUP(Orders[[#This Row],[Customer ID]],customers!$A$1:$A$1001,customers!$B$1:$B$1001,,0)</f>
        <v>Willey Romao</v>
      </c>
      <c r="G358" s="2" t="str">
        <f>IF(_xlfn.XLOOKUP(C358,customers!$A$1:$A$1001,customers!C357:C1357,,0)=0,"",_xlfn.XLOOKUP(C358,customers!$A$1:$A$1001,customers!C357:C1357,,0))</f>
        <v/>
      </c>
      <c r="H358" s="2" t="str">
        <f>_xlfn.XLOOKUP(Orders[[#This Row],[Customer ID]],customers!$A$1:$A$1001,customers!$G$1:$G$1001,,0)</f>
        <v>United States</v>
      </c>
      <c r="I358" s="2" t="str">
        <f>_xlfn.XLOOKUP(Orders[[#This Row],[Customer ID]],customers!$A$1:$A$1001,customers!$F$1:$F$1001,,0)</f>
        <v>Sacramento</v>
      </c>
      <c r="J358" t="str">
        <f>INDEX(products!$A$1:$G$49,MATCH(orders!$D358,products!$A$1:$A$49,0),MATCH(orders!J$1,products!$A$1:$G$1,0))</f>
        <v>Lib</v>
      </c>
      <c r="K358" t="str">
        <f>INDEX(products!$A$1:$G$49,MATCH(orders!$D358,products!$A$1:$A$49,0),MATCH(orders!K$1,products!$A$1:$G$1,0))</f>
        <v>D</v>
      </c>
      <c r="L358" s="4">
        <f>INDEX(products!$A$1:$G$49,MATCH(orders!$D358,products!$A$1:$A$49,0),MATCH(orders!L$1,products!$A$1:$G$1,0))</f>
        <v>1</v>
      </c>
      <c r="M358" s="5">
        <f>INDEX(products!$A$1:$G$49,MATCH(orders!$D358,products!$A$1:$A$49,0),MATCH(orders!M$1,products!$A$1:$G$1,0))</f>
        <v>12.95</v>
      </c>
      <c r="N358" s="5">
        <f>Orders[[#This Row],[Quantity]]*(INDEX(products!$A$1:$G$49,MATCH(orders!$D358,products!$A$1:$A$49,0),MATCH(orders!N$1,products!$A$1:$G$1,0)))</f>
        <v>6.734</v>
      </c>
      <c r="O358" s="5">
        <f>M358*E358</f>
        <v>51.8</v>
      </c>
      <c r="P358" t="str">
        <f t="shared" si="10"/>
        <v>Liberica</v>
      </c>
      <c r="Q358" t="str">
        <f t="shared" si="11"/>
        <v>Dark</v>
      </c>
      <c r="R358" t="str">
        <f>_xlfn.XLOOKUP(Orders[[#This Row],[Customer ID]],customers!$A$1:$A$1001,customers!$I$1:$I$1001,,0)</f>
        <v>Yes</v>
      </c>
    </row>
    <row r="359" spans="1:18" x14ac:dyDescent="0.35">
      <c r="A359" s="2" t="s">
        <v>2504</v>
      </c>
      <c r="B359" s="3">
        <v>44448</v>
      </c>
      <c r="C359" s="2" t="s">
        <v>2505</v>
      </c>
      <c r="D359" t="s">
        <v>6175</v>
      </c>
      <c r="E359" s="2">
        <v>6</v>
      </c>
      <c r="F359" s="2" t="str">
        <f>_xlfn.XLOOKUP(Orders[[#This Row],[Customer ID]],customers!$A$1:$A$1001,customers!$B$1:$B$1001,,0)</f>
        <v>Enriqueta Ixor</v>
      </c>
      <c r="G359" s="2" t="str">
        <f>IF(_xlfn.XLOOKUP(C359,customers!$A$1:$A$1001,customers!C358:C1358,,0)=0,"",_xlfn.XLOOKUP(C359,customers!$A$1:$A$1001,customers!C358:C1358,,0))</f>
        <v>aplluju@dagondesign.com</v>
      </c>
      <c r="H359" s="2" t="str">
        <f>_xlfn.XLOOKUP(Orders[[#This Row],[Customer ID]],customers!$A$1:$A$1001,customers!$G$1:$G$1001,,0)</f>
        <v>United States</v>
      </c>
      <c r="I359" s="2" t="str">
        <f>_xlfn.XLOOKUP(Orders[[#This Row],[Customer ID]],customers!$A$1:$A$1001,customers!$F$1:$F$1001,,0)</f>
        <v>Round Rock</v>
      </c>
      <c r="J359" t="str">
        <f>INDEX(products!$A$1:$G$49,MATCH(orders!$D359,products!$A$1:$A$49,0),MATCH(orders!J$1,products!$A$1:$G$1,0))</f>
        <v>Ara</v>
      </c>
      <c r="K359" t="str">
        <f>INDEX(products!$A$1:$G$49,MATCH(orders!$D359,products!$A$1:$A$49,0),MATCH(orders!K$1,products!$A$1:$G$1,0))</f>
        <v>M</v>
      </c>
      <c r="L359" s="4">
        <f>INDEX(products!$A$1:$G$49,MATCH(orders!$D359,products!$A$1:$A$49,0),MATCH(orders!L$1,products!$A$1:$G$1,0))</f>
        <v>2.5</v>
      </c>
      <c r="M359" s="5">
        <f>INDEX(products!$A$1:$G$49,MATCH(orders!$D359,products!$A$1:$A$49,0),MATCH(orders!M$1,products!$A$1:$G$1,0))</f>
        <v>25.874999999999996</v>
      </c>
      <c r="N359" s="5">
        <f>Orders[[#This Row],[Quantity]]*(INDEX(products!$A$1:$G$49,MATCH(orders!$D359,products!$A$1:$A$49,0),MATCH(orders!N$1,products!$A$1:$G$1,0)))</f>
        <v>13.972499999999997</v>
      </c>
      <c r="O359" s="5">
        <f>M359*E359</f>
        <v>155.24999999999997</v>
      </c>
      <c r="P359" t="str">
        <f t="shared" si="10"/>
        <v>Arabica</v>
      </c>
      <c r="Q359" t="str">
        <f t="shared" si="11"/>
        <v>Medium</v>
      </c>
      <c r="R359" t="str">
        <f>_xlfn.XLOOKUP(Orders[[#This Row],[Customer ID]],customers!$A$1:$A$1001,customers!$I$1:$I$1001,,0)</f>
        <v>No</v>
      </c>
    </row>
    <row r="360" spans="1:18" x14ac:dyDescent="0.35">
      <c r="A360" s="2" t="s">
        <v>2509</v>
      </c>
      <c r="B360" s="3">
        <v>43599</v>
      </c>
      <c r="C360" s="2" t="s">
        <v>2510</v>
      </c>
      <c r="D360" t="s">
        <v>6182</v>
      </c>
      <c r="E360" s="2">
        <v>1</v>
      </c>
      <c r="F360" s="2" t="str">
        <f>_xlfn.XLOOKUP(Orders[[#This Row],[Customer ID]],customers!$A$1:$A$1001,customers!$B$1:$B$1001,,0)</f>
        <v>Tomasina Cotmore</v>
      </c>
      <c r="G360" s="2" t="str">
        <f>IF(_xlfn.XLOOKUP(C360,customers!$A$1:$A$1001,customers!C359:C1359,,0)=0,"",_xlfn.XLOOKUP(C360,customers!$A$1:$A$1001,customers!C359:C1359,,0))</f>
        <v>sgreedyerjw@parallels.com</v>
      </c>
      <c r="H360" s="2" t="str">
        <f>_xlfn.XLOOKUP(Orders[[#This Row],[Customer ID]],customers!$A$1:$A$1001,customers!$G$1:$G$1001,,0)</f>
        <v>United States</v>
      </c>
      <c r="I360" s="2" t="str">
        <f>_xlfn.XLOOKUP(Orders[[#This Row],[Customer ID]],customers!$A$1:$A$1001,customers!$F$1:$F$1001,,0)</f>
        <v>Reston</v>
      </c>
      <c r="J360" t="str">
        <f>INDEX(products!$A$1:$G$49,MATCH(orders!$D360,products!$A$1:$A$49,0),MATCH(orders!J$1,products!$A$1:$G$1,0))</f>
        <v>Ara</v>
      </c>
      <c r="K360" t="str">
        <f>INDEX(products!$A$1:$G$49,MATCH(orders!$D360,products!$A$1:$A$49,0),MATCH(orders!K$1,products!$A$1:$G$1,0))</f>
        <v>L</v>
      </c>
      <c r="L360" s="4">
        <f>INDEX(products!$A$1:$G$49,MATCH(orders!$D360,products!$A$1:$A$49,0),MATCH(orders!L$1,products!$A$1:$G$1,0))</f>
        <v>2.5</v>
      </c>
      <c r="M360" s="5">
        <f>INDEX(products!$A$1:$G$49,MATCH(orders!$D360,products!$A$1:$A$49,0),MATCH(orders!M$1,products!$A$1:$G$1,0))</f>
        <v>29.784999999999997</v>
      </c>
      <c r="N360" s="5">
        <f>Orders[[#This Row],[Quantity]]*(INDEX(products!$A$1:$G$49,MATCH(orders!$D360,products!$A$1:$A$49,0),MATCH(orders!N$1,products!$A$1:$G$1,0)))</f>
        <v>2.6806499999999995</v>
      </c>
      <c r="O360" s="5">
        <f>M360*E360</f>
        <v>29.784999999999997</v>
      </c>
      <c r="P360" t="str">
        <f t="shared" si="10"/>
        <v>Arabica</v>
      </c>
      <c r="Q360" t="str">
        <f t="shared" si="11"/>
        <v>Light</v>
      </c>
      <c r="R360" t="str">
        <f>_xlfn.XLOOKUP(Orders[[#This Row],[Customer ID]],customers!$A$1:$A$1001,customers!$I$1:$I$1001,,0)</f>
        <v>No</v>
      </c>
    </row>
    <row r="361" spans="1:18" x14ac:dyDescent="0.35">
      <c r="A361" s="2" t="s">
        <v>2515</v>
      </c>
      <c r="B361" s="3">
        <v>43563</v>
      </c>
      <c r="C361" s="2" t="s">
        <v>2516</v>
      </c>
      <c r="D361" t="s">
        <v>6178</v>
      </c>
      <c r="E361" s="2">
        <v>6</v>
      </c>
      <c r="F361" s="2" t="str">
        <f>_xlfn.XLOOKUP(Orders[[#This Row],[Customer ID]],customers!$A$1:$A$1001,customers!$B$1:$B$1001,,0)</f>
        <v>Yuma Skipsey</v>
      </c>
      <c r="G361" s="2" t="str">
        <f>IF(_xlfn.XLOOKUP(C361,customers!$A$1:$A$1001,customers!C360:C1360,,0)=0,"",_xlfn.XLOOKUP(C361,customers!$A$1:$A$1001,customers!C360:C1360,,0))</f>
        <v>dheafordjy@twitpic.com</v>
      </c>
      <c r="H361" s="2" t="str">
        <f>_xlfn.XLOOKUP(Orders[[#This Row],[Customer ID]],customers!$A$1:$A$1001,customers!$G$1:$G$1001,,0)</f>
        <v>United Kingdom</v>
      </c>
      <c r="I361" s="2" t="str">
        <f>_xlfn.XLOOKUP(Orders[[#This Row],[Customer ID]],customers!$A$1:$A$1001,customers!$F$1:$F$1001,,0)</f>
        <v>Charlton</v>
      </c>
      <c r="J361" t="str">
        <f>INDEX(products!$A$1:$G$49,MATCH(orders!$D361,products!$A$1:$A$49,0),MATCH(orders!J$1,products!$A$1:$G$1,0))</f>
        <v>Rob</v>
      </c>
      <c r="K361" t="str">
        <f>INDEX(products!$A$1:$G$49,MATCH(orders!$D361,products!$A$1:$A$49,0),MATCH(orders!K$1,products!$A$1:$G$1,0))</f>
        <v>L</v>
      </c>
      <c r="L361" s="4">
        <f>INDEX(products!$A$1:$G$49,MATCH(orders!$D361,products!$A$1:$A$49,0),MATCH(orders!L$1,products!$A$1:$G$1,0))</f>
        <v>0.2</v>
      </c>
      <c r="M361" s="5">
        <f>INDEX(products!$A$1:$G$49,MATCH(orders!$D361,products!$A$1:$A$49,0),MATCH(orders!M$1,products!$A$1:$G$1,0))</f>
        <v>3.5849999999999995</v>
      </c>
      <c r="N361" s="5">
        <f>Orders[[#This Row],[Quantity]]*(INDEX(products!$A$1:$G$49,MATCH(orders!$D361,products!$A$1:$A$49,0),MATCH(orders!N$1,products!$A$1:$G$1,0)))</f>
        <v>1.2905999999999997</v>
      </c>
      <c r="O361" s="5">
        <f>M361*E361</f>
        <v>21.509999999999998</v>
      </c>
      <c r="P361" t="str">
        <f t="shared" si="10"/>
        <v>Robusta</v>
      </c>
      <c r="Q361" t="str">
        <f t="shared" si="11"/>
        <v>Light</v>
      </c>
      <c r="R361" t="str">
        <f>_xlfn.XLOOKUP(Orders[[#This Row],[Customer ID]],customers!$A$1:$A$1001,customers!$I$1:$I$1001,,0)</f>
        <v>No</v>
      </c>
    </row>
    <row r="362" spans="1:18" x14ac:dyDescent="0.35">
      <c r="A362" s="2" t="s">
        <v>2521</v>
      </c>
      <c r="B362" s="3">
        <v>44058</v>
      </c>
      <c r="C362" s="2" t="s">
        <v>2522</v>
      </c>
      <c r="D362" t="s">
        <v>6149</v>
      </c>
      <c r="E362" s="2">
        <v>2</v>
      </c>
      <c r="F362" s="2" t="str">
        <f>_xlfn.XLOOKUP(Orders[[#This Row],[Customer ID]],customers!$A$1:$A$1001,customers!$B$1:$B$1001,,0)</f>
        <v>Nicko Corps</v>
      </c>
      <c r="G362" s="2" t="str">
        <f>IF(_xlfn.XLOOKUP(C362,customers!$A$1:$A$1001,customers!C361:C1361,,0)=0,"",_xlfn.XLOOKUP(C362,customers!$A$1:$A$1001,customers!C361:C1361,,0))</f>
        <v>rcrookshanksk0@unc.edu</v>
      </c>
      <c r="H362" s="2" t="str">
        <f>_xlfn.XLOOKUP(Orders[[#This Row],[Customer ID]],customers!$A$1:$A$1001,customers!$G$1:$G$1001,,0)</f>
        <v>United States</v>
      </c>
      <c r="I362" s="2" t="str">
        <f>_xlfn.XLOOKUP(Orders[[#This Row],[Customer ID]],customers!$A$1:$A$1001,customers!$F$1:$F$1001,,0)</f>
        <v>Columbia</v>
      </c>
      <c r="J362" t="str">
        <f>INDEX(products!$A$1:$G$49,MATCH(orders!$D362,products!$A$1:$A$49,0),MATCH(orders!J$1,products!$A$1:$G$1,0))</f>
        <v>Rob</v>
      </c>
      <c r="K362" t="str">
        <f>INDEX(products!$A$1:$G$49,MATCH(orders!$D362,products!$A$1:$A$49,0),MATCH(orders!K$1,products!$A$1:$G$1,0))</f>
        <v>D</v>
      </c>
      <c r="L362" s="4">
        <f>INDEX(products!$A$1:$G$49,MATCH(orders!$D362,products!$A$1:$A$49,0),MATCH(orders!L$1,products!$A$1:$G$1,0))</f>
        <v>2.5</v>
      </c>
      <c r="M362" s="5">
        <f>INDEX(products!$A$1:$G$49,MATCH(orders!$D362,products!$A$1:$A$49,0),MATCH(orders!M$1,products!$A$1:$G$1,0))</f>
        <v>20.584999999999997</v>
      </c>
      <c r="N362" s="5">
        <f>Orders[[#This Row],[Quantity]]*(INDEX(products!$A$1:$G$49,MATCH(orders!$D362,products!$A$1:$A$49,0),MATCH(orders!N$1,products!$A$1:$G$1,0)))</f>
        <v>2.4701999999999997</v>
      </c>
      <c r="O362" s="5">
        <f>M362*E362</f>
        <v>41.169999999999995</v>
      </c>
      <c r="P362" t="str">
        <f t="shared" si="10"/>
        <v>Robusta</v>
      </c>
      <c r="Q362" t="str">
        <f t="shared" si="11"/>
        <v>Dark</v>
      </c>
      <c r="R362" t="str">
        <f>_xlfn.XLOOKUP(Orders[[#This Row],[Customer ID]],customers!$A$1:$A$1001,customers!$I$1:$I$1001,,0)</f>
        <v>No</v>
      </c>
    </row>
    <row r="363" spans="1:18" x14ac:dyDescent="0.35">
      <c r="A363" s="2" t="s">
        <v>2521</v>
      </c>
      <c r="B363" s="3">
        <v>44058</v>
      </c>
      <c r="C363" s="2" t="s">
        <v>2522</v>
      </c>
      <c r="D363" t="s">
        <v>6146</v>
      </c>
      <c r="E363" s="2">
        <v>1</v>
      </c>
      <c r="F363" s="2" t="str">
        <f>_xlfn.XLOOKUP(Orders[[#This Row],[Customer ID]],customers!$A$1:$A$1001,customers!$B$1:$B$1001,,0)</f>
        <v>Nicko Corps</v>
      </c>
      <c r="G363" s="2" t="str">
        <f>IF(_xlfn.XLOOKUP(C363,customers!$A$1:$A$1001,customers!C362:C1362,,0)=0,"",_xlfn.XLOOKUP(C363,customers!$A$1:$A$1001,customers!C362:C1362,,0))</f>
        <v>nleakek1@cmu.edu</v>
      </c>
      <c r="H363" s="2" t="str">
        <f>_xlfn.XLOOKUP(Orders[[#This Row],[Customer ID]],customers!$A$1:$A$1001,customers!$G$1:$G$1001,,0)</f>
        <v>United States</v>
      </c>
      <c r="I363" s="2" t="str">
        <f>_xlfn.XLOOKUP(Orders[[#This Row],[Customer ID]],customers!$A$1:$A$1001,customers!$F$1:$F$1001,,0)</f>
        <v>Columbia</v>
      </c>
      <c r="J363" t="str">
        <f>INDEX(products!$A$1:$G$49,MATCH(orders!$D363,products!$A$1:$A$49,0),MATCH(orders!J$1,products!$A$1:$G$1,0))</f>
        <v>Rob</v>
      </c>
      <c r="K363" t="str">
        <f>INDEX(products!$A$1:$G$49,MATCH(orders!$D363,products!$A$1:$A$49,0),MATCH(orders!K$1,products!$A$1:$G$1,0))</f>
        <v>M</v>
      </c>
      <c r="L363" s="4">
        <f>INDEX(products!$A$1:$G$49,MATCH(orders!$D363,products!$A$1:$A$49,0),MATCH(orders!L$1,products!$A$1:$G$1,0))</f>
        <v>0.5</v>
      </c>
      <c r="M363" s="5">
        <f>INDEX(products!$A$1:$G$49,MATCH(orders!$D363,products!$A$1:$A$49,0),MATCH(orders!M$1,products!$A$1:$G$1,0))</f>
        <v>5.97</v>
      </c>
      <c r="N363" s="5">
        <f>Orders[[#This Row],[Quantity]]*(INDEX(products!$A$1:$G$49,MATCH(orders!$D363,products!$A$1:$A$49,0),MATCH(orders!N$1,products!$A$1:$G$1,0)))</f>
        <v>0.35819999999999996</v>
      </c>
      <c r="O363" s="5">
        <f>M363*E363</f>
        <v>5.97</v>
      </c>
      <c r="P363" t="str">
        <f t="shared" si="10"/>
        <v>Robusta</v>
      </c>
      <c r="Q363" t="str">
        <f t="shared" si="11"/>
        <v>Medium</v>
      </c>
      <c r="R363" t="str">
        <f>_xlfn.XLOOKUP(Orders[[#This Row],[Customer ID]],customers!$A$1:$A$1001,customers!$I$1:$I$1001,,0)</f>
        <v>No</v>
      </c>
    </row>
    <row r="364" spans="1:18" x14ac:dyDescent="0.35">
      <c r="A364" s="2" t="s">
        <v>2532</v>
      </c>
      <c r="B364" s="3">
        <v>44686</v>
      </c>
      <c r="C364" s="2" t="s">
        <v>2533</v>
      </c>
      <c r="D364" t="s">
        <v>6171</v>
      </c>
      <c r="E364" s="2">
        <v>5</v>
      </c>
      <c r="F364" s="2" t="str">
        <f>_xlfn.XLOOKUP(Orders[[#This Row],[Customer ID]],customers!$A$1:$A$1001,customers!$B$1:$B$1001,,0)</f>
        <v>Feliks Babber</v>
      </c>
      <c r="G364" s="2" t="str">
        <f>IF(_xlfn.XLOOKUP(C364,customers!$A$1:$A$1001,customers!C363:C1363,,0)=0,"",_xlfn.XLOOKUP(C364,customers!$A$1:$A$1001,customers!C363:C1363,,0))</f>
        <v/>
      </c>
      <c r="H364" s="2" t="str">
        <f>_xlfn.XLOOKUP(Orders[[#This Row],[Customer ID]],customers!$A$1:$A$1001,customers!$G$1:$G$1001,,0)</f>
        <v>United States</v>
      </c>
      <c r="I364" s="2" t="str">
        <f>_xlfn.XLOOKUP(Orders[[#This Row],[Customer ID]],customers!$A$1:$A$1001,customers!$F$1:$F$1001,,0)</f>
        <v>Phoenix</v>
      </c>
      <c r="J364" t="str">
        <f>INDEX(products!$A$1:$G$49,MATCH(orders!$D364,products!$A$1:$A$49,0),MATCH(orders!J$1,products!$A$1:$G$1,0))</f>
        <v>Exc</v>
      </c>
      <c r="K364" t="str">
        <f>INDEX(products!$A$1:$G$49,MATCH(orders!$D364,products!$A$1:$A$49,0),MATCH(orders!K$1,products!$A$1:$G$1,0))</f>
        <v>L</v>
      </c>
      <c r="L364" s="4">
        <f>INDEX(products!$A$1:$G$49,MATCH(orders!$D364,products!$A$1:$A$49,0),MATCH(orders!L$1,products!$A$1:$G$1,0))</f>
        <v>1</v>
      </c>
      <c r="M364" s="5">
        <f>INDEX(products!$A$1:$G$49,MATCH(orders!$D364,products!$A$1:$A$49,0),MATCH(orders!M$1,products!$A$1:$G$1,0))</f>
        <v>14.85</v>
      </c>
      <c r="N364" s="5">
        <f>Orders[[#This Row],[Quantity]]*(INDEX(products!$A$1:$G$49,MATCH(orders!$D364,products!$A$1:$A$49,0),MATCH(orders!N$1,products!$A$1:$G$1,0)))</f>
        <v>8.1675000000000004</v>
      </c>
      <c r="O364" s="5">
        <f>M364*E364</f>
        <v>74.25</v>
      </c>
      <c r="P364" t="str">
        <f t="shared" si="10"/>
        <v>Excelsa</v>
      </c>
      <c r="Q364" t="str">
        <f t="shared" si="11"/>
        <v>Light</v>
      </c>
      <c r="R364" t="str">
        <f>_xlfn.XLOOKUP(Orders[[#This Row],[Customer ID]],customers!$A$1:$A$1001,customers!$I$1:$I$1001,,0)</f>
        <v>Yes</v>
      </c>
    </row>
    <row r="365" spans="1:18" x14ac:dyDescent="0.35">
      <c r="A365" s="2" t="s">
        <v>2538</v>
      </c>
      <c r="B365" s="3">
        <v>44282</v>
      </c>
      <c r="C365" s="2" t="s">
        <v>2539</v>
      </c>
      <c r="D365" t="s">
        <v>6162</v>
      </c>
      <c r="E365" s="2">
        <v>6</v>
      </c>
      <c r="F365" s="2" t="str">
        <f>_xlfn.XLOOKUP(Orders[[#This Row],[Customer ID]],customers!$A$1:$A$1001,customers!$B$1:$B$1001,,0)</f>
        <v>Kaja Loxton</v>
      </c>
      <c r="G365" s="2" t="str">
        <f>IF(_xlfn.XLOOKUP(C365,customers!$A$1:$A$1001,customers!C364:C1364,,0)=0,"",_xlfn.XLOOKUP(C365,customers!$A$1:$A$1001,customers!C364:C1364,,0))</f>
        <v/>
      </c>
      <c r="H365" s="2" t="str">
        <f>_xlfn.XLOOKUP(Orders[[#This Row],[Customer ID]],customers!$A$1:$A$1001,customers!$G$1:$G$1001,,0)</f>
        <v>United States</v>
      </c>
      <c r="I365" s="2" t="str">
        <f>_xlfn.XLOOKUP(Orders[[#This Row],[Customer ID]],customers!$A$1:$A$1001,customers!$F$1:$F$1001,,0)</f>
        <v>Miami</v>
      </c>
      <c r="J365" t="str">
        <f>INDEX(products!$A$1:$G$49,MATCH(orders!$D365,products!$A$1:$A$49,0),MATCH(orders!J$1,products!$A$1:$G$1,0))</f>
        <v>Lib</v>
      </c>
      <c r="K365" t="str">
        <f>INDEX(products!$A$1:$G$49,MATCH(orders!$D365,products!$A$1:$A$49,0),MATCH(orders!K$1,products!$A$1:$G$1,0))</f>
        <v>M</v>
      </c>
      <c r="L365" s="4">
        <f>INDEX(products!$A$1:$G$49,MATCH(orders!$D365,products!$A$1:$A$49,0),MATCH(orders!L$1,products!$A$1:$G$1,0))</f>
        <v>1</v>
      </c>
      <c r="M365" s="5">
        <f>INDEX(products!$A$1:$G$49,MATCH(orders!$D365,products!$A$1:$A$49,0),MATCH(orders!M$1,products!$A$1:$G$1,0))</f>
        <v>14.55</v>
      </c>
      <c r="N365" s="5">
        <f>Orders[[#This Row],[Quantity]]*(INDEX(products!$A$1:$G$49,MATCH(orders!$D365,products!$A$1:$A$49,0),MATCH(orders!N$1,products!$A$1:$G$1,0)))</f>
        <v>11.349</v>
      </c>
      <c r="O365" s="5">
        <f>M365*E365</f>
        <v>87.300000000000011</v>
      </c>
      <c r="P365" t="str">
        <f t="shared" si="10"/>
        <v>Liberica</v>
      </c>
      <c r="Q365" t="str">
        <f t="shared" si="11"/>
        <v>Medium</v>
      </c>
      <c r="R365" t="str">
        <f>_xlfn.XLOOKUP(Orders[[#This Row],[Customer ID]],customers!$A$1:$A$1001,customers!$I$1:$I$1001,,0)</f>
        <v>No</v>
      </c>
    </row>
    <row r="366" spans="1:18" x14ac:dyDescent="0.35">
      <c r="A366" s="2" t="s">
        <v>2543</v>
      </c>
      <c r="B366" s="3">
        <v>43582</v>
      </c>
      <c r="C366" s="2" t="s">
        <v>2544</v>
      </c>
      <c r="D366" t="s">
        <v>6183</v>
      </c>
      <c r="E366" s="2">
        <v>6</v>
      </c>
      <c r="F366" s="2" t="str">
        <f>_xlfn.XLOOKUP(Orders[[#This Row],[Customer ID]],customers!$A$1:$A$1001,customers!$B$1:$B$1001,,0)</f>
        <v>Parker Tofful</v>
      </c>
      <c r="G366" s="2" t="str">
        <f>IF(_xlfn.XLOOKUP(C366,customers!$A$1:$A$1001,customers!C365:C1365,,0)=0,"",_xlfn.XLOOKUP(C366,customers!$A$1:$A$1001,customers!C365:C1365,,0))</f>
        <v>rhuscroftk8@jimdo.com</v>
      </c>
      <c r="H366" s="2" t="str">
        <f>_xlfn.XLOOKUP(Orders[[#This Row],[Customer ID]],customers!$A$1:$A$1001,customers!$G$1:$G$1001,,0)</f>
        <v>United States</v>
      </c>
      <c r="I366" s="2" t="str">
        <f>_xlfn.XLOOKUP(Orders[[#This Row],[Customer ID]],customers!$A$1:$A$1001,customers!$F$1:$F$1001,,0)</f>
        <v>Fresno</v>
      </c>
      <c r="J366" t="str">
        <f>INDEX(products!$A$1:$G$49,MATCH(orders!$D366,products!$A$1:$A$49,0),MATCH(orders!J$1,products!$A$1:$G$1,0))</f>
        <v>Exc</v>
      </c>
      <c r="K366" t="str">
        <f>INDEX(products!$A$1:$G$49,MATCH(orders!$D366,products!$A$1:$A$49,0),MATCH(orders!K$1,products!$A$1:$G$1,0))</f>
        <v>D</v>
      </c>
      <c r="L366" s="4">
        <f>INDEX(products!$A$1:$G$49,MATCH(orders!$D366,products!$A$1:$A$49,0),MATCH(orders!L$1,products!$A$1:$G$1,0))</f>
        <v>1</v>
      </c>
      <c r="M366" s="5">
        <f>INDEX(products!$A$1:$G$49,MATCH(orders!$D366,products!$A$1:$A$49,0),MATCH(orders!M$1,products!$A$1:$G$1,0))</f>
        <v>12.15</v>
      </c>
      <c r="N366" s="5">
        <f>Orders[[#This Row],[Quantity]]*(INDEX(products!$A$1:$G$49,MATCH(orders!$D366,products!$A$1:$A$49,0),MATCH(orders!N$1,products!$A$1:$G$1,0)))</f>
        <v>8.0190000000000001</v>
      </c>
      <c r="O366" s="5">
        <f>M366*E366</f>
        <v>72.900000000000006</v>
      </c>
      <c r="P366" t="str">
        <f t="shared" si="10"/>
        <v>Excelsa</v>
      </c>
      <c r="Q366" t="str">
        <f t="shared" si="11"/>
        <v>Dark</v>
      </c>
      <c r="R366" t="str">
        <f>_xlfn.XLOOKUP(Orders[[#This Row],[Customer ID]],customers!$A$1:$A$1001,customers!$I$1:$I$1001,,0)</f>
        <v>Yes</v>
      </c>
    </row>
    <row r="367" spans="1:18" x14ac:dyDescent="0.35">
      <c r="A367" s="2" t="s">
        <v>2549</v>
      </c>
      <c r="B367" s="3">
        <v>44464</v>
      </c>
      <c r="C367" s="2" t="s">
        <v>2550</v>
      </c>
      <c r="D367" t="s">
        <v>6169</v>
      </c>
      <c r="E367" s="2">
        <v>1</v>
      </c>
      <c r="F367" s="2" t="str">
        <f>_xlfn.XLOOKUP(Orders[[#This Row],[Customer ID]],customers!$A$1:$A$1001,customers!$B$1:$B$1001,,0)</f>
        <v>Casi Gwinnett</v>
      </c>
      <c r="G367" s="2" t="str">
        <f>IF(_xlfn.XLOOKUP(C367,customers!$A$1:$A$1001,customers!C366:C1366,,0)=0,"",_xlfn.XLOOKUP(C367,customers!$A$1:$A$1001,customers!C366:C1366,,0))</f>
        <v>arudramka@prnewswire.com</v>
      </c>
      <c r="H367" s="2" t="str">
        <f>_xlfn.XLOOKUP(Orders[[#This Row],[Customer ID]],customers!$A$1:$A$1001,customers!$G$1:$G$1001,,0)</f>
        <v>United States</v>
      </c>
      <c r="I367" s="2" t="str">
        <f>_xlfn.XLOOKUP(Orders[[#This Row],[Customer ID]],customers!$A$1:$A$1001,customers!$F$1:$F$1001,,0)</f>
        <v>Anaheim</v>
      </c>
      <c r="J367" t="str">
        <f>INDEX(products!$A$1:$G$49,MATCH(orders!$D367,products!$A$1:$A$49,0),MATCH(orders!J$1,products!$A$1:$G$1,0))</f>
        <v>Lib</v>
      </c>
      <c r="K367" t="str">
        <f>INDEX(products!$A$1:$G$49,MATCH(orders!$D367,products!$A$1:$A$49,0),MATCH(orders!K$1,products!$A$1:$G$1,0))</f>
        <v>D</v>
      </c>
      <c r="L367" s="4">
        <f>INDEX(products!$A$1:$G$49,MATCH(orders!$D367,products!$A$1:$A$49,0),MATCH(orders!L$1,products!$A$1:$G$1,0))</f>
        <v>0.5</v>
      </c>
      <c r="M367" s="5">
        <f>INDEX(products!$A$1:$G$49,MATCH(orders!$D367,products!$A$1:$A$49,0),MATCH(orders!M$1,products!$A$1:$G$1,0))</f>
        <v>7.77</v>
      </c>
      <c r="N367" s="5">
        <f>Orders[[#This Row],[Quantity]]*(INDEX(products!$A$1:$G$49,MATCH(orders!$D367,products!$A$1:$A$49,0),MATCH(orders!N$1,products!$A$1:$G$1,0)))</f>
        <v>1.0101</v>
      </c>
      <c r="O367" s="5">
        <f>M367*E367</f>
        <v>7.77</v>
      </c>
      <c r="P367" t="str">
        <f t="shared" si="10"/>
        <v>Liberica</v>
      </c>
      <c r="Q367" t="str">
        <f t="shared" si="11"/>
        <v>Dark</v>
      </c>
      <c r="R367" t="str">
        <f>_xlfn.XLOOKUP(Orders[[#This Row],[Customer ID]],customers!$A$1:$A$1001,customers!$I$1:$I$1001,,0)</f>
        <v>No</v>
      </c>
    </row>
    <row r="368" spans="1:18" x14ac:dyDescent="0.35">
      <c r="A368" s="2" t="s">
        <v>2554</v>
      </c>
      <c r="B368" s="3">
        <v>43874</v>
      </c>
      <c r="C368" s="2" t="s">
        <v>2555</v>
      </c>
      <c r="D368" t="s">
        <v>6144</v>
      </c>
      <c r="E368" s="2">
        <v>6</v>
      </c>
      <c r="F368" s="2" t="str">
        <f>_xlfn.XLOOKUP(Orders[[#This Row],[Customer ID]],customers!$A$1:$A$1001,customers!$B$1:$B$1001,,0)</f>
        <v>Saree Ellesworth</v>
      </c>
      <c r="G368" s="2" t="str">
        <f>IF(_xlfn.XLOOKUP(C368,customers!$A$1:$A$1001,customers!C367:C1367,,0)=0,"",_xlfn.XLOOKUP(C368,customers!$A$1:$A$1001,customers!C367:C1367,,0))</f>
        <v>jmahakc@cyberchimps.com</v>
      </c>
      <c r="H368" s="2" t="str">
        <f>_xlfn.XLOOKUP(Orders[[#This Row],[Customer ID]],customers!$A$1:$A$1001,customers!$G$1:$G$1001,,0)</f>
        <v>United States</v>
      </c>
      <c r="I368" s="2" t="str">
        <f>_xlfn.XLOOKUP(Orders[[#This Row],[Customer ID]],customers!$A$1:$A$1001,customers!$F$1:$F$1001,,0)</f>
        <v>Newport News</v>
      </c>
      <c r="J368" t="str">
        <f>INDEX(products!$A$1:$G$49,MATCH(orders!$D368,products!$A$1:$A$49,0),MATCH(orders!J$1,products!$A$1:$G$1,0))</f>
        <v>Exc</v>
      </c>
      <c r="K368" t="str">
        <f>INDEX(products!$A$1:$G$49,MATCH(orders!$D368,products!$A$1:$A$49,0),MATCH(orders!K$1,products!$A$1:$G$1,0))</f>
        <v>D</v>
      </c>
      <c r="L368" s="4">
        <f>INDEX(products!$A$1:$G$49,MATCH(orders!$D368,products!$A$1:$A$49,0),MATCH(orders!L$1,products!$A$1:$G$1,0))</f>
        <v>0.5</v>
      </c>
      <c r="M368" s="5">
        <f>INDEX(products!$A$1:$G$49,MATCH(orders!$D368,products!$A$1:$A$49,0),MATCH(orders!M$1,products!$A$1:$G$1,0))</f>
        <v>7.29</v>
      </c>
      <c r="N368" s="5">
        <f>Orders[[#This Row],[Quantity]]*(INDEX(products!$A$1:$G$49,MATCH(orders!$D368,products!$A$1:$A$49,0),MATCH(orders!N$1,products!$A$1:$G$1,0)))</f>
        <v>4.8114000000000008</v>
      </c>
      <c r="O368" s="5">
        <f>M368*E368</f>
        <v>43.74</v>
      </c>
      <c r="P368" t="str">
        <f t="shared" si="10"/>
        <v>Excelsa</v>
      </c>
      <c r="Q368" t="str">
        <f t="shared" si="11"/>
        <v>Dark</v>
      </c>
      <c r="R368" t="str">
        <f>_xlfn.XLOOKUP(Orders[[#This Row],[Customer ID]],customers!$A$1:$A$1001,customers!$I$1:$I$1001,,0)</f>
        <v>No</v>
      </c>
    </row>
    <row r="369" spans="1:18" x14ac:dyDescent="0.35">
      <c r="A369" s="2" t="s">
        <v>2559</v>
      </c>
      <c r="B369" s="3">
        <v>44393</v>
      </c>
      <c r="C369" s="2" t="s">
        <v>2560</v>
      </c>
      <c r="D369" t="s">
        <v>6159</v>
      </c>
      <c r="E369" s="2">
        <v>2</v>
      </c>
      <c r="F369" s="2" t="str">
        <f>_xlfn.XLOOKUP(Orders[[#This Row],[Customer ID]],customers!$A$1:$A$1001,customers!$B$1:$B$1001,,0)</f>
        <v>Silvio Iorizzi</v>
      </c>
      <c r="G369" s="2" t="str">
        <f>IF(_xlfn.XLOOKUP(C369,customers!$A$1:$A$1001,customers!C368:C1368,,0)=0,"",_xlfn.XLOOKUP(C369,customers!$A$1:$A$1001,customers!C368:C1368,,0))</f>
        <v/>
      </c>
      <c r="H369" s="2" t="str">
        <f>_xlfn.XLOOKUP(Orders[[#This Row],[Customer ID]],customers!$A$1:$A$1001,customers!$G$1:$G$1001,,0)</f>
        <v>United States</v>
      </c>
      <c r="I369" s="2" t="str">
        <f>_xlfn.XLOOKUP(Orders[[#This Row],[Customer ID]],customers!$A$1:$A$1001,customers!$F$1:$F$1001,,0)</f>
        <v>Spartanburg</v>
      </c>
      <c r="J369" t="str">
        <f>INDEX(products!$A$1:$G$49,MATCH(orders!$D369,products!$A$1:$A$49,0),MATCH(orders!J$1,products!$A$1:$G$1,0))</f>
        <v>Lib</v>
      </c>
      <c r="K369" t="str">
        <f>INDEX(products!$A$1:$G$49,MATCH(orders!$D369,products!$A$1:$A$49,0),MATCH(orders!K$1,products!$A$1:$G$1,0))</f>
        <v>M</v>
      </c>
      <c r="L369" s="4">
        <f>INDEX(products!$A$1:$G$49,MATCH(orders!$D369,products!$A$1:$A$49,0),MATCH(orders!L$1,products!$A$1:$G$1,0))</f>
        <v>0.2</v>
      </c>
      <c r="M369" s="5">
        <f>INDEX(products!$A$1:$G$49,MATCH(orders!$D369,products!$A$1:$A$49,0),MATCH(orders!M$1,products!$A$1:$G$1,0))</f>
        <v>4.3650000000000002</v>
      </c>
      <c r="N369" s="5">
        <f>Orders[[#This Row],[Quantity]]*(INDEX(products!$A$1:$G$49,MATCH(orders!$D369,products!$A$1:$A$49,0),MATCH(orders!N$1,products!$A$1:$G$1,0)))</f>
        <v>1.1349</v>
      </c>
      <c r="O369" s="5">
        <f>M369*E369</f>
        <v>8.73</v>
      </c>
      <c r="P369" t="str">
        <f t="shared" si="10"/>
        <v>Liberica</v>
      </c>
      <c r="Q369" t="str">
        <f t="shared" si="11"/>
        <v>Medium</v>
      </c>
      <c r="R369" t="str">
        <f>_xlfn.XLOOKUP(Orders[[#This Row],[Customer ID]],customers!$A$1:$A$1001,customers!$I$1:$I$1001,,0)</f>
        <v>Yes</v>
      </c>
    </row>
    <row r="370" spans="1:18" x14ac:dyDescent="0.35">
      <c r="A370" s="2" t="s">
        <v>2563</v>
      </c>
      <c r="B370" s="3">
        <v>44692</v>
      </c>
      <c r="C370" s="2" t="s">
        <v>2564</v>
      </c>
      <c r="D370" t="s">
        <v>6166</v>
      </c>
      <c r="E370" s="2">
        <v>2</v>
      </c>
      <c r="F370" s="2" t="str">
        <f>_xlfn.XLOOKUP(Orders[[#This Row],[Customer ID]],customers!$A$1:$A$1001,customers!$B$1:$B$1001,,0)</f>
        <v>Leesa Flaonier</v>
      </c>
      <c r="G370" s="2" t="str">
        <f>IF(_xlfn.XLOOKUP(C370,customers!$A$1:$A$1001,customers!C369:C1369,,0)=0,"",_xlfn.XLOOKUP(C370,customers!$A$1:$A$1001,customers!C369:C1369,,0))</f>
        <v>jtoyekg@pinterest.com</v>
      </c>
      <c r="H370" s="2" t="str">
        <f>_xlfn.XLOOKUP(Orders[[#This Row],[Customer ID]],customers!$A$1:$A$1001,customers!$G$1:$G$1001,,0)</f>
        <v>United States</v>
      </c>
      <c r="I370" s="2" t="str">
        <f>_xlfn.XLOOKUP(Orders[[#This Row],[Customer ID]],customers!$A$1:$A$1001,customers!$F$1:$F$1001,,0)</f>
        <v>Staten Island</v>
      </c>
      <c r="J370" t="str">
        <f>INDEX(products!$A$1:$G$49,MATCH(orders!$D370,products!$A$1:$A$49,0),MATCH(orders!J$1,products!$A$1:$G$1,0))</f>
        <v>Exc</v>
      </c>
      <c r="K370" t="str">
        <f>INDEX(products!$A$1:$G$49,MATCH(orders!$D370,products!$A$1:$A$49,0),MATCH(orders!K$1,products!$A$1:$G$1,0))</f>
        <v>M</v>
      </c>
      <c r="L370" s="4">
        <f>INDEX(products!$A$1:$G$49,MATCH(orders!$D370,products!$A$1:$A$49,0),MATCH(orders!L$1,products!$A$1:$G$1,0))</f>
        <v>2.5</v>
      </c>
      <c r="M370" s="5">
        <f>INDEX(products!$A$1:$G$49,MATCH(orders!$D370,products!$A$1:$A$49,0),MATCH(orders!M$1,products!$A$1:$G$1,0))</f>
        <v>31.624999999999996</v>
      </c>
      <c r="N370" s="5">
        <f>Orders[[#This Row],[Quantity]]*(INDEX(products!$A$1:$G$49,MATCH(orders!$D370,products!$A$1:$A$49,0),MATCH(orders!N$1,products!$A$1:$G$1,0)))</f>
        <v>6.9574999999999996</v>
      </c>
      <c r="O370" s="5">
        <f>M370*E370</f>
        <v>63.249999999999993</v>
      </c>
      <c r="P370" t="str">
        <f t="shared" si="10"/>
        <v>Excelsa</v>
      </c>
      <c r="Q370" t="str">
        <f t="shared" si="11"/>
        <v>Medium</v>
      </c>
      <c r="R370" t="str">
        <f>_xlfn.XLOOKUP(Orders[[#This Row],[Customer ID]],customers!$A$1:$A$1001,customers!$I$1:$I$1001,,0)</f>
        <v>No</v>
      </c>
    </row>
    <row r="371" spans="1:18" x14ac:dyDescent="0.35">
      <c r="A371" s="2" t="s">
        <v>2569</v>
      </c>
      <c r="B371" s="3">
        <v>43500</v>
      </c>
      <c r="C371" s="2" t="s">
        <v>2570</v>
      </c>
      <c r="D371" t="s">
        <v>6176</v>
      </c>
      <c r="E371" s="2">
        <v>1</v>
      </c>
      <c r="F371" s="2" t="str">
        <f>_xlfn.XLOOKUP(Orders[[#This Row],[Customer ID]],customers!$A$1:$A$1001,customers!$B$1:$B$1001,,0)</f>
        <v>Abba Pummell</v>
      </c>
      <c r="G371" s="2" t="str">
        <f>IF(_xlfn.XLOOKUP(C371,customers!$A$1:$A$1001,customers!C370:C1370,,0)=0,"",_xlfn.XLOOKUP(C371,customers!$A$1:$A$1001,customers!C370:C1370,,0))</f>
        <v>nvigrasski@ezinearticles.com</v>
      </c>
      <c r="H371" s="2" t="str">
        <f>_xlfn.XLOOKUP(Orders[[#This Row],[Customer ID]],customers!$A$1:$A$1001,customers!$G$1:$G$1001,,0)</f>
        <v>United States</v>
      </c>
      <c r="I371" s="2" t="str">
        <f>_xlfn.XLOOKUP(Orders[[#This Row],[Customer ID]],customers!$A$1:$A$1001,customers!$F$1:$F$1001,,0)</f>
        <v>Las Vegas</v>
      </c>
      <c r="J371" t="str">
        <f>INDEX(products!$A$1:$G$49,MATCH(orders!$D371,products!$A$1:$A$49,0),MATCH(orders!J$1,products!$A$1:$G$1,0))</f>
        <v>Exc</v>
      </c>
      <c r="K371" t="str">
        <f>INDEX(products!$A$1:$G$49,MATCH(orders!$D371,products!$A$1:$A$49,0),MATCH(orders!K$1,products!$A$1:$G$1,0))</f>
        <v>L</v>
      </c>
      <c r="L371" s="4">
        <f>INDEX(products!$A$1:$G$49,MATCH(orders!$D371,products!$A$1:$A$49,0),MATCH(orders!L$1,products!$A$1:$G$1,0))</f>
        <v>0.5</v>
      </c>
      <c r="M371" s="5">
        <f>INDEX(products!$A$1:$G$49,MATCH(orders!$D371,products!$A$1:$A$49,0),MATCH(orders!M$1,products!$A$1:$G$1,0))</f>
        <v>8.91</v>
      </c>
      <c r="N371" s="5">
        <f>Orders[[#This Row],[Quantity]]*(INDEX(products!$A$1:$G$49,MATCH(orders!$D371,products!$A$1:$A$49,0),MATCH(orders!N$1,products!$A$1:$G$1,0)))</f>
        <v>0.98009999999999997</v>
      </c>
      <c r="O371" s="5">
        <f>M371*E371</f>
        <v>8.91</v>
      </c>
      <c r="P371" t="str">
        <f t="shared" si="10"/>
        <v>Excelsa</v>
      </c>
      <c r="Q371" t="str">
        <f t="shared" si="11"/>
        <v>Light</v>
      </c>
      <c r="R371" t="str">
        <f>_xlfn.XLOOKUP(Orders[[#This Row],[Customer ID]],customers!$A$1:$A$1001,customers!$I$1:$I$1001,,0)</f>
        <v>Yes</v>
      </c>
    </row>
    <row r="372" spans="1:18" x14ac:dyDescent="0.35">
      <c r="A372" s="2" t="s">
        <v>2573</v>
      </c>
      <c r="B372" s="3">
        <v>43501</v>
      </c>
      <c r="C372" s="2" t="s">
        <v>2574</v>
      </c>
      <c r="D372" t="s">
        <v>6183</v>
      </c>
      <c r="E372" s="2">
        <v>2</v>
      </c>
      <c r="F372" s="2" t="str">
        <f>_xlfn.XLOOKUP(Orders[[#This Row],[Customer ID]],customers!$A$1:$A$1001,customers!$B$1:$B$1001,,0)</f>
        <v>Corinna Catcheside</v>
      </c>
      <c r="G372" s="2" t="str">
        <f>IF(_xlfn.XLOOKUP(C372,customers!$A$1:$A$1001,customers!C371:C1371,,0)=0,"",_xlfn.XLOOKUP(C372,customers!$A$1:$A$1001,customers!C371:C1371,,0))</f>
        <v>kcragellkk@google.com</v>
      </c>
      <c r="H372" s="2" t="str">
        <f>_xlfn.XLOOKUP(Orders[[#This Row],[Customer ID]],customers!$A$1:$A$1001,customers!$G$1:$G$1001,,0)</f>
        <v>United States</v>
      </c>
      <c r="I372" s="2" t="str">
        <f>_xlfn.XLOOKUP(Orders[[#This Row],[Customer ID]],customers!$A$1:$A$1001,customers!$F$1:$F$1001,,0)</f>
        <v>Salt Lake City</v>
      </c>
      <c r="J372" t="str">
        <f>INDEX(products!$A$1:$G$49,MATCH(orders!$D372,products!$A$1:$A$49,0),MATCH(orders!J$1,products!$A$1:$G$1,0))</f>
        <v>Exc</v>
      </c>
      <c r="K372" t="str">
        <f>INDEX(products!$A$1:$G$49,MATCH(orders!$D372,products!$A$1:$A$49,0),MATCH(orders!K$1,products!$A$1:$G$1,0))</f>
        <v>D</v>
      </c>
      <c r="L372" s="4">
        <f>INDEX(products!$A$1:$G$49,MATCH(orders!$D372,products!$A$1:$A$49,0),MATCH(orders!L$1,products!$A$1:$G$1,0))</f>
        <v>1</v>
      </c>
      <c r="M372" s="5">
        <f>INDEX(products!$A$1:$G$49,MATCH(orders!$D372,products!$A$1:$A$49,0),MATCH(orders!M$1,products!$A$1:$G$1,0))</f>
        <v>12.15</v>
      </c>
      <c r="N372" s="5">
        <f>Orders[[#This Row],[Quantity]]*(INDEX(products!$A$1:$G$49,MATCH(orders!$D372,products!$A$1:$A$49,0),MATCH(orders!N$1,products!$A$1:$G$1,0)))</f>
        <v>2.673</v>
      </c>
      <c r="O372" s="5">
        <f>M372*E372</f>
        <v>24.3</v>
      </c>
      <c r="P372" t="str">
        <f t="shared" si="10"/>
        <v>Excelsa</v>
      </c>
      <c r="Q372" t="str">
        <f t="shared" si="11"/>
        <v>Dark</v>
      </c>
      <c r="R372" t="str">
        <f>_xlfn.XLOOKUP(Orders[[#This Row],[Customer ID]],customers!$A$1:$A$1001,customers!$I$1:$I$1001,,0)</f>
        <v>Yes</v>
      </c>
    </row>
    <row r="373" spans="1:18" x14ac:dyDescent="0.35">
      <c r="A373" s="2" t="s">
        <v>2579</v>
      </c>
      <c r="B373" s="3">
        <v>44705</v>
      </c>
      <c r="C373" s="2" t="s">
        <v>2580</v>
      </c>
      <c r="D373" t="s">
        <v>6180</v>
      </c>
      <c r="E373" s="2">
        <v>6</v>
      </c>
      <c r="F373" s="2" t="str">
        <f>_xlfn.XLOOKUP(Orders[[#This Row],[Customer ID]],customers!$A$1:$A$1001,customers!$B$1:$B$1001,,0)</f>
        <v>Cortney Gibbonson</v>
      </c>
      <c r="G373" s="2" t="str">
        <f>IF(_xlfn.XLOOKUP(C373,customers!$A$1:$A$1001,customers!C372:C1372,,0)=0,"",_xlfn.XLOOKUP(C373,customers!$A$1:$A$1001,customers!C372:C1372,,0))</f>
        <v>rlidgeykm@vimeo.com</v>
      </c>
      <c r="H373" s="2" t="str">
        <f>_xlfn.XLOOKUP(Orders[[#This Row],[Customer ID]],customers!$A$1:$A$1001,customers!$G$1:$G$1001,,0)</f>
        <v>United States</v>
      </c>
      <c r="I373" s="2" t="str">
        <f>_xlfn.XLOOKUP(Orders[[#This Row],[Customer ID]],customers!$A$1:$A$1001,customers!$F$1:$F$1001,,0)</f>
        <v>Seattle</v>
      </c>
      <c r="J373" t="str">
        <f>INDEX(products!$A$1:$G$49,MATCH(orders!$D373,products!$A$1:$A$49,0),MATCH(orders!J$1,products!$A$1:$G$1,0))</f>
        <v>Ara</v>
      </c>
      <c r="K373" t="str">
        <f>INDEX(products!$A$1:$G$49,MATCH(orders!$D373,products!$A$1:$A$49,0),MATCH(orders!K$1,products!$A$1:$G$1,0))</f>
        <v>L</v>
      </c>
      <c r="L373" s="4">
        <f>INDEX(products!$A$1:$G$49,MATCH(orders!$D373,products!$A$1:$A$49,0),MATCH(orders!L$1,products!$A$1:$G$1,0))</f>
        <v>0.5</v>
      </c>
      <c r="M373" s="5">
        <f>INDEX(products!$A$1:$G$49,MATCH(orders!$D373,products!$A$1:$A$49,0),MATCH(orders!M$1,products!$A$1:$G$1,0))</f>
        <v>7.77</v>
      </c>
      <c r="N373" s="5">
        <f>Orders[[#This Row],[Quantity]]*(INDEX(products!$A$1:$G$49,MATCH(orders!$D373,products!$A$1:$A$49,0),MATCH(orders!N$1,products!$A$1:$G$1,0)))</f>
        <v>4.1957999999999993</v>
      </c>
      <c r="O373" s="5">
        <f>M373*E373</f>
        <v>46.62</v>
      </c>
      <c r="P373" t="str">
        <f t="shared" si="10"/>
        <v>Arabica</v>
      </c>
      <c r="Q373" t="str">
        <f t="shared" si="11"/>
        <v>Light</v>
      </c>
      <c r="R373" t="str">
        <f>_xlfn.XLOOKUP(Orders[[#This Row],[Customer ID]],customers!$A$1:$A$1001,customers!$I$1:$I$1001,,0)</f>
        <v>Yes</v>
      </c>
    </row>
    <row r="374" spans="1:18" x14ac:dyDescent="0.35">
      <c r="A374" s="2" t="s">
        <v>2585</v>
      </c>
      <c r="B374" s="3">
        <v>44108</v>
      </c>
      <c r="C374" s="2" t="s">
        <v>2586</v>
      </c>
      <c r="D374" t="s">
        <v>6173</v>
      </c>
      <c r="E374" s="2">
        <v>6</v>
      </c>
      <c r="F374" s="2" t="str">
        <f>_xlfn.XLOOKUP(Orders[[#This Row],[Customer ID]],customers!$A$1:$A$1001,customers!$B$1:$B$1001,,0)</f>
        <v>Terri Farra</v>
      </c>
      <c r="G374" s="2" t="str">
        <f>IF(_xlfn.XLOOKUP(C374,customers!$A$1:$A$1001,customers!C373:C1373,,0)=0,"",_xlfn.XLOOKUP(C374,customers!$A$1:$A$1001,customers!C373:C1373,,0))</f>
        <v/>
      </c>
      <c r="H374" s="2" t="str">
        <f>_xlfn.XLOOKUP(Orders[[#This Row],[Customer ID]],customers!$A$1:$A$1001,customers!$G$1:$G$1001,,0)</f>
        <v>United States</v>
      </c>
      <c r="I374" s="2" t="str">
        <f>_xlfn.XLOOKUP(Orders[[#This Row],[Customer ID]],customers!$A$1:$A$1001,customers!$F$1:$F$1001,,0)</f>
        <v>Odessa</v>
      </c>
      <c r="J374" t="str">
        <f>INDEX(products!$A$1:$G$49,MATCH(orders!$D374,products!$A$1:$A$49,0),MATCH(orders!J$1,products!$A$1:$G$1,0))</f>
        <v>Rob</v>
      </c>
      <c r="K374" t="str">
        <f>INDEX(products!$A$1:$G$49,MATCH(orders!$D374,products!$A$1:$A$49,0),MATCH(orders!K$1,products!$A$1:$G$1,0))</f>
        <v>L</v>
      </c>
      <c r="L374" s="4">
        <f>INDEX(products!$A$1:$G$49,MATCH(orders!$D374,products!$A$1:$A$49,0),MATCH(orders!L$1,products!$A$1:$G$1,0))</f>
        <v>0.5</v>
      </c>
      <c r="M374" s="5">
        <f>INDEX(products!$A$1:$G$49,MATCH(orders!$D374,products!$A$1:$A$49,0),MATCH(orders!M$1,products!$A$1:$G$1,0))</f>
        <v>7.169999999999999</v>
      </c>
      <c r="N374" s="5">
        <f>Orders[[#This Row],[Quantity]]*(INDEX(products!$A$1:$G$49,MATCH(orders!$D374,products!$A$1:$A$49,0),MATCH(orders!N$1,products!$A$1:$G$1,0)))</f>
        <v>2.5811999999999995</v>
      </c>
      <c r="O374" s="5">
        <f>M374*E374</f>
        <v>43.019999999999996</v>
      </c>
      <c r="P374" t="str">
        <f t="shared" si="10"/>
        <v>Robusta</v>
      </c>
      <c r="Q374" t="str">
        <f t="shared" si="11"/>
        <v>Light</v>
      </c>
      <c r="R374" t="str">
        <f>_xlfn.XLOOKUP(Orders[[#This Row],[Customer ID]],customers!$A$1:$A$1001,customers!$I$1:$I$1001,,0)</f>
        <v>No</v>
      </c>
    </row>
    <row r="375" spans="1:18" x14ac:dyDescent="0.35">
      <c r="A375" s="2" t="s">
        <v>2591</v>
      </c>
      <c r="B375" s="3">
        <v>44742</v>
      </c>
      <c r="C375" s="2" t="s">
        <v>2592</v>
      </c>
      <c r="D375" t="s">
        <v>6158</v>
      </c>
      <c r="E375" s="2">
        <v>3</v>
      </c>
      <c r="F375" s="2" t="str">
        <f>_xlfn.XLOOKUP(Orders[[#This Row],[Customer ID]],customers!$A$1:$A$1001,customers!$B$1:$B$1001,,0)</f>
        <v>Corney Curme</v>
      </c>
      <c r="G375" s="2" t="str">
        <f>IF(_xlfn.XLOOKUP(C375,customers!$A$1:$A$1001,customers!C374:C1374,,0)=0,"",_xlfn.XLOOKUP(C375,customers!$A$1:$A$1001,customers!C374:C1374,,0))</f>
        <v>holliffkq@sciencedirect.com</v>
      </c>
      <c r="H375" s="2" t="str">
        <f>_xlfn.XLOOKUP(Orders[[#This Row],[Customer ID]],customers!$A$1:$A$1001,customers!$G$1:$G$1001,,0)</f>
        <v>Ireland</v>
      </c>
      <c r="I375" s="2" t="str">
        <f>_xlfn.XLOOKUP(Orders[[#This Row],[Customer ID]],customers!$A$1:$A$1001,customers!$F$1:$F$1001,,0)</f>
        <v>Castleknock</v>
      </c>
      <c r="J375" t="str">
        <f>INDEX(products!$A$1:$G$49,MATCH(orders!$D375,products!$A$1:$A$49,0),MATCH(orders!J$1,products!$A$1:$G$1,0))</f>
        <v>Ara</v>
      </c>
      <c r="K375" t="str">
        <f>INDEX(products!$A$1:$G$49,MATCH(orders!$D375,products!$A$1:$A$49,0),MATCH(orders!K$1,products!$A$1:$G$1,0))</f>
        <v>D</v>
      </c>
      <c r="L375" s="4">
        <f>INDEX(products!$A$1:$G$49,MATCH(orders!$D375,products!$A$1:$A$49,0),MATCH(orders!L$1,products!$A$1:$G$1,0))</f>
        <v>0.5</v>
      </c>
      <c r="M375" s="5">
        <f>INDEX(products!$A$1:$G$49,MATCH(orders!$D375,products!$A$1:$A$49,0),MATCH(orders!M$1,products!$A$1:$G$1,0))</f>
        <v>5.97</v>
      </c>
      <c r="N375" s="5">
        <f>Orders[[#This Row],[Quantity]]*(INDEX(products!$A$1:$G$49,MATCH(orders!$D375,products!$A$1:$A$49,0),MATCH(orders!N$1,products!$A$1:$G$1,0)))</f>
        <v>1.6118999999999999</v>
      </c>
      <c r="O375" s="5">
        <f>M375*E375</f>
        <v>17.91</v>
      </c>
      <c r="P375" t="str">
        <f t="shared" si="10"/>
        <v>Arabica</v>
      </c>
      <c r="Q375" t="str">
        <f t="shared" si="11"/>
        <v>Dark</v>
      </c>
      <c r="R375" t="str">
        <f>_xlfn.XLOOKUP(Orders[[#This Row],[Customer ID]],customers!$A$1:$A$1001,customers!$I$1:$I$1001,,0)</f>
        <v>Yes</v>
      </c>
    </row>
    <row r="376" spans="1:18" x14ac:dyDescent="0.35">
      <c r="A376" s="2" t="s">
        <v>2597</v>
      </c>
      <c r="B376" s="3">
        <v>44125</v>
      </c>
      <c r="C376" s="2" t="s">
        <v>2598</v>
      </c>
      <c r="D376" t="s">
        <v>6161</v>
      </c>
      <c r="E376" s="2">
        <v>4</v>
      </c>
      <c r="F376" s="2" t="str">
        <f>_xlfn.XLOOKUP(Orders[[#This Row],[Customer ID]],customers!$A$1:$A$1001,customers!$B$1:$B$1001,,0)</f>
        <v>Gothart Bamfield</v>
      </c>
      <c r="G376" s="2" t="str">
        <f>IF(_xlfn.XLOOKUP(C376,customers!$A$1:$A$1001,customers!C375:C1375,,0)=0,"",_xlfn.XLOOKUP(C376,customers!$A$1:$A$1001,customers!C375:C1375,,0))</f>
        <v>feshmadeks@umn.edu</v>
      </c>
      <c r="H376" s="2" t="str">
        <f>_xlfn.XLOOKUP(Orders[[#This Row],[Customer ID]],customers!$A$1:$A$1001,customers!$G$1:$G$1001,,0)</f>
        <v>United States</v>
      </c>
      <c r="I376" s="2" t="str">
        <f>_xlfn.XLOOKUP(Orders[[#This Row],[Customer ID]],customers!$A$1:$A$1001,customers!$F$1:$F$1001,,0)</f>
        <v>Irving</v>
      </c>
      <c r="J376" t="str">
        <f>INDEX(products!$A$1:$G$49,MATCH(orders!$D376,products!$A$1:$A$49,0),MATCH(orders!J$1,products!$A$1:$G$1,0))</f>
        <v>Lib</v>
      </c>
      <c r="K376" t="str">
        <f>INDEX(products!$A$1:$G$49,MATCH(orders!$D376,products!$A$1:$A$49,0),MATCH(orders!K$1,products!$A$1:$G$1,0))</f>
        <v>L</v>
      </c>
      <c r="L376" s="4">
        <f>INDEX(products!$A$1:$G$49,MATCH(orders!$D376,products!$A$1:$A$49,0),MATCH(orders!L$1,products!$A$1:$G$1,0))</f>
        <v>0.5</v>
      </c>
      <c r="M376" s="5">
        <f>INDEX(products!$A$1:$G$49,MATCH(orders!$D376,products!$A$1:$A$49,0),MATCH(orders!M$1,products!$A$1:$G$1,0))</f>
        <v>9.51</v>
      </c>
      <c r="N376" s="5">
        <f>Orders[[#This Row],[Quantity]]*(INDEX(products!$A$1:$G$49,MATCH(orders!$D376,products!$A$1:$A$49,0),MATCH(orders!N$1,products!$A$1:$G$1,0)))</f>
        <v>4.9451999999999998</v>
      </c>
      <c r="O376" s="5">
        <f>M376*E376</f>
        <v>38.04</v>
      </c>
      <c r="P376" t="str">
        <f t="shared" si="10"/>
        <v>Liberica</v>
      </c>
      <c r="Q376" t="str">
        <f t="shared" si="11"/>
        <v>Light</v>
      </c>
      <c r="R376" t="str">
        <f>_xlfn.XLOOKUP(Orders[[#This Row],[Customer ID]],customers!$A$1:$A$1001,customers!$I$1:$I$1001,,0)</f>
        <v>Yes</v>
      </c>
    </row>
    <row r="377" spans="1:18" x14ac:dyDescent="0.35">
      <c r="A377" s="2" t="s">
        <v>2603</v>
      </c>
      <c r="B377" s="3">
        <v>44120</v>
      </c>
      <c r="C377" s="2" t="s">
        <v>2604</v>
      </c>
      <c r="D377" t="s">
        <v>6152</v>
      </c>
      <c r="E377" s="2">
        <v>2</v>
      </c>
      <c r="F377" s="2" t="str">
        <f>_xlfn.XLOOKUP(Orders[[#This Row],[Customer ID]],customers!$A$1:$A$1001,customers!$B$1:$B$1001,,0)</f>
        <v>Waylin Hollingdale</v>
      </c>
      <c r="G377" s="2" t="str">
        <f>IF(_xlfn.XLOOKUP(C377,customers!$A$1:$A$1001,customers!C376:C1376,,0)=0,"",_xlfn.XLOOKUP(C377,customers!$A$1:$A$1001,customers!C376:C1376,,0))</f>
        <v/>
      </c>
      <c r="H377" s="2" t="str">
        <f>_xlfn.XLOOKUP(Orders[[#This Row],[Customer ID]],customers!$A$1:$A$1001,customers!$G$1:$G$1001,,0)</f>
        <v>United States</v>
      </c>
      <c r="I377" s="2" t="str">
        <f>_xlfn.XLOOKUP(Orders[[#This Row],[Customer ID]],customers!$A$1:$A$1001,customers!$F$1:$F$1001,,0)</f>
        <v>Dayton</v>
      </c>
      <c r="J377" t="str">
        <f>INDEX(products!$A$1:$G$49,MATCH(orders!$D377,products!$A$1:$A$49,0),MATCH(orders!J$1,products!$A$1:$G$1,0))</f>
        <v>Ara</v>
      </c>
      <c r="K377" t="str">
        <f>INDEX(products!$A$1:$G$49,MATCH(orders!$D377,products!$A$1:$A$49,0),MATCH(orders!K$1,products!$A$1:$G$1,0))</f>
        <v>M</v>
      </c>
      <c r="L377" s="4">
        <f>INDEX(products!$A$1:$G$49,MATCH(orders!$D377,products!$A$1:$A$49,0),MATCH(orders!L$1,products!$A$1:$G$1,0))</f>
        <v>0.2</v>
      </c>
      <c r="M377" s="5">
        <f>INDEX(products!$A$1:$G$49,MATCH(orders!$D377,products!$A$1:$A$49,0),MATCH(orders!M$1,products!$A$1:$G$1,0))</f>
        <v>3.375</v>
      </c>
      <c r="N377" s="5">
        <f>Orders[[#This Row],[Quantity]]*(INDEX(products!$A$1:$G$49,MATCH(orders!$D377,products!$A$1:$A$49,0),MATCH(orders!N$1,products!$A$1:$G$1,0)))</f>
        <v>0.60749999999999993</v>
      </c>
      <c r="O377" s="5">
        <f>M377*E377</f>
        <v>6.75</v>
      </c>
      <c r="P377" t="str">
        <f t="shared" si="10"/>
        <v>Arabica</v>
      </c>
      <c r="Q377" t="str">
        <f t="shared" si="11"/>
        <v>Medium</v>
      </c>
      <c r="R377" t="str">
        <f>_xlfn.XLOOKUP(Orders[[#This Row],[Customer ID]],customers!$A$1:$A$1001,customers!$I$1:$I$1001,,0)</f>
        <v>Yes</v>
      </c>
    </row>
    <row r="378" spans="1:18" x14ac:dyDescent="0.35">
      <c r="A378" s="2" t="s">
        <v>2609</v>
      </c>
      <c r="B378" s="3">
        <v>44097</v>
      </c>
      <c r="C378" s="2" t="s">
        <v>2610</v>
      </c>
      <c r="D378" t="s">
        <v>6146</v>
      </c>
      <c r="E378" s="2">
        <v>1</v>
      </c>
      <c r="F378" s="2" t="str">
        <f>_xlfn.XLOOKUP(Orders[[#This Row],[Customer ID]],customers!$A$1:$A$1001,customers!$B$1:$B$1001,,0)</f>
        <v>Judd De Leek</v>
      </c>
      <c r="G378" s="2" t="str">
        <f>IF(_xlfn.XLOOKUP(C378,customers!$A$1:$A$1001,customers!C377:C1377,,0)=0,"",_xlfn.XLOOKUP(C378,customers!$A$1:$A$1001,customers!C377:C1377,,0))</f>
        <v>bsterkekw@biblegateway.com</v>
      </c>
      <c r="H378" s="2" t="str">
        <f>_xlfn.XLOOKUP(Orders[[#This Row],[Customer ID]],customers!$A$1:$A$1001,customers!$G$1:$G$1001,,0)</f>
        <v>United States</v>
      </c>
      <c r="I378" s="2" t="str">
        <f>_xlfn.XLOOKUP(Orders[[#This Row],[Customer ID]],customers!$A$1:$A$1001,customers!$F$1:$F$1001,,0)</f>
        <v>Grand Rapids</v>
      </c>
      <c r="J378" t="str">
        <f>INDEX(products!$A$1:$G$49,MATCH(orders!$D378,products!$A$1:$A$49,0),MATCH(orders!J$1,products!$A$1:$G$1,0))</f>
        <v>Rob</v>
      </c>
      <c r="K378" t="str">
        <f>INDEX(products!$A$1:$G$49,MATCH(orders!$D378,products!$A$1:$A$49,0),MATCH(orders!K$1,products!$A$1:$G$1,0))</f>
        <v>M</v>
      </c>
      <c r="L378" s="4">
        <f>INDEX(products!$A$1:$G$49,MATCH(orders!$D378,products!$A$1:$A$49,0),MATCH(orders!L$1,products!$A$1:$G$1,0))</f>
        <v>0.5</v>
      </c>
      <c r="M378" s="5">
        <f>INDEX(products!$A$1:$G$49,MATCH(orders!$D378,products!$A$1:$A$49,0),MATCH(orders!M$1,products!$A$1:$G$1,0))</f>
        <v>5.97</v>
      </c>
      <c r="N378" s="5">
        <f>Orders[[#This Row],[Quantity]]*(INDEX(products!$A$1:$G$49,MATCH(orders!$D378,products!$A$1:$A$49,0),MATCH(orders!N$1,products!$A$1:$G$1,0)))</f>
        <v>0.35819999999999996</v>
      </c>
      <c r="O378" s="5">
        <f>M378*E378</f>
        <v>5.97</v>
      </c>
      <c r="P378" t="str">
        <f t="shared" si="10"/>
        <v>Robusta</v>
      </c>
      <c r="Q378" t="str">
        <f t="shared" si="11"/>
        <v>Medium</v>
      </c>
      <c r="R378" t="str">
        <f>_xlfn.XLOOKUP(Orders[[#This Row],[Customer ID]],customers!$A$1:$A$1001,customers!$I$1:$I$1001,,0)</f>
        <v>Yes</v>
      </c>
    </row>
    <row r="379" spans="1:18" x14ac:dyDescent="0.35">
      <c r="A379" s="2" t="s">
        <v>2615</v>
      </c>
      <c r="B379" s="3">
        <v>43532</v>
      </c>
      <c r="C379" s="2" t="s">
        <v>2616</v>
      </c>
      <c r="D379" t="s">
        <v>6163</v>
      </c>
      <c r="E379" s="2">
        <v>3</v>
      </c>
      <c r="F379" s="2" t="str">
        <f>_xlfn.XLOOKUP(Orders[[#This Row],[Customer ID]],customers!$A$1:$A$1001,customers!$B$1:$B$1001,,0)</f>
        <v>Vanya Skullet</v>
      </c>
      <c r="G379" s="2" t="str">
        <f>IF(_xlfn.XLOOKUP(C379,customers!$A$1:$A$1001,customers!C378:C1378,,0)=0,"",_xlfn.XLOOKUP(C379,customers!$A$1:$A$1001,customers!C378:C1378,,0))</f>
        <v>ptraiteky@huffingtonpost.com</v>
      </c>
      <c r="H379" s="2" t="str">
        <f>_xlfn.XLOOKUP(Orders[[#This Row],[Customer ID]],customers!$A$1:$A$1001,customers!$G$1:$G$1001,,0)</f>
        <v>Ireland</v>
      </c>
      <c r="I379" s="2" t="str">
        <f>_xlfn.XLOOKUP(Orders[[#This Row],[Customer ID]],customers!$A$1:$A$1001,customers!$F$1:$F$1001,,0)</f>
        <v>Balally</v>
      </c>
      <c r="J379" t="str">
        <f>INDEX(products!$A$1:$G$49,MATCH(orders!$D379,products!$A$1:$A$49,0),MATCH(orders!J$1,products!$A$1:$G$1,0))</f>
        <v>Rob</v>
      </c>
      <c r="K379" t="str">
        <f>INDEX(products!$A$1:$G$49,MATCH(orders!$D379,products!$A$1:$A$49,0),MATCH(orders!K$1,products!$A$1:$G$1,0))</f>
        <v>D</v>
      </c>
      <c r="L379" s="4">
        <f>INDEX(products!$A$1:$G$49,MATCH(orders!$D379,products!$A$1:$A$49,0),MATCH(orders!L$1,products!$A$1:$G$1,0))</f>
        <v>0.2</v>
      </c>
      <c r="M379" s="5">
        <f>INDEX(products!$A$1:$G$49,MATCH(orders!$D379,products!$A$1:$A$49,0),MATCH(orders!M$1,products!$A$1:$G$1,0))</f>
        <v>2.6849999999999996</v>
      </c>
      <c r="N379" s="5">
        <f>Orders[[#This Row],[Quantity]]*(INDEX(products!$A$1:$G$49,MATCH(orders!$D379,products!$A$1:$A$49,0),MATCH(orders!N$1,products!$A$1:$G$1,0)))</f>
        <v>0.4832999999999999</v>
      </c>
      <c r="O379" s="5">
        <f>M379*E379</f>
        <v>8.0549999999999997</v>
      </c>
      <c r="P379" t="str">
        <f t="shared" si="10"/>
        <v>Robusta</v>
      </c>
      <c r="Q379" t="str">
        <f t="shared" si="11"/>
        <v>Dark</v>
      </c>
      <c r="R379" t="str">
        <f>_xlfn.XLOOKUP(Orders[[#This Row],[Customer ID]],customers!$A$1:$A$1001,customers!$I$1:$I$1001,,0)</f>
        <v>No</v>
      </c>
    </row>
    <row r="380" spans="1:18" x14ac:dyDescent="0.35">
      <c r="A380" s="2" t="s">
        <v>2621</v>
      </c>
      <c r="B380" s="3">
        <v>44377</v>
      </c>
      <c r="C380" s="2" t="s">
        <v>2622</v>
      </c>
      <c r="D380" t="s">
        <v>6180</v>
      </c>
      <c r="E380" s="2">
        <v>3</v>
      </c>
      <c r="F380" s="2" t="str">
        <f>_xlfn.XLOOKUP(Orders[[#This Row],[Customer ID]],customers!$A$1:$A$1001,customers!$B$1:$B$1001,,0)</f>
        <v>Jany Rudeforth</v>
      </c>
      <c r="G380" s="2" t="str">
        <f>IF(_xlfn.XLOOKUP(C380,customers!$A$1:$A$1001,customers!C379:C1379,,0)=0,"",_xlfn.XLOOKUP(C380,customers!$A$1:$A$1001,customers!C379:C1379,,0))</f>
        <v>fsulmanl0@washington.edu</v>
      </c>
      <c r="H380" s="2" t="str">
        <f>_xlfn.XLOOKUP(Orders[[#This Row],[Customer ID]],customers!$A$1:$A$1001,customers!$G$1:$G$1001,,0)</f>
        <v>Ireland</v>
      </c>
      <c r="I380" s="2" t="str">
        <f>_xlfn.XLOOKUP(Orders[[#This Row],[Customer ID]],customers!$A$1:$A$1001,customers!$F$1:$F$1001,,0)</f>
        <v>Tullyallen</v>
      </c>
      <c r="J380" t="str">
        <f>INDEX(products!$A$1:$G$49,MATCH(orders!$D380,products!$A$1:$A$49,0),MATCH(orders!J$1,products!$A$1:$G$1,0))</f>
        <v>Ara</v>
      </c>
      <c r="K380" t="str">
        <f>INDEX(products!$A$1:$G$49,MATCH(orders!$D380,products!$A$1:$A$49,0),MATCH(orders!K$1,products!$A$1:$G$1,0))</f>
        <v>L</v>
      </c>
      <c r="L380" s="4">
        <f>INDEX(products!$A$1:$G$49,MATCH(orders!$D380,products!$A$1:$A$49,0),MATCH(orders!L$1,products!$A$1:$G$1,0))</f>
        <v>0.5</v>
      </c>
      <c r="M380" s="5">
        <f>INDEX(products!$A$1:$G$49,MATCH(orders!$D380,products!$A$1:$A$49,0),MATCH(orders!M$1,products!$A$1:$G$1,0))</f>
        <v>7.77</v>
      </c>
      <c r="N380" s="5">
        <f>Orders[[#This Row],[Quantity]]*(INDEX(products!$A$1:$G$49,MATCH(orders!$D380,products!$A$1:$A$49,0),MATCH(orders!N$1,products!$A$1:$G$1,0)))</f>
        <v>2.0978999999999997</v>
      </c>
      <c r="O380" s="5">
        <f>M380*E380</f>
        <v>23.31</v>
      </c>
      <c r="P380" t="str">
        <f t="shared" si="10"/>
        <v>Arabica</v>
      </c>
      <c r="Q380" t="str">
        <f t="shared" si="11"/>
        <v>Light</v>
      </c>
      <c r="R380" t="str">
        <f>_xlfn.XLOOKUP(Orders[[#This Row],[Customer ID]],customers!$A$1:$A$1001,customers!$I$1:$I$1001,,0)</f>
        <v>Yes</v>
      </c>
    </row>
    <row r="381" spans="1:18" x14ac:dyDescent="0.35">
      <c r="A381" s="2" t="s">
        <v>2627</v>
      </c>
      <c r="B381" s="3">
        <v>43690</v>
      </c>
      <c r="C381" s="2" t="s">
        <v>2628</v>
      </c>
      <c r="D381" t="s">
        <v>6173</v>
      </c>
      <c r="E381" s="2">
        <v>6</v>
      </c>
      <c r="F381" s="2" t="str">
        <f>_xlfn.XLOOKUP(Orders[[#This Row],[Customer ID]],customers!$A$1:$A$1001,customers!$B$1:$B$1001,,0)</f>
        <v>Ashbey Tomaszewski</v>
      </c>
      <c r="G381" s="2" t="str">
        <f>IF(_xlfn.XLOOKUP(C381,customers!$A$1:$A$1001,customers!C380:C1380,,0)=0,"",_xlfn.XLOOKUP(C381,customers!$A$1:$A$1001,customers!C380:C1380,,0))</f>
        <v>lnardonil2@hao123.com</v>
      </c>
      <c r="H381" s="2" t="str">
        <f>_xlfn.XLOOKUP(Orders[[#This Row],[Customer ID]],customers!$A$1:$A$1001,customers!$G$1:$G$1001,,0)</f>
        <v>United Kingdom</v>
      </c>
      <c r="I381" s="2" t="str">
        <f>_xlfn.XLOOKUP(Orders[[#This Row],[Customer ID]],customers!$A$1:$A$1001,customers!$F$1:$F$1001,,0)</f>
        <v>Sutton</v>
      </c>
      <c r="J381" t="str">
        <f>INDEX(products!$A$1:$G$49,MATCH(orders!$D381,products!$A$1:$A$49,0),MATCH(orders!J$1,products!$A$1:$G$1,0))</f>
        <v>Rob</v>
      </c>
      <c r="K381" t="str">
        <f>INDEX(products!$A$1:$G$49,MATCH(orders!$D381,products!$A$1:$A$49,0),MATCH(orders!K$1,products!$A$1:$G$1,0))</f>
        <v>L</v>
      </c>
      <c r="L381" s="4">
        <f>INDEX(products!$A$1:$G$49,MATCH(orders!$D381,products!$A$1:$A$49,0),MATCH(orders!L$1,products!$A$1:$G$1,0))</f>
        <v>0.5</v>
      </c>
      <c r="M381" s="5">
        <f>INDEX(products!$A$1:$G$49,MATCH(orders!$D381,products!$A$1:$A$49,0),MATCH(orders!M$1,products!$A$1:$G$1,0))</f>
        <v>7.169999999999999</v>
      </c>
      <c r="N381" s="5">
        <f>Orders[[#This Row],[Quantity]]*(INDEX(products!$A$1:$G$49,MATCH(orders!$D381,products!$A$1:$A$49,0),MATCH(orders!N$1,products!$A$1:$G$1,0)))</f>
        <v>2.5811999999999995</v>
      </c>
      <c r="O381" s="5">
        <f>M381*E381</f>
        <v>43.019999999999996</v>
      </c>
      <c r="P381" t="str">
        <f t="shared" si="10"/>
        <v>Robusta</v>
      </c>
      <c r="Q381" t="str">
        <f t="shared" si="11"/>
        <v>Light</v>
      </c>
      <c r="R381" t="str">
        <f>_xlfn.XLOOKUP(Orders[[#This Row],[Customer ID]],customers!$A$1:$A$1001,customers!$I$1:$I$1001,,0)</f>
        <v>Yes</v>
      </c>
    </row>
    <row r="382" spans="1:18" x14ac:dyDescent="0.35">
      <c r="A382" s="2" t="s">
        <v>2632</v>
      </c>
      <c r="B382" s="3">
        <v>44249</v>
      </c>
      <c r="C382" s="2" t="s">
        <v>2331</v>
      </c>
      <c r="D382" t="s">
        <v>6169</v>
      </c>
      <c r="E382" s="2">
        <v>3</v>
      </c>
      <c r="F382" s="2" t="str">
        <f>_xlfn.XLOOKUP(Orders[[#This Row],[Customer ID]],customers!$A$1:$A$1001,customers!$B$1:$B$1001,,0)</f>
        <v>Flynn Antony</v>
      </c>
      <c r="G382" s="2" t="str">
        <f>IF(_xlfn.XLOOKUP(C382,customers!$A$1:$A$1001,customers!C381:C1381,,0)=0,"",_xlfn.XLOOKUP(C382,customers!$A$1:$A$1001,customers!C381:C1381,,0))</f>
        <v>bfallowesjm@purevolume.com</v>
      </c>
      <c r="H382" s="2" t="str">
        <f>_xlfn.XLOOKUP(Orders[[#This Row],[Customer ID]],customers!$A$1:$A$1001,customers!$G$1:$G$1001,,0)</f>
        <v>United States</v>
      </c>
      <c r="I382" s="2" t="str">
        <f>_xlfn.XLOOKUP(Orders[[#This Row],[Customer ID]],customers!$A$1:$A$1001,customers!$F$1:$F$1001,,0)</f>
        <v>Birmingham</v>
      </c>
      <c r="J382" t="str">
        <f>INDEX(products!$A$1:$G$49,MATCH(orders!$D382,products!$A$1:$A$49,0),MATCH(orders!J$1,products!$A$1:$G$1,0))</f>
        <v>Lib</v>
      </c>
      <c r="K382" t="str">
        <f>INDEX(products!$A$1:$G$49,MATCH(orders!$D382,products!$A$1:$A$49,0),MATCH(orders!K$1,products!$A$1:$G$1,0))</f>
        <v>D</v>
      </c>
      <c r="L382" s="4">
        <f>INDEX(products!$A$1:$G$49,MATCH(orders!$D382,products!$A$1:$A$49,0),MATCH(orders!L$1,products!$A$1:$G$1,0))</f>
        <v>0.5</v>
      </c>
      <c r="M382" s="5">
        <f>INDEX(products!$A$1:$G$49,MATCH(orders!$D382,products!$A$1:$A$49,0),MATCH(orders!M$1,products!$A$1:$G$1,0))</f>
        <v>7.77</v>
      </c>
      <c r="N382" s="5">
        <f>Orders[[#This Row],[Quantity]]*(INDEX(products!$A$1:$G$49,MATCH(orders!$D382,products!$A$1:$A$49,0),MATCH(orders!N$1,products!$A$1:$G$1,0)))</f>
        <v>3.0303</v>
      </c>
      <c r="O382" s="5">
        <f>M382*E382</f>
        <v>23.31</v>
      </c>
      <c r="P382" t="str">
        <f t="shared" si="10"/>
        <v>Liberica</v>
      </c>
      <c r="Q382" t="str">
        <f t="shared" si="11"/>
        <v>Dark</v>
      </c>
      <c r="R382" t="str">
        <f>_xlfn.XLOOKUP(Orders[[#This Row],[Customer ID]],customers!$A$1:$A$1001,customers!$I$1:$I$1001,,0)</f>
        <v>No</v>
      </c>
    </row>
    <row r="383" spans="1:18" x14ac:dyDescent="0.35">
      <c r="A383" s="2" t="s">
        <v>2638</v>
      </c>
      <c r="B383" s="3">
        <v>44646</v>
      </c>
      <c r="C383" s="2" t="s">
        <v>2639</v>
      </c>
      <c r="D383" t="s">
        <v>6154</v>
      </c>
      <c r="E383" s="2">
        <v>5</v>
      </c>
      <c r="F383" s="2" t="str">
        <f>_xlfn.XLOOKUP(Orders[[#This Row],[Customer ID]],customers!$A$1:$A$1001,customers!$B$1:$B$1001,,0)</f>
        <v>Pren Bess</v>
      </c>
      <c r="G383" s="2" t="str">
        <f>IF(_xlfn.XLOOKUP(C383,customers!$A$1:$A$1001,customers!C382:C1382,,0)=0,"",_xlfn.XLOOKUP(C383,customers!$A$1:$A$1001,customers!C382:C1382,,0))</f>
        <v>sdanilchikl6@mit.edu</v>
      </c>
      <c r="H383" s="2" t="str">
        <f>_xlfn.XLOOKUP(Orders[[#This Row],[Customer ID]],customers!$A$1:$A$1001,customers!$G$1:$G$1001,,0)</f>
        <v>United States</v>
      </c>
      <c r="I383" s="2" t="str">
        <f>_xlfn.XLOOKUP(Orders[[#This Row],[Customer ID]],customers!$A$1:$A$1001,customers!$F$1:$F$1001,,0)</f>
        <v>Los Angeles</v>
      </c>
      <c r="J383" t="str">
        <f>INDEX(products!$A$1:$G$49,MATCH(orders!$D383,products!$A$1:$A$49,0),MATCH(orders!J$1,products!$A$1:$G$1,0))</f>
        <v>Ara</v>
      </c>
      <c r="K383" t="str">
        <f>INDEX(products!$A$1:$G$49,MATCH(orders!$D383,products!$A$1:$A$49,0),MATCH(orders!K$1,products!$A$1:$G$1,0))</f>
        <v>D</v>
      </c>
      <c r="L383" s="4">
        <f>INDEX(products!$A$1:$G$49,MATCH(orders!$D383,products!$A$1:$A$49,0),MATCH(orders!L$1,products!$A$1:$G$1,0))</f>
        <v>0.2</v>
      </c>
      <c r="M383" s="5">
        <f>INDEX(products!$A$1:$G$49,MATCH(orders!$D383,products!$A$1:$A$49,0),MATCH(orders!M$1,products!$A$1:$G$1,0))</f>
        <v>2.9849999999999999</v>
      </c>
      <c r="N383" s="5">
        <f>Orders[[#This Row],[Quantity]]*(INDEX(products!$A$1:$G$49,MATCH(orders!$D383,products!$A$1:$A$49,0),MATCH(orders!N$1,products!$A$1:$G$1,0)))</f>
        <v>1.3432500000000001</v>
      </c>
      <c r="O383" s="5">
        <f>M383*E383</f>
        <v>14.924999999999999</v>
      </c>
      <c r="P383" t="str">
        <f t="shared" si="10"/>
        <v>Arabica</v>
      </c>
      <c r="Q383" t="str">
        <f t="shared" si="11"/>
        <v>Dark</v>
      </c>
      <c r="R383" t="str">
        <f>_xlfn.XLOOKUP(Orders[[#This Row],[Customer ID]],customers!$A$1:$A$1001,customers!$I$1:$I$1001,,0)</f>
        <v>Yes</v>
      </c>
    </row>
    <row r="384" spans="1:18" x14ac:dyDescent="0.35">
      <c r="A384" s="2" t="s">
        <v>2644</v>
      </c>
      <c r="B384" s="3">
        <v>43840</v>
      </c>
      <c r="C384" s="2" t="s">
        <v>2645</v>
      </c>
      <c r="D384" t="s">
        <v>6144</v>
      </c>
      <c r="E384" s="2">
        <v>3</v>
      </c>
      <c r="F384" s="2" t="str">
        <f>_xlfn.XLOOKUP(Orders[[#This Row],[Customer ID]],customers!$A$1:$A$1001,customers!$B$1:$B$1001,,0)</f>
        <v>Elka Windress</v>
      </c>
      <c r="G384" s="2" t="str">
        <f>IF(_xlfn.XLOOKUP(C384,customers!$A$1:$A$1001,customers!C383:C1383,,0)=0,"",_xlfn.XLOOKUP(C384,customers!$A$1:$A$1001,customers!C383:C1383,,0))</f>
        <v>bfolomkinl8@yolasite.com</v>
      </c>
      <c r="H384" s="2" t="str">
        <f>_xlfn.XLOOKUP(Orders[[#This Row],[Customer ID]],customers!$A$1:$A$1001,customers!$G$1:$G$1001,,0)</f>
        <v>United States</v>
      </c>
      <c r="I384" s="2" t="str">
        <f>_xlfn.XLOOKUP(Orders[[#This Row],[Customer ID]],customers!$A$1:$A$1001,customers!$F$1:$F$1001,,0)</f>
        <v>Baltimore</v>
      </c>
      <c r="J384" t="str">
        <f>INDEX(products!$A$1:$G$49,MATCH(orders!$D384,products!$A$1:$A$49,0),MATCH(orders!J$1,products!$A$1:$G$1,0))</f>
        <v>Exc</v>
      </c>
      <c r="K384" t="str">
        <f>INDEX(products!$A$1:$G$49,MATCH(orders!$D384,products!$A$1:$A$49,0),MATCH(orders!K$1,products!$A$1:$G$1,0))</f>
        <v>D</v>
      </c>
      <c r="L384" s="4">
        <f>INDEX(products!$A$1:$G$49,MATCH(orders!$D384,products!$A$1:$A$49,0),MATCH(orders!L$1,products!$A$1:$G$1,0))</f>
        <v>0.5</v>
      </c>
      <c r="M384" s="5">
        <f>INDEX(products!$A$1:$G$49,MATCH(orders!$D384,products!$A$1:$A$49,0),MATCH(orders!M$1,products!$A$1:$G$1,0))</f>
        <v>7.29</v>
      </c>
      <c r="N384" s="5">
        <f>Orders[[#This Row],[Quantity]]*(INDEX(products!$A$1:$G$49,MATCH(orders!$D384,products!$A$1:$A$49,0),MATCH(orders!N$1,products!$A$1:$G$1,0)))</f>
        <v>2.4057000000000004</v>
      </c>
      <c r="O384" s="5">
        <f>M384*E384</f>
        <v>21.87</v>
      </c>
      <c r="P384" t="str">
        <f t="shared" si="10"/>
        <v>Excelsa</v>
      </c>
      <c r="Q384" t="str">
        <f t="shared" si="11"/>
        <v>Dark</v>
      </c>
      <c r="R384" t="str">
        <f>_xlfn.XLOOKUP(Orders[[#This Row],[Customer ID]],customers!$A$1:$A$1001,customers!$I$1:$I$1001,,0)</f>
        <v>No</v>
      </c>
    </row>
    <row r="385" spans="1:18" x14ac:dyDescent="0.35">
      <c r="A385" s="2" t="s">
        <v>2650</v>
      </c>
      <c r="B385" s="3">
        <v>43586</v>
      </c>
      <c r="C385" s="2" t="s">
        <v>2651</v>
      </c>
      <c r="D385" t="s">
        <v>6176</v>
      </c>
      <c r="E385" s="2">
        <v>6</v>
      </c>
      <c r="F385" s="2" t="str">
        <f>_xlfn.XLOOKUP(Orders[[#This Row],[Customer ID]],customers!$A$1:$A$1001,customers!$B$1:$B$1001,,0)</f>
        <v>Marty Kidstoun</v>
      </c>
      <c r="G385" s="2" t="str">
        <f>IF(_xlfn.XLOOKUP(C385,customers!$A$1:$A$1001,customers!C384:C1384,,0)=0,"",_xlfn.XLOOKUP(C385,customers!$A$1:$A$1001,customers!C384:C1384,,0))</f>
        <v>rdela@usa.gov</v>
      </c>
      <c r="H385" s="2" t="str">
        <f>_xlfn.XLOOKUP(Orders[[#This Row],[Customer ID]],customers!$A$1:$A$1001,customers!$G$1:$G$1001,,0)</f>
        <v>United States</v>
      </c>
      <c r="I385" s="2" t="str">
        <f>_xlfn.XLOOKUP(Orders[[#This Row],[Customer ID]],customers!$A$1:$A$1001,customers!$F$1:$F$1001,,0)</f>
        <v>Harrisburg</v>
      </c>
      <c r="J385" t="str">
        <f>INDEX(products!$A$1:$G$49,MATCH(orders!$D385,products!$A$1:$A$49,0),MATCH(orders!J$1,products!$A$1:$G$1,0))</f>
        <v>Exc</v>
      </c>
      <c r="K385" t="str">
        <f>INDEX(products!$A$1:$G$49,MATCH(orders!$D385,products!$A$1:$A$49,0),MATCH(orders!K$1,products!$A$1:$G$1,0))</f>
        <v>L</v>
      </c>
      <c r="L385" s="4">
        <f>INDEX(products!$A$1:$G$49,MATCH(orders!$D385,products!$A$1:$A$49,0),MATCH(orders!L$1,products!$A$1:$G$1,0))</f>
        <v>0.5</v>
      </c>
      <c r="M385" s="5">
        <f>INDEX(products!$A$1:$G$49,MATCH(orders!$D385,products!$A$1:$A$49,0),MATCH(orders!M$1,products!$A$1:$G$1,0))</f>
        <v>8.91</v>
      </c>
      <c r="N385" s="5">
        <f>Orders[[#This Row],[Quantity]]*(INDEX(products!$A$1:$G$49,MATCH(orders!$D385,products!$A$1:$A$49,0),MATCH(orders!N$1,products!$A$1:$G$1,0)))</f>
        <v>5.8805999999999994</v>
      </c>
      <c r="O385" s="5">
        <f>M385*E385</f>
        <v>53.46</v>
      </c>
      <c r="P385" t="str">
        <f t="shared" si="10"/>
        <v>Excelsa</v>
      </c>
      <c r="Q385" t="str">
        <f t="shared" si="11"/>
        <v>Light</v>
      </c>
      <c r="R385" t="str">
        <f>_xlfn.XLOOKUP(Orders[[#This Row],[Customer ID]],customers!$A$1:$A$1001,customers!$I$1:$I$1001,,0)</f>
        <v>Yes</v>
      </c>
    </row>
    <row r="386" spans="1:18" x14ac:dyDescent="0.35">
      <c r="A386" s="2" t="s">
        <v>2655</v>
      </c>
      <c r="B386" s="3">
        <v>43870</v>
      </c>
      <c r="C386" s="2" t="s">
        <v>2656</v>
      </c>
      <c r="D386" t="s">
        <v>6182</v>
      </c>
      <c r="E386" s="2">
        <v>4</v>
      </c>
      <c r="F386" s="2" t="str">
        <f>_xlfn.XLOOKUP(Orders[[#This Row],[Customer ID]],customers!$A$1:$A$1001,customers!$B$1:$B$1001,,0)</f>
        <v>Nickey Dimbleby</v>
      </c>
      <c r="G386" s="2" t="str">
        <f>IF(_xlfn.XLOOKUP(C386,customers!$A$1:$A$1001,customers!C385:C1385,,0)=0,"",_xlfn.XLOOKUP(C386,customers!$A$1:$A$1001,customers!C385:C1385,,0))</f>
        <v/>
      </c>
      <c r="H386" s="2" t="str">
        <f>_xlfn.XLOOKUP(Orders[[#This Row],[Customer ID]],customers!$A$1:$A$1001,customers!$G$1:$G$1001,,0)</f>
        <v>United States</v>
      </c>
      <c r="I386" s="2" t="str">
        <f>_xlfn.XLOOKUP(Orders[[#This Row],[Customer ID]],customers!$A$1:$A$1001,customers!$F$1:$F$1001,,0)</f>
        <v>Dallas</v>
      </c>
      <c r="J386" t="str">
        <f>INDEX(products!$A$1:$G$49,MATCH(orders!$D386,products!$A$1:$A$49,0),MATCH(orders!J$1,products!$A$1:$G$1,0))</f>
        <v>Ara</v>
      </c>
      <c r="K386" t="str">
        <f>INDEX(products!$A$1:$G$49,MATCH(orders!$D386,products!$A$1:$A$49,0),MATCH(orders!K$1,products!$A$1:$G$1,0))</f>
        <v>L</v>
      </c>
      <c r="L386" s="4">
        <f>INDEX(products!$A$1:$G$49,MATCH(orders!$D386,products!$A$1:$A$49,0),MATCH(orders!L$1,products!$A$1:$G$1,0))</f>
        <v>2.5</v>
      </c>
      <c r="M386" s="5">
        <f>INDEX(products!$A$1:$G$49,MATCH(orders!$D386,products!$A$1:$A$49,0),MATCH(orders!M$1,products!$A$1:$G$1,0))</f>
        <v>29.784999999999997</v>
      </c>
      <c r="N386" s="5">
        <f>Orders[[#This Row],[Quantity]]*(INDEX(products!$A$1:$G$49,MATCH(orders!$D386,products!$A$1:$A$49,0),MATCH(orders!N$1,products!$A$1:$G$1,0)))</f>
        <v>10.722599999999998</v>
      </c>
      <c r="O386" s="5">
        <f>M386*E386</f>
        <v>119.13999999999999</v>
      </c>
      <c r="P386" t="str">
        <f t="shared" si="10"/>
        <v>Arabica</v>
      </c>
      <c r="Q386" t="str">
        <f t="shared" si="11"/>
        <v>Light</v>
      </c>
      <c r="R386" t="str">
        <f>_xlfn.XLOOKUP(Orders[[#This Row],[Customer ID]],customers!$A$1:$A$1001,customers!$I$1:$I$1001,,0)</f>
        <v>No</v>
      </c>
    </row>
    <row r="387" spans="1:18" x14ac:dyDescent="0.35">
      <c r="A387" s="2" t="s">
        <v>2660</v>
      </c>
      <c r="B387" s="3">
        <v>44559</v>
      </c>
      <c r="C387" s="2" t="s">
        <v>2661</v>
      </c>
      <c r="D387" t="s">
        <v>6160</v>
      </c>
      <c r="E387" s="2">
        <v>5</v>
      </c>
      <c r="F387" s="2" t="str">
        <f>_xlfn.XLOOKUP(Orders[[#This Row],[Customer ID]],customers!$A$1:$A$1001,customers!$B$1:$B$1001,,0)</f>
        <v>Virgil Baumadier</v>
      </c>
      <c r="G387" s="2" t="str">
        <f>IF(_xlfn.XLOOKUP(C387,customers!$A$1:$A$1001,customers!C386:C1386,,0)=0,"",_xlfn.XLOOKUP(C387,customers!$A$1:$A$1001,customers!C386:C1386,,0))</f>
        <v>mbrimilcombele@cnn.com</v>
      </c>
      <c r="H387" s="2" t="str">
        <f>_xlfn.XLOOKUP(Orders[[#This Row],[Customer ID]],customers!$A$1:$A$1001,customers!$G$1:$G$1001,,0)</f>
        <v>United States</v>
      </c>
      <c r="I387" s="2" t="str">
        <f>_xlfn.XLOOKUP(Orders[[#This Row],[Customer ID]],customers!$A$1:$A$1001,customers!$F$1:$F$1001,,0)</f>
        <v>Kansas City</v>
      </c>
      <c r="J387" t="str">
        <f>INDEX(products!$A$1:$G$49,MATCH(orders!$D387,products!$A$1:$A$49,0),MATCH(orders!J$1,products!$A$1:$G$1,0))</f>
        <v>Lib</v>
      </c>
      <c r="K387" t="str">
        <f>INDEX(products!$A$1:$G$49,MATCH(orders!$D387,products!$A$1:$A$49,0),MATCH(orders!K$1,products!$A$1:$G$1,0))</f>
        <v>M</v>
      </c>
      <c r="L387" s="4">
        <f>INDEX(products!$A$1:$G$49,MATCH(orders!$D387,products!$A$1:$A$49,0),MATCH(orders!L$1,products!$A$1:$G$1,0))</f>
        <v>0.5</v>
      </c>
      <c r="M387" s="5">
        <f>INDEX(products!$A$1:$G$49,MATCH(orders!$D387,products!$A$1:$A$49,0),MATCH(orders!M$1,products!$A$1:$G$1,0))</f>
        <v>8.73</v>
      </c>
      <c r="N387" s="5">
        <f>Orders[[#This Row],[Quantity]]*(INDEX(products!$A$1:$G$49,MATCH(orders!$D387,products!$A$1:$A$49,0),MATCH(orders!N$1,products!$A$1:$G$1,0)))</f>
        <v>5.6745000000000001</v>
      </c>
      <c r="O387" s="5">
        <f>M387*E387</f>
        <v>43.650000000000006</v>
      </c>
      <c r="P387" t="str">
        <f t="shared" ref="P387:P450" si="12">IF(J387="Rob","Robusta",IF(J387="Exc","Excelsa",IF(J387="Ara","Arabica",IF(J387="Lib","Liberica",""))))</f>
        <v>Liberica</v>
      </c>
      <c r="Q387" t="str">
        <f t="shared" ref="Q387:Q450" si="13">IF(K387="M", "Medium", IF(K387="L", "Light", IF(K387="D", "Dark", "")))</f>
        <v>Medium</v>
      </c>
      <c r="R387" t="str">
        <f>_xlfn.XLOOKUP(Orders[[#This Row],[Customer ID]],customers!$A$1:$A$1001,customers!$I$1:$I$1001,,0)</f>
        <v>Yes</v>
      </c>
    </row>
    <row r="388" spans="1:18" x14ac:dyDescent="0.35">
      <c r="A388" s="2" t="s">
        <v>2666</v>
      </c>
      <c r="B388" s="3">
        <v>44083</v>
      </c>
      <c r="C388" s="2" t="s">
        <v>2667</v>
      </c>
      <c r="D388" t="s">
        <v>6154</v>
      </c>
      <c r="E388" s="2">
        <v>6</v>
      </c>
      <c r="F388" s="2" t="str">
        <f>_xlfn.XLOOKUP(Orders[[#This Row],[Customer ID]],customers!$A$1:$A$1001,customers!$B$1:$B$1001,,0)</f>
        <v>Lenore Messenbird</v>
      </c>
      <c r="G388" s="2" t="str">
        <f>IF(_xlfn.XLOOKUP(C388,customers!$A$1:$A$1001,customers!C387:C1387,,0)=0,"",_xlfn.XLOOKUP(C388,customers!$A$1:$A$1001,customers!C387:C1387,,0))</f>
        <v/>
      </c>
      <c r="H388" s="2" t="str">
        <f>_xlfn.XLOOKUP(Orders[[#This Row],[Customer ID]],customers!$A$1:$A$1001,customers!$G$1:$G$1001,,0)</f>
        <v>United States</v>
      </c>
      <c r="I388" s="2" t="str">
        <f>_xlfn.XLOOKUP(Orders[[#This Row],[Customer ID]],customers!$A$1:$A$1001,customers!$F$1:$F$1001,,0)</f>
        <v>Springfield</v>
      </c>
      <c r="J388" t="str">
        <f>INDEX(products!$A$1:$G$49,MATCH(orders!$D388,products!$A$1:$A$49,0),MATCH(orders!J$1,products!$A$1:$G$1,0))</f>
        <v>Ara</v>
      </c>
      <c r="K388" t="str">
        <f>INDEX(products!$A$1:$G$49,MATCH(orders!$D388,products!$A$1:$A$49,0),MATCH(orders!K$1,products!$A$1:$G$1,0))</f>
        <v>D</v>
      </c>
      <c r="L388" s="4">
        <f>INDEX(products!$A$1:$G$49,MATCH(orders!$D388,products!$A$1:$A$49,0),MATCH(orders!L$1,products!$A$1:$G$1,0))</f>
        <v>0.2</v>
      </c>
      <c r="M388" s="5">
        <f>INDEX(products!$A$1:$G$49,MATCH(orders!$D388,products!$A$1:$A$49,0),MATCH(orders!M$1,products!$A$1:$G$1,0))</f>
        <v>2.9849999999999999</v>
      </c>
      <c r="N388" s="5">
        <f>Orders[[#This Row],[Quantity]]*(INDEX(products!$A$1:$G$49,MATCH(orders!$D388,products!$A$1:$A$49,0),MATCH(orders!N$1,products!$A$1:$G$1,0)))</f>
        <v>1.6118999999999999</v>
      </c>
      <c r="O388" s="5">
        <f>M388*E388</f>
        <v>17.91</v>
      </c>
      <c r="P388" t="str">
        <f t="shared" si="12"/>
        <v>Arabica</v>
      </c>
      <c r="Q388" t="str">
        <f t="shared" si="13"/>
        <v>Dark</v>
      </c>
      <c r="R388" t="str">
        <f>_xlfn.XLOOKUP(Orders[[#This Row],[Customer ID]],customers!$A$1:$A$1001,customers!$I$1:$I$1001,,0)</f>
        <v>Yes</v>
      </c>
    </row>
    <row r="389" spans="1:18" x14ac:dyDescent="0.35">
      <c r="A389" s="2" t="s">
        <v>2671</v>
      </c>
      <c r="B389" s="3">
        <v>44455</v>
      </c>
      <c r="C389" s="2" t="s">
        <v>2672</v>
      </c>
      <c r="D389" t="s">
        <v>6171</v>
      </c>
      <c r="E389" s="2">
        <v>5</v>
      </c>
      <c r="F389" s="2" t="str">
        <f>_xlfn.XLOOKUP(Orders[[#This Row],[Customer ID]],customers!$A$1:$A$1001,customers!$B$1:$B$1001,,0)</f>
        <v>Shirleen Welds</v>
      </c>
      <c r="G389" s="2" t="str">
        <f>IF(_xlfn.XLOOKUP(C389,customers!$A$1:$A$1001,customers!C388:C1388,,0)=0,"",_xlfn.XLOOKUP(C389,customers!$A$1:$A$1001,customers!C388:C1388,,0))</f>
        <v/>
      </c>
      <c r="H389" s="2" t="str">
        <f>_xlfn.XLOOKUP(Orders[[#This Row],[Customer ID]],customers!$A$1:$A$1001,customers!$G$1:$G$1001,,0)</f>
        <v>United States</v>
      </c>
      <c r="I389" s="2" t="str">
        <f>_xlfn.XLOOKUP(Orders[[#This Row],[Customer ID]],customers!$A$1:$A$1001,customers!$F$1:$F$1001,,0)</f>
        <v>New Haven</v>
      </c>
      <c r="J389" t="str">
        <f>INDEX(products!$A$1:$G$49,MATCH(orders!$D389,products!$A$1:$A$49,0),MATCH(orders!J$1,products!$A$1:$G$1,0))</f>
        <v>Exc</v>
      </c>
      <c r="K389" t="str">
        <f>INDEX(products!$A$1:$G$49,MATCH(orders!$D389,products!$A$1:$A$49,0),MATCH(orders!K$1,products!$A$1:$G$1,0))</f>
        <v>L</v>
      </c>
      <c r="L389" s="4">
        <f>INDEX(products!$A$1:$G$49,MATCH(orders!$D389,products!$A$1:$A$49,0),MATCH(orders!L$1,products!$A$1:$G$1,0))</f>
        <v>1</v>
      </c>
      <c r="M389" s="5">
        <f>INDEX(products!$A$1:$G$49,MATCH(orders!$D389,products!$A$1:$A$49,0),MATCH(orders!M$1,products!$A$1:$G$1,0))</f>
        <v>14.85</v>
      </c>
      <c r="N389" s="5">
        <f>Orders[[#This Row],[Quantity]]*(INDEX(products!$A$1:$G$49,MATCH(orders!$D389,products!$A$1:$A$49,0),MATCH(orders!N$1,products!$A$1:$G$1,0)))</f>
        <v>8.1675000000000004</v>
      </c>
      <c r="O389" s="5">
        <f>M389*E389</f>
        <v>74.25</v>
      </c>
      <c r="P389" t="str">
        <f t="shared" si="12"/>
        <v>Excelsa</v>
      </c>
      <c r="Q389" t="str">
        <f t="shared" si="13"/>
        <v>Light</v>
      </c>
      <c r="R389" t="str">
        <f>_xlfn.XLOOKUP(Orders[[#This Row],[Customer ID]],customers!$A$1:$A$1001,customers!$I$1:$I$1001,,0)</f>
        <v>Yes</v>
      </c>
    </row>
    <row r="390" spans="1:18" x14ac:dyDescent="0.35">
      <c r="A390" s="2" t="s">
        <v>2677</v>
      </c>
      <c r="B390" s="3">
        <v>44130</v>
      </c>
      <c r="C390" s="2" t="s">
        <v>2678</v>
      </c>
      <c r="D390" t="s">
        <v>6150</v>
      </c>
      <c r="E390" s="2">
        <v>3</v>
      </c>
      <c r="F390" s="2" t="str">
        <f>_xlfn.XLOOKUP(Orders[[#This Row],[Customer ID]],customers!$A$1:$A$1001,customers!$B$1:$B$1001,,0)</f>
        <v>Maisie Sarvar</v>
      </c>
      <c r="G390" s="2" t="str">
        <f>IF(_xlfn.XLOOKUP(C390,customers!$A$1:$A$1001,customers!C389:C1389,,0)=0,"",_xlfn.XLOOKUP(C390,customers!$A$1:$A$1001,customers!C389:C1389,,0))</f>
        <v>jdeehanlk@about.me</v>
      </c>
      <c r="H390" s="2" t="str">
        <f>_xlfn.XLOOKUP(Orders[[#This Row],[Customer ID]],customers!$A$1:$A$1001,customers!$G$1:$G$1001,,0)</f>
        <v>United States</v>
      </c>
      <c r="I390" s="2" t="str">
        <f>_xlfn.XLOOKUP(Orders[[#This Row],[Customer ID]],customers!$A$1:$A$1001,customers!$F$1:$F$1001,,0)</f>
        <v>Lawrenceville</v>
      </c>
      <c r="J390" t="str">
        <f>INDEX(products!$A$1:$G$49,MATCH(orders!$D390,products!$A$1:$A$49,0),MATCH(orders!J$1,products!$A$1:$G$1,0))</f>
        <v>Lib</v>
      </c>
      <c r="K390" t="str">
        <f>INDEX(products!$A$1:$G$49,MATCH(orders!$D390,products!$A$1:$A$49,0),MATCH(orders!K$1,products!$A$1:$G$1,0))</f>
        <v>D</v>
      </c>
      <c r="L390" s="4">
        <f>INDEX(products!$A$1:$G$49,MATCH(orders!$D390,products!$A$1:$A$49,0),MATCH(orders!L$1,products!$A$1:$G$1,0))</f>
        <v>0.2</v>
      </c>
      <c r="M390" s="5">
        <f>INDEX(products!$A$1:$G$49,MATCH(orders!$D390,products!$A$1:$A$49,0),MATCH(orders!M$1,products!$A$1:$G$1,0))</f>
        <v>3.8849999999999998</v>
      </c>
      <c r="N390" s="5">
        <f>Orders[[#This Row],[Quantity]]*(INDEX(products!$A$1:$G$49,MATCH(orders!$D390,products!$A$1:$A$49,0),MATCH(orders!N$1,products!$A$1:$G$1,0)))</f>
        <v>1.51515</v>
      </c>
      <c r="O390" s="5">
        <f>M390*E390</f>
        <v>11.654999999999999</v>
      </c>
      <c r="P390" t="str">
        <f t="shared" si="12"/>
        <v>Liberica</v>
      </c>
      <c r="Q390" t="str">
        <f t="shared" si="13"/>
        <v>Dark</v>
      </c>
      <c r="R390" t="str">
        <f>_xlfn.XLOOKUP(Orders[[#This Row],[Customer ID]],customers!$A$1:$A$1001,customers!$I$1:$I$1001,,0)</f>
        <v>Yes</v>
      </c>
    </row>
    <row r="391" spans="1:18" x14ac:dyDescent="0.35">
      <c r="A391" s="2" t="s">
        <v>2683</v>
      </c>
      <c r="B391" s="3">
        <v>43536</v>
      </c>
      <c r="C391" s="2" t="s">
        <v>2684</v>
      </c>
      <c r="D391" t="s">
        <v>6169</v>
      </c>
      <c r="E391" s="2">
        <v>3</v>
      </c>
      <c r="F391" s="2" t="str">
        <f>_xlfn.XLOOKUP(Orders[[#This Row],[Customer ID]],customers!$A$1:$A$1001,customers!$B$1:$B$1001,,0)</f>
        <v>Andrej Havick</v>
      </c>
      <c r="G391" s="2" t="str">
        <f>IF(_xlfn.XLOOKUP(C391,customers!$A$1:$A$1001,customers!C390:C1390,,0)=0,"",_xlfn.XLOOKUP(C391,customers!$A$1:$A$1001,customers!C390:C1390,,0))</f>
        <v>dmatonlm@utexas.edu</v>
      </c>
      <c r="H391" s="2" t="str">
        <f>_xlfn.XLOOKUP(Orders[[#This Row],[Customer ID]],customers!$A$1:$A$1001,customers!$G$1:$G$1001,,0)</f>
        <v>United States</v>
      </c>
      <c r="I391" s="2" t="str">
        <f>_xlfn.XLOOKUP(Orders[[#This Row],[Customer ID]],customers!$A$1:$A$1001,customers!$F$1:$F$1001,,0)</f>
        <v>Asheville</v>
      </c>
      <c r="J391" t="str">
        <f>INDEX(products!$A$1:$G$49,MATCH(orders!$D391,products!$A$1:$A$49,0),MATCH(orders!J$1,products!$A$1:$G$1,0))</f>
        <v>Lib</v>
      </c>
      <c r="K391" t="str">
        <f>INDEX(products!$A$1:$G$49,MATCH(orders!$D391,products!$A$1:$A$49,0),MATCH(orders!K$1,products!$A$1:$G$1,0))</f>
        <v>D</v>
      </c>
      <c r="L391" s="4">
        <f>INDEX(products!$A$1:$G$49,MATCH(orders!$D391,products!$A$1:$A$49,0),MATCH(orders!L$1,products!$A$1:$G$1,0))</f>
        <v>0.5</v>
      </c>
      <c r="M391" s="5">
        <f>INDEX(products!$A$1:$G$49,MATCH(orders!$D391,products!$A$1:$A$49,0),MATCH(orders!M$1,products!$A$1:$G$1,0))</f>
        <v>7.77</v>
      </c>
      <c r="N391" s="5">
        <f>Orders[[#This Row],[Quantity]]*(INDEX(products!$A$1:$G$49,MATCH(orders!$D391,products!$A$1:$A$49,0),MATCH(orders!N$1,products!$A$1:$G$1,0)))</f>
        <v>3.0303</v>
      </c>
      <c r="O391" s="5">
        <f>M391*E391</f>
        <v>23.31</v>
      </c>
      <c r="P391" t="str">
        <f t="shared" si="12"/>
        <v>Liberica</v>
      </c>
      <c r="Q391" t="str">
        <f t="shared" si="13"/>
        <v>Dark</v>
      </c>
      <c r="R391" t="str">
        <f>_xlfn.XLOOKUP(Orders[[#This Row],[Customer ID]],customers!$A$1:$A$1001,customers!$I$1:$I$1001,,0)</f>
        <v>Yes</v>
      </c>
    </row>
    <row r="392" spans="1:18" x14ac:dyDescent="0.35">
      <c r="A392" s="2" t="s">
        <v>2689</v>
      </c>
      <c r="B392" s="3">
        <v>44245</v>
      </c>
      <c r="C392" s="2" t="s">
        <v>2690</v>
      </c>
      <c r="D392" t="s">
        <v>6144</v>
      </c>
      <c r="E392" s="2">
        <v>2</v>
      </c>
      <c r="F392" s="2" t="str">
        <f>_xlfn.XLOOKUP(Orders[[#This Row],[Customer ID]],customers!$A$1:$A$1001,customers!$B$1:$B$1001,,0)</f>
        <v>Sloan Diviny</v>
      </c>
      <c r="G392" s="2" t="str">
        <f>IF(_xlfn.XLOOKUP(C392,customers!$A$1:$A$1001,customers!C391:C1391,,0)=0,"",_xlfn.XLOOKUP(C392,customers!$A$1:$A$1001,customers!C391:C1391,,0))</f>
        <v/>
      </c>
      <c r="H392" s="2" t="str">
        <f>_xlfn.XLOOKUP(Orders[[#This Row],[Customer ID]],customers!$A$1:$A$1001,customers!$G$1:$G$1001,,0)</f>
        <v>United States</v>
      </c>
      <c r="I392" s="2" t="str">
        <f>_xlfn.XLOOKUP(Orders[[#This Row],[Customer ID]],customers!$A$1:$A$1001,customers!$F$1:$F$1001,,0)</f>
        <v>Saint Paul</v>
      </c>
      <c r="J392" t="str">
        <f>INDEX(products!$A$1:$G$49,MATCH(orders!$D392,products!$A$1:$A$49,0),MATCH(orders!J$1,products!$A$1:$G$1,0))</f>
        <v>Exc</v>
      </c>
      <c r="K392" t="str">
        <f>INDEX(products!$A$1:$G$49,MATCH(orders!$D392,products!$A$1:$A$49,0),MATCH(orders!K$1,products!$A$1:$G$1,0))</f>
        <v>D</v>
      </c>
      <c r="L392" s="4">
        <f>INDEX(products!$A$1:$G$49,MATCH(orders!$D392,products!$A$1:$A$49,0),MATCH(orders!L$1,products!$A$1:$G$1,0))</f>
        <v>0.5</v>
      </c>
      <c r="M392" s="5">
        <f>INDEX(products!$A$1:$G$49,MATCH(orders!$D392,products!$A$1:$A$49,0),MATCH(orders!M$1,products!$A$1:$G$1,0))</f>
        <v>7.29</v>
      </c>
      <c r="N392" s="5">
        <f>Orders[[#This Row],[Quantity]]*(INDEX(products!$A$1:$G$49,MATCH(orders!$D392,products!$A$1:$A$49,0),MATCH(orders!N$1,products!$A$1:$G$1,0)))</f>
        <v>1.6038000000000001</v>
      </c>
      <c r="O392" s="5">
        <f>M392*E392</f>
        <v>14.58</v>
      </c>
      <c r="P392" t="str">
        <f t="shared" si="12"/>
        <v>Excelsa</v>
      </c>
      <c r="Q392" t="str">
        <f t="shared" si="13"/>
        <v>Dark</v>
      </c>
      <c r="R392" t="str">
        <f>_xlfn.XLOOKUP(Orders[[#This Row],[Customer ID]],customers!$A$1:$A$1001,customers!$I$1:$I$1001,,0)</f>
        <v>Yes</v>
      </c>
    </row>
    <row r="393" spans="1:18" x14ac:dyDescent="0.35">
      <c r="A393" s="2" t="s">
        <v>2694</v>
      </c>
      <c r="B393" s="3">
        <v>44133</v>
      </c>
      <c r="C393" s="2" t="s">
        <v>2695</v>
      </c>
      <c r="D393" t="s">
        <v>6157</v>
      </c>
      <c r="E393" s="2">
        <v>2</v>
      </c>
      <c r="F393" s="2" t="str">
        <f>_xlfn.XLOOKUP(Orders[[#This Row],[Customer ID]],customers!$A$1:$A$1001,customers!$B$1:$B$1001,,0)</f>
        <v>Itch Norquoy</v>
      </c>
      <c r="G393" s="2" t="str">
        <f>IF(_xlfn.XLOOKUP(C393,customers!$A$1:$A$1001,customers!C392:C1392,,0)=0,"",_xlfn.XLOOKUP(C393,customers!$A$1:$A$1001,customers!C392:C1392,,0))</f>
        <v>agregorattilq@vistaprint.com</v>
      </c>
      <c r="H393" s="2" t="str">
        <f>_xlfn.XLOOKUP(Orders[[#This Row],[Customer ID]],customers!$A$1:$A$1001,customers!$G$1:$G$1001,,0)</f>
        <v>United States</v>
      </c>
      <c r="I393" s="2" t="str">
        <f>_xlfn.XLOOKUP(Orders[[#This Row],[Customer ID]],customers!$A$1:$A$1001,customers!$F$1:$F$1001,,0)</f>
        <v>Minneapolis</v>
      </c>
      <c r="J393" t="str">
        <f>INDEX(products!$A$1:$G$49,MATCH(orders!$D393,products!$A$1:$A$49,0),MATCH(orders!J$1,products!$A$1:$G$1,0))</f>
        <v>Ara</v>
      </c>
      <c r="K393" t="str">
        <f>INDEX(products!$A$1:$G$49,MATCH(orders!$D393,products!$A$1:$A$49,0),MATCH(orders!K$1,products!$A$1:$G$1,0))</f>
        <v>M</v>
      </c>
      <c r="L393" s="4">
        <f>INDEX(products!$A$1:$G$49,MATCH(orders!$D393,products!$A$1:$A$49,0),MATCH(orders!L$1,products!$A$1:$G$1,0))</f>
        <v>0.5</v>
      </c>
      <c r="M393" s="5">
        <f>INDEX(products!$A$1:$G$49,MATCH(orders!$D393,products!$A$1:$A$49,0),MATCH(orders!M$1,products!$A$1:$G$1,0))</f>
        <v>6.75</v>
      </c>
      <c r="N393" s="5">
        <f>Orders[[#This Row],[Quantity]]*(INDEX(products!$A$1:$G$49,MATCH(orders!$D393,products!$A$1:$A$49,0),MATCH(orders!N$1,products!$A$1:$G$1,0)))</f>
        <v>1.2149999999999999</v>
      </c>
      <c r="O393" s="5">
        <f>M393*E393</f>
        <v>13.5</v>
      </c>
      <c r="P393" t="str">
        <f t="shared" si="12"/>
        <v>Arabica</v>
      </c>
      <c r="Q393" t="str">
        <f t="shared" si="13"/>
        <v>Medium</v>
      </c>
      <c r="R393" t="str">
        <f>_xlfn.XLOOKUP(Orders[[#This Row],[Customer ID]],customers!$A$1:$A$1001,customers!$I$1:$I$1001,,0)</f>
        <v>No</v>
      </c>
    </row>
    <row r="394" spans="1:18" x14ac:dyDescent="0.35">
      <c r="A394" s="2" t="s">
        <v>2699</v>
      </c>
      <c r="B394" s="3">
        <v>44445</v>
      </c>
      <c r="C394" s="2" t="s">
        <v>2700</v>
      </c>
      <c r="D394" t="s">
        <v>6171</v>
      </c>
      <c r="E394" s="2">
        <v>6</v>
      </c>
      <c r="F394" s="2" t="str">
        <f>_xlfn.XLOOKUP(Orders[[#This Row],[Customer ID]],customers!$A$1:$A$1001,customers!$B$1:$B$1001,,0)</f>
        <v>Anson Iddison</v>
      </c>
      <c r="G394" s="2" t="str">
        <f>IF(_xlfn.XLOOKUP(C394,customers!$A$1:$A$1001,customers!C393:C1393,,0)=0,"",_xlfn.XLOOKUP(C394,customers!$A$1:$A$1001,customers!C393:C1393,,0))</f>
        <v>gwhiteheadls@hp.com</v>
      </c>
      <c r="H394" s="2" t="str">
        <f>_xlfn.XLOOKUP(Orders[[#This Row],[Customer ID]],customers!$A$1:$A$1001,customers!$G$1:$G$1001,,0)</f>
        <v>United States</v>
      </c>
      <c r="I394" s="2" t="str">
        <f>_xlfn.XLOOKUP(Orders[[#This Row],[Customer ID]],customers!$A$1:$A$1001,customers!$F$1:$F$1001,,0)</f>
        <v>Santa Ana</v>
      </c>
      <c r="J394" t="str">
        <f>INDEX(products!$A$1:$G$49,MATCH(orders!$D394,products!$A$1:$A$49,0),MATCH(orders!J$1,products!$A$1:$G$1,0))</f>
        <v>Exc</v>
      </c>
      <c r="K394" t="str">
        <f>INDEX(products!$A$1:$G$49,MATCH(orders!$D394,products!$A$1:$A$49,0),MATCH(orders!K$1,products!$A$1:$G$1,0))</f>
        <v>L</v>
      </c>
      <c r="L394" s="4">
        <f>INDEX(products!$A$1:$G$49,MATCH(orders!$D394,products!$A$1:$A$49,0),MATCH(orders!L$1,products!$A$1:$G$1,0))</f>
        <v>1</v>
      </c>
      <c r="M394" s="5">
        <f>INDEX(products!$A$1:$G$49,MATCH(orders!$D394,products!$A$1:$A$49,0),MATCH(orders!M$1,products!$A$1:$G$1,0))</f>
        <v>14.85</v>
      </c>
      <c r="N394" s="5">
        <f>Orders[[#This Row],[Quantity]]*(INDEX(products!$A$1:$G$49,MATCH(orders!$D394,products!$A$1:$A$49,0),MATCH(orders!N$1,products!$A$1:$G$1,0)))</f>
        <v>9.8010000000000002</v>
      </c>
      <c r="O394" s="5">
        <f>M394*E394</f>
        <v>89.1</v>
      </c>
      <c r="P394" t="str">
        <f t="shared" si="12"/>
        <v>Excelsa</v>
      </c>
      <c r="Q394" t="str">
        <f t="shared" si="13"/>
        <v>Light</v>
      </c>
      <c r="R394" t="str">
        <f>_xlfn.XLOOKUP(Orders[[#This Row],[Customer ID]],customers!$A$1:$A$1001,customers!$I$1:$I$1001,,0)</f>
        <v>No</v>
      </c>
    </row>
    <row r="395" spans="1:18" x14ac:dyDescent="0.35">
      <c r="A395" s="2" t="s">
        <v>2699</v>
      </c>
      <c r="B395" s="3">
        <v>44445</v>
      </c>
      <c r="C395" s="2" t="s">
        <v>2700</v>
      </c>
      <c r="D395" t="s">
        <v>6167</v>
      </c>
      <c r="E395" s="2">
        <v>1</v>
      </c>
      <c r="F395" s="2" t="str">
        <f>_xlfn.XLOOKUP(Orders[[#This Row],[Customer ID]],customers!$A$1:$A$1001,customers!$B$1:$B$1001,,0)</f>
        <v>Anson Iddison</v>
      </c>
      <c r="G395" s="2" t="str">
        <f>IF(_xlfn.XLOOKUP(C395,customers!$A$1:$A$1001,customers!C394:C1394,,0)=0,"",_xlfn.XLOOKUP(C395,customers!$A$1:$A$1001,customers!C394:C1394,,0))</f>
        <v>hjodrellelt@samsung.com</v>
      </c>
      <c r="H395" s="2" t="str">
        <f>_xlfn.XLOOKUP(Orders[[#This Row],[Customer ID]],customers!$A$1:$A$1001,customers!$G$1:$G$1001,,0)</f>
        <v>United States</v>
      </c>
      <c r="I395" s="2" t="str">
        <f>_xlfn.XLOOKUP(Orders[[#This Row],[Customer ID]],customers!$A$1:$A$1001,customers!$F$1:$F$1001,,0)</f>
        <v>Santa Ana</v>
      </c>
      <c r="J395" t="str">
        <f>INDEX(products!$A$1:$G$49,MATCH(orders!$D395,products!$A$1:$A$49,0),MATCH(orders!J$1,products!$A$1:$G$1,0))</f>
        <v>Ara</v>
      </c>
      <c r="K395" t="str">
        <f>INDEX(products!$A$1:$G$49,MATCH(orders!$D395,products!$A$1:$A$49,0),MATCH(orders!K$1,products!$A$1:$G$1,0))</f>
        <v>L</v>
      </c>
      <c r="L395" s="4">
        <f>INDEX(products!$A$1:$G$49,MATCH(orders!$D395,products!$A$1:$A$49,0),MATCH(orders!L$1,products!$A$1:$G$1,0))</f>
        <v>0.2</v>
      </c>
      <c r="M395" s="5">
        <f>INDEX(products!$A$1:$G$49,MATCH(orders!$D395,products!$A$1:$A$49,0),MATCH(orders!M$1,products!$A$1:$G$1,0))</f>
        <v>3.8849999999999998</v>
      </c>
      <c r="N395" s="5">
        <f>Orders[[#This Row],[Quantity]]*(INDEX(products!$A$1:$G$49,MATCH(orders!$D395,products!$A$1:$A$49,0),MATCH(orders!N$1,products!$A$1:$G$1,0)))</f>
        <v>0.34964999999999996</v>
      </c>
      <c r="O395" s="5">
        <f>M395*E395</f>
        <v>3.8849999999999998</v>
      </c>
      <c r="P395" t="str">
        <f t="shared" si="12"/>
        <v>Arabica</v>
      </c>
      <c r="Q395" t="str">
        <f t="shared" si="13"/>
        <v>Light</v>
      </c>
      <c r="R395" t="str">
        <f>_xlfn.XLOOKUP(Orders[[#This Row],[Customer ID]],customers!$A$1:$A$1001,customers!$I$1:$I$1001,,0)</f>
        <v>No</v>
      </c>
    </row>
    <row r="396" spans="1:18" x14ac:dyDescent="0.35">
      <c r="A396" s="2" t="s">
        <v>2710</v>
      </c>
      <c r="B396" s="3">
        <v>44083</v>
      </c>
      <c r="C396" s="2" t="s">
        <v>2711</v>
      </c>
      <c r="D396" t="s">
        <v>6142</v>
      </c>
      <c r="E396" s="2">
        <v>4</v>
      </c>
      <c r="F396" s="2" t="str">
        <f>_xlfn.XLOOKUP(Orders[[#This Row],[Customer ID]],customers!$A$1:$A$1001,customers!$B$1:$B$1001,,0)</f>
        <v>Randal Longfield</v>
      </c>
      <c r="G396" s="2" t="str">
        <f>IF(_xlfn.XLOOKUP(C396,customers!$A$1:$A$1001,customers!C395:C1395,,0)=0,"",_xlfn.XLOOKUP(C396,customers!$A$1:$A$1001,customers!C395:C1395,,0))</f>
        <v>knottramlw@odnoklassniki.ru</v>
      </c>
      <c r="H396" s="2" t="str">
        <f>_xlfn.XLOOKUP(Orders[[#This Row],[Customer ID]],customers!$A$1:$A$1001,customers!$G$1:$G$1001,,0)</f>
        <v>United States</v>
      </c>
      <c r="I396" s="2" t="str">
        <f>_xlfn.XLOOKUP(Orders[[#This Row],[Customer ID]],customers!$A$1:$A$1001,customers!$F$1:$F$1001,,0)</f>
        <v>Minneapolis</v>
      </c>
      <c r="J396" t="str">
        <f>INDEX(products!$A$1:$G$49,MATCH(orders!$D396,products!$A$1:$A$49,0),MATCH(orders!J$1,products!$A$1:$G$1,0))</f>
        <v>Rob</v>
      </c>
      <c r="K396" t="str">
        <f>INDEX(products!$A$1:$G$49,MATCH(orders!$D396,products!$A$1:$A$49,0),MATCH(orders!K$1,products!$A$1:$G$1,0))</f>
        <v>L</v>
      </c>
      <c r="L396" s="4">
        <f>INDEX(products!$A$1:$G$49,MATCH(orders!$D396,products!$A$1:$A$49,0),MATCH(orders!L$1,products!$A$1:$G$1,0))</f>
        <v>2.5</v>
      </c>
      <c r="M396" s="5">
        <f>INDEX(products!$A$1:$G$49,MATCH(orders!$D396,products!$A$1:$A$49,0),MATCH(orders!M$1,products!$A$1:$G$1,0))</f>
        <v>27.484999999999996</v>
      </c>
      <c r="N396" s="5">
        <f>Orders[[#This Row],[Quantity]]*(INDEX(products!$A$1:$G$49,MATCH(orders!$D396,products!$A$1:$A$49,0),MATCH(orders!N$1,products!$A$1:$G$1,0)))</f>
        <v>6.5963999999999992</v>
      </c>
      <c r="O396" s="5">
        <f>M396*E396</f>
        <v>109.93999999999998</v>
      </c>
      <c r="P396" t="str">
        <f t="shared" si="12"/>
        <v>Robusta</v>
      </c>
      <c r="Q396" t="str">
        <f t="shared" si="13"/>
        <v>Light</v>
      </c>
      <c r="R396" t="str">
        <f>_xlfn.XLOOKUP(Orders[[#This Row],[Customer ID]],customers!$A$1:$A$1001,customers!$I$1:$I$1001,,0)</f>
        <v>No</v>
      </c>
    </row>
    <row r="397" spans="1:18" x14ac:dyDescent="0.35">
      <c r="A397" s="2" t="s">
        <v>2716</v>
      </c>
      <c r="B397" s="3">
        <v>44465</v>
      </c>
      <c r="C397" s="2" t="s">
        <v>2717</v>
      </c>
      <c r="D397" t="s">
        <v>6169</v>
      </c>
      <c r="E397" s="2">
        <v>6</v>
      </c>
      <c r="F397" s="2" t="str">
        <f>_xlfn.XLOOKUP(Orders[[#This Row],[Customer ID]],customers!$A$1:$A$1001,customers!$B$1:$B$1001,,0)</f>
        <v>Gregorius Kislingbury</v>
      </c>
      <c r="G397" s="2" t="str">
        <f>IF(_xlfn.XLOOKUP(C397,customers!$A$1:$A$1001,customers!C396:C1396,,0)=0,"",_xlfn.XLOOKUP(C397,customers!$A$1:$A$1001,customers!C396:C1396,,0))</f>
        <v>smcshealy@photobucket.com</v>
      </c>
      <c r="H397" s="2" t="str">
        <f>_xlfn.XLOOKUP(Orders[[#This Row],[Customer ID]],customers!$A$1:$A$1001,customers!$G$1:$G$1001,,0)</f>
        <v>United States</v>
      </c>
      <c r="I397" s="2" t="str">
        <f>_xlfn.XLOOKUP(Orders[[#This Row],[Customer ID]],customers!$A$1:$A$1001,customers!$F$1:$F$1001,,0)</f>
        <v>Washington</v>
      </c>
      <c r="J397" t="str">
        <f>INDEX(products!$A$1:$G$49,MATCH(orders!$D397,products!$A$1:$A$49,0),MATCH(orders!J$1,products!$A$1:$G$1,0))</f>
        <v>Lib</v>
      </c>
      <c r="K397" t="str">
        <f>INDEX(products!$A$1:$G$49,MATCH(orders!$D397,products!$A$1:$A$49,0),MATCH(orders!K$1,products!$A$1:$G$1,0))</f>
        <v>D</v>
      </c>
      <c r="L397" s="4">
        <f>INDEX(products!$A$1:$G$49,MATCH(orders!$D397,products!$A$1:$A$49,0),MATCH(orders!L$1,products!$A$1:$G$1,0))</f>
        <v>0.5</v>
      </c>
      <c r="M397" s="5">
        <f>INDEX(products!$A$1:$G$49,MATCH(orders!$D397,products!$A$1:$A$49,0),MATCH(orders!M$1,products!$A$1:$G$1,0))</f>
        <v>7.77</v>
      </c>
      <c r="N397" s="5">
        <f>Orders[[#This Row],[Quantity]]*(INDEX(products!$A$1:$G$49,MATCH(orders!$D397,products!$A$1:$A$49,0),MATCH(orders!N$1,products!$A$1:$G$1,0)))</f>
        <v>6.0606</v>
      </c>
      <c r="O397" s="5">
        <f>M397*E397</f>
        <v>46.62</v>
      </c>
      <c r="P397" t="str">
        <f t="shared" si="12"/>
        <v>Liberica</v>
      </c>
      <c r="Q397" t="str">
        <f t="shared" si="13"/>
        <v>Dark</v>
      </c>
      <c r="R397" t="str">
        <f>_xlfn.XLOOKUP(Orders[[#This Row],[Customer ID]],customers!$A$1:$A$1001,customers!$I$1:$I$1001,,0)</f>
        <v>Yes</v>
      </c>
    </row>
    <row r="398" spans="1:18" x14ac:dyDescent="0.35">
      <c r="A398" s="2" t="s">
        <v>2721</v>
      </c>
      <c r="B398" s="3">
        <v>44140</v>
      </c>
      <c r="C398" s="2" t="s">
        <v>2722</v>
      </c>
      <c r="D398" t="s">
        <v>6180</v>
      </c>
      <c r="E398" s="2">
        <v>5</v>
      </c>
      <c r="F398" s="2" t="str">
        <f>_xlfn.XLOOKUP(Orders[[#This Row],[Customer ID]],customers!$A$1:$A$1001,customers!$B$1:$B$1001,,0)</f>
        <v>Xenos Gibbons</v>
      </c>
      <c r="G398" s="2" t="str">
        <f>IF(_xlfn.XLOOKUP(C398,customers!$A$1:$A$1001,customers!C397:C1397,,0)=0,"",_xlfn.XLOOKUP(C398,customers!$A$1:$A$1001,customers!C397:C1397,,0))</f>
        <v>jgippesm0@cloudflare.com</v>
      </c>
      <c r="H398" s="2" t="str">
        <f>_xlfn.XLOOKUP(Orders[[#This Row],[Customer ID]],customers!$A$1:$A$1001,customers!$G$1:$G$1001,,0)</f>
        <v>United States</v>
      </c>
      <c r="I398" s="2" t="str">
        <f>_xlfn.XLOOKUP(Orders[[#This Row],[Customer ID]],customers!$A$1:$A$1001,customers!$F$1:$F$1001,,0)</f>
        <v>San Bernardino</v>
      </c>
      <c r="J398" t="str">
        <f>INDEX(products!$A$1:$G$49,MATCH(orders!$D398,products!$A$1:$A$49,0),MATCH(orders!J$1,products!$A$1:$G$1,0))</f>
        <v>Ara</v>
      </c>
      <c r="K398" t="str">
        <f>INDEX(products!$A$1:$G$49,MATCH(orders!$D398,products!$A$1:$A$49,0),MATCH(orders!K$1,products!$A$1:$G$1,0))</f>
        <v>L</v>
      </c>
      <c r="L398" s="4">
        <f>INDEX(products!$A$1:$G$49,MATCH(orders!$D398,products!$A$1:$A$49,0),MATCH(orders!L$1,products!$A$1:$G$1,0))</f>
        <v>0.5</v>
      </c>
      <c r="M398" s="5">
        <f>INDEX(products!$A$1:$G$49,MATCH(orders!$D398,products!$A$1:$A$49,0),MATCH(orders!M$1,products!$A$1:$G$1,0))</f>
        <v>7.77</v>
      </c>
      <c r="N398" s="5">
        <f>Orders[[#This Row],[Quantity]]*(INDEX(products!$A$1:$G$49,MATCH(orders!$D398,products!$A$1:$A$49,0),MATCH(orders!N$1,products!$A$1:$G$1,0)))</f>
        <v>3.4964999999999997</v>
      </c>
      <c r="O398" s="5">
        <f>M398*E398</f>
        <v>38.849999999999994</v>
      </c>
      <c r="P398" t="str">
        <f t="shared" si="12"/>
        <v>Arabica</v>
      </c>
      <c r="Q398" t="str">
        <f t="shared" si="13"/>
        <v>Light</v>
      </c>
      <c r="R398" t="str">
        <f>_xlfn.XLOOKUP(Orders[[#This Row],[Customer ID]],customers!$A$1:$A$1001,customers!$I$1:$I$1001,,0)</f>
        <v>No</v>
      </c>
    </row>
    <row r="399" spans="1:18" x14ac:dyDescent="0.35">
      <c r="A399" s="2" t="s">
        <v>2727</v>
      </c>
      <c r="B399" s="3">
        <v>43720</v>
      </c>
      <c r="C399" s="2" t="s">
        <v>2728</v>
      </c>
      <c r="D399" t="s">
        <v>6169</v>
      </c>
      <c r="E399" s="2">
        <v>4</v>
      </c>
      <c r="F399" s="2" t="str">
        <f>_xlfn.XLOOKUP(Orders[[#This Row],[Customer ID]],customers!$A$1:$A$1001,customers!$B$1:$B$1001,,0)</f>
        <v>Fleur Parres</v>
      </c>
      <c r="G399" s="2" t="str">
        <f>IF(_xlfn.XLOOKUP(C399,customers!$A$1:$A$1001,customers!C398:C1398,,0)=0,"",_xlfn.XLOOKUP(C399,customers!$A$1:$A$1001,customers!C398:C1398,,0))</f>
        <v>gtrengrovem2@elpais.com</v>
      </c>
      <c r="H399" s="2" t="str">
        <f>_xlfn.XLOOKUP(Orders[[#This Row],[Customer ID]],customers!$A$1:$A$1001,customers!$G$1:$G$1001,,0)</f>
        <v>United States</v>
      </c>
      <c r="I399" s="2" t="str">
        <f>_xlfn.XLOOKUP(Orders[[#This Row],[Customer ID]],customers!$A$1:$A$1001,customers!$F$1:$F$1001,,0)</f>
        <v>Rochester</v>
      </c>
      <c r="J399" t="str">
        <f>INDEX(products!$A$1:$G$49,MATCH(orders!$D399,products!$A$1:$A$49,0),MATCH(orders!J$1,products!$A$1:$G$1,0))</f>
        <v>Lib</v>
      </c>
      <c r="K399" t="str">
        <f>INDEX(products!$A$1:$G$49,MATCH(orders!$D399,products!$A$1:$A$49,0),MATCH(orders!K$1,products!$A$1:$G$1,0))</f>
        <v>D</v>
      </c>
      <c r="L399" s="4">
        <f>INDEX(products!$A$1:$G$49,MATCH(orders!$D399,products!$A$1:$A$49,0),MATCH(orders!L$1,products!$A$1:$G$1,0))</f>
        <v>0.5</v>
      </c>
      <c r="M399" s="5">
        <f>INDEX(products!$A$1:$G$49,MATCH(orders!$D399,products!$A$1:$A$49,0),MATCH(orders!M$1,products!$A$1:$G$1,0))</f>
        <v>7.77</v>
      </c>
      <c r="N399" s="5">
        <f>Orders[[#This Row],[Quantity]]*(INDEX(products!$A$1:$G$49,MATCH(orders!$D399,products!$A$1:$A$49,0),MATCH(orders!N$1,products!$A$1:$G$1,0)))</f>
        <v>4.0404</v>
      </c>
      <c r="O399" s="5">
        <f>M399*E399</f>
        <v>31.08</v>
      </c>
      <c r="P399" t="str">
        <f t="shared" si="12"/>
        <v>Liberica</v>
      </c>
      <c r="Q399" t="str">
        <f t="shared" si="13"/>
        <v>Dark</v>
      </c>
      <c r="R399" t="str">
        <f>_xlfn.XLOOKUP(Orders[[#This Row],[Customer ID]],customers!$A$1:$A$1001,customers!$I$1:$I$1001,,0)</f>
        <v>Yes</v>
      </c>
    </row>
    <row r="400" spans="1:18" x14ac:dyDescent="0.35">
      <c r="A400" s="2" t="s">
        <v>2733</v>
      </c>
      <c r="B400" s="3">
        <v>43677</v>
      </c>
      <c r="C400" s="2" t="s">
        <v>2734</v>
      </c>
      <c r="D400" t="s">
        <v>6154</v>
      </c>
      <c r="E400" s="2">
        <v>6</v>
      </c>
      <c r="F400" s="2" t="str">
        <f>_xlfn.XLOOKUP(Orders[[#This Row],[Customer ID]],customers!$A$1:$A$1001,customers!$B$1:$B$1001,,0)</f>
        <v>Gran Sibray</v>
      </c>
      <c r="G400" s="2" t="str">
        <f>IF(_xlfn.XLOOKUP(C400,customers!$A$1:$A$1001,customers!C399:C1399,,0)=0,"",_xlfn.XLOOKUP(C400,customers!$A$1:$A$1001,customers!C399:C1399,,0))</f>
        <v/>
      </c>
      <c r="H400" s="2" t="str">
        <f>_xlfn.XLOOKUP(Orders[[#This Row],[Customer ID]],customers!$A$1:$A$1001,customers!$G$1:$G$1001,,0)</f>
        <v>United States</v>
      </c>
      <c r="I400" s="2" t="str">
        <f>_xlfn.XLOOKUP(Orders[[#This Row],[Customer ID]],customers!$A$1:$A$1001,customers!$F$1:$F$1001,,0)</f>
        <v>Vancouver</v>
      </c>
      <c r="J400" t="str">
        <f>INDEX(products!$A$1:$G$49,MATCH(orders!$D400,products!$A$1:$A$49,0),MATCH(orders!J$1,products!$A$1:$G$1,0))</f>
        <v>Ara</v>
      </c>
      <c r="K400" t="str">
        <f>INDEX(products!$A$1:$G$49,MATCH(orders!$D400,products!$A$1:$A$49,0),MATCH(orders!K$1,products!$A$1:$G$1,0))</f>
        <v>D</v>
      </c>
      <c r="L400" s="4">
        <f>INDEX(products!$A$1:$G$49,MATCH(orders!$D400,products!$A$1:$A$49,0),MATCH(orders!L$1,products!$A$1:$G$1,0))</f>
        <v>0.2</v>
      </c>
      <c r="M400" s="5">
        <f>INDEX(products!$A$1:$G$49,MATCH(orders!$D400,products!$A$1:$A$49,0),MATCH(orders!M$1,products!$A$1:$G$1,0))</f>
        <v>2.9849999999999999</v>
      </c>
      <c r="N400" s="5">
        <f>Orders[[#This Row],[Quantity]]*(INDEX(products!$A$1:$G$49,MATCH(orders!$D400,products!$A$1:$A$49,0),MATCH(orders!N$1,products!$A$1:$G$1,0)))</f>
        <v>1.6118999999999999</v>
      </c>
      <c r="O400" s="5">
        <f>M400*E400</f>
        <v>17.91</v>
      </c>
      <c r="P400" t="str">
        <f t="shared" si="12"/>
        <v>Arabica</v>
      </c>
      <c r="Q400" t="str">
        <f t="shared" si="13"/>
        <v>Dark</v>
      </c>
      <c r="R400" t="str">
        <f>_xlfn.XLOOKUP(Orders[[#This Row],[Customer ID]],customers!$A$1:$A$1001,customers!$I$1:$I$1001,,0)</f>
        <v>Yes</v>
      </c>
    </row>
    <row r="401" spans="1:18" x14ac:dyDescent="0.35">
      <c r="A401" s="2" t="s">
        <v>2739</v>
      </c>
      <c r="B401" s="3">
        <v>43539</v>
      </c>
      <c r="C401" s="2" t="s">
        <v>2740</v>
      </c>
      <c r="D401" t="s">
        <v>6185</v>
      </c>
      <c r="E401" s="2">
        <v>6</v>
      </c>
      <c r="F401" s="2" t="str">
        <f>_xlfn.XLOOKUP(Orders[[#This Row],[Customer ID]],customers!$A$1:$A$1001,customers!$B$1:$B$1001,,0)</f>
        <v>Ingelbert Hotchkin</v>
      </c>
      <c r="G401" s="2" t="str">
        <f>IF(_xlfn.XLOOKUP(C401,customers!$A$1:$A$1001,customers!C400:C1400,,0)=0,"",_xlfn.XLOOKUP(C401,customers!$A$1:$A$1001,customers!C400:C1400,,0))</f>
        <v>gruggenm6@nymag.com</v>
      </c>
      <c r="H401" s="2" t="str">
        <f>_xlfn.XLOOKUP(Orders[[#This Row],[Customer ID]],customers!$A$1:$A$1001,customers!$G$1:$G$1001,,0)</f>
        <v>United Kingdom</v>
      </c>
      <c r="I401" s="2" t="str">
        <f>_xlfn.XLOOKUP(Orders[[#This Row],[Customer ID]],customers!$A$1:$A$1001,customers!$F$1:$F$1001,,0)</f>
        <v>Preston</v>
      </c>
      <c r="J401" t="str">
        <f>INDEX(products!$A$1:$G$49,MATCH(orders!$D401,products!$A$1:$A$49,0),MATCH(orders!J$1,products!$A$1:$G$1,0))</f>
        <v>Exc</v>
      </c>
      <c r="K401" t="str">
        <f>INDEX(products!$A$1:$G$49,MATCH(orders!$D401,products!$A$1:$A$49,0),MATCH(orders!K$1,products!$A$1:$G$1,0))</f>
        <v>D</v>
      </c>
      <c r="L401" s="4">
        <f>INDEX(products!$A$1:$G$49,MATCH(orders!$D401,products!$A$1:$A$49,0),MATCH(orders!L$1,products!$A$1:$G$1,0))</f>
        <v>2.5</v>
      </c>
      <c r="M401" s="5">
        <f>INDEX(products!$A$1:$G$49,MATCH(orders!$D401,products!$A$1:$A$49,0),MATCH(orders!M$1,products!$A$1:$G$1,0))</f>
        <v>27.945</v>
      </c>
      <c r="N401" s="5">
        <f>Orders[[#This Row],[Quantity]]*(INDEX(products!$A$1:$G$49,MATCH(orders!$D401,products!$A$1:$A$49,0),MATCH(orders!N$1,products!$A$1:$G$1,0)))</f>
        <v>18.4437</v>
      </c>
      <c r="O401" s="5">
        <f>M401*E401</f>
        <v>167.67000000000002</v>
      </c>
      <c r="P401" t="str">
        <f t="shared" si="12"/>
        <v>Excelsa</v>
      </c>
      <c r="Q401" t="str">
        <f t="shared" si="13"/>
        <v>Dark</v>
      </c>
      <c r="R401" t="str">
        <f>_xlfn.XLOOKUP(Orders[[#This Row],[Customer ID]],customers!$A$1:$A$1001,customers!$I$1:$I$1001,,0)</f>
        <v>No</v>
      </c>
    </row>
    <row r="402" spans="1:18" x14ac:dyDescent="0.35">
      <c r="A402" s="2" t="s">
        <v>2745</v>
      </c>
      <c r="B402" s="3">
        <v>44332</v>
      </c>
      <c r="C402" s="2" t="s">
        <v>2746</v>
      </c>
      <c r="D402" t="s">
        <v>6170</v>
      </c>
      <c r="E402" s="2">
        <v>4</v>
      </c>
      <c r="F402" s="2" t="str">
        <f>_xlfn.XLOOKUP(Orders[[#This Row],[Customer ID]],customers!$A$1:$A$1001,customers!$B$1:$B$1001,,0)</f>
        <v>Neely Broadberrie</v>
      </c>
      <c r="G402" s="2" t="str">
        <f>IF(_xlfn.XLOOKUP(C402,customers!$A$1:$A$1001,customers!C401:C1401,,0)=0,"",_xlfn.XLOOKUP(C402,customers!$A$1:$A$1001,customers!C401:C1401,,0))</f>
        <v>mfrightm8@harvard.edu</v>
      </c>
      <c r="H402" s="2" t="str">
        <f>_xlfn.XLOOKUP(Orders[[#This Row],[Customer ID]],customers!$A$1:$A$1001,customers!$G$1:$G$1001,,0)</f>
        <v>United States</v>
      </c>
      <c r="I402" s="2" t="str">
        <f>_xlfn.XLOOKUP(Orders[[#This Row],[Customer ID]],customers!$A$1:$A$1001,customers!$F$1:$F$1001,,0)</f>
        <v>Washington</v>
      </c>
      <c r="J402" t="str">
        <f>INDEX(products!$A$1:$G$49,MATCH(orders!$D402,products!$A$1:$A$49,0),MATCH(orders!J$1,products!$A$1:$G$1,0))</f>
        <v>Lib</v>
      </c>
      <c r="K402" t="str">
        <f>INDEX(products!$A$1:$G$49,MATCH(orders!$D402,products!$A$1:$A$49,0),MATCH(orders!K$1,products!$A$1:$G$1,0))</f>
        <v>L</v>
      </c>
      <c r="L402" s="4">
        <f>INDEX(products!$A$1:$G$49,MATCH(orders!$D402,products!$A$1:$A$49,0),MATCH(orders!L$1,products!$A$1:$G$1,0))</f>
        <v>1</v>
      </c>
      <c r="M402" s="5">
        <f>INDEX(products!$A$1:$G$49,MATCH(orders!$D402,products!$A$1:$A$49,0),MATCH(orders!M$1,products!$A$1:$G$1,0))</f>
        <v>15.85</v>
      </c>
      <c r="N402" s="5">
        <f>Orders[[#This Row],[Quantity]]*(INDEX(products!$A$1:$G$49,MATCH(orders!$D402,products!$A$1:$A$49,0),MATCH(orders!N$1,products!$A$1:$G$1,0)))</f>
        <v>8.2420000000000009</v>
      </c>
      <c r="O402" s="5">
        <f>M402*E402</f>
        <v>63.4</v>
      </c>
      <c r="P402" t="str">
        <f t="shared" si="12"/>
        <v>Liberica</v>
      </c>
      <c r="Q402" t="str">
        <f t="shared" si="13"/>
        <v>Light</v>
      </c>
      <c r="R402" t="str">
        <f>_xlfn.XLOOKUP(Orders[[#This Row],[Customer ID]],customers!$A$1:$A$1001,customers!$I$1:$I$1001,,0)</f>
        <v>No</v>
      </c>
    </row>
    <row r="403" spans="1:18" x14ac:dyDescent="0.35">
      <c r="A403" s="2" t="s">
        <v>2751</v>
      </c>
      <c r="B403" s="3">
        <v>43591</v>
      </c>
      <c r="C403" s="2" t="s">
        <v>2752</v>
      </c>
      <c r="D403" t="s">
        <v>6159</v>
      </c>
      <c r="E403" s="2">
        <v>2</v>
      </c>
      <c r="F403" s="2" t="str">
        <f>_xlfn.XLOOKUP(Orders[[#This Row],[Customer ID]],customers!$A$1:$A$1001,customers!$B$1:$B$1001,,0)</f>
        <v>Rutger Pithcock</v>
      </c>
      <c r="G403" s="2" t="str">
        <f>IF(_xlfn.XLOOKUP(C403,customers!$A$1:$A$1001,customers!C402:C1402,,0)=0,"",_xlfn.XLOOKUP(C403,customers!$A$1:$A$1001,customers!C402:C1402,,0))</f>
        <v>ckrzysztofiakma@skyrock.com</v>
      </c>
      <c r="H403" s="2" t="str">
        <f>_xlfn.XLOOKUP(Orders[[#This Row],[Customer ID]],customers!$A$1:$A$1001,customers!$G$1:$G$1001,,0)</f>
        <v>United States</v>
      </c>
      <c r="I403" s="2" t="str">
        <f>_xlfn.XLOOKUP(Orders[[#This Row],[Customer ID]],customers!$A$1:$A$1001,customers!$F$1:$F$1001,,0)</f>
        <v>Knoxville</v>
      </c>
      <c r="J403" t="str">
        <f>INDEX(products!$A$1:$G$49,MATCH(orders!$D403,products!$A$1:$A$49,0),MATCH(orders!J$1,products!$A$1:$G$1,0))</f>
        <v>Lib</v>
      </c>
      <c r="K403" t="str">
        <f>INDEX(products!$A$1:$G$49,MATCH(orders!$D403,products!$A$1:$A$49,0),MATCH(orders!K$1,products!$A$1:$G$1,0))</f>
        <v>M</v>
      </c>
      <c r="L403" s="4">
        <f>INDEX(products!$A$1:$G$49,MATCH(orders!$D403,products!$A$1:$A$49,0),MATCH(orders!L$1,products!$A$1:$G$1,0))</f>
        <v>0.2</v>
      </c>
      <c r="M403" s="5">
        <f>INDEX(products!$A$1:$G$49,MATCH(orders!$D403,products!$A$1:$A$49,0),MATCH(orders!M$1,products!$A$1:$G$1,0))</f>
        <v>4.3650000000000002</v>
      </c>
      <c r="N403" s="5">
        <f>Orders[[#This Row],[Quantity]]*(INDEX(products!$A$1:$G$49,MATCH(orders!$D403,products!$A$1:$A$49,0),MATCH(orders!N$1,products!$A$1:$G$1,0)))</f>
        <v>1.1349</v>
      </c>
      <c r="O403" s="5">
        <f>M403*E403</f>
        <v>8.73</v>
      </c>
      <c r="P403" t="str">
        <f t="shared" si="12"/>
        <v>Liberica</v>
      </c>
      <c r="Q403" t="str">
        <f t="shared" si="13"/>
        <v>Medium</v>
      </c>
      <c r="R403" t="str">
        <f>_xlfn.XLOOKUP(Orders[[#This Row],[Customer ID]],customers!$A$1:$A$1001,customers!$I$1:$I$1001,,0)</f>
        <v>Yes</v>
      </c>
    </row>
    <row r="404" spans="1:18" x14ac:dyDescent="0.35">
      <c r="A404" s="2" t="s">
        <v>2757</v>
      </c>
      <c r="B404" s="3">
        <v>43502</v>
      </c>
      <c r="C404" s="2" t="s">
        <v>2758</v>
      </c>
      <c r="D404" t="s">
        <v>6177</v>
      </c>
      <c r="E404" s="2">
        <v>3</v>
      </c>
      <c r="F404" s="2" t="str">
        <f>_xlfn.XLOOKUP(Orders[[#This Row],[Customer ID]],customers!$A$1:$A$1001,customers!$B$1:$B$1001,,0)</f>
        <v>Gale Croysdale</v>
      </c>
      <c r="G404" s="2" t="str">
        <f>IF(_xlfn.XLOOKUP(C404,customers!$A$1:$A$1001,customers!C403:C1403,,0)=0,"",_xlfn.XLOOKUP(C404,customers!$A$1:$A$1001,customers!C403:C1403,,0))</f>
        <v/>
      </c>
      <c r="H404" s="2" t="str">
        <f>_xlfn.XLOOKUP(Orders[[#This Row],[Customer ID]],customers!$A$1:$A$1001,customers!$G$1:$G$1001,,0)</f>
        <v>United States</v>
      </c>
      <c r="I404" s="2" t="str">
        <f>_xlfn.XLOOKUP(Orders[[#This Row],[Customer ID]],customers!$A$1:$A$1001,customers!$F$1:$F$1001,,0)</f>
        <v>Charleston</v>
      </c>
      <c r="J404" t="str">
        <f>INDEX(products!$A$1:$G$49,MATCH(orders!$D404,products!$A$1:$A$49,0),MATCH(orders!J$1,products!$A$1:$G$1,0))</f>
        <v>Rob</v>
      </c>
      <c r="K404" t="str">
        <f>INDEX(products!$A$1:$G$49,MATCH(orders!$D404,products!$A$1:$A$49,0),MATCH(orders!K$1,products!$A$1:$G$1,0))</f>
        <v>D</v>
      </c>
      <c r="L404" s="4">
        <f>INDEX(products!$A$1:$G$49,MATCH(orders!$D404,products!$A$1:$A$49,0),MATCH(orders!L$1,products!$A$1:$G$1,0))</f>
        <v>1</v>
      </c>
      <c r="M404" s="5">
        <f>INDEX(products!$A$1:$G$49,MATCH(orders!$D404,products!$A$1:$A$49,0),MATCH(orders!M$1,products!$A$1:$G$1,0))</f>
        <v>8.9499999999999993</v>
      </c>
      <c r="N404" s="5">
        <f>Orders[[#This Row],[Quantity]]*(INDEX(products!$A$1:$G$49,MATCH(orders!$D404,products!$A$1:$A$49,0),MATCH(orders!N$1,products!$A$1:$G$1,0)))</f>
        <v>1.6109999999999998</v>
      </c>
      <c r="O404" s="5">
        <f>M404*E404</f>
        <v>26.849999999999998</v>
      </c>
      <c r="P404" t="str">
        <f t="shared" si="12"/>
        <v>Robusta</v>
      </c>
      <c r="Q404" t="str">
        <f t="shared" si="13"/>
        <v>Dark</v>
      </c>
      <c r="R404" t="str">
        <f>_xlfn.XLOOKUP(Orders[[#This Row],[Customer ID]],customers!$A$1:$A$1001,customers!$I$1:$I$1001,,0)</f>
        <v>Yes</v>
      </c>
    </row>
    <row r="405" spans="1:18" x14ac:dyDescent="0.35">
      <c r="A405" s="2" t="s">
        <v>2763</v>
      </c>
      <c r="B405" s="3">
        <v>44295</v>
      </c>
      <c r="C405" s="2" t="s">
        <v>2764</v>
      </c>
      <c r="D405" t="s">
        <v>6145</v>
      </c>
      <c r="E405" s="2">
        <v>2</v>
      </c>
      <c r="F405" s="2" t="str">
        <f>_xlfn.XLOOKUP(Orders[[#This Row],[Customer ID]],customers!$A$1:$A$1001,customers!$B$1:$B$1001,,0)</f>
        <v>Benedetto Gozzett</v>
      </c>
      <c r="G405" s="2" t="str">
        <f>IF(_xlfn.XLOOKUP(C405,customers!$A$1:$A$1001,customers!C404:C1404,,0)=0,"",_xlfn.XLOOKUP(C405,customers!$A$1:$A$1001,customers!C404:C1404,,0))</f>
        <v/>
      </c>
      <c r="H405" s="2" t="str">
        <f>_xlfn.XLOOKUP(Orders[[#This Row],[Customer ID]],customers!$A$1:$A$1001,customers!$G$1:$G$1001,,0)</f>
        <v>United States</v>
      </c>
      <c r="I405" s="2" t="str">
        <f>_xlfn.XLOOKUP(Orders[[#This Row],[Customer ID]],customers!$A$1:$A$1001,customers!$F$1:$F$1001,,0)</f>
        <v>Dallas</v>
      </c>
      <c r="J405" t="str">
        <f>INDEX(products!$A$1:$G$49,MATCH(orders!$D405,products!$A$1:$A$49,0),MATCH(orders!J$1,products!$A$1:$G$1,0))</f>
        <v>Lib</v>
      </c>
      <c r="K405" t="str">
        <f>INDEX(products!$A$1:$G$49,MATCH(orders!$D405,products!$A$1:$A$49,0),MATCH(orders!K$1,products!$A$1:$G$1,0))</f>
        <v>L</v>
      </c>
      <c r="L405" s="4">
        <f>INDEX(products!$A$1:$G$49,MATCH(orders!$D405,products!$A$1:$A$49,0),MATCH(orders!L$1,products!$A$1:$G$1,0))</f>
        <v>0.2</v>
      </c>
      <c r="M405" s="5">
        <f>INDEX(products!$A$1:$G$49,MATCH(orders!$D405,products!$A$1:$A$49,0),MATCH(orders!M$1,products!$A$1:$G$1,0))</f>
        <v>4.7549999999999999</v>
      </c>
      <c r="N405" s="5">
        <f>Orders[[#This Row],[Quantity]]*(INDEX(products!$A$1:$G$49,MATCH(orders!$D405,products!$A$1:$A$49,0),MATCH(orders!N$1,products!$A$1:$G$1,0)))</f>
        <v>1.2363</v>
      </c>
      <c r="O405" s="5">
        <f>M405*E405</f>
        <v>9.51</v>
      </c>
      <c r="P405" t="str">
        <f t="shared" si="12"/>
        <v>Liberica</v>
      </c>
      <c r="Q405" t="str">
        <f t="shared" si="13"/>
        <v>Light</v>
      </c>
      <c r="R405" t="str">
        <f>_xlfn.XLOOKUP(Orders[[#This Row],[Customer ID]],customers!$A$1:$A$1001,customers!$I$1:$I$1001,,0)</f>
        <v>No</v>
      </c>
    </row>
    <row r="406" spans="1:18" x14ac:dyDescent="0.35">
      <c r="A406" s="2" t="s">
        <v>2769</v>
      </c>
      <c r="B406" s="3">
        <v>43971</v>
      </c>
      <c r="C406" s="2" t="s">
        <v>2770</v>
      </c>
      <c r="D406" t="s">
        <v>6147</v>
      </c>
      <c r="E406" s="2">
        <v>4</v>
      </c>
      <c r="F406" s="2" t="str">
        <f>_xlfn.XLOOKUP(Orders[[#This Row],[Customer ID]],customers!$A$1:$A$1001,customers!$B$1:$B$1001,,0)</f>
        <v>Tania Craggs</v>
      </c>
      <c r="G406" s="2" t="str">
        <f>IF(_xlfn.XLOOKUP(C406,customers!$A$1:$A$1001,customers!C405:C1405,,0)=0,"",_xlfn.XLOOKUP(C406,customers!$A$1:$A$1001,customers!C405:C1405,,0))</f>
        <v>amellandmg@pen.io</v>
      </c>
      <c r="H406" s="2" t="str">
        <f>_xlfn.XLOOKUP(Orders[[#This Row],[Customer ID]],customers!$A$1:$A$1001,customers!$G$1:$G$1001,,0)</f>
        <v>Ireland</v>
      </c>
      <c r="I406" s="2" t="str">
        <f>_xlfn.XLOOKUP(Orders[[#This Row],[Customer ID]],customers!$A$1:$A$1001,customers!$F$1:$F$1001,,0)</f>
        <v>Whitegate</v>
      </c>
      <c r="J406" t="str">
        <f>INDEX(products!$A$1:$G$49,MATCH(orders!$D406,products!$A$1:$A$49,0),MATCH(orders!J$1,products!$A$1:$G$1,0))</f>
        <v>Ara</v>
      </c>
      <c r="K406" t="str">
        <f>INDEX(products!$A$1:$G$49,MATCH(orders!$D406,products!$A$1:$A$49,0),MATCH(orders!K$1,products!$A$1:$G$1,0))</f>
        <v>D</v>
      </c>
      <c r="L406" s="4">
        <f>INDEX(products!$A$1:$G$49,MATCH(orders!$D406,products!$A$1:$A$49,0),MATCH(orders!L$1,products!$A$1:$G$1,0))</f>
        <v>1</v>
      </c>
      <c r="M406" s="5">
        <f>INDEX(products!$A$1:$G$49,MATCH(orders!$D406,products!$A$1:$A$49,0),MATCH(orders!M$1,products!$A$1:$G$1,0))</f>
        <v>9.9499999999999993</v>
      </c>
      <c r="N406" s="5">
        <f>Orders[[#This Row],[Quantity]]*(INDEX(products!$A$1:$G$49,MATCH(orders!$D406,products!$A$1:$A$49,0),MATCH(orders!N$1,products!$A$1:$G$1,0)))</f>
        <v>3.5819999999999994</v>
      </c>
      <c r="O406" s="5">
        <f>M406*E406</f>
        <v>39.799999999999997</v>
      </c>
      <c r="P406" t="str">
        <f t="shared" si="12"/>
        <v>Arabica</v>
      </c>
      <c r="Q406" t="str">
        <f t="shared" si="13"/>
        <v>Dark</v>
      </c>
      <c r="R406" t="str">
        <f>_xlfn.XLOOKUP(Orders[[#This Row],[Customer ID]],customers!$A$1:$A$1001,customers!$I$1:$I$1001,,0)</f>
        <v>No</v>
      </c>
    </row>
    <row r="407" spans="1:18" x14ac:dyDescent="0.35">
      <c r="A407" s="2" t="s">
        <v>2775</v>
      </c>
      <c r="B407" s="3">
        <v>44167</v>
      </c>
      <c r="C407" s="2" t="s">
        <v>2776</v>
      </c>
      <c r="D407" t="s">
        <v>6139</v>
      </c>
      <c r="E407" s="2">
        <v>3</v>
      </c>
      <c r="F407" s="2" t="str">
        <f>_xlfn.XLOOKUP(Orders[[#This Row],[Customer ID]],customers!$A$1:$A$1001,customers!$B$1:$B$1001,,0)</f>
        <v>Leonie Cullrford</v>
      </c>
      <c r="G407" s="2" t="str">
        <f>IF(_xlfn.XLOOKUP(C407,customers!$A$1:$A$1001,customers!C406:C1406,,0)=0,"",_xlfn.XLOOKUP(C407,customers!$A$1:$A$1001,customers!C406:C1406,,0))</f>
        <v>abalsdonemi@toplist.cz</v>
      </c>
      <c r="H407" s="2" t="str">
        <f>_xlfn.XLOOKUP(Orders[[#This Row],[Customer ID]],customers!$A$1:$A$1001,customers!$G$1:$G$1001,,0)</f>
        <v>United States</v>
      </c>
      <c r="I407" s="2" t="str">
        <f>_xlfn.XLOOKUP(Orders[[#This Row],[Customer ID]],customers!$A$1:$A$1001,customers!$F$1:$F$1001,,0)</f>
        <v>Chico</v>
      </c>
      <c r="J407" t="str">
        <f>INDEX(products!$A$1:$G$49,MATCH(orders!$D407,products!$A$1:$A$49,0),MATCH(orders!J$1,products!$A$1:$G$1,0))</f>
        <v>Exc</v>
      </c>
      <c r="K407" t="str">
        <f>INDEX(products!$A$1:$G$49,MATCH(orders!$D407,products!$A$1:$A$49,0),MATCH(orders!K$1,products!$A$1:$G$1,0))</f>
        <v>M</v>
      </c>
      <c r="L407" s="4">
        <f>INDEX(products!$A$1:$G$49,MATCH(orders!$D407,products!$A$1:$A$49,0),MATCH(orders!L$1,products!$A$1:$G$1,0))</f>
        <v>0.5</v>
      </c>
      <c r="M407" s="5">
        <f>INDEX(products!$A$1:$G$49,MATCH(orders!$D407,products!$A$1:$A$49,0),MATCH(orders!M$1,products!$A$1:$G$1,0))</f>
        <v>8.25</v>
      </c>
      <c r="N407" s="5">
        <f>Orders[[#This Row],[Quantity]]*(INDEX(products!$A$1:$G$49,MATCH(orders!$D407,products!$A$1:$A$49,0),MATCH(orders!N$1,products!$A$1:$G$1,0)))</f>
        <v>2.7225000000000001</v>
      </c>
      <c r="O407" s="5">
        <f>M407*E407</f>
        <v>24.75</v>
      </c>
      <c r="P407" t="str">
        <f t="shared" si="12"/>
        <v>Excelsa</v>
      </c>
      <c r="Q407" t="str">
        <f t="shared" si="13"/>
        <v>Medium</v>
      </c>
      <c r="R407" t="str">
        <f>_xlfn.XLOOKUP(Orders[[#This Row],[Customer ID]],customers!$A$1:$A$1001,customers!$I$1:$I$1001,,0)</f>
        <v>Yes</v>
      </c>
    </row>
    <row r="408" spans="1:18" x14ac:dyDescent="0.35">
      <c r="A408" s="2" t="s">
        <v>2781</v>
      </c>
      <c r="B408" s="3">
        <v>44416</v>
      </c>
      <c r="C408" s="2" t="s">
        <v>2782</v>
      </c>
      <c r="D408" t="s">
        <v>6141</v>
      </c>
      <c r="E408" s="2">
        <v>5</v>
      </c>
      <c r="F408" s="2" t="str">
        <f>_xlfn.XLOOKUP(Orders[[#This Row],[Customer ID]],customers!$A$1:$A$1001,customers!$B$1:$B$1001,,0)</f>
        <v>Auguste Rizon</v>
      </c>
      <c r="G408" s="2" t="str">
        <f>IF(_xlfn.XLOOKUP(C408,customers!$A$1:$A$1001,customers!C407:C1407,,0)=0,"",_xlfn.XLOOKUP(C408,customers!$A$1:$A$1001,customers!C407:C1407,,0))</f>
        <v>mglovermk@cnbc.com</v>
      </c>
      <c r="H408" s="2" t="str">
        <f>_xlfn.XLOOKUP(Orders[[#This Row],[Customer ID]],customers!$A$1:$A$1001,customers!$G$1:$G$1001,,0)</f>
        <v>United States</v>
      </c>
      <c r="I408" s="2" t="str">
        <f>_xlfn.XLOOKUP(Orders[[#This Row],[Customer ID]],customers!$A$1:$A$1001,customers!$F$1:$F$1001,,0)</f>
        <v>Little Rock</v>
      </c>
      <c r="J408" t="str">
        <f>INDEX(products!$A$1:$G$49,MATCH(orders!$D408,products!$A$1:$A$49,0),MATCH(orders!J$1,products!$A$1:$G$1,0))</f>
        <v>Exc</v>
      </c>
      <c r="K408" t="str">
        <f>INDEX(products!$A$1:$G$49,MATCH(orders!$D408,products!$A$1:$A$49,0),MATCH(orders!K$1,products!$A$1:$G$1,0))</f>
        <v>M</v>
      </c>
      <c r="L408" s="4">
        <f>INDEX(products!$A$1:$G$49,MATCH(orders!$D408,products!$A$1:$A$49,0),MATCH(orders!L$1,products!$A$1:$G$1,0))</f>
        <v>1</v>
      </c>
      <c r="M408" s="5">
        <f>INDEX(products!$A$1:$G$49,MATCH(orders!$D408,products!$A$1:$A$49,0),MATCH(orders!M$1,products!$A$1:$G$1,0))</f>
        <v>13.75</v>
      </c>
      <c r="N408" s="5">
        <f>Orders[[#This Row],[Quantity]]*(INDEX(products!$A$1:$G$49,MATCH(orders!$D408,products!$A$1:$A$49,0),MATCH(orders!N$1,products!$A$1:$G$1,0)))</f>
        <v>7.5625</v>
      </c>
      <c r="O408" s="5">
        <f>M408*E408</f>
        <v>68.75</v>
      </c>
      <c r="P408" t="str">
        <f t="shared" si="12"/>
        <v>Excelsa</v>
      </c>
      <c r="Q408" t="str">
        <f t="shared" si="13"/>
        <v>Medium</v>
      </c>
      <c r="R408" t="str">
        <f>_xlfn.XLOOKUP(Orders[[#This Row],[Customer ID]],customers!$A$1:$A$1001,customers!$I$1:$I$1001,,0)</f>
        <v>Yes</v>
      </c>
    </row>
    <row r="409" spans="1:18" x14ac:dyDescent="0.35">
      <c r="A409" s="2" t="s">
        <v>2787</v>
      </c>
      <c r="B409" s="3">
        <v>44595</v>
      </c>
      <c r="C409" s="2" t="s">
        <v>2788</v>
      </c>
      <c r="D409" t="s">
        <v>6139</v>
      </c>
      <c r="E409" s="2">
        <v>6</v>
      </c>
      <c r="F409" s="2" t="str">
        <f>_xlfn.XLOOKUP(Orders[[#This Row],[Customer ID]],customers!$A$1:$A$1001,customers!$B$1:$B$1001,,0)</f>
        <v>Lorin Guerrazzi</v>
      </c>
      <c r="G409" s="2" t="str">
        <f>IF(_xlfn.XLOOKUP(C409,customers!$A$1:$A$1001,customers!C408:C1408,,0)=0,"",_xlfn.XLOOKUP(C409,customers!$A$1:$A$1001,customers!C408:C1408,,0))</f>
        <v>senefermm@blog.com</v>
      </c>
      <c r="H409" s="2" t="str">
        <f>_xlfn.XLOOKUP(Orders[[#This Row],[Customer ID]],customers!$A$1:$A$1001,customers!$G$1:$G$1001,,0)</f>
        <v>Ireland</v>
      </c>
      <c r="I409" s="2" t="str">
        <f>_xlfn.XLOOKUP(Orders[[#This Row],[Customer ID]],customers!$A$1:$A$1001,customers!$F$1:$F$1001,,0)</f>
        <v>Balrothery</v>
      </c>
      <c r="J409" t="str">
        <f>INDEX(products!$A$1:$G$49,MATCH(orders!$D409,products!$A$1:$A$49,0),MATCH(orders!J$1,products!$A$1:$G$1,0))</f>
        <v>Exc</v>
      </c>
      <c r="K409" t="str">
        <f>INDEX(products!$A$1:$G$49,MATCH(orders!$D409,products!$A$1:$A$49,0),MATCH(orders!K$1,products!$A$1:$G$1,0))</f>
        <v>M</v>
      </c>
      <c r="L409" s="4">
        <f>INDEX(products!$A$1:$G$49,MATCH(orders!$D409,products!$A$1:$A$49,0),MATCH(orders!L$1,products!$A$1:$G$1,0))</f>
        <v>0.5</v>
      </c>
      <c r="M409" s="5">
        <f>INDEX(products!$A$1:$G$49,MATCH(orders!$D409,products!$A$1:$A$49,0),MATCH(orders!M$1,products!$A$1:$G$1,0))</f>
        <v>8.25</v>
      </c>
      <c r="N409" s="5">
        <f>Orders[[#This Row],[Quantity]]*(INDEX(products!$A$1:$G$49,MATCH(orders!$D409,products!$A$1:$A$49,0),MATCH(orders!N$1,products!$A$1:$G$1,0)))</f>
        <v>5.4450000000000003</v>
      </c>
      <c r="O409" s="5">
        <f>M409*E409</f>
        <v>49.5</v>
      </c>
      <c r="P409" t="str">
        <f t="shared" si="12"/>
        <v>Excelsa</v>
      </c>
      <c r="Q409" t="str">
        <f t="shared" si="13"/>
        <v>Medium</v>
      </c>
      <c r="R409" t="str">
        <f>_xlfn.XLOOKUP(Orders[[#This Row],[Customer ID]],customers!$A$1:$A$1001,customers!$I$1:$I$1001,,0)</f>
        <v>No</v>
      </c>
    </row>
    <row r="410" spans="1:18" x14ac:dyDescent="0.35">
      <c r="A410" s="2" t="s">
        <v>2792</v>
      </c>
      <c r="B410" s="3">
        <v>44659</v>
      </c>
      <c r="C410" s="2" t="s">
        <v>2793</v>
      </c>
      <c r="D410" t="s">
        <v>6175</v>
      </c>
      <c r="E410" s="2">
        <v>2</v>
      </c>
      <c r="F410" s="2" t="str">
        <f>_xlfn.XLOOKUP(Orders[[#This Row],[Customer ID]],customers!$A$1:$A$1001,customers!$B$1:$B$1001,,0)</f>
        <v>Felice Miell</v>
      </c>
      <c r="G410" s="2" t="str">
        <f>IF(_xlfn.XLOOKUP(C410,customers!$A$1:$A$1001,customers!C409:C1409,,0)=0,"",_xlfn.XLOOKUP(C410,customers!$A$1:$A$1001,customers!C409:C1409,,0))</f>
        <v>mgundrymo@omniture.com</v>
      </c>
      <c r="H410" s="2" t="str">
        <f>_xlfn.XLOOKUP(Orders[[#This Row],[Customer ID]],customers!$A$1:$A$1001,customers!$G$1:$G$1001,,0)</f>
        <v>United States</v>
      </c>
      <c r="I410" s="2" t="str">
        <f>_xlfn.XLOOKUP(Orders[[#This Row],[Customer ID]],customers!$A$1:$A$1001,customers!$F$1:$F$1001,,0)</f>
        <v>New Brunswick</v>
      </c>
      <c r="J410" t="str">
        <f>INDEX(products!$A$1:$G$49,MATCH(orders!$D410,products!$A$1:$A$49,0),MATCH(orders!J$1,products!$A$1:$G$1,0))</f>
        <v>Ara</v>
      </c>
      <c r="K410" t="str">
        <f>INDEX(products!$A$1:$G$49,MATCH(orders!$D410,products!$A$1:$A$49,0),MATCH(orders!K$1,products!$A$1:$G$1,0))</f>
        <v>M</v>
      </c>
      <c r="L410" s="4">
        <f>INDEX(products!$A$1:$G$49,MATCH(orders!$D410,products!$A$1:$A$49,0),MATCH(orders!L$1,products!$A$1:$G$1,0))</f>
        <v>2.5</v>
      </c>
      <c r="M410" s="5">
        <f>INDEX(products!$A$1:$G$49,MATCH(orders!$D410,products!$A$1:$A$49,0),MATCH(orders!M$1,products!$A$1:$G$1,0))</f>
        <v>25.874999999999996</v>
      </c>
      <c r="N410" s="5">
        <f>Orders[[#This Row],[Quantity]]*(INDEX(products!$A$1:$G$49,MATCH(orders!$D410,products!$A$1:$A$49,0),MATCH(orders!N$1,products!$A$1:$G$1,0)))</f>
        <v>4.6574999999999989</v>
      </c>
      <c r="O410" s="5">
        <f>M410*E410</f>
        <v>51.749999999999993</v>
      </c>
      <c r="P410" t="str">
        <f t="shared" si="12"/>
        <v>Arabica</v>
      </c>
      <c r="Q410" t="str">
        <f t="shared" si="13"/>
        <v>Medium</v>
      </c>
      <c r="R410" t="str">
        <f>_xlfn.XLOOKUP(Orders[[#This Row],[Customer ID]],customers!$A$1:$A$1001,customers!$I$1:$I$1001,,0)</f>
        <v>Yes</v>
      </c>
    </row>
    <row r="411" spans="1:18" x14ac:dyDescent="0.35">
      <c r="A411" s="2" t="s">
        <v>2798</v>
      </c>
      <c r="B411" s="3">
        <v>44203</v>
      </c>
      <c r="C411" s="2" t="s">
        <v>2799</v>
      </c>
      <c r="D411" t="s">
        <v>6170</v>
      </c>
      <c r="E411" s="2">
        <v>3</v>
      </c>
      <c r="F411" s="2" t="str">
        <f>_xlfn.XLOOKUP(Orders[[#This Row],[Customer ID]],customers!$A$1:$A$1001,customers!$B$1:$B$1001,,0)</f>
        <v>Hamish Skeech</v>
      </c>
      <c r="G411" s="2" t="str">
        <f>IF(_xlfn.XLOOKUP(C411,customers!$A$1:$A$1001,customers!C410:C1410,,0)=0,"",_xlfn.XLOOKUP(C411,customers!$A$1:$A$1001,customers!C410:C1410,,0))</f>
        <v/>
      </c>
      <c r="H411" s="2" t="str">
        <f>_xlfn.XLOOKUP(Orders[[#This Row],[Customer ID]],customers!$A$1:$A$1001,customers!$G$1:$G$1001,,0)</f>
        <v>Ireland</v>
      </c>
      <c r="I411" s="2" t="str">
        <f>_xlfn.XLOOKUP(Orders[[#This Row],[Customer ID]],customers!$A$1:$A$1001,customers!$F$1:$F$1001,,0)</f>
        <v>Valleymount</v>
      </c>
      <c r="J411" t="str">
        <f>INDEX(products!$A$1:$G$49,MATCH(orders!$D411,products!$A$1:$A$49,0),MATCH(orders!J$1,products!$A$1:$G$1,0))</f>
        <v>Lib</v>
      </c>
      <c r="K411" t="str">
        <f>INDEX(products!$A$1:$G$49,MATCH(orders!$D411,products!$A$1:$A$49,0),MATCH(orders!K$1,products!$A$1:$G$1,0))</f>
        <v>L</v>
      </c>
      <c r="L411" s="4">
        <f>INDEX(products!$A$1:$G$49,MATCH(orders!$D411,products!$A$1:$A$49,0),MATCH(orders!L$1,products!$A$1:$G$1,0))</f>
        <v>1</v>
      </c>
      <c r="M411" s="5">
        <f>INDEX(products!$A$1:$G$49,MATCH(orders!$D411,products!$A$1:$A$49,0),MATCH(orders!M$1,products!$A$1:$G$1,0))</f>
        <v>15.85</v>
      </c>
      <c r="N411" s="5">
        <f>Orders[[#This Row],[Quantity]]*(INDEX(products!$A$1:$G$49,MATCH(orders!$D411,products!$A$1:$A$49,0),MATCH(orders!N$1,products!$A$1:$G$1,0)))</f>
        <v>6.1815000000000007</v>
      </c>
      <c r="O411" s="5">
        <f>M411*E411</f>
        <v>47.55</v>
      </c>
      <c r="P411" t="str">
        <f t="shared" si="12"/>
        <v>Liberica</v>
      </c>
      <c r="Q411" t="str">
        <f t="shared" si="13"/>
        <v>Light</v>
      </c>
      <c r="R411" t="str">
        <f>_xlfn.XLOOKUP(Orders[[#This Row],[Customer ID]],customers!$A$1:$A$1001,customers!$I$1:$I$1001,,0)</f>
        <v>Yes</v>
      </c>
    </row>
    <row r="412" spans="1:18" x14ac:dyDescent="0.35">
      <c r="A412" s="2" t="s">
        <v>2803</v>
      </c>
      <c r="B412" s="3">
        <v>44441</v>
      </c>
      <c r="C412" s="2" t="s">
        <v>2804</v>
      </c>
      <c r="D412" t="s">
        <v>6167</v>
      </c>
      <c r="E412" s="2">
        <v>4</v>
      </c>
      <c r="F412" s="2" t="str">
        <f>_xlfn.XLOOKUP(Orders[[#This Row],[Customer ID]],customers!$A$1:$A$1001,customers!$B$1:$B$1001,,0)</f>
        <v>Giordano Lorenzin</v>
      </c>
      <c r="G412" s="2" t="str">
        <f>IF(_xlfn.XLOOKUP(C412,customers!$A$1:$A$1001,customers!C411:C1411,,0)=0,"",_xlfn.XLOOKUP(C412,customers!$A$1:$A$1001,customers!C411:C1411,,0))</f>
        <v>estentonms@google.it</v>
      </c>
      <c r="H412" s="2" t="str">
        <f>_xlfn.XLOOKUP(Orders[[#This Row],[Customer ID]],customers!$A$1:$A$1001,customers!$G$1:$G$1001,,0)</f>
        <v>United States</v>
      </c>
      <c r="I412" s="2" t="str">
        <f>_xlfn.XLOOKUP(Orders[[#This Row],[Customer ID]],customers!$A$1:$A$1001,customers!$F$1:$F$1001,,0)</f>
        <v>San Francisco</v>
      </c>
      <c r="J412" t="str">
        <f>INDEX(products!$A$1:$G$49,MATCH(orders!$D412,products!$A$1:$A$49,0),MATCH(orders!J$1,products!$A$1:$G$1,0))</f>
        <v>Ara</v>
      </c>
      <c r="K412" t="str">
        <f>INDEX(products!$A$1:$G$49,MATCH(orders!$D412,products!$A$1:$A$49,0),MATCH(orders!K$1,products!$A$1:$G$1,0))</f>
        <v>L</v>
      </c>
      <c r="L412" s="4">
        <f>INDEX(products!$A$1:$G$49,MATCH(orders!$D412,products!$A$1:$A$49,0),MATCH(orders!L$1,products!$A$1:$G$1,0))</f>
        <v>0.2</v>
      </c>
      <c r="M412" s="5">
        <f>INDEX(products!$A$1:$G$49,MATCH(orders!$D412,products!$A$1:$A$49,0),MATCH(orders!M$1,products!$A$1:$G$1,0))</f>
        <v>3.8849999999999998</v>
      </c>
      <c r="N412" s="5">
        <f>Orders[[#This Row],[Quantity]]*(INDEX(products!$A$1:$G$49,MATCH(orders!$D412,products!$A$1:$A$49,0),MATCH(orders!N$1,products!$A$1:$G$1,0)))</f>
        <v>1.3985999999999998</v>
      </c>
      <c r="O412" s="5">
        <f>M412*E412</f>
        <v>15.54</v>
      </c>
      <c r="P412" t="str">
        <f t="shared" si="12"/>
        <v>Arabica</v>
      </c>
      <c r="Q412" t="str">
        <f t="shared" si="13"/>
        <v>Light</v>
      </c>
      <c r="R412" t="str">
        <f>_xlfn.XLOOKUP(Orders[[#This Row],[Customer ID]],customers!$A$1:$A$1001,customers!$I$1:$I$1001,,0)</f>
        <v>No</v>
      </c>
    </row>
    <row r="413" spans="1:18" x14ac:dyDescent="0.35">
      <c r="A413" s="2" t="s">
        <v>2808</v>
      </c>
      <c r="B413" s="3">
        <v>44504</v>
      </c>
      <c r="C413" s="2" t="s">
        <v>2809</v>
      </c>
      <c r="D413" t="s">
        <v>6162</v>
      </c>
      <c r="E413" s="2">
        <v>6</v>
      </c>
      <c r="F413" s="2" t="str">
        <f>_xlfn.XLOOKUP(Orders[[#This Row],[Customer ID]],customers!$A$1:$A$1001,customers!$B$1:$B$1001,,0)</f>
        <v>Harwilll Bishell</v>
      </c>
      <c r="G413" s="2" t="str">
        <f>IF(_xlfn.XLOOKUP(C413,customers!$A$1:$A$1001,customers!C412:C1412,,0)=0,"",_xlfn.XLOOKUP(C413,customers!$A$1:$A$1001,customers!C412:C1412,,0))</f>
        <v>lmacmanusmu@imdb.com</v>
      </c>
      <c r="H413" s="2" t="str">
        <f>_xlfn.XLOOKUP(Orders[[#This Row],[Customer ID]],customers!$A$1:$A$1001,customers!$G$1:$G$1001,,0)</f>
        <v>United States</v>
      </c>
      <c r="I413" s="2" t="str">
        <f>_xlfn.XLOOKUP(Orders[[#This Row],[Customer ID]],customers!$A$1:$A$1001,customers!$F$1:$F$1001,,0)</f>
        <v>Lafayette</v>
      </c>
      <c r="J413" t="str">
        <f>INDEX(products!$A$1:$G$49,MATCH(orders!$D413,products!$A$1:$A$49,0),MATCH(orders!J$1,products!$A$1:$G$1,0))</f>
        <v>Lib</v>
      </c>
      <c r="K413" t="str">
        <f>INDEX(products!$A$1:$G$49,MATCH(orders!$D413,products!$A$1:$A$49,0),MATCH(orders!K$1,products!$A$1:$G$1,0))</f>
        <v>M</v>
      </c>
      <c r="L413" s="4">
        <f>INDEX(products!$A$1:$G$49,MATCH(orders!$D413,products!$A$1:$A$49,0),MATCH(orders!L$1,products!$A$1:$G$1,0))</f>
        <v>1</v>
      </c>
      <c r="M413" s="5">
        <f>INDEX(products!$A$1:$G$49,MATCH(orders!$D413,products!$A$1:$A$49,0),MATCH(orders!M$1,products!$A$1:$G$1,0))</f>
        <v>14.55</v>
      </c>
      <c r="N413" s="5">
        <f>Orders[[#This Row],[Quantity]]*(INDEX(products!$A$1:$G$49,MATCH(orders!$D413,products!$A$1:$A$49,0),MATCH(orders!N$1,products!$A$1:$G$1,0)))</f>
        <v>11.349</v>
      </c>
      <c r="O413" s="5">
        <f>M413*E413</f>
        <v>87.300000000000011</v>
      </c>
      <c r="P413" t="str">
        <f t="shared" si="12"/>
        <v>Liberica</v>
      </c>
      <c r="Q413" t="str">
        <f t="shared" si="13"/>
        <v>Medium</v>
      </c>
      <c r="R413" t="str">
        <f>_xlfn.XLOOKUP(Orders[[#This Row],[Customer ID]],customers!$A$1:$A$1001,customers!$I$1:$I$1001,,0)</f>
        <v>Yes</v>
      </c>
    </row>
    <row r="414" spans="1:18" x14ac:dyDescent="0.35">
      <c r="A414" s="2" t="s">
        <v>2813</v>
      </c>
      <c r="B414" s="3">
        <v>44410</v>
      </c>
      <c r="C414" s="2" t="s">
        <v>2814</v>
      </c>
      <c r="D414" t="s">
        <v>6155</v>
      </c>
      <c r="E414" s="2">
        <v>5</v>
      </c>
      <c r="F414" s="2" t="str">
        <f>_xlfn.XLOOKUP(Orders[[#This Row],[Customer ID]],customers!$A$1:$A$1001,customers!$B$1:$B$1001,,0)</f>
        <v>Freeland Missenden</v>
      </c>
      <c r="G414" s="2" t="str">
        <f>IF(_xlfn.XLOOKUP(C414,customers!$A$1:$A$1001,customers!C413:C1413,,0)=0,"",_xlfn.XLOOKUP(C414,customers!$A$1:$A$1001,customers!C413:C1413,,0))</f>
        <v>cbournermw@chronoengine.com</v>
      </c>
      <c r="H414" s="2" t="str">
        <f>_xlfn.XLOOKUP(Orders[[#This Row],[Customer ID]],customers!$A$1:$A$1001,customers!$G$1:$G$1001,,0)</f>
        <v>United States</v>
      </c>
      <c r="I414" s="2" t="str">
        <f>_xlfn.XLOOKUP(Orders[[#This Row],[Customer ID]],customers!$A$1:$A$1001,customers!$F$1:$F$1001,,0)</f>
        <v>San Diego</v>
      </c>
      <c r="J414" t="str">
        <f>INDEX(products!$A$1:$G$49,MATCH(orders!$D414,products!$A$1:$A$49,0),MATCH(orders!J$1,products!$A$1:$G$1,0))</f>
        <v>Ara</v>
      </c>
      <c r="K414" t="str">
        <f>INDEX(products!$A$1:$G$49,MATCH(orders!$D414,products!$A$1:$A$49,0),MATCH(orders!K$1,products!$A$1:$G$1,0))</f>
        <v>M</v>
      </c>
      <c r="L414" s="4">
        <f>INDEX(products!$A$1:$G$49,MATCH(orders!$D414,products!$A$1:$A$49,0),MATCH(orders!L$1,products!$A$1:$G$1,0))</f>
        <v>1</v>
      </c>
      <c r="M414" s="5">
        <f>INDEX(products!$A$1:$G$49,MATCH(orders!$D414,products!$A$1:$A$49,0),MATCH(orders!M$1,products!$A$1:$G$1,0))</f>
        <v>11.25</v>
      </c>
      <c r="N414" s="5">
        <f>Orders[[#This Row],[Quantity]]*(INDEX(products!$A$1:$G$49,MATCH(orders!$D414,products!$A$1:$A$49,0),MATCH(orders!N$1,products!$A$1:$G$1,0)))</f>
        <v>5.0625</v>
      </c>
      <c r="O414" s="5">
        <f>M414*E414</f>
        <v>56.25</v>
      </c>
      <c r="P414" t="str">
        <f t="shared" si="12"/>
        <v>Arabica</v>
      </c>
      <c r="Q414" t="str">
        <f t="shared" si="13"/>
        <v>Medium</v>
      </c>
      <c r="R414" t="str">
        <f>_xlfn.XLOOKUP(Orders[[#This Row],[Customer ID]],customers!$A$1:$A$1001,customers!$I$1:$I$1001,,0)</f>
        <v>Yes</v>
      </c>
    </row>
    <row r="415" spans="1:18" x14ac:dyDescent="0.35">
      <c r="A415" s="2" t="s">
        <v>2818</v>
      </c>
      <c r="B415" s="3">
        <v>43857</v>
      </c>
      <c r="C415" s="2" t="s">
        <v>2819</v>
      </c>
      <c r="D415" t="s">
        <v>6164</v>
      </c>
      <c r="E415" s="2">
        <v>1</v>
      </c>
      <c r="F415" s="2" t="str">
        <f>_xlfn.XLOOKUP(Orders[[#This Row],[Customer ID]],customers!$A$1:$A$1001,customers!$B$1:$B$1001,,0)</f>
        <v>Waylan Springall</v>
      </c>
      <c r="G415" s="2" t="str">
        <f>IF(_xlfn.XLOOKUP(C415,customers!$A$1:$A$1001,customers!C414:C1414,,0)=0,"",_xlfn.XLOOKUP(C415,customers!$A$1:$A$1001,customers!C414:C1414,,0))</f>
        <v>kheddanmy@icq.com</v>
      </c>
      <c r="H415" s="2" t="str">
        <f>_xlfn.XLOOKUP(Orders[[#This Row],[Customer ID]],customers!$A$1:$A$1001,customers!$G$1:$G$1001,,0)</f>
        <v>United States</v>
      </c>
      <c r="I415" s="2" t="str">
        <f>_xlfn.XLOOKUP(Orders[[#This Row],[Customer ID]],customers!$A$1:$A$1001,customers!$F$1:$F$1001,,0)</f>
        <v>Alhambra</v>
      </c>
      <c r="J415" t="str">
        <f>INDEX(products!$A$1:$G$49,MATCH(orders!$D415,products!$A$1:$A$49,0),MATCH(orders!J$1,products!$A$1:$G$1,0))</f>
        <v>Lib</v>
      </c>
      <c r="K415" t="str">
        <f>INDEX(products!$A$1:$G$49,MATCH(orders!$D415,products!$A$1:$A$49,0),MATCH(orders!K$1,products!$A$1:$G$1,0))</f>
        <v>L</v>
      </c>
      <c r="L415" s="4">
        <f>INDEX(products!$A$1:$G$49,MATCH(orders!$D415,products!$A$1:$A$49,0),MATCH(orders!L$1,products!$A$1:$G$1,0))</f>
        <v>2.5</v>
      </c>
      <c r="M415" s="5">
        <f>INDEX(products!$A$1:$G$49,MATCH(orders!$D415,products!$A$1:$A$49,0),MATCH(orders!M$1,products!$A$1:$G$1,0))</f>
        <v>36.454999999999998</v>
      </c>
      <c r="N415" s="5">
        <f>Orders[[#This Row],[Quantity]]*(INDEX(products!$A$1:$G$49,MATCH(orders!$D415,products!$A$1:$A$49,0),MATCH(orders!N$1,products!$A$1:$G$1,0)))</f>
        <v>4.7391499999999995</v>
      </c>
      <c r="O415" s="5">
        <f>M415*E415</f>
        <v>36.454999999999998</v>
      </c>
      <c r="P415" t="str">
        <f t="shared" si="12"/>
        <v>Liberica</v>
      </c>
      <c r="Q415" t="str">
        <f t="shared" si="13"/>
        <v>Light</v>
      </c>
      <c r="R415" t="str">
        <f>_xlfn.XLOOKUP(Orders[[#This Row],[Customer ID]],customers!$A$1:$A$1001,customers!$I$1:$I$1001,,0)</f>
        <v>Yes</v>
      </c>
    </row>
    <row r="416" spans="1:18" x14ac:dyDescent="0.35">
      <c r="A416" s="2" t="s">
        <v>2824</v>
      </c>
      <c r="B416" s="3">
        <v>43802</v>
      </c>
      <c r="C416" s="2" t="s">
        <v>2825</v>
      </c>
      <c r="D416" t="s">
        <v>6178</v>
      </c>
      <c r="E416" s="2">
        <v>3</v>
      </c>
      <c r="F416" s="2" t="str">
        <f>_xlfn.XLOOKUP(Orders[[#This Row],[Customer ID]],customers!$A$1:$A$1001,customers!$B$1:$B$1001,,0)</f>
        <v>Kiri Avramow</v>
      </c>
      <c r="G416" s="2" t="str">
        <f>IF(_xlfn.XLOOKUP(C416,customers!$A$1:$A$1001,customers!C415:C1415,,0)=0,"",_xlfn.XLOOKUP(C416,customers!$A$1:$A$1001,customers!C415:C1415,,0))</f>
        <v>aroubertn0@tmall.com</v>
      </c>
      <c r="H416" s="2" t="str">
        <f>_xlfn.XLOOKUP(Orders[[#This Row],[Customer ID]],customers!$A$1:$A$1001,customers!$G$1:$G$1001,,0)</f>
        <v>United States</v>
      </c>
      <c r="I416" s="2" t="str">
        <f>_xlfn.XLOOKUP(Orders[[#This Row],[Customer ID]],customers!$A$1:$A$1001,customers!$F$1:$F$1001,,0)</f>
        <v>Tyler</v>
      </c>
      <c r="J416" t="str">
        <f>INDEX(products!$A$1:$G$49,MATCH(orders!$D416,products!$A$1:$A$49,0),MATCH(orders!J$1,products!$A$1:$G$1,0))</f>
        <v>Rob</v>
      </c>
      <c r="K416" t="str">
        <f>INDEX(products!$A$1:$G$49,MATCH(orders!$D416,products!$A$1:$A$49,0),MATCH(orders!K$1,products!$A$1:$G$1,0))</f>
        <v>L</v>
      </c>
      <c r="L416" s="4">
        <f>INDEX(products!$A$1:$G$49,MATCH(orders!$D416,products!$A$1:$A$49,0),MATCH(orders!L$1,products!$A$1:$G$1,0))</f>
        <v>0.2</v>
      </c>
      <c r="M416" s="5">
        <f>INDEX(products!$A$1:$G$49,MATCH(orders!$D416,products!$A$1:$A$49,0),MATCH(orders!M$1,products!$A$1:$G$1,0))</f>
        <v>3.5849999999999995</v>
      </c>
      <c r="N416" s="5">
        <f>Orders[[#This Row],[Quantity]]*(INDEX(products!$A$1:$G$49,MATCH(orders!$D416,products!$A$1:$A$49,0),MATCH(orders!N$1,products!$A$1:$G$1,0)))</f>
        <v>0.64529999999999987</v>
      </c>
      <c r="O416" s="5">
        <f>M416*E416</f>
        <v>10.754999999999999</v>
      </c>
      <c r="P416" t="str">
        <f t="shared" si="12"/>
        <v>Robusta</v>
      </c>
      <c r="Q416" t="str">
        <f t="shared" si="13"/>
        <v>Light</v>
      </c>
      <c r="R416" t="str">
        <f>_xlfn.XLOOKUP(Orders[[#This Row],[Customer ID]],customers!$A$1:$A$1001,customers!$I$1:$I$1001,,0)</f>
        <v>Yes</v>
      </c>
    </row>
    <row r="417" spans="1:18" x14ac:dyDescent="0.35">
      <c r="A417" s="2" t="s">
        <v>2829</v>
      </c>
      <c r="B417" s="3">
        <v>43683</v>
      </c>
      <c r="C417" s="2" t="s">
        <v>2830</v>
      </c>
      <c r="D417" t="s">
        <v>6174</v>
      </c>
      <c r="E417" s="2">
        <v>3</v>
      </c>
      <c r="F417" s="2" t="str">
        <f>_xlfn.XLOOKUP(Orders[[#This Row],[Customer ID]],customers!$A$1:$A$1001,customers!$B$1:$B$1001,,0)</f>
        <v>Gregg Hawkyens</v>
      </c>
      <c r="G417" s="2" t="str">
        <f>IF(_xlfn.XLOOKUP(C417,customers!$A$1:$A$1001,customers!C416:C1416,,0)=0,"",_xlfn.XLOOKUP(C417,customers!$A$1:$A$1001,customers!C416:C1416,,0))</f>
        <v>hrainforthn2@blog.com</v>
      </c>
      <c r="H417" s="2" t="str">
        <f>_xlfn.XLOOKUP(Orders[[#This Row],[Customer ID]],customers!$A$1:$A$1001,customers!$G$1:$G$1001,,0)</f>
        <v>United States</v>
      </c>
      <c r="I417" s="2" t="str">
        <f>_xlfn.XLOOKUP(Orders[[#This Row],[Customer ID]],customers!$A$1:$A$1001,customers!$F$1:$F$1001,,0)</f>
        <v>Lafayette</v>
      </c>
      <c r="J417" t="str">
        <f>INDEX(products!$A$1:$G$49,MATCH(orders!$D417,products!$A$1:$A$49,0),MATCH(orders!J$1,products!$A$1:$G$1,0))</f>
        <v>Rob</v>
      </c>
      <c r="K417" t="str">
        <f>INDEX(products!$A$1:$G$49,MATCH(orders!$D417,products!$A$1:$A$49,0),MATCH(orders!K$1,products!$A$1:$G$1,0))</f>
        <v>M</v>
      </c>
      <c r="L417" s="4">
        <f>INDEX(products!$A$1:$G$49,MATCH(orders!$D417,products!$A$1:$A$49,0),MATCH(orders!L$1,products!$A$1:$G$1,0))</f>
        <v>0.2</v>
      </c>
      <c r="M417" s="5">
        <f>INDEX(products!$A$1:$G$49,MATCH(orders!$D417,products!$A$1:$A$49,0),MATCH(orders!M$1,products!$A$1:$G$1,0))</f>
        <v>2.9849999999999999</v>
      </c>
      <c r="N417" s="5">
        <f>Orders[[#This Row],[Quantity]]*(INDEX(products!$A$1:$G$49,MATCH(orders!$D417,products!$A$1:$A$49,0),MATCH(orders!N$1,products!$A$1:$G$1,0)))</f>
        <v>0.53729999999999989</v>
      </c>
      <c r="O417" s="5">
        <f>M417*E417</f>
        <v>8.9550000000000001</v>
      </c>
      <c r="P417" t="str">
        <f t="shared" si="12"/>
        <v>Robusta</v>
      </c>
      <c r="Q417" t="str">
        <f t="shared" si="13"/>
        <v>Medium</v>
      </c>
      <c r="R417" t="str">
        <f>_xlfn.XLOOKUP(Orders[[#This Row],[Customer ID]],customers!$A$1:$A$1001,customers!$I$1:$I$1001,,0)</f>
        <v>No</v>
      </c>
    </row>
    <row r="418" spans="1:18" x14ac:dyDescent="0.35">
      <c r="A418" s="2" t="s">
        <v>2834</v>
      </c>
      <c r="B418" s="3">
        <v>43901</v>
      </c>
      <c r="C418" s="2" t="s">
        <v>2835</v>
      </c>
      <c r="D418" t="s">
        <v>6180</v>
      </c>
      <c r="E418" s="2">
        <v>3</v>
      </c>
      <c r="F418" s="2" t="str">
        <f>_xlfn.XLOOKUP(Orders[[#This Row],[Customer ID]],customers!$A$1:$A$1001,customers!$B$1:$B$1001,,0)</f>
        <v>Reggis Pracy</v>
      </c>
      <c r="G418" s="2" t="str">
        <f>IF(_xlfn.XLOOKUP(C418,customers!$A$1:$A$1001,customers!C417:C1417,,0)=0,"",_xlfn.XLOOKUP(C418,customers!$A$1:$A$1001,customers!C417:C1417,,0))</f>
        <v>ijespern4@theglobeandmail.com</v>
      </c>
      <c r="H418" s="2" t="str">
        <f>_xlfn.XLOOKUP(Orders[[#This Row],[Customer ID]],customers!$A$1:$A$1001,customers!$G$1:$G$1001,,0)</f>
        <v>United States</v>
      </c>
      <c r="I418" s="2" t="str">
        <f>_xlfn.XLOOKUP(Orders[[#This Row],[Customer ID]],customers!$A$1:$A$1001,customers!$F$1:$F$1001,,0)</f>
        <v>Dayton</v>
      </c>
      <c r="J418" t="str">
        <f>INDEX(products!$A$1:$G$49,MATCH(orders!$D418,products!$A$1:$A$49,0),MATCH(orders!J$1,products!$A$1:$G$1,0))</f>
        <v>Ara</v>
      </c>
      <c r="K418" t="str">
        <f>INDEX(products!$A$1:$G$49,MATCH(orders!$D418,products!$A$1:$A$49,0),MATCH(orders!K$1,products!$A$1:$G$1,0))</f>
        <v>L</v>
      </c>
      <c r="L418" s="4">
        <f>INDEX(products!$A$1:$G$49,MATCH(orders!$D418,products!$A$1:$A$49,0),MATCH(orders!L$1,products!$A$1:$G$1,0))</f>
        <v>0.5</v>
      </c>
      <c r="M418" s="5">
        <f>INDEX(products!$A$1:$G$49,MATCH(orders!$D418,products!$A$1:$A$49,0),MATCH(orders!M$1,products!$A$1:$G$1,0))</f>
        <v>7.77</v>
      </c>
      <c r="N418" s="5">
        <f>Orders[[#This Row],[Quantity]]*(INDEX(products!$A$1:$G$49,MATCH(orders!$D418,products!$A$1:$A$49,0),MATCH(orders!N$1,products!$A$1:$G$1,0)))</f>
        <v>2.0978999999999997</v>
      </c>
      <c r="O418" s="5">
        <f>M418*E418</f>
        <v>23.31</v>
      </c>
      <c r="P418" t="str">
        <f t="shared" si="12"/>
        <v>Arabica</v>
      </c>
      <c r="Q418" t="str">
        <f t="shared" si="13"/>
        <v>Light</v>
      </c>
      <c r="R418" t="str">
        <f>_xlfn.XLOOKUP(Orders[[#This Row],[Customer ID]],customers!$A$1:$A$1001,customers!$I$1:$I$1001,,0)</f>
        <v>Yes</v>
      </c>
    </row>
    <row r="419" spans="1:18" x14ac:dyDescent="0.35">
      <c r="A419" s="2" t="s">
        <v>2839</v>
      </c>
      <c r="B419" s="3">
        <v>44457</v>
      </c>
      <c r="C419" s="2" t="s">
        <v>2840</v>
      </c>
      <c r="D419" t="s">
        <v>6182</v>
      </c>
      <c r="E419" s="2">
        <v>1</v>
      </c>
      <c r="F419" s="2" t="str">
        <f>_xlfn.XLOOKUP(Orders[[#This Row],[Customer ID]],customers!$A$1:$A$1001,customers!$B$1:$B$1001,,0)</f>
        <v>Paula Denis</v>
      </c>
      <c r="G419" s="2" t="str">
        <f>IF(_xlfn.XLOOKUP(C419,customers!$A$1:$A$1001,customers!C418:C1418,,0)=0,"",_xlfn.XLOOKUP(C419,customers!$A$1:$A$1001,customers!C418:C1418,,0))</f>
        <v>nbroomern6@examiner.com</v>
      </c>
      <c r="H419" s="2" t="str">
        <f>_xlfn.XLOOKUP(Orders[[#This Row],[Customer ID]],customers!$A$1:$A$1001,customers!$G$1:$G$1001,,0)</f>
        <v>United States</v>
      </c>
      <c r="I419" s="2" t="str">
        <f>_xlfn.XLOOKUP(Orders[[#This Row],[Customer ID]],customers!$A$1:$A$1001,customers!$F$1:$F$1001,,0)</f>
        <v>Phoenix</v>
      </c>
      <c r="J419" t="str">
        <f>INDEX(products!$A$1:$G$49,MATCH(orders!$D419,products!$A$1:$A$49,0),MATCH(orders!J$1,products!$A$1:$G$1,0))</f>
        <v>Ara</v>
      </c>
      <c r="K419" t="str">
        <f>INDEX(products!$A$1:$G$49,MATCH(orders!$D419,products!$A$1:$A$49,0),MATCH(orders!K$1,products!$A$1:$G$1,0))</f>
        <v>L</v>
      </c>
      <c r="L419" s="4">
        <f>INDEX(products!$A$1:$G$49,MATCH(orders!$D419,products!$A$1:$A$49,0),MATCH(orders!L$1,products!$A$1:$G$1,0))</f>
        <v>2.5</v>
      </c>
      <c r="M419" s="5">
        <f>INDEX(products!$A$1:$G$49,MATCH(orders!$D419,products!$A$1:$A$49,0),MATCH(orders!M$1,products!$A$1:$G$1,0))</f>
        <v>29.784999999999997</v>
      </c>
      <c r="N419" s="5">
        <f>Orders[[#This Row],[Quantity]]*(INDEX(products!$A$1:$G$49,MATCH(orders!$D419,products!$A$1:$A$49,0),MATCH(orders!N$1,products!$A$1:$G$1,0)))</f>
        <v>2.6806499999999995</v>
      </c>
      <c r="O419" s="5">
        <f>M419*E419</f>
        <v>29.784999999999997</v>
      </c>
      <c r="P419" t="str">
        <f t="shared" si="12"/>
        <v>Arabica</v>
      </c>
      <c r="Q419" t="str">
        <f t="shared" si="13"/>
        <v>Light</v>
      </c>
      <c r="R419" t="str">
        <f>_xlfn.XLOOKUP(Orders[[#This Row],[Customer ID]],customers!$A$1:$A$1001,customers!$I$1:$I$1001,,0)</f>
        <v>Yes</v>
      </c>
    </row>
    <row r="420" spans="1:18" x14ac:dyDescent="0.35">
      <c r="A420" s="2" t="s">
        <v>2844</v>
      </c>
      <c r="B420" s="3">
        <v>44142</v>
      </c>
      <c r="C420" s="2" t="s">
        <v>2845</v>
      </c>
      <c r="D420" t="s">
        <v>6182</v>
      </c>
      <c r="E420" s="2">
        <v>5</v>
      </c>
      <c r="F420" s="2" t="str">
        <f>_xlfn.XLOOKUP(Orders[[#This Row],[Customer ID]],customers!$A$1:$A$1001,customers!$B$1:$B$1001,,0)</f>
        <v>Broderick McGilvra</v>
      </c>
      <c r="G420" s="2" t="str">
        <f>IF(_xlfn.XLOOKUP(C420,customers!$A$1:$A$1001,customers!C419:C1419,,0)=0,"",_xlfn.XLOOKUP(C420,customers!$A$1:$A$1001,customers!C419:C1419,,0))</f>
        <v>fhabberghamn8@discovery.com</v>
      </c>
      <c r="H420" s="2" t="str">
        <f>_xlfn.XLOOKUP(Orders[[#This Row],[Customer ID]],customers!$A$1:$A$1001,customers!$G$1:$G$1001,,0)</f>
        <v>United States</v>
      </c>
      <c r="I420" s="2" t="str">
        <f>_xlfn.XLOOKUP(Orders[[#This Row],[Customer ID]],customers!$A$1:$A$1001,customers!$F$1:$F$1001,,0)</f>
        <v>Sacramento</v>
      </c>
      <c r="J420" t="str">
        <f>INDEX(products!$A$1:$G$49,MATCH(orders!$D420,products!$A$1:$A$49,0),MATCH(orders!J$1,products!$A$1:$G$1,0))</f>
        <v>Ara</v>
      </c>
      <c r="K420" t="str">
        <f>INDEX(products!$A$1:$G$49,MATCH(orders!$D420,products!$A$1:$A$49,0),MATCH(orders!K$1,products!$A$1:$G$1,0))</f>
        <v>L</v>
      </c>
      <c r="L420" s="4">
        <f>INDEX(products!$A$1:$G$49,MATCH(orders!$D420,products!$A$1:$A$49,0),MATCH(orders!L$1,products!$A$1:$G$1,0))</f>
        <v>2.5</v>
      </c>
      <c r="M420" s="5">
        <f>INDEX(products!$A$1:$G$49,MATCH(orders!$D420,products!$A$1:$A$49,0),MATCH(orders!M$1,products!$A$1:$G$1,0))</f>
        <v>29.784999999999997</v>
      </c>
      <c r="N420" s="5">
        <f>Orders[[#This Row],[Quantity]]*(INDEX(products!$A$1:$G$49,MATCH(orders!$D420,products!$A$1:$A$49,0),MATCH(orders!N$1,products!$A$1:$G$1,0)))</f>
        <v>13.403249999999998</v>
      </c>
      <c r="O420" s="5">
        <f>M420*E420</f>
        <v>148.92499999999998</v>
      </c>
      <c r="P420" t="str">
        <f t="shared" si="12"/>
        <v>Arabica</v>
      </c>
      <c r="Q420" t="str">
        <f t="shared" si="13"/>
        <v>Light</v>
      </c>
      <c r="R420" t="str">
        <f>_xlfn.XLOOKUP(Orders[[#This Row],[Customer ID]],customers!$A$1:$A$1001,customers!$I$1:$I$1001,,0)</f>
        <v>Yes</v>
      </c>
    </row>
    <row r="421" spans="1:18" x14ac:dyDescent="0.35">
      <c r="A421" s="2" t="s">
        <v>2849</v>
      </c>
      <c r="B421" s="3">
        <v>44739</v>
      </c>
      <c r="C421" s="2" t="s">
        <v>2850</v>
      </c>
      <c r="D421" t="s">
        <v>6160</v>
      </c>
      <c r="E421" s="2">
        <v>1</v>
      </c>
      <c r="F421" s="2" t="str">
        <f>_xlfn.XLOOKUP(Orders[[#This Row],[Customer ID]],customers!$A$1:$A$1001,customers!$B$1:$B$1001,,0)</f>
        <v>Annabella Danzey</v>
      </c>
      <c r="G421" s="2" t="str">
        <f>IF(_xlfn.XLOOKUP(C421,customers!$A$1:$A$1001,customers!C420:C1420,,0)=0,"",_xlfn.XLOOKUP(C421,customers!$A$1:$A$1001,customers!C420:C1420,,0))</f>
        <v>ravrashinna@tamu.edu</v>
      </c>
      <c r="H421" s="2" t="str">
        <f>_xlfn.XLOOKUP(Orders[[#This Row],[Customer ID]],customers!$A$1:$A$1001,customers!$G$1:$G$1001,,0)</f>
        <v>United States</v>
      </c>
      <c r="I421" s="2" t="str">
        <f>_xlfn.XLOOKUP(Orders[[#This Row],[Customer ID]],customers!$A$1:$A$1001,customers!$F$1:$F$1001,,0)</f>
        <v>Lincoln</v>
      </c>
      <c r="J421" t="str">
        <f>INDEX(products!$A$1:$G$49,MATCH(orders!$D421,products!$A$1:$A$49,0),MATCH(orders!J$1,products!$A$1:$G$1,0))</f>
        <v>Lib</v>
      </c>
      <c r="K421" t="str">
        <f>INDEX(products!$A$1:$G$49,MATCH(orders!$D421,products!$A$1:$A$49,0),MATCH(orders!K$1,products!$A$1:$G$1,0))</f>
        <v>M</v>
      </c>
      <c r="L421" s="4">
        <f>INDEX(products!$A$1:$G$49,MATCH(orders!$D421,products!$A$1:$A$49,0),MATCH(orders!L$1,products!$A$1:$G$1,0))</f>
        <v>0.5</v>
      </c>
      <c r="M421" s="5">
        <f>INDEX(products!$A$1:$G$49,MATCH(orders!$D421,products!$A$1:$A$49,0),MATCH(orders!M$1,products!$A$1:$G$1,0))</f>
        <v>8.73</v>
      </c>
      <c r="N421" s="5">
        <f>Orders[[#This Row],[Quantity]]*(INDEX(products!$A$1:$G$49,MATCH(orders!$D421,products!$A$1:$A$49,0),MATCH(orders!N$1,products!$A$1:$G$1,0)))</f>
        <v>1.1349</v>
      </c>
      <c r="O421" s="5">
        <f>M421*E421</f>
        <v>8.73</v>
      </c>
      <c r="P421" t="str">
        <f t="shared" si="12"/>
        <v>Liberica</v>
      </c>
      <c r="Q421" t="str">
        <f t="shared" si="13"/>
        <v>Medium</v>
      </c>
      <c r="R421" t="str">
        <f>_xlfn.XLOOKUP(Orders[[#This Row],[Customer ID]],customers!$A$1:$A$1001,customers!$I$1:$I$1001,,0)</f>
        <v>Yes</v>
      </c>
    </row>
    <row r="422" spans="1:18" x14ac:dyDescent="0.35">
      <c r="A422" s="2" t="s">
        <v>2855</v>
      </c>
      <c r="B422" s="3">
        <v>43866</v>
      </c>
      <c r="C422" s="2" t="s">
        <v>2586</v>
      </c>
      <c r="D422" t="s">
        <v>6169</v>
      </c>
      <c r="E422" s="2">
        <v>4</v>
      </c>
      <c r="F422" s="2" t="str">
        <f>_xlfn.XLOOKUP(Orders[[#This Row],[Customer ID]],customers!$A$1:$A$1001,customers!$B$1:$B$1001,,0)</f>
        <v>Terri Farra</v>
      </c>
      <c r="G422" s="2" t="str">
        <f>IF(_xlfn.XLOOKUP(C422,customers!$A$1:$A$1001,customers!C421:C1421,,0)=0,"",_xlfn.XLOOKUP(C422,customers!$A$1:$A$1001,customers!C421:C1421,,0))</f>
        <v>jgippesm0@cloudflare.com</v>
      </c>
      <c r="H422" s="2" t="str">
        <f>_xlfn.XLOOKUP(Orders[[#This Row],[Customer ID]],customers!$A$1:$A$1001,customers!$G$1:$G$1001,,0)</f>
        <v>United States</v>
      </c>
      <c r="I422" s="2" t="str">
        <f>_xlfn.XLOOKUP(Orders[[#This Row],[Customer ID]],customers!$A$1:$A$1001,customers!$F$1:$F$1001,,0)</f>
        <v>Odessa</v>
      </c>
      <c r="J422" t="str">
        <f>INDEX(products!$A$1:$G$49,MATCH(orders!$D422,products!$A$1:$A$49,0),MATCH(orders!J$1,products!$A$1:$G$1,0))</f>
        <v>Lib</v>
      </c>
      <c r="K422" t="str">
        <f>INDEX(products!$A$1:$G$49,MATCH(orders!$D422,products!$A$1:$A$49,0),MATCH(orders!K$1,products!$A$1:$G$1,0))</f>
        <v>D</v>
      </c>
      <c r="L422" s="4">
        <f>INDEX(products!$A$1:$G$49,MATCH(orders!$D422,products!$A$1:$A$49,0),MATCH(orders!L$1,products!$A$1:$G$1,0))</f>
        <v>0.5</v>
      </c>
      <c r="M422" s="5">
        <f>INDEX(products!$A$1:$G$49,MATCH(orders!$D422,products!$A$1:$A$49,0),MATCH(orders!M$1,products!$A$1:$G$1,0))</f>
        <v>7.77</v>
      </c>
      <c r="N422" s="5">
        <f>Orders[[#This Row],[Quantity]]*(INDEX(products!$A$1:$G$49,MATCH(orders!$D422,products!$A$1:$A$49,0),MATCH(orders!N$1,products!$A$1:$G$1,0)))</f>
        <v>4.0404</v>
      </c>
      <c r="O422" s="5">
        <f>M422*E422</f>
        <v>31.08</v>
      </c>
      <c r="P422" t="str">
        <f t="shared" si="12"/>
        <v>Liberica</v>
      </c>
      <c r="Q422" t="str">
        <f t="shared" si="13"/>
        <v>Dark</v>
      </c>
      <c r="R422" t="str">
        <f>_xlfn.XLOOKUP(Orders[[#This Row],[Customer ID]],customers!$A$1:$A$1001,customers!$I$1:$I$1001,,0)</f>
        <v>No</v>
      </c>
    </row>
    <row r="423" spans="1:18" x14ac:dyDescent="0.35">
      <c r="A423" s="2" t="s">
        <v>2855</v>
      </c>
      <c r="B423" s="3">
        <v>43866</v>
      </c>
      <c r="C423" s="2" t="s">
        <v>2586</v>
      </c>
      <c r="D423" t="s">
        <v>6168</v>
      </c>
      <c r="E423" s="2">
        <v>6</v>
      </c>
      <c r="F423" s="2" t="str">
        <f>_xlfn.XLOOKUP(Orders[[#This Row],[Customer ID]],customers!$A$1:$A$1001,customers!$B$1:$B$1001,,0)</f>
        <v>Terri Farra</v>
      </c>
      <c r="G423" s="2" t="str">
        <f>IF(_xlfn.XLOOKUP(C423,customers!$A$1:$A$1001,customers!C422:C1422,,0)=0,"",_xlfn.XLOOKUP(C423,customers!$A$1:$A$1001,customers!C422:C1422,,0))</f>
        <v>lwhittleseem1@e-recht24.de</v>
      </c>
      <c r="H423" s="2" t="str">
        <f>_xlfn.XLOOKUP(Orders[[#This Row],[Customer ID]],customers!$A$1:$A$1001,customers!$G$1:$G$1001,,0)</f>
        <v>United States</v>
      </c>
      <c r="I423" s="2" t="str">
        <f>_xlfn.XLOOKUP(Orders[[#This Row],[Customer ID]],customers!$A$1:$A$1001,customers!$F$1:$F$1001,,0)</f>
        <v>Odessa</v>
      </c>
      <c r="J423" t="str">
        <f>INDEX(products!$A$1:$G$49,MATCH(orders!$D423,products!$A$1:$A$49,0),MATCH(orders!J$1,products!$A$1:$G$1,0))</f>
        <v>Ara</v>
      </c>
      <c r="K423" t="str">
        <f>INDEX(products!$A$1:$G$49,MATCH(orders!$D423,products!$A$1:$A$49,0),MATCH(orders!K$1,products!$A$1:$G$1,0))</f>
        <v>D</v>
      </c>
      <c r="L423" s="4">
        <f>INDEX(products!$A$1:$G$49,MATCH(orders!$D423,products!$A$1:$A$49,0),MATCH(orders!L$1,products!$A$1:$G$1,0))</f>
        <v>2.5</v>
      </c>
      <c r="M423" s="5">
        <f>INDEX(products!$A$1:$G$49,MATCH(orders!$D423,products!$A$1:$A$49,0),MATCH(orders!M$1,products!$A$1:$G$1,0))</f>
        <v>22.884999999999998</v>
      </c>
      <c r="N423" s="5">
        <f>Orders[[#This Row],[Quantity]]*(INDEX(products!$A$1:$G$49,MATCH(orders!$D423,products!$A$1:$A$49,0),MATCH(orders!N$1,products!$A$1:$G$1,0)))</f>
        <v>12.357899999999997</v>
      </c>
      <c r="O423" s="5">
        <f>M423*E423</f>
        <v>137.31</v>
      </c>
      <c r="P423" t="str">
        <f t="shared" si="12"/>
        <v>Arabica</v>
      </c>
      <c r="Q423" t="str">
        <f t="shared" si="13"/>
        <v>Dark</v>
      </c>
      <c r="R423" t="str">
        <f>_xlfn.XLOOKUP(Orders[[#This Row],[Customer ID]],customers!$A$1:$A$1001,customers!$I$1:$I$1001,,0)</f>
        <v>No</v>
      </c>
    </row>
    <row r="424" spans="1:18" x14ac:dyDescent="0.35">
      <c r="A424" s="2" t="s">
        <v>2866</v>
      </c>
      <c r="B424" s="3">
        <v>43868</v>
      </c>
      <c r="C424" s="2" t="s">
        <v>2867</v>
      </c>
      <c r="D424" t="s">
        <v>6158</v>
      </c>
      <c r="E424" s="2">
        <v>5</v>
      </c>
      <c r="F424" s="2" t="str">
        <f>_xlfn.XLOOKUP(Orders[[#This Row],[Customer ID]],customers!$A$1:$A$1001,customers!$B$1:$B$1001,,0)</f>
        <v>Nevins Glowacz</v>
      </c>
      <c r="G424" s="2" t="str">
        <f>IF(_xlfn.XLOOKUP(C424,customers!$A$1:$A$1001,customers!C423:C1423,,0)=0,"",_xlfn.XLOOKUP(C424,customers!$A$1:$A$1001,customers!C423:C1423,,0))</f>
        <v>agladhillng@stanford.edu</v>
      </c>
      <c r="H424" s="2" t="str">
        <f>_xlfn.XLOOKUP(Orders[[#This Row],[Customer ID]],customers!$A$1:$A$1001,customers!$G$1:$G$1001,,0)</f>
        <v>United States</v>
      </c>
      <c r="I424" s="2" t="str">
        <f>_xlfn.XLOOKUP(Orders[[#This Row],[Customer ID]],customers!$A$1:$A$1001,customers!$F$1:$F$1001,,0)</f>
        <v>Madison</v>
      </c>
      <c r="J424" t="str">
        <f>INDEX(products!$A$1:$G$49,MATCH(orders!$D424,products!$A$1:$A$49,0),MATCH(orders!J$1,products!$A$1:$G$1,0))</f>
        <v>Ara</v>
      </c>
      <c r="K424" t="str">
        <f>INDEX(products!$A$1:$G$49,MATCH(orders!$D424,products!$A$1:$A$49,0),MATCH(orders!K$1,products!$A$1:$G$1,0))</f>
        <v>D</v>
      </c>
      <c r="L424" s="4">
        <f>INDEX(products!$A$1:$G$49,MATCH(orders!$D424,products!$A$1:$A$49,0),MATCH(orders!L$1,products!$A$1:$G$1,0))</f>
        <v>0.5</v>
      </c>
      <c r="M424" s="5">
        <f>INDEX(products!$A$1:$G$49,MATCH(orders!$D424,products!$A$1:$A$49,0),MATCH(orders!M$1,products!$A$1:$G$1,0))</f>
        <v>5.97</v>
      </c>
      <c r="N424" s="5">
        <f>Orders[[#This Row],[Quantity]]*(INDEX(products!$A$1:$G$49,MATCH(orders!$D424,products!$A$1:$A$49,0),MATCH(orders!N$1,products!$A$1:$G$1,0)))</f>
        <v>2.6865000000000001</v>
      </c>
      <c r="O424" s="5">
        <f>M424*E424</f>
        <v>29.849999999999998</v>
      </c>
      <c r="P424" t="str">
        <f t="shared" si="12"/>
        <v>Arabica</v>
      </c>
      <c r="Q424" t="str">
        <f t="shared" si="13"/>
        <v>Dark</v>
      </c>
      <c r="R424" t="str">
        <f>_xlfn.XLOOKUP(Orders[[#This Row],[Customer ID]],customers!$A$1:$A$1001,customers!$I$1:$I$1001,,0)</f>
        <v>No</v>
      </c>
    </row>
    <row r="425" spans="1:18" x14ac:dyDescent="0.35">
      <c r="A425" s="2" t="s">
        <v>2871</v>
      </c>
      <c r="B425" s="3">
        <v>44183</v>
      </c>
      <c r="C425" s="2" t="s">
        <v>2872</v>
      </c>
      <c r="D425" t="s">
        <v>6146</v>
      </c>
      <c r="E425" s="2">
        <v>3</v>
      </c>
      <c r="F425" s="2" t="str">
        <f>_xlfn.XLOOKUP(Orders[[#This Row],[Customer ID]],customers!$A$1:$A$1001,customers!$B$1:$B$1001,,0)</f>
        <v>Adelice Isabell</v>
      </c>
      <c r="G425" s="2" t="str">
        <f>IF(_xlfn.XLOOKUP(C425,customers!$A$1:$A$1001,customers!C424:C1424,,0)=0,"",_xlfn.XLOOKUP(C425,customers!$A$1:$A$1001,customers!C424:C1424,,0))</f>
        <v/>
      </c>
      <c r="H425" s="2" t="str">
        <f>_xlfn.XLOOKUP(Orders[[#This Row],[Customer ID]],customers!$A$1:$A$1001,customers!$G$1:$G$1001,,0)</f>
        <v>United States</v>
      </c>
      <c r="I425" s="2" t="str">
        <f>_xlfn.XLOOKUP(Orders[[#This Row],[Customer ID]],customers!$A$1:$A$1001,customers!$F$1:$F$1001,,0)</f>
        <v>Charleston</v>
      </c>
      <c r="J425" t="str">
        <f>INDEX(products!$A$1:$G$49,MATCH(orders!$D425,products!$A$1:$A$49,0),MATCH(orders!J$1,products!$A$1:$G$1,0))</f>
        <v>Rob</v>
      </c>
      <c r="K425" t="str">
        <f>INDEX(products!$A$1:$G$49,MATCH(orders!$D425,products!$A$1:$A$49,0),MATCH(orders!K$1,products!$A$1:$G$1,0))</f>
        <v>M</v>
      </c>
      <c r="L425" s="4">
        <f>INDEX(products!$A$1:$G$49,MATCH(orders!$D425,products!$A$1:$A$49,0),MATCH(orders!L$1,products!$A$1:$G$1,0))</f>
        <v>0.5</v>
      </c>
      <c r="M425" s="5">
        <f>INDEX(products!$A$1:$G$49,MATCH(orders!$D425,products!$A$1:$A$49,0),MATCH(orders!M$1,products!$A$1:$G$1,0))</f>
        <v>5.97</v>
      </c>
      <c r="N425" s="5">
        <f>Orders[[#This Row],[Quantity]]*(INDEX(products!$A$1:$G$49,MATCH(orders!$D425,products!$A$1:$A$49,0),MATCH(orders!N$1,products!$A$1:$G$1,0)))</f>
        <v>1.0745999999999998</v>
      </c>
      <c r="O425" s="5">
        <f>M425*E425</f>
        <v>17.91</v>
      </c>
      <c r="P425" t="str">
        <f t="shared" si="12"/>
        <v>Robusta</v>
      </c>
      <c r="Q425" t="str">
        <f t="shared" si="13"/>
        <v>Medium</v>
      </c>
      <c r="R425" t="str">
        <f>_xlfn.XLOOKUP(Orders[[#This Row],[Customer ID]],customers!$A$1:$A$1001,customers!$I$1:$I$1001,,0)</f>
        <v>No</v>
      </c>
    </row>
    <row r="426" spans="1:18" x14ac:dyDescent="0.35">
      <c r="A426" s="2" t="s">
        <v>2876</v>
      </c>
      <c r="B426" s="3">
        <v>44431</v>
      </c>
      <c r="C426" s="2" t="s">
        <v>2877</v>
      </c>
      <c r="D426" t="s">
        <v>6176</v>
      </c>
      <c r="E426" s="2">
        <v>3</v>
      </c>
      <c r="F426" s="2" t="str">
        <f>_xlfn.XLOOKUP(Orders[[#This Row],[Customer ID]],customers!$A$1:$A$1001,customers!$B$1:$B$1001,,0)</f>
        <v>Yulma Dombrell</v>
      </c>
      <c r="G426" s="2" t="str">
        <f>IF(_xlfn.XLOOKUP(C426,customers!$A$1:$A$1001,customers!C425:C1425,,0)=0,"",_xlfn.XLOOKUP(C426,customers!$A$1:$A$1001,customers!C425:C1425,,0))</f>
        <v/>
      </c>
      <c r="H426" s="2" t="str">
        <f>_xlfn.XLOOKUP(Orders[[#This Row],[Customer ID]],customers!$A$1:$A$1001,customers!$G$1:$G$1001,,0)</f>
        <v>United States</v>
      </c>
      <c r="I426" s="2" t="str">
        <f>_xlfn.XLOOKUP(Orders[[#This Row],[Customer ID]],customers!$A$1:$A$1001,customers!$F$1:$F$1001,,0)</f>
        <v>Little Rock</v>
      </c>
      <c r="J426" t="str">
        <f>INDEX(products!$A$1:$G$49,MATCH(orders!$D426,products!$A$1:$A$49,0),MATCH(orders!J$1,products!$A$1:$G$1,0))</f>
        <v>Exc</v>
      </c>
      <c r="K426" t="str">
        <f>INDEX(products!$A$1:$G$49,MATCH(orders!$D426,products!$A$1:$A$49,0),MATCH(orders!K$1,products!$A$1:$G$1,0))</f>
        <v>L</v>
      </c>
      <c r="L426" s="4">
        <f>INDEX(products!$A$1:$G$49,MATCH(orders!$D426,products!$A$1:$A$49,0),MATCH(orders!L$1,products!$A$1:$G$1,0))</f>
        <v>0.5</v>
      </c>
      <c r="M426" s="5">
        <f>INDEX(products!$A$1:$G$49,MATCH(orders!$D426,products!$A$1:$A$49,0),MATCH(orders!M$1,products!$A$1:$G$1,0))</f>
        <v>8.91</v>
      </c>
      <c r="N426" s="5">
        <f>Orders[[#This Row],[Quantity]]*(INDEX(products!$A$1:$G$49,MATCH(orders!$D426,products!$A$1:$A$49,0),MATCH(orders!N$1,products!$A$1:$G$1,0)))</f>
        <v>2.9402999999999997</v>
      </c>
      <c r="O426" s="5">
        <f>M426*E426</f>
        <v>26.73</v>
      </c>
      <c r="P426" t="str">
        <f t="shared" si="12"/>
        <v>Excelsa</v>
      </c>
      <c r="Q426" t="str">
        <f t="shared" si="13"/>
        <v>Light</v>
      </c>
      <c r="R426" t="str">
        <f>_xlfn.XLOOKUP(Orders[[#This Row],[Customer ID]],customers!$A$1:$A$1001,customers!$I$1:$I$1001,,0)</f>
        <v>Yes</v>
      </c>
    </row>
    <row r="427" spans="1:18" x14ac:dyDescent="0.35">
      <c r="A427" s="2" t="s">
        <v>2882</v>
      </c>
      <c r="B427" s="3">
        <v>44428</v>
      </c>
      <c r="C427" s="2" t="s">
        <v>2883</v>
      </c>
      <c r="D427" t="s">
        <v>6177</v>
      </c>
      <c r="E427" s="2">
        <v>2</v>
      </c>
      <c r="F427" s="2" t="str">
        <f>_xlfn.XLOOKUP(Orders[[#This Row],[Customer ID]],customers!$A$1:$A$1001,customers!$B$1:$B$1001,,0)</f>
        <v>Alric Darth</v>
      </c>
      <c r="G427" s="2" t="str">
        <f>IF(_xlfn.XLOOKUP(C427,customers!$A$1:$A$1001,customers!C426:C1426,,0)=0,"",_xlfn.XLOOKUP(C427,customers!$A$1:$A$1001,customers!C426:C1426,,0))</f>
        <v>bjevonnm@feedburner.com</v>
      </c>
      <c r="H427" s="2" t="str">
        <f>_xlfn.XLOOKUP(Orders[[#This Row],[Customer ID]],customers!$A$1:$A$1001,customers!$G$1:$G$1001,,0)</f>
        <v>United States</v>
      </c>
      <c r="I427" s="2" t="str">
        <f>_xlfn.XLOOKUP(Orders[[#This Row],[Customer ID]],customers!$A$1:$A$1001,customers!$F$1:$F$1001,,0)</f>
        <v>Anchorage</v>
      </c>
      <c r="J427" t="str">
        <f>INDEX(products!$A$1:$G$49,MATCH(orders!$D427,products!$A$1:$A$49,0),MATCH(orders!J$1,products!$A$1:$G$1,0))</f>
        <v>Rob</v>
      </c>
      <c r="K427" t="str">
        <f>INDEX(products!$A$1:$G$49,MATCH(orders!$D427,products!$A$1:$A$49,0),MATCH(orders!K$1,products!$A$1:$G$1,0))</f>
        <v>D</v>
      </c>
      <c r="L427" s="4">
        <f>INDEX(products!$A$1:$G$49,MATCH(orders!$D427,products!$A$1:$A$49,0),MATCH(orders!L$1,products!$A$1:$G$1,0))</f>
        <v>1</v>
      </c>
      <c r="M427" s="5">
        <f>INDEX(products!$A$1:$G$49,MATCH(orders!$D427,products!$A$1:$A$49,0),MATCH(orders!M$1,products!$A$1:$G$1,0))</f>
        <v>8.9499999999999993</v>
      </c>
      <c r="N427" s="5">
        <f>Orders[[#This Row],[Quantity]]*(INDEX(products!$A$1:$G$49,MATCH(orders!$D427,products!$A$1:$A$49,0),MATCH(orders!N$1,products!$A$1:$G$1,0)))</f>
        <v>1.0739999999999998</v>
      </c>
      <c r="O427" s="5">
        <f>M427*E427</f>
        <v>17.899999999999999</v>
      </c>
      <c r="P427" t="str">
        <f t="shared" si="12"/>
        <v>Robusta</v>
      </c>
      <c r="Q427" t="str">
        <f t="shared" si="13"/>
        <v>Dark</v>
      </c>
      <c r="R427" t="str">
        <f>_xlfn.XLOOKUP(Orders[[#This Row],[Customer ID]],customers!$A$1:$A$1001,customers!$I$1:$I$1001,,0)</f>
        <v>No</v>
      </c>
    </row>
    <row r="428" spans="1:18" x14ac:dyDescent="0.35">
      <c r="A428" s="2" t="s">
        <v>2888</v>
      </c>
      <c r="B428" s="3">
        <v>43556</v>
      </c>
      <c r="C428" s="2" t="s">
        <v>2889</v>
      </c>
      <c r="D428" t="s">
        <v>6178</v>
      </c>
      <c r="E428" s="2">
        <v>4</v>
      </c>
      <c r="F428" s="2" t="str">
        <f>_xlfn.XLOOKUP(Orders[[#This Row],[Customer ID]],customers!$A$1:$A$1001,customers!$B$1:$B$1001,,0)</f>
        <v>Manuel Darrigoe</v>
      </c>
      <c r="G428" s="2" t="str">
        <f>IF(_xlfn.XLOOKUP(C428,customers!$A$1:$A$1001,customers!C427:C1427,,0)=0,"",_xlfn.XLOOKUP(C428,customers!$A$1:$A$1001,customers!C427:C1427,,0))</f>
        <v>bgaishno@altervista.org</v>
      </c>
      <c r="H428" s="2" t="str">
        <f>_xlfn.XLOOKUP(Orders[[#This Row],[Customer ID]],customers!$A$1:$A$1001,customers!$G$1:$G$1001,,0)</f>
        <v>Ireland</v>
      </c>
      <c r="I428" s="2" t="str">
        <f>_xlfn.XLOOKUP(Orders[[#This Row],[Customer ID]],customers!$A$1:$A$1001,customers!$F$1:$F$1001,,0)</f>
        <v>Longwood</v>
      </c>
      <c r="J428" t="str">
        <f>INDEX(products!$A$1:$G$49,MATCH(orders!$D428,products!$A$1:$A$49,0),MATCH(orders!J$1,products!$A$1:$G$1,0))</f>
        <v>Rob</v>
      </c>
      <c r="K428" t="str">
        <f>INDEX(products!$A$1:$G$49,MATCH(orders!$D428,products!$A$1:$A$49,0),MATCH(orders!K$1,products!$A$1:$G$1,0))</f>
        <v>L</v>
      </c>
      <c r="L428" s="4">
        <f>INDEX(products!$A$1:$G$49,MATCH(orders!$D428,products!$A$1:$A$49,0),MATCH(orders!L$1,products!$A$1:$G$1,0))</f>
        <v>0.2</v>
      </c>
      <c r="M428" s="5">
        <f>INDEX(products!$A$1:$G$49,MATCH(orders!$D428,products!$A$1:$A$49,0),MATCH(orders!M$1,products!$A$1:$G$1,0))</f>
        <v>3.5849999999999995</v>
      </c>
      <c r="N428" s="5">
        <f>Orders[[#This Row],[Quantity]]*(INDEX(products!$A$1:$G$49,MATCH(orders!$D428,products!$A$1:$A$49,0),MATCH(orders!N$1,products!$A$1:$G$1,0)))</f>
        <v>0.86039999999999983</v>
      </c>
      <c r="O428" s="5">
        <f>M428*E428</f>
        <v>14.339999999999998</v>
      </c>
      <c r="P428" t="str">
        <f t="shared" si="12"/>
        <v>Robusta</v>
      </c>
      <c r="Q428" t="str">
        <f t="shared" si="13"/>
        <v>Light</v>
      </c>
      <c r="R428" t="str">
        <f>_xlfn.XLOOKUP(Orders[[#This Row],[Customer ID]],customers!$A$1:$A$1001,customers!$I$1:$I$1001,,0)</f>
        <v>Yes</v>
      </c>
    </row>
    <row r="429" spans="1:18" x14ac:dyDescent="0.35">
      <c r="A429" s="2" t="s">
        <v>2894</v>
      </c>
      <c r="B429" s="3">
        <v>44224</v>
      </c>
      <c r="C429" s="2" t="s">
        <v>2895</v>
      </c>
      <c r="D429" t="s">
        <v>6175</v>
      </c>
      <c r="E429" s="2">
        <v>3</v>
      </c>
      <c r="F429" s="2" t="str">
        <f>_xlfn.XLOOKUP(Orders[[#This Row],[Customer ID]],customers!$A$1:$A$1001,customers!$B$1:$B$1001,,0)</f>
        <v>Kynthia Berick</v>
      </c>
      <c r="G429" s="2" t="str">
        <f>IF(_xlfn.XLOOKUP(C429,customers!$A$1:$A$1001,customers!C428:C1428,,0)=0,"",_xlfn.XLOOKUP(C429,customers!$A$1:$A$1001,customers!C428:C1428,,0))</f>
        <v>smorrallnq@answers.com</v>
      </c>
      <c r="H429" s="2" t="str">
        <f>_xlfn.XLOOKUP(Orders[[#This Row],[Customer ID]],customers!$A$1:$A$1001,customers!$G$1:$G$1001,,0)</f>
        <v>United States</v>
      </c>
      <c r="I429" s="2" t="str">
        <f>_xlfn.XLOOKUP(Orders[[#This Row],[Customer ID]],customers!$A$1:$A$1001,customers!$F$1:$F$1001,,0)</f>
        <v>San Francisco</v>
      </c>
      <c r="J429" t="str">
        <f>INDEX(products!$A$1:$G$49,MATCH(orders!$D429,products!$A$1:$A$49,0),MATCH(orders!J$1,products!$A$1:$G$1,0))</f>
        <v>Ara</v>
      </c>
      <c r="K429" t="str">
        <f>INDEX(products!$A$1:$G$49,MATCH(orders!$D429,products!$A$1:$A$49,0),MATCH(orders!K$1,products!$A$1:$G$1,0))</f>
        <v>M</v>
      </c>
      <c r="L429" s="4">
        <f>INDEX(products!$A$1:$G$49,MATCH(orders!$D429,products!$A$1:$A$49,0),MATCH(orders!L$1,products!$A$1:$G$1,0))</f>
        <v>2.5</v>
      </c>
      <c r="M429" s="5">
        <f>INDEX(products!$A$1:$G$49,MATCH(orders!$D429,products!$A$1:$A$49,0),MATCH(orders!M$1,products!$A$1:$G$1,0))</f>
        <v>25.874999999999996</v>
      </c>
      <c r="N429" s="5">
        <f>Orders[[#This Row],[Quantity]]*(INDEX(products!$A$1:$G$49,MATCH(orders!$D429,products!$A$1:$A$49,0),MATCH(orders!N$1,products!$A$1:$G$1,0)))</f>
        <v>6.9862499999999983</v>
      </c>
      <c r="O429" s="5">
        <f>M429*E429</f>
        <v>77.624999999999986</v>
      </c>
      <c r="P429" t="str">
        <f t="shared" si="12"/>
        <v>Arabica</v>
      </c>
      <c r="Q429" t="str">
        <f t="shared" si="13"/>
        <v>Medium</v>
      </c>
      <c r="R429" t="str">
        <f>_xlfn.XLOOKUP(Orders[[#This Row],[Customer ID]],customers!$A$1:$A$1001,customers!$I$1:$I$1001,,0)</f>
        <v>Yes</v>
      </c>
    </row>
    <row r="430" spans="1:18" x14ac:dyDescent="0.35">
      <c r="A430" s="2" t="s">
        <v>2899</v>
      </c>
      <c r="B430" s="3">
        <v>43759</v>
      </c>
      <c r="C430" s="2" t="s">
        <v>2900</v>
      </c>
      <c r="D430" t="s">
        <v>6179</v>
      </c>
      <c r="E430" s="2">
        <v>5</v>
      </c>
      <c r="F430" s="2" t="str">
        <f>_xlfn.XLOOKUP(Orders[[#This Row],[Customer ID]],customers!$A$1:$A$1001,customers!$B$1:$B$1001,,0)</f>
        <v>Minetta Ackrill</v>
      </c>
      <c r="G430" s="2" t="str">
        <f>IF(_xlfn.XLOOKUP(C430,customers!$A$1:$A$1001,customers!C429:C1429,,0)=0,"",_xlfn.XLOOKUP(C430,customers!$A$1:$A$1001,customers!C429:C1429,,0))</f>
        <v>kwesselns@wikispaces.com</v>
      </c>
      <c r="H430" s="2" t="str">
        <f>_xlfn.XLOOKUP(Orders[[#This Row],[Customer ID]],customers!$A$1:$A$1001,customers!$G$1:$G$1001,,0)</f>
        <v>United States</v>
      </c>
      <c r="I430" s="2" t="str">
        <f>_xlfn.XLOOKUP(Orders[[#This Row],[Customer ID]],customers!$A$1:$A$1001,customers!$F$1:$F$1001,,0)</f>
        <v>Warren</v>
      </c>
      <c r="J430" t="str">
        <f>INDEX(products!$A$1:$G$49,MATCH(orders!$D430,products!$A$1:$A$49,0),MATCH(orders!J$1,products!$A$1:$G$1,0))</f>
        <v>Rob</v>
      </c>
      <c r="K430" t="str">
        <f>INDEX(products!$A$1:$G$49,MATCH(orders!$D430,products!$A$1:$A$49,0),MATCH(orders!K$1,products!$A$1:$G$1,0))</f>
        <v>L</v>
      </c>
      <c r="L430" s="4">
        <f>INDEX(products!$A$1:$G$49,MATCH(orders!$D430,products!$A$1:$A$49,0),MATCH(orders!L$1,products!$A$1:$G$1,0))</f>
        <v>1</v>
      </c>
      <c r="M430" s="5">
        <f>INDEX(products!$A$1:$G$49,MATCH(orders!$D430,products!$A$1:$A$49,0),MATCH(orders!M$1,products!$A$1:$G$1,0))</f>
        <v>11.95</v>
      </c>
      <c r="N430" s="5">
        <f>Orders[[#This Row],[Quantity]]*(INDEX(products!$A$1:$G$49,MATCH(orders!$D430,products!$A$1:$A$49,0),MATCH(orders!N$1,products!$A$1:$G$1,0)))</f>
        <v>3.585</v>
      </c>
      <c r="O430" s="5">
        <f>M430*E430</f>
        <v>59.75</v>
      </c>
      <c r="P430" t="str">
        <f t="shared" si="12"/>
        <v>Robusta</v>
      </c>
      <c r="Q430" t="str">
        <f t="shared" si="13"/>
        <v>Light</v>
      </c>
      <c r="R430" t="str">
        <f>_xlfn.XLOOKUP(Orders[[#This Row],[Customer ID]],customers!$A$1:$A$1001,customers!$I$1:$I$1001,,0)</f>
        <v>No</v>
      </c>
    </row>
    <row r="431" spans="1:18" x14ac:dyDescent="0.35">
      <c r="A431" s="2" t="s">
        <v>2905</v>
      </c>
      <c r="B431" s="3">
        <v>44367</v>
      </c>
      <c r="C431" s="2" t="s">
        <v>2586</v>
      </c>
      <c r="D431" t="s">
        <v>6140</v>
      </c>
      <c r="E431" s="2">
        <v>6</v>
      </c>
      <c r="F431" s="2" t="str">
        <f>_xlfn.XLOOKUP(Orders[[#This Row],[Customer ID]],customers!$A$1:$A$1001,customers!$B$1:$B$1001,,0)</f>
        <v>Terri Farra</v>
      </c>
      <c r="G431" s="2" t="str">
        <f>IF(_xlfn.XLOOKUP(C431,customers!$A$1:$A$1001,customers!C430:C1430,,0)=0,"",_xlfn.XLOOKUP(C431,customers!$A$1:$A$1001,customers!C430:C1430,,0))</f>
        <v>btartem9@aol.com</v>
      </c>
      <c r="H431" s="2" t="str">
        <f>_xlfn.XLOOKUP(Orders[[#This Row],[Customer ID]],customers!$A$1:$A$1001,customers!$G$1:$G$1001,,0)</f>
        <v>United States</v>
      </c>
      <c r="I431" s="2" t="str">
        <f>_xlfn.XLOOKUP(Orders[[#This Row],[Customer ID]],customers!$A$1:$A$1001,customers!$F$1:$F$1001,,0)</f>
        <v>Odessa</v>
      </c>
      <c r="J431" t="str">
        <f>INDEX(products!$A$1:$G$49,MATCH(orders!$D431,products!$A$1:$A$49,0),MATCH(orders!J$1,products!$A$1:$G$1,0))</f>
        <v>Ara</v>
      </c>
      <c r="K431" t="str">
        <f>INDEX(products!$A$1:$G$49,MATCH(orders!$D431,products!$A$1:$A$49,0),MATCH(orders!K$1,products!$A$1:$G$1,0))</f>
        <v>L</v>
      </c>
      <c r="L431" s="4">
        <f>INDEX(products!$A$1:$G$49,MATCH(orders!$D431,products!$A$1:$A$49,0),MATCH(orders!L$1,products!$A$1:$G$1,0))</f>
        <v>1</v>
      </c>
      <c r="M431" s="5">
        <f>INDEX(products!$A$1:$G$49,MATCH(orders!$D431,products!$A$1:$A$49,0),MATCH(orders!M$1,products!$A$1:$G$1,0))</f>
        <v>12.95</v>
      </c>
      <c r="N431" s="5">
        <f>Orders[[#This Row],[Quantity]]*(INDEX(products!$A$1:$G$49,MATCH(orders!$D431,products!$A$1:$A$49,0),MATCH(orders!N$1,products!$A$1:$G$1,0)))</f>
        <v>6.9930000000000003</v>
      </c>
      <c r="O431" s="5">
        <f>M431*E431</f>
        <v>77.699999999999989</v>
      </c>
      <c r="P431" t="str">
        <f t="shared" si="12"/>
        <v>Arabica</v>
      </c>
      <c r="Q431" t="str">
        <f t="shared" si="13"/>
        <v>Light</v>
      </c>
      <c r="R431" t="str">
        <f>_xlfn.XLOOKUP(Orders[[#This Row],[Customer ID]],customers!$A$1:$A$1001,customers!$I$1:$I$1001,,0)</f>
        <v>No</v>
      </c>
    </row>
    <row r="432" spans="1:18" x14ac:dyDescent="0.35">
      <c r="A432" s="2" t="s">
        <v>2911</v>
      </c>
      <c r="B432" s="3">
        <v>44504</v>
      </c>
      <c r="C432" s="2" t="s">
        <v>2912</v>
      </c>
      <c r="D432" t="s">
        <v>6163</v>
      </c>
      <c r="E432" s="2">
        <v>2</v>
      </c>
      <c r="F432" s="2" t="str">
        <f>_xlfn.XLOOKUP(Orders[[#This Row],[Customer ID]],customers!$A$1:$A$1001,customers!$B$1:$B$1001,,0)</f>
        <v>Melosa Kippen</v>
      </c>
      <c r="G432" s="2" t="str">
        <f>IF(_xlfn.XLOOKUP(C432,customers!$A$1:$A$1001,customers!C431:C1431,,0)=0,"",_xlfn.XLOOKUP(C432,customers!$A$1:$A$1001,customers!C431:C1431,,0))</f>
        <v/>
      </c>
      <c r="H432" s="2" t="str">
        <f>_xlfn.XLOOKUP(Orders[[#This Row],[Customer ID]],customers!$A$1:$A$1001,customers!$G$1:$G$1001,,0)</f>
        <v>United States</v>
      </c>
      <c r="I432" s="2" t="str">
        <f>_xlfn.XLOOKUP(Orders[[#This Row],[Customer ID]],customers!$A$1:$A$1001,customers!$F$1:$F$1001,,0)</f>
        <v>Jackson</v>
      </c>
      <c r="J432" t="str">
        <f>INDEX(products!$A$1:$G$49,MATCH(orders!$D432,products!$A$1:$A$49,0),MATCH(orders!J$1,products!$A$1:$G$1,0))</f>
        <v>Rob</v>
      </c>
      <c r="K432" t="str">
        <f>INDEX(products!$A$1:$G$49,MATCH(orders!$D432,products!$A$1:$A$49,0),MATCH(orders!K$1,products!$A$1:$G$1,0))</f>
        <v>D</v>
      </c>
      <c r="L432" s="4">
        <f>INDEX(products!$A$1:$G$49,MATCH(orders!$D432,products!$A$1:$A$49,0),MATCH(orders!L$1,products!$A$1:$G$1,0))</f>
        <v>0.2</v>
      </c>
      <c r="M432" s="5">
        <f>INDEX(products!$A$1:$G$49,MATCH(orders!$D432,products!$A$1:$A$49,0),MATCH(orders!M$1,products!$A$1:$G$1,0))</f>
        <v>2.6849999999999996</v>
      </c>
      <c r="N432" s="5">
        <f>Orders[[#This Row],[Quantity]]*(INDEX(products!$A$1:$G$49,MATCH(orders!$D432,products!$A$1:$A$49,0),MATCH(orders!N$1,products!$A$1:$G$1,0)))</f>
        <v>0.32219999999999993</v>
      </c>
      <c r="O432" s="5">
        <f>M432*E432</f>
        <v>5.3699999999999992</v>
      </c>
      <c r="P432" t="str">
        <f t="shared" si="12"/>
        <v>Robusta</v>
      </c>
      <c r="Q432" t="str">
        <f t="shared" si="13"/>
        <v>Dark</v>
      </c>
      <c r="R432" t="str">
        <f>_xlfn.XLOOKUP(Orders[[#This Row],[Customer ID]],customers!$A$1:$A$1001,customers!$I$1:$I$1001,,0)</f>
        <v>Yes</v>
      </c>
    </row>
    <row r="433" spans="1:18" x14ac:dyDescent="0.35">
      <c r="A433" s="2" t="s">
        <v>2917</v>
      </c>
      <c r="B433" s="3">
        <v>44291</v>
      </c>
      <c r="C433" s="2" t="s">
        <v>2918</v>
      </c>
      <c r="D433" t="s">
        <v>6185</v>
      </c>
      <c r="E433" s="2">
        <v>3</v>
      </c>
      <c r="F433" s="2" t="str">
        <f>_xlfn.XLOOKUP(Orders[[#This Row],[Customer ID]],customers!$A$1:$A$1001,customers!$B$1:$B$1001,,0)</f>
        <v>Witty Ranson</v>
      </c>
      <c r="G433" s="2" t="str">
        <f>IF(_xlfn.XLOOKUP(C433,customers!$A$1:$A$1001,customers!C432:C1432,,0)=0,"",_xlfn.XLOOKUP(C433,customers!$A$1:$A$1001,customers!C432:C1432,,0))</f>
        <v>goatsny@live.com</v>
      </c>
      <c r="H433" s="2" t="str">
        <f>_xlfn.XLOOKUP(Orders[[#This Row],[Customer ID]],customers!$A$1:$A$1001,customers!$G$1:$G$1001,,0)</f>
        <v>Ireland</v>
      </c>
      <c r="I433" s="2" t="str">
        <f>_xlfn.XLOOKUP(Orders[[#This Row],[Customer ID]],customers!$A$1:$A$1001,customers!$F$1:$F$1001,,0)</f>
        <v>Kildare</v>
      </c>
      <c r="J433" t="str">
        <f>INDEX(products!$A$1:$G$49,MATCH(orders!$D433,products!$A$1:$A$49,0),MATCH(orders!J$1,products!$A$1:$G$1,0))</f>
        <v>Exc</v>
      </c>
      <c r="K433" t="str">
        <f>INDEX(products!$A$1:$G$49,MATCH(orders!$D433,products!$A$1:$A$49,0),MATCH(orders!K$1,products!$A$1:$G$1,0))</f>
        <v>D</v>
      </c>
      <c r="L433" s="4">
        <f>INDEX(products!$A$1:$G$49,MATCH(orders!$D433,products!$A$1:$A$49,0),MATCH(orders!L$1,products!$A$1:$G$1,0))</f>
        <v>2.5</v>
      </c>
      <c r="M433" s="5">
        <f>INDEX(products!$A$1:$G$49,MATCH(orders!$D433,products!$A$1:$A$49,0),MATCH(orders!M$1,products!$A$1:$G$1,0))</f>
        <v>27.945</v>
      </c>
      <c r="N433" s="5">
        <f>Orders[[#This Row],[Quantity]]*(INDEX(products!$A$1:$G$49,MATCH(orders!$D433,products!$A$1:$A$49,0),MATCH(orders!N$1,products!$A$1:$G$1,0)))</f>
        <v>9.2218499999999999</v>
      </c>
      <c r="O433" s="5">
        <f>M433*E433</f>
        <v>83.835000000000008</v>
      </c>
      <c r="P433" t="str">
        <f t="shared" si="12"/>
        <v>Excelsa</v>
      </c>
      <c r="Q433" t="str">
        <f t="shared" si="13"/>
        <v>Dark</v>
      </c>
      <c r="R433" t="str">
        <f>_xlfn.XLOOKUP(Orders[[#This Row],[Customer ID]],customers!$A$1:$A$1001,customers!$I$1:$I$1001,,0)</f>
        <v>Yes</v>
      </c>
    </row>
    <row r="434" spans="1:18" x14ac:dyDescent="0.35">
      <c r="A434" s="2" t="s">
        <v>2923</v>
      </c>
      <c r="B434" s="3">
        <v>43808</v>
      </c>
      <c r="C434" s="2" t="s">
        <v>2924</v>
      </c>
      <c r="D434" t="s">
        <v>6155</v>
      </c>
      <c r="E434" s="2">
        <v>2</v>
      </c>
      <c r="F434" s="2" t="str">
        <f>_xlfn.XLOOKUP(Orders[[#This Row],[Customer ID]],customers!$A$1:$A$1001,customers!$B$1:$B$1001,,0)</f>
        <v>Rod Gowdie</v>
      </c>
      <c r="G434" s="2" t="str">
        <f>IF(_xlfn.XLOOKUP(C434,customers!$A$1:$A$1001,customers!C433:C1433,,0)=0,"",_xlfn.XLOOKUP(C434,customers!$A$1:$A$1001,customers!C433:C1433,,0))</f>
        <v>rpysono0@constantcontact.com</v>
      </c>
      <c r="H434" s="2" t="str">
        <f>_xlfn.XLOOKUP(Orders[[#This Row],[Customer ID]],customers!$A$1:$A$1001,customers!$G$1:$G$1001,,0)</f>
        <v>United States</v>
      </c>
      <c r="I434" s="2" t="str">
        <f>_xlfn.XLOOKUP(Orders[[#This Row],[Customer ID]],customers!$A$1:$A$1001,customers!$F$1:$F$1001,,0)</f>
        <v>Milwaukee</v>
      </c>
      <c r="J434" t="str">
        <f>INDEX(products!$A$1:$G$49,MATCH(orders!$D434,products!$A$1:$A$49,0),MATCH(orders!J$1,products!$A$1:$G$1,0))</f>
        <v>Ara</v>
      </c>
      <c r="K434" t="str">
        <f>INDEX(products!$A$1:$G$49,MATCH(orders!$D434,products!$A$1:$A$49,0),MATCH(orders!K$1,products!$A$1:$G$1,0))</f>
        <v>M</v>
      </c>
      <c r="L434" s="4">
        <f>INDEX(products!$A$1:$G$49,MATCH(orders!$D434,products!$A$1:$A$49,0),MATCH(orders!L$1,products!$A$1:$G$1,0))</f>
        <v>1</v>
      </c>
      <c r="M434" s="5">
        <f>INDEX(products!$A$1:$G$49,MATCH(orders!$D434,products!$A$1:$A$49,0),MATCH(orders!M$1,products!$A$1:$G$1,0))</f>
        <v>11.25</v>
      </c>
      <c r="N434" s="5">
        <f>Orders[[#This Row],[Quantity]]*(INDEX(products!$A$1:$G$49,MATCH(orders!$D434,products!$A$1:$A$49,0),MATCH(orders!N$1,products!$A$1:$G$1,0)))</f>
        <v>2.0249999999999999</v>
      </c>
      <c r="O434" s="5">
        <f>M434*E434</f>
        <v>22.5</v>
      </c>
      <c r="P434" t="str">
        <f t="shared" si="12"/>
        <v>Arabica</v>
      </c>
      <c r="Q434" t="str">
        <f t="shared" si="13"/>
        <v>Medium</v>
      </c>
      <c r="R434" t="str">
        <f>_xlfn.XLOOKUP(Orders[[#This Row],[Customer ID]],customers!$A$1:$A$1001,customers!$I$1:$I$1001,,0)</f>
        <v>No</v>
      </c>
    </row>
    <row r="435" spans="1:18" x14ac:dyDescent="0.35">
      <c r="A435" s="2" t="s">
        <v>2928</v>
      </c>
      <c r="B435" s="3">
        <v>44563</v>
      </c>
      <c r="C435" s="2" t="s">
        <v>2929</v>
      </c>
      <c r="D435" t="s">
        <v>6181</v>
      </c>
      <c r="E435" s="2">
        <v>6</v>
      </c>
      <c r="F435" s="2" t="str">
        <f>_xlfn.XLOOKUP(Orders[[#This Row],[Customer ID]],customers!$A$1:$A$1001,customers!$B$1:$B$1001,,0)</f>
        <v>Lemuel Rignold</v>
      </c>
      <c r="G435" s="2" t="str">
        <f>IF(_xlfn.XLOOKUP(C435,customers!$A$1:$A$1001,customers!C434:C1434,,0)=0,"",_xlfn.XLOOKUP(C435,customers!$A$1:$A$1001,customers!C434:C1434,,0))</f>
        <v>rtreachero2@usa.gov</v>
      </c>
      <c r="H435" s="2" t="str">
        <f>_xlfn.XLOOKUP(Orders[[#This Row],[Customer ID]],customers!$A$1:$A$1001,customers!$G$1:$G$1001,,0)</f>
        <v>United States</v>
      </c>
      <c r="I435" s="2" t="str">
        <f>_xlfn.XLOOKUP(Orders[[#This Row],[Customer ID]],customers!$A$1:$A$1001,customers!$F$1:$F$1001,,0)</f>
        <v>Sacramento</v>
      </c>
      <c r="J435" t="str">
        <f>INDEX(products!$A$1:$G$49,MATCH(orders!$D435,products!$A$1:$A$49,0),MATCH(orders!J$1,products!$A$1:$G$1,0))</f>
        <v>Lib</v>
      </c>
      <c r="K435" t="str">
        <f>INDEX(products!$A$1:$G$49,MATCH(orders!$D435,products!$A$1:$A$49,0),MATCH(orders!K$1,products!$A$1:$G$1,0))</f>
        <v>M</v>
      </c>
      <c r="L435" s="4">
        <f>INDEX(products!$A$1:$G$49,MATCH(orders!$D435,products!$A$1:$A$49,0),MATCH(orders!L$1,products!$A$1:$G$1,0))</f>
        <v>2.5</v>
      </c>
      <c r="M435" s="5">
        <f>INDEX(products!$A$1:$G$49,MATCH(orders!$D435,products!$A$1:$A$49,0),MATCH(orders!M$1,products!$A$1:$G$1,0))</f>
        <v>33.464999999999996</v>
      </c>
      <c r="N435" s="5">
        <f>Orders[[#This Row],[Quantity]]*(INDEX(products!$A$1:$G$49,MATCH(orders!$D435,products!$A$1:$A$49,0),MATCH(orders!N$1,products!$A$1:$G$1,0)))</f>
        <v>26.102699999999999</v>
      </c>
      <c r="O435" s="5">
        <f>M435*E435</f>
        <v>200.78999999999996</v>
      </c>
      <c r="P435" t="str">
        <f t="shared" si="12"/>
        <v>Liberica</v>
      </c>
      <c r="Q435" t="str">
        <f t="shared" si="13"/>
        <v>Medium</v>
      </c>
      <c r="R435" t="str">
        <f>_xlfn.XLOOKUP(Orders[[#This Row],[Customer ID]],customers!$A$1:$A$1001,customers!$I$1:$I$1001,,0)</f>
        <v>Yes</v>
      </c>
    </row>
    <row r="436" spans="1:18" x14ac:dyDescent="0.35">
      <c r="A436" s="2" t="s">
        <v>2934</v>
      </c>
      <c r="B436" s="3">
        <v>43807</v>
      </c>
      <c r="C436" s="2" t="s">
        <v>2935</v>
      </c>
      <c r="D436" t="s">
        <v>6155</v>
      </c>
      <c r="E436" s="2">
        <v>6</v>
      </c>
      <c r="F436" s="2" t="str">
        <f>_xlfn.XLOOKUP(Orders[[#This Row],[Customer ID]],customers!$A$1:$A$1001,customers!$B$1:$B$1001,,0)</f>
        <v>Nevsa Fields</v>
      </c>
      <c r="G436" s="2" t="str">
        <f>IF(_xlfn.XLOOKUP(C436,customers!$A$1:$A$1001,customers!C435:C1435,,0)=0,"",_xlfn.XLOOKUP(C436,customers!$A$1:$A$1001,customers!C435:C1435,,0))</f>
        <v>mpalleskeo4@nyu.edu</v>
      </c>
      <c r="H436" s="2" t="str">
        <f>_xlfn.XLOOKUP(Orders[[#This Row],[Customer ID]],customers!$A$1:$A$1001,customers!$G$1:$G$1001,,0)</f>
        <v>United States</v>
      </c>
      <c r="I436" s="2" t="str">
        <f>_xlfn.XLOOKUP(Orders[[#This Row],[Customer ID]],customers!$A$1:$A$1001,customers!$F$1:$F$1001,,0)</f>
        <v>Boston</v>
      </c>
      <c r="J436" t="str">
        <f>INDEX(products!$A$1:$G$49,MATCH(orders!$D436,products!$A$1:$A$49,0),MATCH(orders!J$1,products!$A$1:$G$1,0))</f>
        <v>Ara</v>
      </c>
      <c r="K436" t="str">
        <f>INDEX(products!$A$1:$G$49,MATCH(orders!$D436,products!$A$1:$A$49,0),MATCH(orders!K$1,products!$A$1:$G$1,0))</f>
        <v>M</v>
      </c>
      <c r="L436" s="4">
        <f>INDEX(products!$A$1:$G$49,MATCH(orders!$D436,products!$A$1:$A$49,0),MATCH(orders!L$1,products!$A$1:$G$1,0))</f>
        <v>1</v>
      </c>
      <c r="M436" s="5">
        <f>INDEX(products!$A$1:$G$49,MATCH(orders!$D436,products!$A$1:$A$49,0),MATCH(orders!M$1,products!$A$1:$G$1,0))</f>
        <v>11.25</v>
      </c>
      <c r="N436" s="5">
        <f>Orders[[#This Row],[Quantity]]*(INDEX(products!$A$1:$G$49,MATCH(orders!$D436,products!$A$1:$A$49,0),MATCH(orders!N$1,products!$A$1:$G$1,0)))</f>
        <v>6.0749999999999993</v>
      </c>
      <c r="O436" s="5">
        <f>M436*E436</f>
        <v>67.5</v>
      </c>
      <c r="P436" t="str">
        <f t="shared" si="12"/>
        <v>Arabica</v>
      </c>
      <c r="Q436" t="str">
        <f t="shared" si="13"/>
        <v>Medium</v>
      </c>
      <c r="R436" t="str">
        <f>_xlfn.XLOOKUP(Orders[[#This Row],[Customer ID]],customers!$A$1:$A$1001,customers!$I$1:$I$1001,,0)</f>
        <v>No</v>
      </c>
    </row>
    <row r="437" spans="1:18" x14ac:dyDescent="0.35">
      <c r="A437" s="2" t="s">
        <v>2939</v>
      </c>
      <c r="B437" s="3">
        <v>44528</v>
      </c>
      <c r="C437" s="2" t="s">
        <v>2940</v>
      </c>
      <c r="D437" t="s">
        <v>6139</v>
      </c>
      <c r="E437" s="2">
        <v>1</v>
      </c>
      <c r="F437" s="2" t="str">
        <f>_xlfn.XLOOKUP(Orders[[#This Row],[Customer ID]],customers!$A$1:$A$1001,customers!$B$1:$B$1001,,0)</f>
        <v>Chance Rowthorn</v>
      </c>
      <c r="G437" s="2" t="str">
        <f>IF(_xlfn.XLOOKUP(C437,customers!$A$1:$A$1001,customers!C436:C1436,,0)=0,"",_xlfn.XLOOKUP(C437,customers!$A$1:$A$1001,customers!C436:C1436,,0))</f>
        <v>fantcliffeo6@amazon.co.jp</v>
      </c>
      <c r="H437" s="2" t="str">
        <f>_xlfn.XLOOKUP(Orders[[#This Row],[Customer ID]],customers!$A$1:$A$1001,customers!$G$1:$G$1001,,0)</f>
        <v>United States</v>
      </c>
      <c r="I437" s="2" t="str">
        <f>_xlfn.XLOOKUP(Orders[[#This Row],[Customer ID]],customers!$A$1:$A$1001,customers!$F$1:$F$1001,,0)</f>
        <v>Topeka</v>
      </c>
      <c r="J437" t="str">
        <f>INDEX(products!$A$1:$G$49,MATCH(orders!$D437,products!$A$1:$A$49,0),MATCH(orders!J$1,products!$A$1:$G$1,0))</f>
        <v>Exc</v>
      </c>
      <c r="K437" t="str">
        <f>INDEX(products!$A$1:$G$49,MATCH(orders!$D437,products!$A$1:$A$49,0),MATCH(orders!K$1,products!$A$1:$G$1,0))</f>
        <v>M</v>
      </c>
      <c r="L437" s="4">
        <f>INDEX(products!$A$1:$G$49,MATCH(orders!$D437,products!$A$1:$A$49,0),MATCH(orders!L$1,products!$A$1:$G$1,0))</f>
        <v>0.5</v>
      </c>
      <c r="M437" s="5">
        <f>INDEX(products!$A$1:$G$49,MATCH(orders!$D437,products!$A$1:$A$49,0),MATCH(orders!M$1,products!$A$1:$G$1,0))</f>
        <v>8.25</v>
      </c>
      <c r="N437" s="5">
        <f>Orders[[#This Row],[Quantity]]*(INDEX(products!$A$1:$G$49,MATCH(orders!$D437,products!$A$1:$A$49,0),MATCH(orders!N$1,products!$A$1:$G$1,0)))</f>
        <v>0.90749999999999997</v>
      </c>
      <c r="O437" s="5">
        <f>M437*E437</f>
        <v>8.25</v>
      </c>
      <c r="P437" t="str">
        <f t="shared" si="12"/>
        <v>Excelsa</v>
      </c>
      <c r="Q437" t="str">
        <f t="shared" si="13"/>
        <v>Medium</v>
      </c>
      <c r="R437" t="str">
        <f>_xlfn.XLOOKUP(Orders[[#This Row],[Customer ID]],customers!$A$1:$A$1001,customers!$I$1:$I$1001,,0)</f>
        <v>No</v>
      </c>
    </row>
    <row r="438" spans="1:18" x14ac:dyDescent="0.35">
      <c r="A438" s="2" t="s">
        <v>2945</v>
      </c>
      <c r="B438" s="3">
        <v>44631</v>
      </c>
      <c r="C438" s="2" t="s">
        <v>2946</v>
      </c>
      <c r="D438" t="s">
        <v>6145</v>
      </c>
      <c r="E438" s="2">
        <v>2</v>
      </c>
      <c r="F438" s="2" t="str">
        <f>_xlfn.XLOOKUP(Orders[[#This Row],[Customer ID]],customers!$A$1:$A$1001,customers!$B$1:$B$1001,,0)</f>
        <v>Orly Ryland</v>
      </c>
      <c r="G438" s="2" t="str">
        <f>IF(_xlfn.XLOOKUP(C438,customers!$A$1:$A$1001,customers!C437:C1437,,0)=0,"",_xlfn.XLOOKUP(C438,customers!$A$1:$A$1001,customers!C437:C1437,,0))</f>
        <v>cweondo8@theglobeandmail.com</v>
      </c>
      <c r="H438" s="2" t="str">
        <f>_xlfn.XLOOKUP(Orders[[#This Row],[Customer ID]],customers!$A$1:$A$1001,customers!$G$1:$G$1001,,0)</f>
        <v>United States</v>
      </c>
      <c r="I438" s="2" t="str">
        <f>_xlfn.XLOOKUP(Orders[[#This Row],[Customer ID]],customers!$A$1:$A$1001,customers!$F$1:$F$1001,,0)</f>
        <v>Fargo</v>
      </c>
      <c r="J438" t="str">
        <f>INDEX(products!$A$1:$G$49,MATCH(orders!$D438,products!$A$1:$A$49,0),MATCH(orders!J$1,products!$A$1:$G$1,0))</f>
        <v>Lib</v>
      </c>
      <c r="K438" t="str">
        <f>INDEX(products!$A$1:$G$49,MATCH(orders!$D438,products!$A$1:$A$49,0),MATCH(orders!K$1,products!$A$1:$G$1,0))</f>
        <v>L</v>
      </c>
      <c r="L438" s="4">
        <f>INDEX(products!$A$1:$G$49,MATCH(orders!$D438,products!$A$1:$A$49,0),MATCH(orders!L$1,products!$A$1:$G$1,0))</f>
        <v>0.2</v>
      </c>
      <c r="M438" s="5">
        <f>INDEX(products!$A$1:$G$49,MATCH(orders!$D438,products!$A$1:$A$49,0),MATCH(orders!M$1,products!$A$1:$G$1,0))</f>
        <v>4.7549999999999999</v>
      </c>
      <c r="N438" s="5">
        <f>Orders[[#This Row],[Quantity]]*(INDEX(products!$A$1:$G$49,MATCH(orders!$D438,products!$A$1:$A$49,0),MATCH(orders!N$1,products!$A$1:$G$1,0)))</f>
        <v>1.2363</v>
      </c>
      <c r="O438" s="5">
        <f>M438*E438</f>
        <v>9.51</v>
      </c>
      <c r="P438" t="str">
        <f t="shared" si="12"/>
        <v>Liberica</v>
      </c>
      <c r="Q438" t="str">
        <f t="shared" si="13"/>
        <v>Light</v>
      </c>
      <c r="R438" t="str">
        <f>_xlfn.XLOOKUP(Orders[[#This Row],[Customer ID]],customers!$A$1:$A$1001,customers!$I$1:$I$1001,,0)</f>
        <v>Yes</v>
      </c>
    </row>
    <row r="439" spans="1:18" x14ac:dyDescent="0.35">
      <c r="A439" s="2" t="s">
        <v>2951</v>
      </c>
      <c r="B439" s="3">
        <v>44213</v>
      </c>
      <c r="C439" s="2" t="s">
        <v>2952</v>
      </c>
      <c r="D439" t="s">
        <v>6165</v>
      </c>
      <c r="E439" s="2">
        <v>1</v>
      </c>
      <c r="F439" s="2" t="str">
        <f>_xlfn.XLOOKUP(Orders[[#This Row],[Customer ID]],customers!$A$1:$A$1001,customers!$B$1:$B$1001,,0)</f>
        <v>Willabella Abramski</v>
      </c>
      <c r="G439" s="2" t="str">
        <f>IF(_xlfn.XLOOKUP(C439,customers!$A$1:$A$1001,customers!C438:C1438,,0)=0,"",_xlfn.XLOOKUP(C439,customers!$A$1:$A$1001,customers!C438:C1438,,0))</f>
        <v>jskentelberyoa@paypal.com</v>
      </c>
      <c r="H439" s="2" t="str">
        <f>_xlfn.XLOOKUP(Orders[[#This Row],[Customer ID]],customers!$A$1:$A$1001,customers!$G$1:$G$1001,,0)</f>
        <v>United States</v>
      </c>
      <c r="I439" s="2" t="str">
        <f>_xlfn.XLOOKUP(Orders[[#This Row],[Customer ID]],customers!$A$1:$A$1001,customers!$F$1:$F$1001,,0)</f>
        <v>Houston</v>
      </c>
      <c r="J439" t="str">
        <f>INDEX(products!$A$1:$G$49,MATCH(orders!$D439,products!$A$1:$A$49,0),MATCH(orders!J$1,products!$A$1:$G$1,0))</f>
        <v>Lib</v>
      </c>
      <c r="K439" t="str">
        <f>INDEX(products!$A$1:$G$49,MATCH(orders!$D439,products!$A$1:$A$49,0),MATCH(orders!K$1,products!$A$1:$G$1,0))</f>
        <v>D</v>
      </c>
      <c r="L439" s="4">
        <f>INDEX(products!$A$1:$G$49,MATCH(orders!$D439,products!$A$1:$A$49,0),MATCH(orders!L$1,products!$A$1:$G$1,0))</f>
        <v>2.5</v>
      </c>
      <c r="M439" s="5">
        <f>INDEX(products!$A$1:$G$49,MATCH(orders!$D439,products!$A$1:$A$49,0),MATCH(orders!M$1,products!$A$1:$G$1,0))</f>
        <v>29.784999999999997</v>
      </c>
      <c r="N439" s="5">
        <f>Orders[[#This Row],[Quantity]]*(INDEX(products!$A$1:$G$49,MATCH(orders!$D439,products!$A$1:$A$49,0),MATCH(orders!N$1,products!$A$1:$G$1,0)))</f>
        <v>3.8720499999999998</v>
      </c>
      <c r="O439" s="5">
        <f>M439*E439</f>
        <v>29.784999999999997</v>
      </c>
      <c r="P439" t="str">
        <f t="shared" si="12"/>
        <v>Liberica</v>
      </c>
      <c r="Q439" t="str">
        <f t="shared" si="13"/>
        <v>Dark</v>
      </c>
      <c r="R439" t="str">
        <f>_xlfn.XLOOKUP(Orders[[#This Row],[Customer ID]],customers!$A$1:$A$1001,customers!$I$1:$I$1001,,0)</f>
        <v>No</v>
      </c>
    </row>
    <row r="440" spans="1:18" x14ac:dyDescent="0.35">
      <c r="A440" s="2" t="s">
        <v>2956</v>
      </c>
      <c r="B440" s="3">
        <v>43483</v>
      </c>
      <c r="C440" s="2" t="s">
        <v>3042</v>
      </c>
      <c r="D440" t="s">
        <v>6169</v>
      </c>
      <c r="E440" s="2">
        <v>2</v>
      </c>
      <c r="F440" s="2" t="str">
        <f>_xlfn.XLOOKUP(Orders[[#This Row],[Customer ID]],customers!$A$1:$A$1001,customers!$B$1:$B$1001,,0)</f>
        <v>Morgen Seson</v>
      </c>
      <c r="G440" s="2" t="str">
        <f>IF(_xlfn.XLOOKUP(C440,customers!$A$1:$A$1001,customers!C439:C1439,,0)=0,"",_xlfn.XLOOKUP(C440,customers!$A$1:$A$1001,customers!C439:C1439,,0))</f>
        <v>kmarrisonoq@dropbox.com</v>
      </c>
      <c r="H440" s="2" t="str">
        <f>_xlfn.XLOOKUP(Orders[[#This Row],[Customer ID]],customers!$A$1:$A$1001,customers!$G$1:$G$1001,,0)</f>
        <v>United States</v>
      </c>
      <c r="I440" s="2" t="str">
        <f>_xlfn.XLOOKUP(Orders[[#This Row],[Customer ID]],customers!$A$1:$A$1001,customers!$F$1:$F$1001,,0)</f>
        <v>Seattle</v>
      </c>
      <c r="J440" t="str">
        <f>INDEX(products!$A$1:$G$49,MATCH(orders!$D440,products!$A$1:$A$49,0),MATCH(orders!J$1,products!$A$1:$G$1,0))</f>
        <v>Lib</v>
      </c>
      <c r="K440" t="str">
        <f>INDEX(products!$A$1:$G$49,MATCH(orders!$D440,products!$A$1:$A$49,0),MATCH(orders!K$1,products!$A$1:$G$1,0))</f>
        <v>D</v>
      </c>
      <c r="L440" s="4">
        <f>INDEX(products!$A$1:$G$49,MATCH(orders!$D440,products!$A$1:$A$49,0),MATCH(orders!L$1,products!$A$1:$G$1,0))</f>
        <v>0.5</v>
      </c>
      <c r="M440" s="5">
        <f>INDEX(products!$A$1:$G$49,MATCH(orders!$D440,products!$A$1:$A$49,0),MATCH(orders!M$1,products!$A$1:$G$1,0))</f>
        <v>7.77</v>
      </c>
      <c r="N440" s="5">
        <f>Orders[[#This Row],[Quantity]]*(INDEX(products!$A$1:$G$49,MATCH(orders!$D440,products!$A$1:$A$49,0),MATCH(orders!N$1,products!$A$1:$G$1,0)))</f>
        <v>2.0202</v>
      </c>
      <c r="O440" s="5">
        <f>M440*E440</f>
        <v>15.54</v>
      </c>
      <c r="P440" t="str">
        <f t="shared" si="12"/>
        <v>Liberica</v>
      </c>
      <c r="Q440" t="str">
        <f t="shared" si="13"/>
        <v>Dark</v>
      </c>
      <c r="R440" t="str">
        <f>_xlfn.XLOOKUP(Orders[[#This Row],[Customer ID]],customers!$A$1:$A$1001,customers!$I$1:$I$1001,,0)</f>
        <v>No</v>
      </c>
    </row>
    <row r="441" spans="1:18" x14ac:dyDescent="0.35">
      <c r="A441" s="2" t="s">
        <v>2962</v>
      </c>
      <c r="B441" s="3">
        <v>43562</v>
      </c>
      <c r="C441" s="2" t="s">
        <v>2963</v>
      </c>
      <c r="D441" t="s">
        <v>6176</v>
      </c>
      <c r="E441" s="2">
        <v>4</v>
      </c>
      <c r="F441" s="2" t="str">
        <f>_xlfn.XLOOKUP(Orders[[#This Row],[Customer ID]],customers!$A$1:$A$1001,customers!$B$1:$B$1001,,0)</f>
        <v>Chickie Ragless</v>
      </c>
      <c r="G441" s="2" t="str">
        <f>IF(_xlfn.XLOOKUP(C441,customers!$A$1:$A$1001,customers!C440:C1440,,0)=0,"",_xlfn.XLOOKUP(C441,customers!$A$1:$A$1001,customers!C440:C1440,,0))</f>
        <v/>
      </c>
      <c r="H441" s="2" t="str">
        <f>_xlfn.XLOOKUP(Orders[[#This Row],[Customer ID]],customers!$A$1:$A$1001,customers!$G$1:$G$1001,,0)</f>
        <v>Ireland</v>
      </c>
      <c r="I441" s="2" t="str">
        <f>_xlfn.XLOOKUP(Orders[[#This Row],[Customer ID]],customers!$A$1:$A$1001,customers!$F$1:$F$1001,,0)</f>
        <v>Caherconlish</v>
      </c>
      <c r="J441" t="str">
        <f>INDEX(products!$A$1:$G$49,MATCH(orders!$D441,products!$A$1:$A$49,0),MATCH(orders!J$1,products!$A$1:$G$1,0))</f>
        <v>Exc</v>
      </c>
      <c r="K441" t="str">
        <f>INDEX(products!$A$1:$G$49,MATCH(orders!$D441,products!$A$1:$A$49,0),MATCH(orders!K$1,products!$A$1:$G$1,0))</f>
        <v>L</v>
      </c>
      <c r="L441" s="4">
        <f>INDEX(products!$A$1:$G$49,MATCH(orders!$D441,products!$A$1:$A$49,0),MATCH(orders!L$1,products!$A$1:$G$1,0))</f>
        <v>0.5</v>
      </c>
      <c r="M441" s="5">
        <f>INDEX(products!$A$1:$G$49,MATCH(orders!$D441,products!$A$1:$A$49,0),MATCH(orders!M$1,products!$A$1:$G$1,0))</f>
        <v>8.91</v>
      </c>
      <c r="N441" s="5">
        <f>Orders[[#This Row],[Quantity]]*(INDEX(products!$A$1:$G$49,MATCH(orders!$D441,products!$A$1:$A$49,0),MATCH(orders!N$1,products!$A$1:$G$1,0)))</f>
        <v>3.9203999999999999</v>
      </c>
      <c r="O441" s="5">
        <f>M441*E441</f>
        <v>35.64</v>
      </c>
      <c r="P441" t="str">
        <f t="shared" si="12"/>
        <v>Excelsa</v>
      </c>
      <c r="Q441" t="str">
        <f t="shared" si="13"/>
        <v>Light</v>
      </c>
      <c r="R441" t="str">
        <f>_xlfn.XLOOKUP(Orders[[#This Row],[Customer ID]],customers!$A$1:$A$1001,customers!$I$1:$I$1001,,0)</f>
        <v>No</v>
      </c>
    </row>
    <row r="442" spans="1:18" x14ac:dyDescent="0.35">
      <c r="A442" s="2" t="s">
        <v>2968</v>
      </c>
      <c r="B442" s="3">
        <v>44230</v>
      </c>
      <c r="C442" s="2" t="s">
        <v>2969</v>
      </c>
      <c r="D442" t="s">
        <v>6175</v>
      </c>
      <c r="E442" s="2">
        <v>4</v>
      </c>
      <c r="F442" s="2" t="str">
        <f>_xlfn.XLOOKUP(Orders[[#This Row],[Customer ID]],customers!$A$1:$A$1001,customers!$B$1:$B$1001,,0)</f>
        <v>Freda Hollows</v>
      </c>
      <c r="G442" s="2" t="str">
        <f>IF(_xlfn.XLOOKUP(C442,customers!$A$1:$A$1001,customers!C441:C1441,,0)=0,"",_xlfn.XLOOKUP(C442,customers!$A$1:$A$1001,customers!C441:C1441,,0))</f>
        <v>chatfullog@ebay.com</v>
      </c>
      <c r="H442" s="2" t="str">
        <f>_xlfn.XLOOKUP(Orders[[#This Row],[Customer ID]],customers!$A$1:$A$1001,customers!$G$1:$G$1001,,0)</f>
        <v>United States</v>
      </c>
      <c r="I442" s="2" t="str">
        <f>_xlfn.XLOOKUP(Orders[[#This Row],[Customer ID]],customers!$A$1:$A$1001,customers!$F$1:$F$1001,,0)</f>
        <v>Buffalo</v>
      </c>
      <c r="J442" t="str">
        <f>INDEX(products!$A$1:$G$49,MATCH(orders!$D442,products!$A$1:$A$49,0),MATCH(orders!J$1,products!$A$1:$G$1,0))</f>
        <v>Ara</v>
      </c>
      <c r="K442" t="str">
        <f>INDEX(products!$A$1:$G$49,MATCH(orders!$D442,products!$A$1:$A$49,0),MATCH(orders!K$1,products!$A$1:$G$1,0))</f>
        <v>M</v>
      </c>
      <c r="L442" s="4">
        <f>INDEX(products!$A$1:$G$49,MATCH(orders!$D442,products!$A$1:$A$49,0),MATCH(orders!L$1,products!$A$1:$G$1,0))</f>
        <v>2.5</v>
      </c>
      <c r="M442" s="5">
        <f>INDEX(products!$A$1:$G$49,MATCH(orders!$D442,products!$A$1:$A$49,0),MATCH(orders!M$1,products!$A$1:$G$1,0))</f>
        <v>25.874999999999996</v>
      </c>
      <c r="N442" s="5">
        <f>Orders[[#This Row],[Quantity]]*(INDEX(products!$A$1:$G$49,MATCH(orders!$D442,products!$A$1:$A$49,0),MATCH(orders!N$1,products!$A$1:$G$1,0)))</f>
        <v>9.3149999999999977</v>
      </c>
      <c r="O442" s="5">
        <f>M442*E442</f>
        <v>103.49999999999999</v>
      </c>
      <c r="P442" t="str">
        <f t="shared" si="12"/>
        <v>Arabica</v>
      </c>
      <c r="Q442" t="str">
        <f t="shared" si="13"/>
        <v>Medium</v>
      </c>
      <c r="R442" t="str">
        <f>_xlfn.XLOOKUP(Orders[[#This Row],[Customer ID]],customers!$A$1:$A$1001,customers!$I$1:$I$1001,,0)</f>
        <v>Yes</v>
      </c>
    </row>
    <row r="443" spans="1:18" x14ac:dyDescent="0.35">
      <c r="A443" s="2" t="s">
        <v>2974</v>
      </c>
      <c r="B443" s="3">
        <v>43573</v>
      </c>
      <c r="C443" s="2" t="s">
        <v>2975</v>
      </c>
      <c r="D443" t="s">
        <v>6183</v>
      </c>
      <c r="E443" s="2">
        <v>3</v>
      </c>
      <c r="F443" s="2" t="str">
        <f>_xlfn.XLOOKUP(Orders[[#This Row],[Customer ID]],customers!$A$1:$A$1001,customers!$B$1:$B$1001,,0)</f>
        <v>Livy Lathleiff</v>
      </c>
      <c r="G443" s="2" t="str">
        <f>IF(_xlfn.XLOOKUP(C443,customers!$A$1:$A$1001,customers!C442:C1442,,0)=0,"",_xlfn.XLOOKUP(C443,customers!$A$1:$A$1001,customers!C442:C1442,,0))</f>
        <v>cswatmanoi@cbslocal.com</v>
      </c>
      <c r="H443" s="2" t="str">
        <f>_xlfn.XLOOKUP(Orders[[#This Row],[Customer ID]],customers!$A$1:$A$1001,customers!$G$1:$G$1001,,0)</f>
        <v>Ireland</v>
      </c>
      <c r="I443" s="2" t="str">
        <f>_xlfn.XLOOKUP(Orders[[#This Row],[Customer ID]],customers!$A$1:$A$1001,customers!$F$1:$F$1001,,0)</f>
        <v>Shankill</v>
      </c>
      <c r="J443" t="str">
        <f>INDEX(products!$A$1:$G$49,MATCH(orders!$D443,products!$A$1:$A$49,0),MATCH(orders!J$1,products!$A$1:$G$1,0))</f>
        <v>Exc</v>
      </c>
      <c r="K443" t="str">
        <f>INDEX(products!$A$1:$G$49,MATCH(orders!$D443,products!$A$1:$A$49,0),MATCH(orders!K$1,products!$A$1:$G$1,0))</f>
        <v>D</v>
      </c>
      <c r="L443" s="4">
        <f>INDEX(products!$A$1:$G$49,MATCH(orders!$D443,products!$A$1:$A$49,0),MATCH(orders!L$1,products!$A$1:$G$1,0))</f>
        <v>1</v>
      </c>
      <c r="M443" s="5">
        <f>INDEX(products!$A$1:$G$49,MATCH(orders!$D443,products!$A$1:$A$49,0),MATCH(orders!M$1,products!$A$1:$G$1,0))</f>
        <v>12.15</v>
      </c>
      <c r="N443" s="5">
        <f>Orders[[#This Row],[Quantity]]*(INDEX(products!$A$1:$G$49,MATCH(orders!$D443,products!$A$1:$A$49,0),MATCH(orders!N$1,products!$A$1:$G$1,0)))</f>
        <v>4.0095000000000001</v>
      </c>
      <c r="O443" s="5">
        <f>M443*E443</f>
        <v>36.450000000000003</v>
      </c>
      <c r="P443" t="str">
        <f t="shared" si="12"/>
        <v>Excelsa</v>
      </c>
      <c r="Q443" t="str">
        <f t="shared" si="13"/>
        <v>Dark</v>
      </c>
      <c r="R443" t="str">
        <f>_xlfn.XLOOKUP(Orders[[#This Row],[Customer ID]],customers!$A$1:$A$1001,customers!$I$1:$I$1001,,0)</f>
        <v>Yes</v>
      </c>
    </row>
    <row r="444" spans="1:18" x14ac:dyDescent="0.35">
      <c r="A444" s="2" t="s">
        <v>2980</v>
      </c>
      <c r="B444" s="3">
        <v>44384</v>
      </c>
      <c r="C444" s="2" t="s">
        <v>2981</v>
      </c>
      <c r="D444" t="s">
        <v>6173</v>
      </c>
      <c r="E444" s="2">
        <v>5</v>
      </c>
      <c r="F444" s="2" t="str">
        <f>_xlfn.XLOOKUP(Orders[[#This Row],[Customer ID]],customers!$A$1:$A$1001,customers!$B$1:$B$1001,,0)</f>
        <v>Koralle Heads</v>
      </c>
      <c r="G444" s="2" t="str">
        <f>IF(_xlfn.XLOOKUP(C444,customers!$A$1:$A$1001,customers!C443:C1443,,0)=0,"",_xlfn.XLOOKUP(C444,customers!$A$1:$A$1001,customers!C443:C1443,,0))</f>
        <v>dkiddyok@fda.gov</v>
      </c>
      <c r="H444" s="2" t="str">
        <f>_xlfn.XLOOKUP(Orders[[#This Row],[Customer ID]],customers!$A$1:$A$1001,customers!$G$1:$G$1001,,0)</f>
        <v>United States</v>
      </c>
      <c r="I444" s="2" t="str">
        <f>_xlfn.XLOOKUP(Orders[[#This Row],[Customer ID]],customers!$A$1:$A$1001,customers!$F$1:$F$1001,,0)</f>
        <v>Bethlehem</v>
      </c>
      <c r="J444" t="str">
        <f>INDEX(products!$A$1:$G$49,MATCH(orders!$D444,products!$A$1:$A$49,0),MATCH(orders!J$1,products!$A$1:$G$1,0))</f>
        <v>Rob</v>
      </c>
      <c r="K444" t="str">
        <f>INDEX(products!$A$1:$G$49,MATCH(orders!$D444,products!$A$1:$A$49,0),MATCH(orders!K$1,products!$A$1:$G$1,0))</f>
        <v>L</v>
      </c>
      <c r="L444" s="4">
        <f>INDEX(products!$A$1:$G$49,MATCH(orders!$D444,products!$A$1:$A$49,0),MATCH(orders!L$1,products!$A$1:$G$1,0))</f>
        <v>0.5</v>
      </c>
      <c r="M444" s="5">
        <f>INDEX(products!$A$1:$G$49,MATCH(orders!$D444,products!$A$1:$A$49,0),MATCH(orders!M$1,products!$A$1:$G$1,0))</f>
        <v>7.169999999999999</v>
      </c>
      <c r="N444" s="5">
        <f>Orders[[#This Row],[Quantity]]*(INDEX(products!$A$1:$G$49,MATCH(orders!$D444,products!$A$1:$A$49,0),MATCH(orders!N$1,products!$A$1:$G$1,0)))</f>
        <v>2.1509999999999998</v>
      </c>
      <c r="O444" s="5">
        <f>M444*E444</f>
        <v>35.849999999999994</v>
      </c>
      <c r="P444" t="str">
        <f t="shared" si="12"/>
        <v>Robusta</v>
      </c>
      <c r="Q444" t="str">
        <f t="shared" si="13"/>
        <v>Light</v>
      </c>
      <c r="R444" t="str">
        <f>_xlfn.XLOOKUP(Orders[[#This Row],[Customer ID]],customers!$A$1:$A$1001,customers!$I$1:$I$1001,,0)</f>
        <v>No</v>
      </c>
    </row>
    <row r="445" spans="1:18" x14ac:dyDescent="0.35">
      <c r="A445" s="2" t="s">
        <v>2986</v>
      </c>
      <c r="B445" s="3">
        <v>44250</v>
      </c>
      <c r="C445" s="2" t="s">
        <v>2987</v>
      </c>
      <c r="D445" t="s">
        <v>6184</v>
      </c>
      <c r="E445" s="2">
        <v>5</v>
      </c>
      <c r="F445" s="2" t="str">
        <f>_xlfn.XLOOKUP(Orders[[#This Row],[Customer ID]],customers!$A$1:$A$1001,customers!$B$1:$B$1001,,0)</f>
        <v>Theo Bowne</v>
      </c>
      <c r="G445" s="2" t="str">
        <f>IF(_xlfn.XLOOKUP(C445,customers!$A$1:$A$1001,customers!C444:C1444,,0)=0,"",_xlfn.XLOOKUP(C445,customers!$A$1:$A$1001,customers!C444:C1444,,0))</f>
        <v>mschollom@taobao.com</v>
      </c>
      <c r="H445" s="2" t="str">
        <f>_xlfn.XLOOKUP(Orders[[#This Row],[Customer ID]],customers!$A$1:$A$1001,customers!$G$1:$G$1001,,0)</f>
        <v>Ireland</v>
      </c>
      <c r="I445" s="2" t="str">
        <f>_xlfn.XLOOKUP(Orders[[#This Row],[Customer ID]],customers!$A$1:$A$1001,customers!$F$1:$F$1001,,0)</f>
        <v>Watergrasshill</v>
      </c>
      <c r="J445" t="str">
        <f>INDEX(products!$A$1:$G$49,MATCH(orders!$D445,products!$A$1:$A$49,0),MATCH(orders!J$1,products!$A$1:$G$1,0))</f>
        <v>Exc</v>
      </c>
      <c r="K445" t="str">
        <f>INDEX(products!$A$1:$G$49,MATCH(orders!$D445,products!$A$1:$A$49,0),MATCH(orders!K$1,products!$A$1:$G$1,0))</f>
        <v>L</v>
      </c>
      <c r="L445" s="4">
        <f>INDEX(products!$A$1:$G$49,MATCH(orders!$D445,products!$A$1:$A$49,0),MATCH(orders!L$1,products!$A$1:$G$1,0))</f>
        <v>0.2</v>
      </c>
      <c r="M445" s="5">
        <f>INDEX(products!$A$1:$G$49,MATCH(orders!$D445,products!$A$1:$A$49,0),MATCH(orders!M$1,products!$A$1:$G$1,0))</f>
        <v>4.4550000000000001</v>
      </c>
      <c r="N445" s="5">
        <f>Orders[[#This Row],[Quantity]]*(INDEX(products!$A$1:$G$49,MATCH(orders!$D445,products!$A$1:$A$49,0),MATCH(orders!N$1,products!$A$1:$G$1,0)))</f>
        <v>2.45025</v>
      </c>
      <c r="O445" s="5">
        <f>M445*E445</f>
        <v>22.274999999999999</v>
      </c>
      <c r="P445" t="str">
        <f t="shared" si="12"/>
        <v>Excelsa</v>
      </c>
      <c r="Q445" t="str">
        <f t="shared" si="13"/>
        <v>Light</v>
      </c>
      <c r="R445" t="str">
        <f>_xlfn.XLOOKUP(Orders[[#This Row],[Customer ID]],customers!$A$1:$A$1001,customers!$I$1:$I$1001,,0)</f>
        <v>Yes</v>
      </c>
    </row>
    <row r="446" spans="1:18" x14ac:dyDescent="0.35">
      <c r="A446" s="2" t="s">
        <v>2992</v>
      </c>
      <c r="B446" s="3">
        <v>44418</v>
      </c>
      <c r="C446" s="2" t="s">
        <v>2993</v>
      </c>
      <c r="D446" t="s">
        <v>6156</v>
      </c>
      <c r="E446" s="2">
        <v>6</v>
      </c>
      <c r="F446" s="2" t="str">
        <f>_xlfn.XLOOKUP(Orders[[#This Row],[Customer ID]],customers!$A$1:$A$1001,customers!$B$1:$B$1001,,0)</f>
        <v>Rasia Jacquemard</v>
      </c>
      <c r="G446" s="2" t="str">
        <f>IF(_xlfn.XLOOKUP(C446,customers!$A$1:$A$1001,customers!C445:C1445,,0)=0,"",_xlfn.XLOOKUP(C446,customers!$A$1:$A$1001,customers!C445:C1445,,0))</f>
        <v>bkellowayoo@omniture.com</v>
      </c>
      <c r="H446" s="2" t="str">
        <f>_xlfn.XLOOKUP(Orders[[#This Row],[Customer ID]],customers!$A$1:$A$1001,customers!$G$1:$G$1001,,0)</f>
        <v>Ireland</v>
      </c>
      <c r="I446" s="2" t="str">
        <f>_xlfn.XLOOKUP(Orders[[#This Row],[Customer ID]],customers!$A$1:$A$1001,customers!$F$1:$F$1001,,0)</f>
        <v>Monasterevin</v>
      </c>
      <c r="J446" t="str">
        <f>INDEX(products!$A$1:$G$49,MATCH(orders!$D446,products!$A$1:$A$49,0),MATCH(orders!J$1,products!$A$1:$G$1,0))</f>
        <v>Exc</v>
      </c>
      <c r="K446" t="str">
        <f>INDEX(products!$A$1:$G$49,MATCH(orders!$D446,products!$A$1:$A$49,0),MATCH(orders!K$1,products!$A$1:$G$1,0))</f>
        <v>M</v>
      </c>
      <c r="L446" s="4">
        <f>INDEX(products!$A$1:$G$49,MATCH(orders!$D446,products!$A$1:$A$49,0),MATCH(orders!L$1,products!$A$1:$G$1,0))</f>
        <v>0.2</v>
      </c>
      <c r="M446" s="5">
        <f>INDEX(products!$A$1:$G$49,MATCH(orders!$D446,products!$A$1:$A$49,0),MATCH(orders!M$1,products!$A$1:$G$1,0))</f>
        <v>4.125</v>
      </c>
      <c r="N446" s="5">
        <f>Orders[[#This Row],[Quantity]]*(INDEX(products!$A$1:$G$49,MATCH(orders!$D446,products!$A$1:$A$49,0),MATCH(orders!N$1,products!$A$1:$G$1,0)))</f>
        <v>2.7225000000000001</v>
      </c>
      <c r="O446" s="5">
        <f>M446*E446</f>
        <v>24.75</v>
      </c>
      <c r="P446" t="str">
        <f t="shared" si="12"/>
        <v>Excelsa</v>
      </c>
      <c r="Q446" t="str">
        <f t="shared" si="13"/>
        <v>Medium</v>
      </c>
      <c r="R446" t="str">
        <f>_xlfn.XLOOKUP(Orders[[#This Row],[Customer ID]],customers!$A$1:$A$1001,customers!$I$1:$I$1001,,0)</f>
        <v>No</v>
      </c>
    </row>
    <row r="447" spans="1:18" x14ac:dyDescent="0.35">
      <c r="A447" s="2" t="s">
        <v>2999</v>
      </c>
      <c r="B447" s="3">
        <v>43784</v>
      </c>
      <c r="C447" s="2" t="s">
        <v>3000</v>
      </c>
      <c r="D447" t="s">
        <v>6181</v>
      </c>
      <c r="E447" s="2">
        <v>2</v>
      </c>
      <c r="F447" s="2" t="str">
        <f>_xlfn.XLOOKUP(Orders[[#This Row],[Customer ID]],customers!$A$1:$A$1001,customers!$B$1:$B$1001,,0)</f>
        <v>Kizzie Warman</v>
      </c>
      <c r="G447" s="2" t="str">
        <f>IF(_xlfn.XLOOKUP(C447,customers!$A$1:$A$1001,customers!C446:C1446,,0)=0,"",_xlfn.XLOOKUP(C447,customers!$A$1:$A$1001,customers!C446:C1446,,0))</f>
        <v>kmarrisonoq@dropbox.com</v>
      </c>
      <c r="H447" s="2" t="str">
        <f>_xlfn.XLOOKUP(Orders[[#This Row],[Customer ID]],customers!$A$1:$A$1001,customers!$G$1:$G$1001,,0)</f>
        <v>Ireland</v>
      </c>
      <c r="I447" s="2" t="str">
        <f>_xlfn.XLOOKUP(Orders[[#This Row],[Customer ID]],customers!$A$1:$A$1001,customers!$F$1:$F$1001,,0)</f>
        <v>Sandyford</v>
      </c>
      <c r="J447" t="str">
        <f>INDEX(products!$A$1:$G$49,MATCH(orders!$D447,products!$A$1:$A$49,0),MATCH(orders!J$1,products!$A$1:$G$1,0))</f>
        <v>Lib</v>
      </c>
      <c r="K447" t="str">
        <f>INDEX(products!$A$1:$G$49,MATCH(orders!$D447,products!$A$1:$A$49,0),MATCH(orders!K$1,products!$A$1:$G$1,0))</f>
        <v>M</v>
      </c>
      <c r="L447" s="4">
        <f>INDEX(products!$A$1:$G$49,MATCH(orders!$D447,products!$A$1:$A$49,0),MATCH(orders!L$1,products!$A$1:$G$1,0))</f>
        <v>2.5</v>
      </c>
      <c r="M447" s="5">
        <f>INDEX(products!$A$1:$G$49,MATCH(orders!$D447,products!$A$1:$A$49,0),MATCH(orders!M$1,products!$A$1:$G$1,0))</f>
        <v>33.464999999999996</v>
      </c>
      <c r="N447" s="5">
        <f>Orders[[#This Row],[Quantity]]*(INDEX(products!$A$1:$G$49,MATCH(orders!$D447,products!$A$1:$A$49,0),MATCH(orders!N$1,products!$A$1:$G$1,0)))</f>
        <v>8.700899999999999</v>
      </c>
      <c r="O447" s="5">
        <f>M447*E447</f>
        <v>66.929999999999993</v>
      </c>
      <c r="P447" t="str">
        <f t="shared" si="12"/>
        <v>Liberica</v>
      </c>
      <c r="Q447" t="str">
        <f t="shared" si="13"/>
        <v>Medium</v>
      </c>
      <c r="R447" t="str">
        <f>_xlfn.XLOOKUP(Orders[[#This Row],[Customer ID]],customers!$A$1:$A$1001,customers!$I$1:$I$1001,,0)</f>
        <v>Yes</v>
      </c>
    </row>
    <row r="448" spans="1:18" x14ac:dyDescent="0.35">
      <c r="A448" s="2" t="s">
        <v>3004</v>
      </c>
      <c r="B448" s="3">
        <v>43816</v>
      </c>
      <c r="C448" s="2" t="s">
        <v>3005</v>
      </c>
      <c r="D448" t="s">
        <v>6160</v>
      </c>
      <c r="E448" s="2">
        <v>1</v>
      </c>
      <c r="F448" s="2" t="str">
        <f>_xlfn.XLOOKUP(Orders[[#This Row],[Customer ID]],customers!$A$1:$A$1001,customers!$B$1:$B$1001,,0)</f>
        <v>Wain Cholomin</v>
      </c>
      <c r="G448" s="2" t="str">
        <f>IF(_xlfn.XLOOKUP(C448,customers!$A$1:$A$1001,customers!C447:C1447,,0)=0,"",_xlfn.XLOOKUP(C448,customers!$A$1:$A$1001,customers!C447:C1447,,0))</f>
        <v>pvasilenkoos@addtoany.com</v>
      </c>
      <c r="H448" s="2" t="str">
        <f>_xlfn.XLOOKUP(Orders[[#This Row],[Customer ID]],customers!$A$1:$A$1001,customers!$G$1:$G$1001,,0)</f>
        <v>United Kingdom</v>
      </c>
      <c r="I448" s="2" t="str">
        <f>_xlfn.XLOOKUP(Orders[[#This Row],[Customer ID]],customers!$A$1:$A$1001,customers!$F$1:$F$1001,,0)</f>
        <v>Birmingham</v>
      </c>
      <c r="J448" t="str">
        <f>INDEX(products!$A$1:$G$49,MATCH(orders!$D448,products!$A$1:$A$49,0),MATCH(orders!J$1,products!$A$1:$G$1,0))</f>
        <v>Lib</v>
      </c>
      <c r="K448" t="str">
        <f>INDEX(products!$A$1:$G$49,MATCH(orders!$D448,products!$A$1:$A$49,0),MATCH(orders!K$1,products!$A$1:$G$1,0))</f>
        <v>M</v>
      </c>
      <c r="L448" s="4">
        <f>INDEX(products!$A$1:$G$49,MATCH(orders!$D448,products!$A$1:$A$49,0),MATCH(orders!L$1,products!$A$1:$G$1,0))</f>
        <v>0.5</v>
      </c>
      <c r="M448" s="5">
        <f>INDEX(products!$A$1:$G$49,MATCH(orders!$D448,products!$A$1:$A$49,0),MATCH(orders!M$1,products!$A$1:$G$1,0))</f>
        <v>8.73</v>
      </c>
      <c r="N448" s="5">
        <f>Orders[[#This Row],[Quantity]]*(INDEX(products!$A$1:$G$49,MATCH(orders!$D448,products!$A$1:$A$49,0),MATCH(orders!N$1,products!$A$1:$G$1,0)))</f>
        <v>1.1349</v>
      </c>
      <c r="O448" s="5">
        <f>M448*E448</f>
        <v>8.73</v>
      </c>
      <c r="P448" t="str">
        <f t="shared" si="12"/>
        <v>Liberica</v>
      </c>
      <c r="Q448" t="str">
        <f t="shared" si="13"/>
        <v>Medium</v>
      </c>
      <c r="R448" t="str">
        <f>_xlfn.XLOOKUP(Orders[[#This Row],[Customer ID]],customers!$A$1:$A$1001,customers!$I$1:$I$1001,,0)</f>
        <v>Yes</v>
      </c>
    </row>
    <row r="449" spans="1:18" x14ac:dyDescent="0.35">
      <c r="A449" s="2" t="s">
        <v>3010</v>
      </c>
      <c r="B449" s="3">
        <v>43908</v>
      </c>
      <c r="C449" s="2" t="s">
        <v>3011</v>
      </c>
      <c r="D449" t="s">
        <v>6146</v>
      </c>
      <c r="E449" s="2">
        <v>3</v>
      </c>
      <c r="F449" s="2" t="str">
        <f>_xlfn.XLOOKUP(Orders[[#This Row],[Customer ID]],customers!$A$1:$A$1001,customers!$B$1:$B$1001,,0)</f>
        <v>Arleen Braidman</v>
      </c>
      <c r="G449" s="2" t="str">
        <f>IF(_xlfn.XLOOKUP(C449,customers!$A$1:$A$1001,customers!C448:C1448,,0)=0,"",_xlfn.XLOOKUP(C449,customers!$A$1:$A$1001,customers!C448:C1448,,0))</f>
        <v/>
      </c>
      <c r="H449" s="2" t="str">
        <f>_xlfn.XLOOKUP(Orders[[#This Row],[Customer ID]],customers!$A$1:$A$1001,customers!$G$1:$G$1001,,0)</f>
        <v>United States</v>
      </c>
      <c r="I449" s="2" t="str">
        <f>_xlfn.XLOOKUP(Orders[[#This Row],[Customer ID]],customers!$A$1:$A$1001,customers!$F$1:$F$1001,,0)</f>
        <v>Phoenix</v>
      </c>
      <c r="J449" t="str">
        <f>INDEX(products!$A$1:$G$49,MATCH(orders!$D449,products!$A$1:$A$49,0),MATCH(orders!J$1,products!$A$1:$G$1,0))</f>
        <v>Rob</v>
      </c>
      <c r="K449" t="str">
        <f>INDEX(products!$A$1:$G$49,MATCH(orders!$D449,products!$A$1:$A$49,0),MATCH(orders!K$1,products!$A$1:$G$1,0))</f>
        <v>M</v>
      </c>
      <c r="L449" s="4">
        <f>INDEX(products!$A$1:$G$49,MATCH(orders!$D449,products!$A$1:$A$49,0),MATCH(orders!L$1,products!$A$1:$G$1,0))</f>
        <v>0.5</v>
      </c>
      <c r="M449" s="5">
        <f>INDEX(products!$A$1:$G$49,MATCH(orders!$D449,products!$A$1:$A$49,0),MATCH(orders!M$1,products!$A$1:$G$1,0))</f>
        <v>5.97</v>
      </c>
      <c r="N449" s="5">
        <f>Orders[[#This Row],[Quantity]]*(INDEX(products!$A$1:$G$49,MATCH(orders!$D449,products!$A$1:$A$49,0),MATCH(orders!N$1,products!$A$1:$G$1,0)))</f>
        <v>1.0745999999999998</v>
      </c>
      <c r="O449" s="5">
        <f>M449*E449</f>
        <v>17.91</v>
      </c>
      <c r="P449" t="str">
        <f t="shared" si="12"/>
        <v>Robusta</v>
      </c>
      <c r="Q449" t="str">
        <f t="shared" si="13"/>
        <v>Medium</v>
      </c>
      <c r="R449" t="str">
        <f>_xlfn.XLOOKUP(Orders[[#This Row],[Customer ID]],customers!$A$1:$A$1001,customers!$I$1:$I$1001,,0)</f>
        <v>No</v>
      </c>
    </row>
    <row r="450" spans="1:18" x14ac:dyDescent="0.35">
      <c r="A450" s="2" t="s">
        <v>3015</v>
      </c>
      <c r="B450" s="3">
        <v>44718</v>
      </c>
      <c r="C450" s="2" t="s">
        <v>3016</v>
      </c>
      <c r="D450" t="s">
        <v>6173</v>
      </c>
      <c r="E450" s="2">
        <v>1</v>
      </c>
      <c r="F450" s="2" t="str">
        <f>_xlfn.XLOOKUP(Orders[[#This Row],[Customer ID]],customers!$A$1:$A$1001,customers!$B$1:$B$1001,,0)</f>
        <v>Pru Durban</v>
      </c>
      <c r="G450" s="2" t="str">
        <f>IF(_xlfn.XLOOKUP(C450,customers!$A$1:$A$1001,customers!C449:C1449,,0)=0,"",_xlfn.XLOOKUP(C450,customers!$A$1:$A$1001,customers!C449:C1449,,0))</f>
        <v>bcargenow@geocities.jp</v>
      </c>
      <c r="H450" s="2" t="str">
        <f>_xlfn.XLOOKUP(Orders[[#This Row],[Customer ID]],customers!$A$1:$A$1001,customers!$G$1:$G$1001,,0)</f>
        <v>Ireland</v>
      </c>
      <c r="I450" s="2" t="str">
        <f>_xlfn.XLOOKUP(Orders[[#This Row],[Customer ID]],customers!$A$1:$A$1001,customers!$F$1:$F$1001,,0)</f>
        <v>Longford</v>
      </c>
      <c r="J450" t="str">
        <f>INDEX(products!$A$1:$G$49,MATCH(orders!$D450,products!$A$1:$A$49,0),MATCH(orders!J$1,products!$A$1:$G$1,0))</f>
        <v>Rob</v>
      </c>
      <c r="K450" t="str">
        <f>INDEX(products!$A$1:$G$49,MATCH(orders!$D450,products!$A$1:$A$49,0),MATCH(orders!K$1,products!$A$1:$G$1,0))</f>
        <v>L</v>
      </c>
      <c r="L450" s="4">
        <f>INDEX(products!$A$1:$G$49,MATCH(orders!$D450,products!$A$1:$A$49,0),MATCH(orders!L$1,products!$A$1:$G$1,0))</f>
        <v>0.5</v>
      </c>
      <c r="M450" s="5">
        <f>INDEX(products!$A$1:$G$49,MATCH(orders!$D450,products!$A$1:$A$49,0),MATCH(orders!M$1,products!$A$1:$G$1,0))</f>
        <v>7.169999999999999</v>
      </c>
      <c r="N450" s="5">
        <f>Orders[[#This Row],[Quantity]]*(INDEX(products!$A$1:$G$49,MATCH(orders!$D450,products!$A$1:$A$49,0),MATCH(orders!N$1,products!$A$1:$G$1,0)))</f>
        <v>0.43019999999999992</v>
      </c>
      <c r="O450" s="5">
        <f>M450*E450</f>
        <v>7.169999999999999</v>
      </c>
      <c r="P450" t="str">
        <f t="shared" si="12"/>
        <v>Robusta</v>
      </c>
      <c r="Q450" t="str">
        <f t="shared" si="13"/>
        <v>Light</v>
      </c>
      <c r="R450" t="str">
        <f>_xlfn.XLOOKUP(Orders[[#This Row],[Customer ID]],customers!$A$1:$A$1001,customers!$I$1:$I$1001,,0)</f>
        <v>No</v>
      </c>
    </row>
    <row r="451" spans="1:18" x14ac:dyDescent="0.35">
      <c r="A451" s="2" t="s">
        <v>3021</v>
      </c>
      <c r="B451" s="3">
        <v>44336</v>
      </c>
      <c r="C451" s="2" t="s">
        <v>3022</v>
      </c>
      <c r="D451" t="s">
        <v>6163</v>
      </c>
      <c r="E451" s="2">
        <v>2</v>
      </c>
      <c r="F451" s="2" t="str">
        <f>_xlfn.XLOOKUP(Orders[[#This Row],[Customer ID]],customers!$A$1:$A$1001,customers!$B$1:$B$1001,,0)</f>
        <v>Antone Harrold</v>
      </c>
      <c r="G451" s="2" t="str">
        <f>IF(_xlfn.XLOOKUP(C451,customers!$A$1:$A$1001,customers!C450:C1450,,0)=0,"",_xlfn.XLOOKUP(C451,customers!$A$1:$A$1001,customers!C450:C1450,,0))</f>
        <v/>
      </c>
      <c r="H451" s="2" t="str">
        <f>_xlfn.XLOOKUP(Orders[[#This Row],[Customer ID]],customers!$A$1:$A$1001,customers!$G$1:$G$1001,,0)</f>
        <v>United States</v>
      </c>
      <c r="I451" s="2" t="str">
        <f>_xlfn.XLOOKUP(Orders[[#This Row],[Customer ID]],customers!$A$1:$A$1001,customers!$F$1:$F$1001,,0)</f>
        <v>Toledo</v>
      </c>
      <c r="J451" t="str">
        <f>INDEX(products!$A$1:$G$49,MATCH(orders!$D451,products!$A$1:$A$49,0),MATCH(orders!J$1,products!$A$1:$G$1,0))</f>
        <v>Rob</v>
      </c>
      <c r="K451" t="str">
        <f>INDEX(products!$A$1:$G$49,MATCH(orders!$D451,products!$A$1:$A$49,0),MATCH(orders!K$1,products!$A$1:$G$1,0))</f>
        <v>D</v>
      </c>
      <c r="L451" s="4">
        <f>INDEX(products!$A$1:$G$49,MATCH(orders!$D451,products!$A$1:$A$49,0),MATCH(orders!L$1,products!$A$1:$G$1,0))</f>
        <v>0.2</v>
      </c>
      <c r="M451" s="5">
        <f>INDEX(products!$A$1:$G$49,MATCH(orders!$D451,products!$A$1:$A$49,0),MATCH(orders!M$1,products!$A$1:$G$1,0))</f>
        <v>2.6849999999999996</v>
      </c>
      <c r="N451" s="5">
        <f>Orders[[#This Row],[Quantity]]*(INDEX(products!$A$1:$G$49,MATCH(orders!$D451,products!$A$1:$A$49,0),MATCH(orders!N$1,products!$A$1:$G$1,0)))</f>
        <v>0.32219999999999993</v>
      </c>
      <c r="O451" s="5">
        <f>M451*E451</f>
        <v>5.3699999999999992</v>
      </c>
      <c r="P451" t="str">
        <f t="shared" ref="P451:P514" si="14">IF(J451="Rob","Robusta",IF(J451="Exc","Excelsa",IF(J451="Ara","Arabica",IF(J451="Lib","Liberica",""))))</f>
        <v>Robusta</v>
      </c>
      <c r="Q451" t="str">
        <f t="shared" ref="Q451:Q514" si="15">IF(K451="M", "Medium", IF(K451="L", "Light", IF(K451="D", "Dark", "")))</f>
        <v>Dark</v>
      </c>
      <c r="R451" t="str">
        <f>_xlfn.XLOOKUP(Orders[[#This Row],[Customer ID]],customers!$A$1:$A$1001,customers!$I$1:$I$1001,,0)</f>
        <v>No</v>
      </c>
    </row>
    <row r="452" spans="1:18" x14ac:dyDescent="0.35">
      <c r="A452" s="2" t="s">
        <v>3027</v>
      </c>
      <c r="B452" s="3">
        <v>44207</v>
      </c>
      <c r="C452" s="2" t="s">
        <v>3028</v>
      </c>
      <c r="D452" t="s">
        <v>6145</v>
      </c>
      <c r="E452" s="2">
        <v>5</v>
      </c>
      <c r="F452" s="2" t="str">
        <f>_xlfn.XLOOKUP(Orders[[#This Row],[Customer ID]],customers!$A$1:$A$1001,customers!$B$1:$B$1001,,0)</f>
        <v>Sim Pamphilon</v>
      </c>
      <c r="G452" s="2" t="str">
        <f>IF(_xlfn.XLOOKUP(C452,customers!$A$1:$A$1001,customers!C451:C1451,,0)=0,"",_xlfn.XLOOKUP(C452,customers!$A$1:$A$1001,customers!C451:C1451,,0))</f>
        <v/>
      </c>
      <c r="H452" s="2" t="str">
        <f>_xlfn.XLOOKUP(Orders[[#This Row],[Customer ID]],customers!$A$1:$A$1001,customers!$G$1:$G$1001,,0)</f>
        <v>Ireland</v>
      </c>
      <c r="I452" s="2" t="str">
        <f>_xlfn.XLOOKUP(Orders[[#This Row],[Customer ID]],customers!$A$1:$A$1001,customers!$F$1:$F$1001,,0)</f>
        <v>Ballylinan</v>
      </c>
      <c r="J452" t="str">
        <f>INDEX(products!$A$1:$G$49,MATCH(orders!$D452,products!$A$1:$A$49,0),MATCH(orders!J$1,products!$A$1:$G$1,0))</f>
        <v>Lib</v>
      </c>
      <c r="K452" t="str">
        <f>INDEX(products!$A$1:$G$49,MATCH(orders!$D452,products!$A$1:$A$49,0),MATCH(orders!K$1,products!$A$1:$G$1,0))</f>
        <v>L</v>
      </c>
      <c r="L452" s="4">
        <f>INDEX(products!$A$1:$G$49,MATCH(orders!$D452,products!$A$1:$A$49,0),MATCH(orders!L$1,products!$A$1:$G$1,0))</f>
        <v>0.2</v>
      </c>
      <c r="M452" s="5">
        <f>INDEX(products!$A$1:$G$49,MATCH(orders!$D452,products!$A$1:$A$49,0),MATCH(orders!M$1,products!$A$1:$G$1,0))</f>
        <v>4.7549999999999999</v>
      </c>
      <c r="N452" s="5">
        <f>Orders[[#This Row],[Quantity]]*(INDEX(products!$A$1:$G$49,MATCH(orders!$D452,products!$A$1:$A$49,0),MATCH(orders!N$1,products!$A$1:$G$1,0)))</f>
        <v>3.0907499999999999</v>
      </c>
      <c r="O452" s="5">
        <f>M452*E452</f>
        <v>23.774999999999999</v>
      </c>
      <c r="P452" t="str">
        <f t="shared" si="14"/>
        <v>Liberica</v>
      </c>
      <c r="Q452" t="str">
        <f t="shared" si="15"/>
        <v>Light</v>
      </c>
      <c r="R452" t="str">
        <f>_xlfn.XLOOKUP(Orders[[#This Row],[Customer ID]],customers!$A$1:$A$1001,customers!$I$1:$I$1001,,0)</f>
        <v>No</v>
      </c>
    </row>
    <row r="453" spans="1:18" x14ac:dyDescent="0.35">
      <c r="A453" s="2" t="s">
        <v>3035</v>
      </c>
      <c r="B453" s="3">
        <v>43518</v>
      </c>
      <c r="C453" s="2" t="s">
        <v>3036</v>
      </c>
      <c r="D453" t="s">
        <v>6149</v>
      </c>
      <c r="E453" s="2">
        <v>2</v>
      </c>
      <c r="F453" s="2" t="str">
        <f>_xlfn.XLOOKUP(Orders[[#This Row],[Customer ID]],customers!$A$1:$A$1001,customers!$B$1:$B$1001,,0)</f>
        <v>Mohandis Spurden</v>
      </c>
      <c r="G453" s="2" t="str">
        <f>IF(_xlfn.XLOOKUP(C453,customers!$A$1:$A$1001,customers!C452:C1452,,0)=0,"",_xlfn.XLOOKUP(C453,customers!$A$1:$A$1001,customers!C452:C1452,,0))</f>
        <v>hrannerp2@omniture.com</v>
      </c>
      <c r="H453" s="2" t="str">
        <f>_xlfn.XLOOKUP(Orders[[#This Row],[Customer ID]],customers!$A$1:$A$1001,customers!$G$1:$G$1001,,0)</f>
        <v>United States</v>
      </c>
      <c r="I453" s="2" t="str">
        <f>_xlfn.XLOOKUP(Orders[[#This Row],[Customer ID]],customers!$A$1:$A$1001,customers!$F$1:$F$1001,,0)</f>
        <v>Charlotte</v>
      </c>
      <c r="J453" t="str">
        <f>INDEX(products!$A$1:$G$49,MATCH(orders!$D453,products!$A$1:$A$49,0),MATCH(orders!J$1,products!$A$1:$G$1,0))</f>
        <v>Rob</v>
      </c>
      <c r="K453" t="str">
        <f>INDEX(products!$A$1:$G$49,MATCH(orders!$D453,products!$A$1:$A$49,0),MATCH(orders!K$1,products!$A$1:$G$1,0))</f>
        <v>D</v>
      </c>
      <c r="L453" s="4">
        <f>INDEX(products!$A$1:$G$49,MATCH(orders!$D453,products!$A$1:$A$49,0),MATCH(orders!L$1,products!$A$1:$G$1,0))</f>
        <v>2.5</v>
      </c>
      <c r="M453" s="5">
        <f>INDEX(products!$A$1:$G$49,MATCH(orders!$D453,products!$A$1:$A$49,0),MATCH(orders!M$1,products!$A$1:$G$1,0))</f>
        <v>20.584999999999997</v>
      </c>
      <c r="N453" s="5">
        <f>Orders[[#This Row],[Quantity]]*(INDEX(products!$A$1:$G$49,MATCH(orders!$D453,products!$A$1:$A$49,0),MATCH(orders!N$1,products!$A$1:$G$1,0)))</f>
        <v>2.4701999999999997</v>
      </c>
      <c r="O453" s="5">
        <f>M453*E453</f>
        <v>41.169999999999995</v>
      </c>
      <c r="P453" t="str">
        <f t="shared" si="14"/>
        <v>Robusta</v>
      </c>
      <c r="Q453" t="str">
        <f t="shared" si="15"/>
        <v>Dark</v>
      </c>
      <c r="R453" t="str">
        <f>_xlfn.XLOOKUP(Orders[[#This Row],[Customer ID]],customers!$A$1:$A$1001,customers!$I$1:$I$1001,,0)</f>
        <v>Yes</v>
      </c>
    </row>
    <row r="454" spans="1:18" x14ac:dyDescent="0.35">
      <c r="A454" s="2" t="s">
        <v>3041</v>
      </c>
      <c r="B454" s="3">
        <v>44524</v>
      </c>
      <c r="C454" s="2" t="s">
        <v>3042</v>
      </c>
      <c r="D454" t="s">
        <v>6167</v>
      </c>
      <c r="E454" s="2">
        <v>3</v>
      </c>
      <c r="F454" s="2" t="str">
        <f>_xlfn.XLOOKUP(Orders[[#This Row],[Customer ID]],customers!$A$1:$A$1001,customers!$B$1:$B$1001,,0)</f>
        <v>Morgen Seson</v>
      </c>
      <c r="G454" s="2" t="str">
        <f>IF(_xlfn.XLOOKUP(C454,customers!$A$1:$A$1001,customers!C453:C1453,,0)=0,"",_xlfn.XLOOKUP(C454,customers!$A$1:$A$1001,customers!C453:C1453,,0))</f>
        <v>dsopperp4@eventbrite.com</v>
      </c>
      <c r="H454" s="2" t="str">
        <f>_xlfn.XLOOKUP(Orders[[#This Row],[Customer ID]],customers!$A$1:$A$1001,customers!$G$1:$G$1001,,0)</f>
        <v>United States</v>
      </c>
      <c r="I454" s="2" t="str">
        <f>_xlfn.XLOOKUP(Orders[[#This Row],[Customer ID]],customers!$A$1:$A$1001,customers!$F$1:$F$1001,,0)</f>
        <v>Seattle</v>
      </c>
      <c r="J454" t="str">
        <f>INDEX(products!$A$1:$G$49,MATCH(orders!$D454,products!$A$1:$A$49,0),MATCH(orders!J$1,products!$A$1:$G$1,0))</f>
        <v>Ara</v>
      </c>
      <c r="K454" t="str">
        <f>INDEX(products!$A$1:$G$49,MATCH(orders!$D454,products!$A$1:$A$49,0),MATCH(orders!K$1,products!$A$1:$G$1,0))</f>
        <v>L</v>
      </c>
      <c r="L454" s="4">
        <f>INDEX(products!$A$1:$G$49,MATCH(orders!$D454,products!$A$1:$A$49,0),MATCH(orders!L$1,products!$A$1:$G$1,0))</f>
        <v>0.2</v>
      </c>
      <c r="M454" s="5">
        <f>INDEX(products!$A$1:$G$49,MATCH(orders!$D454,products!$A$1:$A$49,0),MATCH(orders!M$1,products!$A$1:$G$1,0))</f>
        <v>3.8849999999999998</v>
      </c>
      <c r="N454" s="5">
        <f>Orders[[#This Row],[Quantity]]*(INDEX(products!$A$1:$G$49,MATCH(orders!$D454,products!$A$1:$A$49,0),MATCH(orders!N$1,products!$A$1:$G$1,0)))</f>
        <v>1.0489499999999998</v>
      </c>
      <c r="O454" s="5">
        <f>M454*E454</f>
        <v>11.654999999999999</v>
      </c>
      <c r="P454" t="str">
        <f t="shared" si="14"/>
        <v>Arabica</v>
      </c>
      <c r="Q454" t="str">
        <f t="shared" si="15"/>
        <v>Light</v>
      </c>
      <c r="R454" t="str">
        <f>_xlfn.XLOOKUP(Orders[[#This Row],[Customer ID]],customers!$A$1:$A$1001,customers!$I$1:$I$1001,,0)</f>
        <v>No</v>
      </c>
    </row>
    <row r="455" spans="1:18" x14ac:dyDescent="0.35">
      <c r="A455" s="2" t="s">
        <v>3047</v>
      </c>
      <c r="B455" s="3">
        <v>44579</v>
      </c>
      <c r="C455" s="2" t="s">
        <v>3048</v>
      </c>
      <c r="D455" t="s">
        <v>6161</v>
      </c>
      <c r="E455" s="2">
        <v>4</v>
      </c>
      <c r="F455" s="2" t="str">
        <f>_xlfn.XLOOKUP(Orders[[#This Row],[Customer ID]],customers!$A$1:$A$1001,customers!$B$1:$B$1001,,0)</f>
        <v>Nalani Pirrone</v>
      </c>
      <c r="G455" s="2" t="str">
        <f>IF(_xlfn.XLOOKUP(C455,customers!$A$1:$A$1001,customers!C454:C1454,,0)=0,"",_xlfn.XLOOKUP(C455,customers!$A$1:$A$1001,customers!C454:C1454,,0))</f>
        <v>lledgleyp6@de.vu</v>
      </c>
      <c r="H455" s="2" t="str">
        <f>_xlfn.XLOOKUP(Orders[[#This Row],[Customer ID]],customers!$A$1:$A$1001,customers!$G$1:$G$1001,,0)</f>
        <v>United States</v>
      </c>
      <c r="I455" s="2" t="str">
        <f>_xlfn.XLOOKUP(Orders[[#This Row],[Customer ID]],customers!$A$1:$A$1001,customers!$F$1:$F$1001,,0)</f>
        <v>Wilkes Barre</v>
      </c>
      <c r="J455" t="str">
        <f>INDEX(products!$A$1:$G$49,MATCH(orders!$D455,products!$A$1:$A$49,0),MATCH(orders!J$1,products!$A$1:$G$1,0))</f>
        <v>Lib</v>
      </c>
      <c r="K455" t="str">
        <f>INDEX(products!$A$1:$G$49,MATCH(orders!$D455,products!$A$1:$A$49,0),MATCH(orders!K$1,products!$A$1:$G$1,0))</f>
        <v>L</v>
      </c>
      <c r="L455" s="4">
        <f>INDEX(products!$A$1:$G$49,MATCH(orders!$D455,products!$A$1:$A$49,0),MATCH(orders!L$1,products!$A$1:$G$1,0))</f>
        <v>0.5</v>
      </c>
      <c r="M455" s="5">
        <f>INDEX(products!$A$1:$G$49,MATCH(orders!$D455,products!$A$1:$A$49,0),MATCH(orders!M$1,products!$A$1:$G$1,0))</f>
        <v>9.51</v>
      </c>
      <c r="N455" s="5">
        <f>Orders[[#This Row],[Quantity]]*(INDEX(products!$A$1:$G$49,MATCH(orders!$D455,products!$A$1:$A$49,0),MATCH(orders!N$1,products!$A$1:$G$1,0)))</f>
        <v>4.9451999999999998</v>
      </c>
      <c r="O455" s="5">
        <f>M455*E455</f>
        <v>38.04</v>
      </c>
      <c r="P455" t="str">
        <f t="shared" si="14"/>
        <v>Liberica</v>
      </c>
      <c r="Q455" t="str">
        <f t="shared" si="15"/>
        <v>Light</v>
      </c>
      <c r="R455" t="str">
        <f>_xlfn.XLOOKUP(Orders[[#This Row],[Customer ID]],customers!$A$1:$A$1001,customers!$I$1:$I$1001,,0)</f>
        <v>No</v>
      </c>
    </row>
    <row r="456" spans="1:18" x14ac:dyDescent="0.35">
      <c r="A456" s="2" t="s">
        <v>3053</v>
      </c>
      <c r="B456" s="3">
        <v>44421</v>
      </c>
      <c r="C456" s="2" t="s">
        <v>3054</v>
      </c>
      <c r="D456" t="s">
        <v>6149</v>
      </c>
      <c r="E456" s="2">
        <v>4</v>
      </c>
      <c r="F456" s="2" t="str">
        <f>_xlfn.XLOOKUP(Orders[[#This Row],[Customer ID]],customers!$A$1:$A$1001,customers!$B$1:$B$1001,,0)</f>
        <v>Reube Cawley</v>
      </c>
      <c r="G456" s="2" t="str">
        <f>IF(_xlfn.XLOOKUP(C456,customers!$A$1:$A$1001,customers!C455:C1455,,0)=0,"",_xlfn.XLOOKUP(C456,customers!$A$1:$A$1001,customers!C455:C1455,,0))</f>
        <v>gciccottip8@so-net.ne.jp</v>
      </c>
      <c r="H456" s="2" t="str">
        <f>_xlfn.XLOOKUP(Orders[[#This Row],[Customer ID]],customers!$A$1:$A$1001,customers!$G$1:$G$1001,,0)</f>
        <v>Ireland</v>
      </c>
      <c r="I456" s="2" t="str">
        <f>_xlfn.XLOOKUP(Orders[[#This Row],[Customer ID]],customers!$A$1:$A$1001,customers!$F$1:$F$1001,,0)</f>
        <v>Ballyboden</v>
      </c>
      <c r="J456" t="str">
        <f>INDEX(products!$A$1:$G$49,MATCH(orders!$D456,products!$A$1:$A$49,0),MATCH(orders!J$1,products!$A$1:$G$1,0))</f>
        <v>Rob</v>
      </c>
      <c r="K456" t="str">
        <f>INDEX(products!$A$1:$G$49,MATCH(orders!$D456,products!$A$1:$A$49,0),MATCH(orders!K$1,products!$A$1:$G$1,0))</f>
        <v>D</v>
      </c>
      <c r="L456" s="4">
        <f>INDEX(products!$A$1:$G$49,MATCH(orders!$D456,products!$A$1:$A$49,0),MATCH(orders!L$1,products!$A$1:$G$1,0))</f>
        <v>2.5</v>
      </c>
      <c r="M456" s="5">
        <f>INDEX(products!$A$1:$G$49,MATCH(orders!$D456,products!$A$1:$A$49,0),MATCH(orders!M$1,products!$A$1:$G$1,0))</f>
        <v>20.584999999999997</v>
      </c>
      <c r="N456" s="5">
        <f>Orders[[#This Row],[Quantity]]*(INDEX(products!$A$1:$G$49,MATCH(orders!$D456,products!$A$1:$A$49,0),MATCH(orders!N$1,products!$A$1:$G$1,0)))</f>
        <v>4.9403999999999995</v>
      </c>
      <c r="O456" s="5">
        <f>M456*E456</f>
        <v>82.339999999999989</v>
      </c>
      <c r="P456" t="str">
        <f t="shared" si="14"/>
        <v>Robusta</v>
      </c>
      <c r="Q456" t="str">
        <f t="shared" si="15"/>
        <v>Dark</v>
      </c>
      <c r="R456" t="str">
        <f>_xlfn.XLOOKUP(Orders[[#This Row],[Customer ID]],customers!$A$1:$A$1001,customers!$I$1:$I$1001,,0)</f>
        <v>Yes</v>
      </c>
    </row>
    <row r="457" spans="1:18" x14ac:dyDescent="0.35">
      <c r="A457" s="2" t="s">
        <v>3058</v>
      </c>
      <c r="B457" s="3">
        <v>43841</v>
      </c>
      <c r="C457" s="2" t="s">
        <v>3059</v>
      </c>
      <c r="D457" t="s">
        <v>6145</v>
      </c>
      <c r="E457" s="2">
        <v>2</v>
      </c>
      <c r="F457" s="2" t="str">
        <f>_xlfn.XLOOKUP(Orders[[#This Row],[Customer ID]],customers!$A$1:$A$1001,customers!$B$1:$B$1001,,0)</f>
        <v>Stan Barribal</v>
      </c>
      <c r="G457" s="2" t="str">
        <f>IF(_xlfn.XLOOKUP(C457,customers!$A$1:$A$1001,customers!C456:C1456,,0)=0,"",_xlfn.XLOOKUP(C457,customers!$A$1:$A$1001,customers!C456:C1456,,0))</f>
        <v>wjallinpa@pcworld.com</v>
      </c>
      <c r="H457" s="2" t="str">
        <f>_xlfn.XLOOKUP(Orders[[#This Row],[Customer ID]],customers!$A$1:$A$1001,customers!$G$1:$G$1001,,0)</f>
        <v>Ireland</v>
      </c>
      <c r="I457" s="2" t="str">
        <f>_xlfn.XLOOKUP(Orders[[#This Row],[Customer ID]],customers!$A$1:$A$1001,customers!$F$1:$F$1001,,0)</f>
        <v>Bagenalstown</v>
      </c>
      <c r="J457" t="str">
        <f>INDEX(products!$A$1:$G$49,MATCH(orders!$D457,products!$A$1:$A$49,0),MATCH(orders!J$1,products!$A$1:$G$1,0))</f>
        <v>Lib</v>
      </c>
      <c r="K457" t="str">
        <f>INDEX(products!$A$1:$G$49,MATCH(orders!$D457,products!$A$1:$A$49,0),MATCH(orders!K$1,products!$A$1:$G$1,0))</f>
        <v>L</v>
      </c>
      <c r="L457" s="4">
        <f>INDEX(products!$A$1:$G$49,MATCH(orders!$D457,products!$A$1:$A$49,0),MATCH(orders!L$1,products!$A$1:$G$1,0))</f>
        <v>0.2</v>
      </c>
      <c r="M457" s="5">
        <f>INDEX(products!$A$1:$G$49,MATCH(orders!$D457,products!$A$1:$A$49,0),MATCH(orders!M$1,products!$A$1:$G$1,0))</f>
        <v>4.7549999999999999</v>
      </c>
      <c r="N457" s="5">
        <f>Orders[[#This Row],[Quantity]]*(INDEX(products!$A$1:$G$49,MATCH(orders!$D457,products!$A$1:$A$49,0),MATCH(orders!N$1,products!$A$1:$G$1,0)))</f>
        <v>1.2363</v>
      </c>
      <c r="O457" s="5">
        <f>M457*E457</f>
        <v>9.51</v>
      </c>
      <c r="P457" t="str">
        <f t="shared" si="14"/>
        <v>Liberica</v>
      </c>
      <c r="Q457" t="str">
        <f t="shared" si="15"/>
        <v>Light</v>
      </c>
      <c r="R457" t="str">
        <f>_xlfn.XLOOKUP(Orders[[#This Row],[Customer ID]],customers!$A$1:$A$1001,customers!$I$1:$I$1001,,0)</f>
        <v>Yes</v>
      </c>
    </row>
    <row r="458" spans="1:18" x14ac:dyDescent="0.35">
      <c r="A458" s="2" t="s">
        <v>3064</v>
      </c>
      <c r="B458" s="3">
        <v>44017</v>
      </c>
      <c r="C458" s="2" t="s">
        <v>3065</v>
      </c>
      <c r="D458" t="s">
        <v>6149</v>
      </c>
      <c r="E458" s="2">
        <v>2</v>
      </c>
      <c r="F458" s="2" t="str">
        <f>_xlfn.XLOOKUP(Orders[[#This Row],[Customer ID]],customers!$A$1:$A$1001,customers!$B$1:$B$1001,,0)</f>
        <v>Agnes Adamides</v>
      </c>
      <c r="G458" s="2" t="str">
        <f>IF(_xlfn.XLOOKUP(C458,customers!$A$1:$A$1001,customers!C457:C1457,,0)=0,"",_xlfn.XLOOKUP(C458,customers!$A$1:$A$1001,customers!C457:C1457,,0))</f>
        <v/>
      </c>
      <c r="H458" s="2" t="str">
        <f>_xlfn.XLOOKUP(Orders[[#This Row],[Customer ID]],customers!$A$1:$A$1001,customers!$G$1:$G$1001,,0)</f>
        <v>United Kingdom</v>
      </c>
      <c r="I458" s="2" t="str">
        <f>_xlfn.XLOOKUP(Orders[[#This Row],[Customer ID]],customers!$A$1:$A$1001,customers!$F$1:$F$1001,,0)</f>
        <v>Liverpool</v>
      </c>
      <c r="J458" t="str">
        <f>INDEX(products!$A$1:$G$49,MATCH(orders!$D458,products!$A$1:$A$49,0),MATCH(orders!J$1,products!$A$1:$G$1,0))</f>
        <v>Rob</v>
      </c>
      <c r="K458" t="str">
        <f>INDEX(products!$A$1:$G$49,MATCH(orders!$D458,products!$A$1:$A$49,0),MATCH(orders!K$1,products!$A$1:$G$1,0))</f>
        <v>D</v>
      </c>
      <c r="L458" s="4">
        <f>INDEX(products!$A$1:$G$49,MATCH(orders!$D458,products!$A$1:$A$49,0),MATCH(orders!L$1,products!$A$1:$G$1,0))</f>
        <v>2.5</v>
      </c>
      <c r="M458" s="5">
        <f>INDEX(products!$A$1:$G$49,MATCH(orders!$D458,products!$A$1:$A$49,0),MATCH(orders!M$1,products!$A$1:$G$1,0))</f>
        <v>20.584999999999997</v>
      </c>
      <c r="N458" s="5">
        <f>Orders[[#This Row],[Quantity]]*(INDEX(products!$A$1:$G$49,MATCH(orders!$D458,products!$A$1:$A$49,0),MATCH(orders!N$1,products!$A$1:$G$1,0)))</f>
        <v>2.4701999999999997</v>
      </c>
      <c r="O458" s="5">
        <f>M458*E458</f>
        <v>41.169999999999995</v>
      </c>
      <c r="P458" t="str">
        <f t="shared" si="14"/>
        <v>Robusta</v>
      </c>
      <c r="Q458" t="str">
        <f t="shared" si="15"/>
        <v>Dark</v>
      </c>
      <c r="R458" t="str">
        <f>_xlfn.XLOOKUP(Orders[[#This Row],[Customer ID]],customers!$A$1:$A$1001,customers!$I$1:$I$1001,,0)</f>
        <v>No</v>
      </c>
    </row>
    <row r="459" spans="1:18" x14ac:dyDescent="0.35">
      <c r="A459" s="2" t="s">
        <v>3070</v>
      </c>
      <c r="B459" s="3">
        <v>43671</v>
      </c>
      <c r="C459" s="2" t="s">
        <v>3071</v>
      </c>
      <c r="D459" t="s">
        <v>6161</v>
      </c>
      <c r="E459" s="2">
        <v>5</v>
      </c>
      <c r="F459" s="2" t="str">
        <f>_xlfn.XLOOKUP(Orders[[#This Row],[Customer ID]],customers!$A$1:$A$1001,customers!$B$1:$B$1001,,0)</f>
        <v>Carmelita Thowes</v>
      </c>
      <c r="G459" s="2" t="str">
        <f>IF(_xlfn.XLOOKUP(C459,customers!$A$1:$A$1001,customers!C458:C1458,,0)=0,"",_xlfn.XLOOKUP(C459,customers!$A$1:$A$1001,customers!C458:C1458,,0))</f>
        <v>alewrype@whitehouse.gov</v>
      </c>
      <c r="H459" s="2" t="str">
        <f>_xlfn.XLOOKUP(Orders[[#This Row],[Customer ID]],customers!$A$1:$A$1001,customers!$G$1:$G$1001,,0)</f>
        <v>United States</v>
      </c>
      <c r="I459" s="2" t="str">
        <f>_xlfn.XLOOKUP(Orders[[#This Row],[Customer ID]],customers!$A$1:$A$1001,customers!$F$1:$F$1001,,0)</f>
        <v>Rochester</v>
      </c>
      <c r="J459" t="str">
        <f>INDEX(products!$A$1:$G$49,MATCH(orders!$D459,products!$A$1:$A$49,0),MATCH(orders!J$1,products!$A$1:$G$1,0))</f>
        <v>Lib</v>
      </c>
      <c r="K459" t="str">
        <f>INDEX(products!$A$1:$G$49,MATCH(orders!$D459,products!$A$1:$A$49,0),MATCH(orders!K$1,products!$A$1:$G$1,0))</f>
        <v>L</v>
      </c>
      <c r="L459" s="4">
        <f>INDEX(products!$A$1:$G$49,MATCH(orders!$D459,products!$A$1:$A$49,0),MATCH(orders!L$1,products!$A$1:$G$1,0))</f>
        <v>0.5</v>
      </c>
      <c r="M459" s="5">
        <f>INDEX(products!$A$1:$G$49,MATCH(orders!$D459,products!$A$1:$A$49,0),MATCH(orders!M$1,products!$A$1:$G$1,0))</f>
        <v>9.51</v>
      </c>
      <c r="N459" s="5">
        <f>Orders[[#This Row],[Quantity]]*(INDEX(products!$A$1:$G$49,MATCH(orders!$D459,products!$A$1:$A$49,0),MATCH(orders!N$1,products!$A$1:$G$1,0)))</f>
        <v>6.1814999999999998</v>
      </c>
      <c r="O459" s="5">
        <f>M459*E459</f>
        <v>47.55</v>
      </c>
      <c r="P459" t="str">
        <f t="shared" si="14"/>
        <v>Liberica</v>
      </c>
      <c r="Q459" t="str">
        <f t="shared" si="15"/>
        <v>Light</v>
      </c>
      <c r="R459" t="str">
        <f>_xlfn.XLOOKUP(Orders[[#This Row],[Customer ID]],customers!$A$1:$A$1001,customers!$I$1:$I$1001,,0)</f>
        <v>No</v>
      </c>
    </row>
    <row r="460" spans="1:18" x14ac:dyDescent="0.35">
      <c r="A460" s="2" t="s">
        <v>3076</v>
      </c>
      <c r="B460" s="3">
        <v>44707</v>
      </c>
      <c r="C460" s="2" t="s">
        <v>3077</v>
      </c>
      <c r="D460" t="s">
        <v>6155</v>
      </c>
      <c r="E460" s="2">
        <v>4</v>
      </c>
      <c r="F460" s="2" t="str">
        <f>_xlfn.XLOOKUP(Orders[[#This Row],[Customer ID]],customers!$A$1:$A$1001,customers!$B$1:$B$1001,,0)</f>
        <v>Rodolfo Willoway</v>
      </c>
      <c r="G460" s="2" t="str">
        <f>IF(_xlfn.XLOOKUP(C460,customers!$A$1:$A$1001,customers!C459:C1459,,0)=0,"",_xlfn.XLOOKUP(C460,customers!$A$1:$A$1001,customers!C459:C1459,,0))</f>
        <v/>
      </c>
      <c r="H460" s="2" t="str">
        <f>_xlfn.XLOOKUP(Orders[[#This Row],[Customer ID]],customers!$A$1:$A$1001,customers!$G$1:$G$1001,,0)</f>
        <v>United States</v>
      </c>
      <c r="I460" s="2" t="str">
        <f>_xlfn.XLOOKUP(Orders[[#This Row],[Customer ID]],customers!$A$1:$A$1001,customers!$F$1:$F$1001,,0)</f>
        <v>Tucson</v>
      </c>
      <c r="J460" t="str">
        <f>INDEX(products!$A$1:$G$49,MATCH(orders!$D460,products!$A$1:$A$49,0),MATCH(orders!J$1,products!$A$1:$G$1,0))</f>
        <v>Ara</v>
      </c>
      <c r="K460" t="str">
        <f>INDEX(products!$A$1:$G$49,MATCH(orders!$D460,products!$A$1:$A$49,0),MATCH(orders!K$1,products!$A$1:$G$1,0))</f>
        <v>M</v>
      </c>
      <c r="L460" s="4">
        <f>INDEX(products!$A$1:$G$49,MATCH(orders!$D460,products!$A$1:$A$49,0),MATCH(orders!L$1,products!$A$1:$G$1,0))</f>
        <v>1</v>
      </c>
      <c r="M460" s="5">
        <f>INDEX(products!$A$1:$G$49,MATCH(orders!$D460,products!$A$1:$A$49,0),MATCH(orders!M$1,products!$A$1:$G$1,0))</f>
        <v>11.25</v>
      </c>
      <c r="N460" s="5">
        <f>Orders[[#This Row],[Quantity]]*(INDEX(products!$A$1:$G$49,MATCH(orders!$D460,products!$A$1:$A$49,0),MATCH(orders!N$1,products!$A$1:$G$1,0)))</f>
        <v>4.05</v>
      </c>
      <c r="O460" s="5">
        <f>M460*E460</f>
        <v>45</v>
      </c>
      <c r="P460" t="str">
        <f t="shared" si="14"/>
        <v>Arabica</v>
      </c>
      <c r="Q460" t="str">
        <f t="shared" si="15"/>
        <v>Medium</v>
      </c>
      <c r="R460" t="str">
        <f>_xlfn.XLOOKUP(Orders[[#This Row],[Customer ID]],customers!$A$1:$A$1001,customers!$I$1:$I$1001,,0)</f>
        <v>No</v>
      </c>
    </row>
    <row r="461" spans="1:18" x14ac:dyDescent="0.35">
      <c r="A461" s="2" t="s">
        <v>3082</v>
      </c>
      <c r="B461" s="3">
        <v>43840</v>
      </c>
      <c r="C461" s="2" t="s">
        <v>3083</v>
      </c>
      <c r="D461" t="s">
        <v>6145</v>
      </c>
      <c r="E461" s="2">
        <v>5</v>
      </c>
      <c r="F461" s="2" t="str">
        <f>_xlfn.XLOOKUP(Orders[[#This Row],[Customer ID]],customers!$A$1:$A$1001,customers!$B$1:$B$1001,,0)</f>
        <v>Alvis Elwin</v>
      </c>
      <c r="G461" s="2" t="str">
        <f>IF(_xlfn.XLOOKUP(C461,customers!$A$1:$A$1001,customers!C460:C1460,,0)=0,"",_xlfn.XLOOKUP(C461,customers!$A$1:$A$1001,customers!C460:C1460,,0))</f>
        <v>otocquepi@abc.net.au</v>
      </c>
      <c r="H461" s="2" t="str">
        <f>_xlfn.XLOOKUP(Orders[[#This Row],[Customer ID]],customers!$A$1:$A$1001,customers!$G$1:$G$1001,,0)</f>
        <v>United States</v>
      </c>
      <c r="I461" s="2" t="str">
        <f>_xlfn.XLOOKUP(Orders[[#This Row],[Customer ID]],customers!$A$1:$A$1001,customers!$F$1:$F$1001,,0)</f>
        <v>Minneapolis</v>
      </c>
      <c r="J461" t="str">
        <f>INDEX(products!$A$1:$G$49,MATCH(orders!$D461,products!$A$1:$A$49,0),MATCH(orders!J$1,products!$A$1:$G$1,0))</f>
        <v>Lib</v>
      </c>
      <c r="K461" t="str">
        <f>INDEX(products!$A$1:$G$49,MATCH(orders!$D461,products!$A$1:$A$49,0),MATCH(orders!K$1,products!$A$1:$G$1,0))</f>
        <v>L</v>
      </c>
      <c r="L461" s="4">
        <f>INDEX(products!$A$1:$G$49,MATCH(orders!$D461,products!$A$1:$A$49,0),MATCH(orders!L$1,products!$A$1:$G$1,0))</f>
        <v>0.2</v>
      </c>
      <c r="M461" s="5">
        <f>INDEX(products!$A$1:$G$49,MATCH(orders!$D461,products!$A$1:$A$49,0),MATCH(orders!M$1,products!$A$1:$G$1,0))</f>
        <v>4.7549999999999999</v>
      </c>
      <c r="N461" s="5">
        <f>Orders[[#This Row],[Quantity]]*(INDEX(products!$A$1:$G$49,MATCH(orders!$D461,products!$A$1:$A$49,0),MATCH(orders!N$1,products!$A$1:$G$1,0)))</f>
        <v>3.0907499999999999</v>
      </c>
      <c r="O461" s="5">
        <f>M461*E461</f>
        <v>23.774999999999999</v>
      </c>
      <c r="P461" t="str">
        <f t="shared" si="14"/>
        <v>Liberica</v>
      </c>
      <c r="Q461" t="str">
        <f t="shared" si="15"/>
        <v>Light</v>
      </c>
      <c r="R461" t="str">
        <f>_xlfn.XLOOKUP(Orders[[#This Row],[Customer ID]],customers!$A$1:$A$1001,customers!$I$1:$I$1001,,0)</f>
        <v>No</v>
      </c>
    </row>
    <row r="462" spans="1:18" x14ac:dyDescent="0.35">
      <c r="A462" s="2" t="s">
        <v>3088</v>
      </c>
      <c r="B462" s="3">
        <v>43602</v>
      </c>
      <c r="C462" s="2" t="s">
        <v>3089</v>
      </c>
      <c r="D462" t="s">
        <v>6172</v>
      </c>
      <c r="E462" s="2">
        <v>3</v>
      </c>
      <c r="F462" s="2" t="str">
        <f>_xlfn.XLOOKUP(Orders[[#This Row],[Customer ID]],customers!$A$1:$A$1001,customers!$B$1:$B$1001,,0)</f>
        <v>Araldo Bilbrook</v>
      </c>
      <c r="G462" s="2" t="str">
        <f>IF(_xlfn.XLOOKUP(C462,customers!$A$1:$A$1001,customers!C461:C1461,,0)=0,"",_xlfn.XLOOKUP(C462,customers!$A$1:$A$1001,customers!C461:C1461,,0))</f>
        <v>hreuvenpk@whitehouse.gov</v>
      </c>
      <c r="H462" s="2" t="str">
        <f>_xlfn.XLOOKUP(Orders[[#This Row],[Customer ID]],customers!$A$1:$A$1001,customers!$G$1:$G$1001,,0)</f>
        <v>Ireland</v>
      </c>
      <c r="I462" s="2" t="str">
        <f>_xlfn.XLOOKUP(Orders[[#This Row],[Customer ID]],customers!$A$1:$A$1001,customers!$F$1:$F$1001,,0)</f>
        <v>Ashbourne</v>
      </c>
      <c r="J462" t="str">
        <f>INDEX(products!$A$1:$G$49,MATCH(orders!$D462,products!$A$1:$A$49,0),MATCH(orders!J$1,products!$A$1:$G$1,0))</f>
        <v>Rob</v>
      </c>
      <c r="K462" t="str">
        <f>INDEX(products!$A$1:$G$49,MATCH(orders!$D462,products!$A$1:$A$49,0),MATCH(orders!K$1,products!$A$1:$G$1,0))</f>
        <v>D</v>
      </c>
      <c r="L462" s="4">
        <f>INDEX(products!$A$1:$G$49,MATCH(orders!$D462,products!$A$1:$A$49,0),MATCH(orders!L$1,products!$A$1:$G$1,0))</f>
        <v>0.5</v>
      </c>
      <c r="M462" s="5">
        <f>INDEX(products!$A$1:$G$49,MATCH(orders!$D462,products!$A$1:$A$49,0),MATCH(orders!M$1,products!$A$1:$G$1,0))</f>
        <v>5.3699999999999992</v>
      </c>
      <c r="N462" s="5">
        <f>Orders[[#This Row],[Quantity]]*(INDEX(products!$A$1:$G$49,MATCH(orders!$D462,products!$A$1:$A$49,0),MATCH(orders!N$1,products!$A$1:$G$1,0)))</f>
        <v>0.96659999999999979</v>
      </c>
      <c r="O462" s="5">
        <f>M462*E462</f>
        <v>16.11</v>
      </c>
      <c r="P462" t="str">
        <f t="shared" si="14"/>
        <v>Robusta</v>
      </c>
      <c r="Q462" t="str">
        <f t="shared" si="15"/>
        <v>Dark</v>
      </c>
      <c r="R462" t="str">
        <f>_xlfn.XLOOKUP(Orders[[#This Row],[Customer ID]],customers!$A$1:$A$1001,customers!$I$1:$I$1001,,0)</f>
        <v>Yes</v>
      </c>
    </row>
    <row r="463" spans="1:18" x14ac:dyDescent="0.35">
      <c r="A463" s="2" t="s">
        <v>3094</v>
      </c>
      <c r="B463" s="3">
        <v>44036</v>
      </c>
      <c r="C463" s="2" t="s">
        <v>3095</v>
      </c>
      <c r="D463" t="s">
        <v>6163</v>
      </c>
      <c r="E463" s="2">
        <v>4</v>
      </c>
      <c r="F463" s="2" t="str">
        <f>_xlfn.XLOOKUP(Orders[[#This Row],[Customer ID]],customers!$A$1:$A$1001,customers!$B$1:$B$1001,,0)</f>
        <v>Ransell McKall</v>
      </c>
      <c r="G463" s="2" t="str">
        <f>IF(_xlfn.XLOOKUP(C463,customers!$A$1:$A$1001,customers!C462:C1462,,0)=0,"",_xlfn.XLOOKUP(C463,customers!$A$1:$A$1001,customers!C462:C1462,,0))</f>
        <v/>
      </c>
      <c r="H463" s="2" t="str">
        <f>_xlfn.XLOOKUP(Orders[[#This Row],[Customer ID]],customers!$A$1:$A$1001,customers!$G$1:$G$1001,,0)</f>
        <v>United Kingdom</v>
      </c>
      <c r="I463" s="2" t="str">
        <f>_xlfn.XLOOKUP(Orders[[#This Row],[Customer ID]],customers!$A$1:$A$1001,customers!$F$1:$F$1001,,0)</f>
        <v>Bristol</v>
      </c>
      <c r="J463" t="str">
        <f>INDEX(products!$A$1:$G$49,MATCH(orders!$D463,products!$A$1:$A$49,0),MATCH(orders!J$1,products!$A$1:$G$1,0))</f>
        <v>Rob</v>
      </c>
      <c r="K463" t="str">
        <f>INDEX(products!$A$1:$G$49,MATCH(orders!$D463,products!$A$1:$A$49,0),MATCH(orders!K$1,products!$A$1:$G$1,0))</f>
        <v>D</v>
      </c>
      <c r="L463" s="4">
        <f>INDEX(products!$A$1:$G$49,MATCH(orders!$D463,products!$A$1:$A$49,0),MATCH(orders!L$1,products!$A$1:$G$1,0))</f>
        <v>0.2</v>
      </c>
      <c r="M463" s="5">
        <f>INDEX(products!$A$1:$G$49,MATCH(orders!$D463,products!$A$1:$A$49,0),MATCH(orders!M$1,products!$A$1:$G$1,0))</f>
        <v>2.6849999999999996</v>
      </c>
      <c r="N463" s="5">
        <f>Orders[[#This Row],[Quantity]]*(INDEX(products!$A$1:$G$49,MATCH(orders!$D463,products!$A$1:$A$49,0),MATCH(orders!N$1,products!$A$1:$G$1,0)))</f>
        <v>0.64439999999999986</v>
      </c>
      <c r="O463" s="5">
        <f>M463*E463</f>
        <v>10.739999999999998</v>
      </c>
      <c r="P463" t="str">
        <f t="shared" si="14"/>
        <v>Robusta</v>
      </c>
      <c r="Q463" t="str">
        <f t="shared" si="15"/>
        <v>Dark</v>
      </c>
      <c r="R463" t="str">
        <f>_xlfn.XLOOKUP(Orders[[#This Row],[Customer ID]],customers!$A$1:$A$1001,customers!$I$1:$I$1001,,0)</f>
        <v>Yes</v>
      </c>
    </row>
    <row r="464" spans="1:18" x14ac:dyDescent="0.35">
      <c r="A464" s="2" t="s">
        <v>3100</v>
      </c>
      <c r="B464" s="3">
        <v>44124</v>
      </c>
      <c r="C464" s="2" t="s">
        <v>3101</v>
      </c>
      <c r="D464" t="s">
        <v>6147</v>
      </c>
      <c r="E464" s="2">
        <v>5</v>
      </c>
      <c r="F464" s="2" t="str">
        <f>_xlfn.XLOOKUP(Orders[[#This Row],[Customer ID]],customers!$A$1:$A$1001,customers!$B$1:$B$1001,,0)</f>
        <v>Borg Daile</v>
      </c>
      <c r="G464" s="2" t="str">
        <f>IF(_xlfn.XLOOKUP(C464,customers!$A$1:$A$1001,customers!C463:C1463,,0)=0,"",_xlfn.XLOOKUP(C464,customers!$A$1:$A$1001,customers!C463:C1463,,0))</f>
        <v>cmaccourtpo@amazon.com</v>
      </c>
      <c r="H464" s="2" t="str">
        <f>_xlfn.XLOOKUP(Orders[[#This Row],[Customer ID]],customers!$A$1:$A$1001,customers!$G$1:$G$1001,,0)</f>
        <v>United States</v>
      </c>
      <c r="I464" s="2" t="str">
        <f>_xlfn.XLOOKUP(Orders[[#This Row],[Customer ID]],customers!$A$1:$A$1001,customers!$F$1:$F$1001,,0)</f>
        <v>Atlanta</v>
      </c>
      <c r="J464" t="str">
        <f>INDEX(products!$A$1:$G$49,MATCH(orders!$D464,products!$A$1:$A$49,0),MATCH(orders!J$1,products!$A$1:$G$1,0))</f>
        <v>Ara</v>
      </c>
      <c r="K464" t="str">
        <f>INDEX(products!$A$1:$G$49,MATCH(orders!$D464,products!$A$1:$A$49,0),MATCH(orders!K$1,products!$A$1:$G$1,0))</f>
        <v>D</v>
      </c>
      <c r="L464" s="4">
        <f>INDEX(products!$A$1:$G$49,MATCH(orders!$D464,products!$A$1:$A$49,0),MATCH(orders!L$1,products!$A$1:$G$1,0))</f>
        <v>1</v>
      </c>
      <c r="M464" s="5">
        <f>INDEX(products!$A$1:$G$49,MATCH(orders!$D464,products!$A$1:$A$49,0),MATCH(orders!M$1,products!$A$1:$G$1,0))</f>
        <v>9.9499999999999993</v>
      </c>
      <c r="N464" s="5">
        <f>Orders[[#This Row],[Quantity]]*(INDEX(products!$A$1:$G$49,MATCH(orders!$D464,products!$A$1:$A$49,0),MATCH(orders!N$1,products!$A$1:$G$1,0)))</f>
        <v>4.4774999999999991</v>
      </c>
      <c r="O464" s="5">
        <f>M464*E464</f>
        <v>49.75</v>
      </c>
      <c r="P464" t="str">
        <f t="shared" si="14"/>
        <v>Arabica</v>
      </c>
      <c r="Q464" t="str">
        <f t="shared" si="15"/>
        <v>Dark</v>
      </c>
      <c r="R464" t="str">
        <f>_xlfn.XLOOKUP(Orders[[#This Row],[Customer ID]],customers!$A$1:$A$1001,customers!$I$1:$I$1001,,0)</f>
        <v>Yes</v>
      </c>
    </row>
    <row r="465" spans="1:18" x14ac:dyDescent="0.35">
      <c r="A465" s="2" t="s">
        <v>3106</v>
      </c>
      <c r="B465" s="3">
        <v>43730</v>
      </c>
      <c r="C465" s="2" t="s">
        <v>3107</v>
      </c>
      <c r="D465" t="s">
        <v>6141</v>
      </c>
      <c r="E465" s="2">
        <v>2</v>
      </c>
      <c r="F465" s="2" t="str">
        <f>_xlfn.XLOOKUP(Orders[[#This Row],[Customer ID]],customers!$A$1:$A$1001,customers!$B$1:$B$1001,,0)</f>
        <v>Adolphe Treherne</v>
      </c>
      <c r="G465" s="2" t="str">
        <f>IF(_xlfn.XLOOKUP(C465,customers!$A$1:$A$1001,customers!C464:C1464,,0)=0,"",_xlfn.XLOOKUP(C465,customers!$A$1:$A$1001,customers!C464:C1464,,0))</f>
        <v>ewilsonepq@eepurl.com</v>
      </c>
      <c r="H465" s="2" t="str">
        <f>_xlfn.XLOOKUP(Orders[[#This Row],[Customer ID]],customers!$A$1:$A$1001,customers!$G$1:$G$1001,,0)</f>
        <v>Ireland</v>
      </c>
      <c r="I465" s="2" t="str">
        <f>_xlfn.XLOOKUP(Orders[[#This Row],[Customer ID]],customers!$A$1:$A$1001,customers!$F$1:$F$1001,,0)</f>
        <v>Farranacoush</v>
      </c>
      <c r="J465" t="str">
        <f>INDEX(products!$A$1:$G$49,MATCH(orders!$D465,products!$A$1:$A$49,0),MATCH(orders!J$1,products!$A$1:$G$1,0))</f>
        <v>Exc</v>
      </c>
      <c r="K465" t="str">
        <f>INDEX(products!$A$1:$G$49,MATCH(orders!$D465,products!$A$1:$A$49,0),MATCH(orders!K$1,products!$A$1:$G$1,0))</f>
        <v>M</v>
      </c>
      <c r="L465" s="4">
        <f>INDEX(products!$A$1:$G$49,MATCH(orders!$D465,products!$A$1:$A$49,0),MATCH(orders!L$1,products!$A$1:$G$1,0))</f>
        <v>1</v>
      </c>
      <c r="M465" s="5">
        <f>INDEX(products!$A$1:$G$49,MATCH(orders!$D465,products!$A$1:$A$49,0),MATCH(orders!M$1,products!$A$1:$G$1,0))</f>
        <v>13.75</v>
      </c>
      <c r="N465" s="5">
        <f>Orders[[#This Row],[Quantity]]*(INDEX(products!$A$1:$G$49,MATCH(orders!$D465,products!$A$1:$A$49,0),MATCH(orders!N$1,products!$A$1:$G$1,0)))</f>
        <v>3.0249999999999999</v>
      </c>
      <c r="O465" s="5">
        <f>M465*E465</f>
        <v>27.5</v>
      </c>
      <c r="P465" t="str">
        <f t="shared" si="14"/>
        <v>Excelsa</v>
      </c>
      <c r="Q465" t="str">
        <f t="shared" si="15"/>
        <v>Medium</v>
      </c>
      <c r="R465" t="str">
        <f>_xlfn.XLOOKUP(Orders[[#This Row],[Customer ID]],customers!$A$1:$A$1001,customers!$I$1:$I$1001,,0)</f>
        <v>No</v>
      </c>
    </row>
    <row r="466" spans="1:18" x14ac:dyDescent="0.35">
      <c r="A466" s="2" t="s">
        <v>3112</v>
      </c>
      <c r="B466" s="3">
        <v>43989</v>
      </c>
      <c r="C466" s="2" t="s">
        <v>3113</v>
      </c>
      <c r="D466" t="s">
        <v>6165</v>
      </c>
      <c r="E466" s="2">
        <v>4</v>
      </c>
      <c r="F466" s="2" t="str">
        <f>_xlfn.XLOOKUP(Orders[[#This Row],[Customer ID]],customers!$A$1:$A$1001,customers!$B$1:$B$1001,,0)</f>
        <v>Annetta Brentnall</v>
      </c>
      <c r="G466" s="2" t="str">
        <f>IF(_xlfn.XLOOKUP(C466,customers!$A$1:$A$1001,customers!C465:C1465,,0)=0,"",_xlfn.XLOOKUP(C466,customers!$A$1:$A$1001,customers!C465:C1465,,0))</f>
        <v>mmatiasekps@ucoz.ru</v>
      </c>
      <c r="H466" s="2" t="str">
        <f>_xlfn.XLOOKUP(Orders[[#This Row],[Customer ID]],customers!$A$1:$A$1001,customers!$G$1:$G$1001,,0)</f>
        <v>United Kingdom</v>
      </c>
      <c r="I466" s="2" t="str">
        <f>_xlfn.XLOOKUP(Orders[[#This Row],[Customer ID]],customers!$A$1:$A$1001,customers!$F$1:$F$1001,,0)</f>
        <v>East End</v>
      </c>
      <c r="J466" t="str">
        <f>INDEX(products!$A$1:$G$49,MATCH(orders!$D466,products!$A$1:$A$49,0),MATCH(orders!J$1,products!$A$1:$G$1,0))</f>
        <v>Lib</v>
      </c>
      <c r="K466" t="str">
        <f>INDEX(products!$A$1:$G$49,MATCH(orders!$D466,products!$A$1:$A$49,0),MATCH(orders!K$1,products!$A$1:$G$1,0))</f>
        <v>D</v>
      </c>
      <c r="L466" s="4">
        <f>INDEX(products!$A$1:$G$49,MATCH(orders!$D466,products!$A$1:$A$49,0),MATCH(orders!L$1,products!$A$1:$G$1,0))</f>
        <v>2.5</v>
      </c>
      <c r="M466" s="5">
        <f>INDEX(products!$A$1:$G$49,MATCH(orders!$D466,products!$A$1:$A$49,0),MATCH(orders!M$1,products!$A$1:$G$1,0))</f>
        <v>29.784999999999997</v>
      </c>
      <c r="N466" s="5">
        <f>Orders[[#This Row],[Quantity]]*(INDEX(products!$A$1:$G$49,MATCH(orders!$D466,products!$A$1:$A$49,0),MATCH(orders!N$1,products!$A$1:$G$1,0)))</f>
        <v>15.488199999999999</v>
      </c>
      <c r="O466" s="5">
        <f>M466*E466</f>
        <v>119.13999999999999</v>
      </c>
      <c r="P466" t="str">
        <f t="shared" si="14"/>
        <v>Liberica</v>
      </c>
      <c r="Q466" t="str">
        <f t="shared" si="15"/>
        <v>Dark</v>
      </c>
      <c r="R466" t="str">
        <f>_xlfn.XLOOKUP(Orders[[#This Row],[Customer ID]],customers!$A$1:$A$1001,customers!$I$1:$I$1001,,0)</f>
        <v>No</v>
      </c>
    </row>
    <row r="467" spans="1:18" x14ac:dyDescent="0.35">
      <c r="A467" s="2" t="s">
        <v>3118</v>
      </c>
      <c r="B467" s="3">
        <v>43814</v>
      </c>
      <c r="C467" s="2" t="s">
        <v>3119</v>
      </c>
      <c r="D467" t="s">
        <v>6149</v>
      </c>
      <c r="E467" s="2">
        <v>1</v>
      </c>
      <c r="F467" s="2" t="str">
        <f>_xlfn.XLOOKUP(Orders[[#This Row],[Customer ID]],customers!$A$1:$A$1001,customers!$B$1:$B$1001,,0)</f>
        <v>Dick Drinkall</v>
      </c>
      <c r="G467" s="2" t="str">
        <f>IF(_xlfn.XLOOKUP(C467,customers!$A$1:$A$1001,customers!C466:C1466,,0)=0,"",_xlfn.XLOOKUP(C467,customers!$A$1:$A$1001,customers!C466:C1466,,0))</f>
        <v>kphilbrickpu@cdc.gov</v>
      </c>
      <c r="H467" s="2" t="str">
        <f>_xlfn.XLOOKUP(Orders[[#This Row],[Customer ID]],customers!$A$1:$A$1001,customers!$G$1:$G$1001,,0)</f>
        <v>United States</v>
      </c>
      <c r="I467" s="2" t="str">
        <f>_xlfn.XLOOKUP(Orders[[#This Row],[Customer ID]],customers!$A$1:$A$1001,customers!$F$1:$F$1001,,0)</f>
        <v>Knoxville</v>
      </c>
      <c r="J467" t="str">
        <f>INDEX(products!$A$1:$G$49,MATCH(orders!$D467,products!$A$1:$A$49,0),MATCH(orders!J$1,products!$A$1:$G$1,0))</f>
        <v>Rob</v>
      </c>
      <c r="K467" t="str">
        <f>INDEX(products!$A$1:$G$49,MATCH(orders!$D467,products!$A$1:$A$49,0),MATCH(orders!K$1,products!$A$1:$G$1,0))</f>
        <v>D</v>
      </c>
      <c r="L467" s="4">
        <f>INDEX(products!$A$1:$G$49,MATCH(orders!$D467,products!$A$1:$A$49,0),MATCH(orders!L$1,products!$A$1:$G$1,0))</f>
        <v>2.5</v>
      </c>
      <c r="M467" s="5">
        <f>INDEX(products!$A$1:$G$49,MATCH(orders!$D467,products!$A$1:$A$49,0),MATCH(orders!M$1,products!$A$1:$G$1,0))</f>
        <v>20.584999999999997</v>
      </c>
      <c r="N467" s="5">
        <f>Orders[[#This Row],[Quantity]]*(INDEX(products!$A$1:$G$49,MATCH(orders!$D467,products!$A$1:$A$49,0),MATCH(orders!N$1,products!$A$1:$G$1,0)))</f>
        <v>1.2350999999999999</v>
      </c>
      <c r="O467" s="5">
        <f>M467*E467</f>
        <v>20.584999999999997</v>
      </c>
      <c r="P467" t="str">
        <f t="shared" si="14"/>
        <v>Robusta</v>
      </c>
      <c r="Q467" t="str">
        <f t="shared" si="15"/>
        <v>Dark</v>
      </c>
      <c r="R467" t="str">
        <f>_xlfn.XLOOKUP(Orders[[#This Row],[Customer ID]],customers!$A$1:$A$1001,customers!$I$1:$I$1001,,0)</f>
        <v>Yes</v>
      </c>
    </row>
    <row r="468" spans="1:18" x14ac:dyDescent="0.35">
      <c r="A468" s="2" t="s">
        <v>3124</v>
      </c>
      <c r="B468" s="3">
        <v>44171</v>
      </c>
      <c r="C468" s="2" t="s">
        <v>3125</v>
      </c>
      <c r="D468" t="s">
        <v>6154</v>
      </c>
      <c r="E468" s="2">
        <v>3</v>
      </c>
      <c r="F468" s="2" t="str">
        <f>_xlfn.XLOOKUP(Orders[[#This Row],[Customer ID]],customers!$A$1:$A$1001,customers!$B$1:$B$1001,,0)</f>
        <v>Dagny Kornel</v>
      </c>
      <c r="G468" s="2" t="str">
        <f>IF(_xlfn.XLOOKUP(C468,customers!$A$1:$A$1001,customers!C467:C1467,,0)=0,"",_xlfn.XLOOKUP(C468,customers!$A$1:$A$1001,customers!C467:C1467,,0))</f>
        <v>bsillispw@istockphoto.com</v>
      </c>
      <c r="H468" s="2" t="str">
        <f>_xlfn.XLOOKUP(Orders[[#This Row],[Customer ID]],customers!$A$1:$A$1001,customers!$G$1:$G$1001,,0)</f>
        <v>United States</v>
      </c>
      <c r="I468" s="2" t="str">
        <f>_xlfn.XLOOKUP(Orders[[#This Row],[Customer ID]],customers!$A$1:$A$1001,customers!$F$1:$F$1001,,0)</f>
        <v>Saginaw</v>
      </c>
      <c r="J468" t="str">
        <f>INDEX(products!$A$1:$G$49,MATCH(orders!$D468,products!$A$1:$A$49,0),MATCH(orders!J$1,products!$A$1:$G$1,0))</f>
        <v>Ara</v>
      </c>
      <c r="K468" t="str">
        <f>INDEX(products!$A$1:$G$49,MATCH(orders!$D468,products!$A$1:$A$49,0),MATCH(orders!K$1,products!$A$1:$G$1,0))</f>
        <v>D</v>
      </c>
      <c r="L468" s="4">
        <f>INDEX(products!$A$1:$G$49,MATCH(orders!$D468,products!$A$1:$A$49,0),MATCH(orders!L$1,products!$A$1:$G$1,0))</f>
        <v>0.2</v>
      </c>
      <c r="M468" s="5">
        <f>INDEX(products!$A$1:$G$49,MATCH(orders!$D468,products!$A$1:$A$49,0),MATCH(orders!M$1,products!$A$1:$G$1,0))</f>
        <v>2.9849999999999999</v>
      </c>
      <c r="N468" s="5">
        <f>Orders[[#This Row],[Quantity]]*(INDEX(products!$A$1:$G$49,MATCH(orders!$D468,products!$A$1:$A$49,0),MATCH(orders!N$1,products!$A$1:$G$1,0)))</f>
        <v>0.80594999999999994</v>
      </c>
      <c r="O468" s="5">
        <f>M468*E468</f>
        <v>8.9550000000000001</v>
      </c>
      <c r="P468" t="str">
        <f t="shared" si="14"/>
        <v>Arabica</v>
      </c>
      <c r="Q468" t="str">
        <f t="shared" si="15"/>
        <v>Dark</v>
      </c>
      <c r="R468" t="str">
        <f>_xlfn.XLOOKUP(Orders[[#This Row],[Customer ID]],customers!$A$1:$A$1001,customers!$I$1:$I$1001,,0)</f>
        <v>Yes</v>
      </c>
    </row>
    <row r="469" spans="1:18" x14ac:dyDescent="0.35">
      <c r="A469" s="2" t="s">
        <v>3130</v>
      </c>
      <c r="B469" s="3">
        <v>44536</v>
      </c>
      <c r="C469" s="2" t="s">
        <v>3131</v>
      </c>
      <c r="D469" t="s">
        <v>6158</v>
      </c>
      <c r="E469" s="2">
        <v>1</v>
      </c>
      <c r="F469" s="2" t="str">
        <f>_xlfn.XLOOKUP(Orders[[#This Row],[Customer ID]],customers!$A$1:$A$1001,customers!$B$1:$B$1001,,0)</f>
        <v>Rhona Lequeux</v>
      </c>
      <c r="G469" s="2" t="str">
        <f>IF(_xlfn.XLOOKUP(C469,customers!$A$1:$A$1001,customers!C468:C1468,,0)=0,"",_xlfn.XLOOKUP(C469,customers!$A$1:$A$1001,customers!C468:C1468,,0))</f>
        <v>rcuttspy@techcrunch.com</v>
      </c>
      <c r="H469" s="2" t="str">
        <f>_xlfn.XLOOKUP(Orders[[#This Row],[Customer ID]],customers!$A$1:$A$1001,customers!$G$1:$G$1001,,0)</f>
        <v>United States</v>
      </c>
      <c r="I469" s="2" t="str">
        <f>_xlfn.XLOOKUP(Orders[[#This Row],[Customer ID]],customers!$A$1:$A$1001,customers!$F$1:$F$1001,,0)</f>
        <v>Saint Augustine</v>
      </c>
      <c r="J469" t="str">
        <f>INDEX(products!$A$1:$G$49,MATCH(orders!$D469,products!$A$1:$A$49,0),MATCH(orders!J$1,products!$A$1:$G$1,0))</f>
        <v>Ara</v>
      </c>
      <c r="K469" t="str">
        <f>INDEX(products!$A$1:$G$49,MATCH(orders!$D469,products!$A$1:$A$49,0),MATCH(orders!K$1,products!$A$1:$G$1,0))</f>
        <v>D</v>
      </c>
      <c r="L469" s="4">
        <f>INDEX(products!$A$1:$G$49,MATCH(orders!$D469,products!$A$1:$A$49,0),MATCH(orders!L$1,products!$A$1:$G$1,0))</f>
        <v>0.5</v>
      </c>
      <c r="M469" s="5">
        <f>INDEX(products!$A$1:$G$49,MATCH(orders!$D469,products!$A$1:$A$49,0),MATCH(orders!M$1,products!$A$1:$G$1,0))</f>
        <v>5.97</v>
      </c>
      <c r="N469" s="5">
        <f>Orders[[#This Row],[Quantity]]*(INDEX(products!$A$1:$G$49,MATCH(orders!$D469,products!$A$1:$A$49,0),MATCH(orders!N$1,products!$A$1:$G$1,0)))</f>
        <v>0.5373</v>
      </c>
      <c r="O469" s="5">
        <f>M469*E469</f>
        <v>5.97</v>
      </c>
      <c r="P469" t="str">
        <f t="shared" si="14"/>
        <v>Arabica</v>
      </c>
      <c r="Q469" t="str">
        <f t="shared" si="15"/>
        <v>Dark</v>
      </c>
      <c r="R469" t="str">
        <f>_xlfn.XLOOKUP(Orders[[#This Row],[Customer ID]],customers!$A$1:$A$1001,customers!$I$1:$I$1001,,0)</f>
        <v>No</v>
      </c>
    </row>
    <row r="470" spans="1:18" x14ac:dyDescent="0.35">
      <c r="A470" s="2" t="s">
        <v>3136</v>
      </c>
      <c r="B470" s="3">
        <v>44023</v>
      </c>
      <c r="C470" s="2" t="s">
        <v>3137</v>
      </c>
      <c r="D470" t="s">
        <v>6141</v>
      </c>
      <c r="E470" s="2">
        <v>3</v>
      </c>
      <c r="F470" s="2" t="str">
        <f>_xlfn.XLOOKUP(Orders[[#This Row],[Customer ID]],customers!$A$1:$A$1001,customers!$B$1:$B$1001,,0)</f>
        <v>Julius Mccaull</v>
      </c>
      <c r="G470" s="2" t="str">
        <f>IF(_xlfn.XLOOKUP(C470,customers!$A$1:$A$1001,customers!C469:C1469,,0)=0,"",_xlfn.XLOOKUP(C470,customers!$A$1:$A$1001,customers!C469:C1469,,0))</f>
        <v>dgrittonq0@nydailynews.com</v>
      </c>
      <c r="H470" s="2" t="str">
        <f>_xlfn.XLOOKUP(Orders[[#This Row],[Customer ID]],customers!$A$1:$A$1001,customers!$G$1:$G$1001,,0)</f>
        <v>United States</v>
      </c>
      <c r="I470" s="2" t="str">
        <f>_xlfn.XLOOKUP(Orders[[#This Row],[Customer ID]],customers!$A$1:$A$1001,customers!$F$1:$F$1001,,0)</f>
        <v>San Rafael</v>
      </c>
      <c r="J470" t="str">
        <f>INDEX(products!$A$1:$G$49,MATCH(orders!$D470,products!$A$1:$A$49,0),MATCH(orders!J$1,products!$A$1:$G$1,0))</f>
        <v>Exc</v>
      </c>
      <c r="K470" t="str">
        <f>INDEX(products!$A$1:$G$49,MATCH(orders!$D470,products!$A$1:$A$49,0),MATCH(orders!K$1,products!$A$1:$G$1,0))</f>
        <v>M</v>
      </c>
      <c r="L470" s="4">
        <f>INDEX(products!$A$1:$G$49,MATCH(orders!$D470,products!$A$1:$A$49,0),MATCH(orders!L$1,products!$A$1:$G$1,0))</f>
        <v>1</v>
      </c>
      <c r="M470" s="5">
        <f>INDEX(products!$A$1:$G$49,MATCH(orders!$D470,products!$A$1:$A$49,0),MATCH(orders!M$1,products!$A$1:$G$1,0))</f>
        <v>13.75</v>
      </c>
      <c r="N470" s="5">
        <f>Orders[[#This Row],[Quantity]]*(INDEX(products!$A$1:$G$49,MATCH(orders!$D470,products!$A$1:$A$49,0),MATCH(orders!N$1,products!$A$1:$G$1,0)))</f>
        <v>4.5374999999999996</v>
      </c>
      <c r="O470" s="5">
        <f>M470*E470</f>
        <v>41.25</v>
      </c>
      <c r="P470" t="str">
        <f t="shared" si="14"/>
        <v>Excelsa</v>
      </c>
      <c r="Q470" t="str">
        <f t="shared" si="15"/>
        <v>Medium</v>
      </c>
      <c r="R470" t="str">
        <f>_xlfn.XLOOKUP(Orders[[#This Row],[Customer ID]],customers!$A$1:$A$1001,customers!$I$1:$I$1001,,0)</f>
        <v>Yes</v>
      </c>
    </row>
    <row r="471" spans="1:18" x14ac:dyDescent="0.35">
      <c r="A471" s="2" t="s">
        <v>3141</v>
      </c>
      <c r="B471" s="3">
        <v>44375</v>
      </c>
      <c r="C471" s="2" t="s">
        <v>3194</v>
      </c>
      <c r="D471" t="s">
        <v>6184</v>
      </c>
      <c r="E471" s="2">
        <v>5</v>
      </c>
      <c r="F471" s="2" t="str">
        <f>_xlfn.XLOOKUP(Orders[[#This Row],[Customer ID]],customers!$A$1:$A$1001,customers!$B$1:$B$1001,,0)</f>
        <v>Ailey Brash</v>
      </c>
      <c r="G471" s="2" t="str">
        <f>IF(_xlfn.XLOOKUP(C471,customers!$A$1:$A$1001,customers!C470:C1470,,0)=0,"",_xlfn.XLOOKUP(C471,customers!$A$1:$A$1001,customers!C470:C1470,,0))</f>
        <v>rfaltinqb@topsy.com</v>
      </c>
      <c r="H471" s="2" t="str">
        <f>_xlfn.XLOOKUP(Orders[[#This Row],[Customer ID]],customers!$A$1:$A$1001,customers!$G$1:$G$1001,,0)</f>
        <v>United States</v>
      </c>
      <c r="I471" s="2" t="str">
        <f>_xlfn.XLOOKUP(Orders[[#This Row],[Customer ID]],customers!$A$1:$A$1001,customers!$F$1:$F$1001,,0)</f>
        <v>Flushing</v>
      </c>
      <c r="J471" t="str">
        <f>INDEX(products!$A$1:$G$49,MATCH(orders!$D471,products!$A$1:$A$49,0),MATCH(orders!J$1,products!$A$1:$G$1,0))</f>
        <v>Exc</v>
      </c>
      <c r="K471" t="str">
        <f>INDEX(products!$A$1:$G$49,MATCH(orders!$D471,products!$A$1:$A$49,0),MATCH(orders!K$1,products!$A$1:$G$1,0))</f>
        <v>L</v>
      </c>
      <c r="L471" s="4">
        <f>INDEX(products!$A$1:$G$49,MATCH(orders!$D471,products!$A$1:$A$49,0),MATCH(orders!L$1,products!$A$1:$G$1,0))</f>
        <v>0.2</v>
      </c>
      <c r="M471" s="5">
        <f>INDEX(products!$A$1:$G$49,MATCH(orders!$D471,products!$A$1:$A$49,0),MATCH(orders!M$1,products!$A$1:$G$1,0))</f>
        <v>4.4550000000000001</v>
      </c>
      <c r="N471" s="5">
        <f>Orders[[#This Row],[Quantity]]*(INDEX(products!$A$1:$G$49,MATCH(orders!$D471,products!$A$1:$A$49,0),MATCH(orders!N$1,products!$A$1:$G$1,0)))</f>
        <v>2.45025</v>
      </c>
      <c r="O471" s="5">
        <f>M471*E471</f>
        <v>22.274999999999999</v>
      </c>
      <c r="P471" t="str">
        <f t="shared" si="14"/>
        <v>Excelsa</v>
      </c>
      <c r="Q471" t="str">
        <f t="shared" si="15"/>
        <v>Light</v>
      </c>
      <c r="R471" t="str">
        <f>_xlfn.XLOOKUP(Orders[[#This Row],[Customer ID]],customers!$A$1:$A$1001,customers!$I$1:$I$1001,,0)</f>
        <v>Yes</v>
      </c>
    </row>
    <row r="472" spans="1:18" x14ac:dyDescent="0.35">
      <c r="A472" s="2" t="s">
        <v>3147</v>
      </c>
      <c r="B472" s="3">
        <v>44656</v>
      </c>
      <c r="C472" s="2" t="s">
        <v>3148</v>
      </c>
      <c r="D472" t="s">
        <v>6157</v>
      </c>
      <c r="E472" s="2">
        <v>1</v>
      </c>
      <c r="F472" s="2" t="str">
        <f>_xlfn.XLOOKUP(Orders[[#This Row],[Customer ID]],customers!$A$1:$A$1001,customers!$B$1:$B$1001,,0)</f>
        <v>Alberto Hutchinson</v>
      </c>
      <c r="G472" s="2" t="str">
        <f>IF(_xlfn.XLOOKUP(C472,customers!$A$1:$A$1001,customers!C471:C1471,,0)=0,"",_xlfn.XLOOKUP(C472,customers!$A$1:$A$1001,customers!C471:C1471,,0))</f>
        <v>gsiudaq4@nytimes.com</v>
      </c>
      <c r="H472" s="2" t="str">
        <f>_xlfn.XLOOKUP(Orders[[#This Row],[Customer ID]],customers!$A$1:$A$1001,customers!$G$1:$G$1001,,0)</f>
        <v>United States</v>
      </c>
      <c r="I472" s="2" t="str">
        <f>_xlfn.XLOOKUP(Orders[[#This Row],[Customer ID]],customers!$A$1:$A$1001,customers!$F$1:$F$1001,,0)</f>
        <v>Lawrenceville</v>
      </c>
      <c r="J472" t="str">
        <f>INDEX(products!$A$1:$G$49,MATCH(orders!$D472,products!$A$1:$A$49,0),MATCH(orders!J$1,products!$A$1:$G$1,0))</f>
        <v>Ara</v>
      </c>
      <c r="K472" t="str">
        <f>INDEX(products!$A$1:$G$49,MATCH(orders!$D472,products!$A$1:$A$49,0),MATCH(orders!K$1,products!$A$1:$G$1,0))</f>
        <v>M</v>
      </c>
      <c r="L472" s="4">
        <f>INDEX(products!$A$1:$G$49,MATCH(orders!$D472,products!$A$1:$A$49,0),MATCH(orders!L$1,products!$A$1:$G$1,0))</f>
        <v>0.5</v>
      </c>
      <c r="M472" s="5">
        <f>INDEX(products!$A$1:$G$49,MATCH(orders!$D472,products!$A$1:$A$49,0),MATCH(orders!M$1,products!$A$1:$G$1,0))</f>
        <v>6.75</v>
      </c>
      <c r="N472" s="5">
        <f>Orders[[#This Row],[Quantity]]*(INDEX(products!$A$1:$G$49,MATCH(orders!$D472,products!$A$1:$A$49,0),MATCH(orders!N$1,products!$A$1:$G$1,0)))</f>
        <v>0.60749999999999993</v>
      </c>
      <c r="O472" s="5">
        <f>M472*E472</f>
        <v>6.75</v>
      </c>
      <c r="P472" t="str">
        <f t="shared" si="14"/>
        <v>Arabica</v>
      </c>
      <c r="Q472" t="str">
        <f t="shared" si="15"/>
        <v>Medium</v>
      </c>
      <c r="R472" t="str">
        <f>_xlfn.XLOOKUP(Orders[[#This Row],[Customer ID]],customers!$A$1:$A$1001,customers!$I$1:$I$1001,,0)</f>
        <v>Yes</v>
      </c>
    </row>
    <row r="473" spans="1:18" x14ac:dyDescent="0.35">
      <c r="A473" s="2" t="s">
        <v>3153</v>
      </c>
      <c r="B473" s="3">
        <v>44644</v>
      </c>
      <c r="C473" s="2" t="s">
        <v>3154</v>
      </c>
      <c r="D473" t="s">
        <v>6181</v>
      </c>
      <c r="E473" s="2">
        <v>4</v>
      </c>
      <c r="F473" s="2" t="str">
        <f>_xlfn.XLOOKUP(Orders[[#This Row],[Customer ID]],customers!$A$1:$A$1001,customers!$B$1:$B$1001,,0)</f>
        <v>Lamond Gheeraert</v>
      </c>
      <c r="G473" s="2" t="str">
        <f>IF(_xlfn.XLOOKUP(C473,customers!$A$1:$A$1001,customers!C472:C1472,,0)=0,"",_xlfn.XLOOKUP(C473,customers!$A$1:$A$1001,customers!C472:C1472,,0))</f>
        <v>vpawseyq6@tiny.cc</v>
      </c>
      <c r="H473" s="2" t="str">
        <f>_xlfn.XLOOKUP(Orders[[#This Row],[Customer ID]],customers!$A$1:$A$1001,customers!$G$1:$G$1001,,0)</f>
        <v>United States</v>
      </c>
      <c r="I473" s="2" t="str">
        <f>_xlfn.XLOOKUP(Orders[[#This Row],[Customer ID]],customers!$A$1:$A$1001,customers!$F$1:$F$1001,,0)</f>
        <v>Topeka</v>
      </c>
      <c r="J473" t="str">
        <f>INDEX(products!$A$1:$G$49,MATCH(orders!$D473,products!$A$1:$A$49,0),MATCH(orders!J$1,products!$A$1:$G$1,0))</f>
        <v>Lib</v>
      </c>
      <c r="K473" t="str">
        <f>INDEX(products!$A$1:$G$49,MATCH(orders!$D473,products!$A$1:$A$49,0),MATCH(orders!K$1,products!$A$1:$G$1,0))</f>
        <v>M</v>
      </c>
      <c r="L473" s="4">
        <f>INDEX(products!$A$1:$G$49,MATCH(orders!$D473,products!$A$1:$A$49,0),MATCH(orders!L$1,products!$A$1:$G$1,0))</f>
        <v>2.5</v>
      </c>
      <c r="M473" s="5">
        <f>INDEX(products!$A$1:$G$49,MATCH(orders!$D473,products!$A$1:$A$49,0),MATCH(orders!M$1,products!$A$1:$G$1,0))</f>
        <v>33.464999999999996</v>
      </c>
      <c r="N473" s="5">
        <f>Orders[[#This Row],[Quantity]]*(INDEX(products!$A$1:$G$49,MATCH(orders!$D473,products!$A$1:$A$49,0),MATCH(orders!N$1,products!$A$1:$G$1,0)))</f>
        <v>17.401799999999998</v>
      </c>
      <c r="O473" s="5">
        <f>M473*E473</f>
        <v>133.85999999999999</v>
      </c>
      <c r="P473" t="str">
        <f t="shared" si="14"/>
        <v>Liberica</v>
      </c>
      <c r="Q473" t="str">
        <f t="shared" si="15"/>
        <v>Medium</v>
      </c>
      <c r="R473" t="str">
        <f>_xlfn.XLOOKUP(Orders[[#This Row],[Customer ID]],customers!$A$1:$A$1001,customers!$I$1:$I$1001,,0)</f>
        <v>Yes</v>
      </c>
    </row>
    <row r="474" spans="1:18" x14ac:dyDescent="0.35">
      <c r="A474" s="2" t="s">
        <v>3158</v>
      </c>
      <c r="B474" s="3">
        <v>43869</v>
      </c>
      <c r="C474" s="2" t="s">
        <v>3159</v>
      </c>
      <c r="D474" t="s">
        <v>6154</v>
      </c>
      <c r="E474" s="2">
        <v>2</v>
      </c>
      <c r="F474" s="2" t="str">
        <f>_xlfn.XLOOKUP(Orders[[#This Row],[Customer ID]],customers!$A$1:$A$1001,customers!$B$1:$B$1001,,0)</f>
        <v>Roxine Drivers</v>
      </c>
      <c r="G474" s="2" t="str">
        <f>IF(_xlfn.XLOOKUP(C474,customers!$A$1:$A$1001,customers!C473:C1473,,0)=0,"",_xlfn.XLOOKUP(C474,customers!$A$1:$A$1001,customers!C473:C1473,,0))</f>
        <v>fhaughianq8@1688.com</v>
      </c>
      <c r="H474" s="2" t="str">
        <f>_xlfn.XLOOKUP(Orders[[#This Row],[Customer ID]],customers!$A$1:$A$1001,customers!$G$1:$G$1001,,0)</f>
        <v>United States</v>
      </c>
      <c r="I474" s="2" t="str">
        <f>_xlfn.XLOOKUP(Orders[[#This Row],[Customer ID]],customers!$A$1:$A$1001,customers!$F$1:$F$1001,,0)</f>
        <v>Shawnee Mission</v>
      </c>
      <c r="J474" t="str">
        <f>INDEX(products!$A$1:$G$49,MATCH(orders!$D474,products!$A$1:$A$49,0),MATCH(orders!J$1,products!$A$1:$G$1,0))</f>
        <v>Ara</v>
      </c>
      <c r="K474" t="str">
        <f>INDEX(products!$A$1:$G$49,MATCH(orders!$D474,products!$A$1:$A$49,0),MATCH(orders!K$1,products!$A$1:$G$1,0))</f>
        <v>D</v>
      </c>
      <c r="L474" s="4">
        <f>INDEX(products!$A$1:$G$49,MATCH(orders!$D474,products!$A$1:$A$49,0),MATCH(orders!L$1,products!$A$1:$G$1,0))</f>
        <v>0.2</v>
      </c>
      <c r="M474" s="5">
        <f>INDEX(products!$A$1:$G$49,MATCH(orders!$D474,products!$A$1:$A$49,0),MATCH(orders!M$1,products!$A$1:$G$1,0))</f>
        <v>2.9849999999999999</v>
      </c>
      <c r="N474" s="5">
        <f>Orders[[#This Row],[Quantity]]*(INDEX(products!$A$1:$G$49,MATCH(orders!$D474,products!$A$1:$A$49,0),MATCH(orders!N$1,products!$A$1:$G$1,0)))</f>
        <v>0.5373</v>
      </c>
      <c r="O474" s="5">
        <f>M474*E474</f>
        <v>5.97</v>
      </c>
      <c r="P474" t="str">
        <f t="shared" si="14"/>
        <v>Arabica</v>
      </c>
      <c r="Q474" t="str">
        <f t="shared" si="15"/>
        <v>Dark</v>
      </c>
      <c r="R474" t="str">
        <f>_xlfn.XLOOKUP(Orders[[#This Row],[Customer ID]],customers!$A$1:$A$1001,customers!$I$1:$I$1001,,0)</f>
        <v>No</v>
      </c>
    </row>
    <row r="475" spans="1:18" x14ac:dyDescent="0.35">
      <c r="A475" s="2" t="s">
        <v>3164</v>
      </c>
      <c r="B475" s="3">
        <v>44603</v>
      </c>
      <c r="C475" s="2" t="s">
        <v>3165</v>
      </c>
      <c r="D475" t="s">
        <v>6140</v>
      </c>
      <c r="E475" s="2">
        <v>2</v>
      </c>
      <c r="F475" s="2" t="str">
        <f>_xlfn.XLOOKUP(Orders[[#This Row],[Customer ID]],customers!$A$1:$A$1001,customers!$B$1:$B$1001,,0)</f>
        <v>Heloise Zeal</v>
      </c>
      <c r="G475" s="2" t="str">
        <f>IF(_xlfn.XLOOKUP(C475,customers!$A$1:$A$1001,customers!C474:C1474,,0)=0,"",_xlfn.XLOOKUP(C475,customers!$A$1:$A$1001,customers!C474:C1474,,0))</f>
        <v/>
      </c>
      <c r="H475" s="2" t="str">
        <f>_xlfn.XLOOKUP(Orders[[#This Row],[Customer ID]],customers!$A$1:$A$1001,customers!$G$1:$G$1001,,0)</f>
        <v>United States</v>
      </c>
      <c r="I475" s="2" t="str">
        <f>_xlfn.XLOOKUP(Orders[[#This Row],[Customer ID]],customers!$A$1:$A$1001,customers!$F$1:$F$1001,,0)</f>
        <v>Seattle</v>
      </c>
      <c r="J475" t="str">
        <f>INDEX(products!$A$1:$G$49,MATCH(orders!$D475,products!$A$1:$A$49,0),MATCH(orders!J$1,products!$A$1:$G$1,0))</f>
        <v>Ara</v>
      </c>
      <c r="K475" t="str">
        <f>INDEX(products!$A$1:$G$49,MATCH(orders!$D475,products!$A$1:$A$49,0),MATCH(orders!K$1,products!$A$1:$G$1,0))</f>
        <v>L</v>
      </c>
      <c r="L475" s="4">
        <f>INDEX(products!$A$1:$G$49,MATCH(orders!$D475,products!$A$1:$A$49,0),MATCH(orders!L$1,products!$A$1:$G$1,0))</f>
        <v>1</v>
      </c>
      <c r="M475" s="5">
        <f>INDEX(products!$A$1:$G$49,MATCH(orders!$D475,products!$A$1:$A$49,0),MATCH(orders!M$1,products!$A$1:$G$1,0))</f>
        <v>12.95</v>
      </c>
      <c r="N475" s="5">
        <f>Orders[[#This Row],[Quantity]]*(INDEX(products!$A$1:$G$49,MATCH(orders!$D475,products!$A$1:$A$49,0),MATCH(orders!N$1,products!$A$1:$G$1,0)))</f>
        <v>2.331</v>
      </c>
      <c r="O475" s="5">
        <f>M475*E475</f>
        <v>25.9</v>
      </c>
      <c r="P475" t="str">
        <f t="shared" si="14"/>
        <v>Arabica</v>
      </c>
      <c r="Q475" t="str">
        <f t="shared" si="15"/>
        <v>Light</v>
      </c>
      <c r="R475" t="str">
        <f>_xlfn.XLOOKUP(Orders[[#This Row],[Customer ID]],customers!$A$1:$A$1001,customers!$I$1:$I$1001,,0)</f>
        <v>No</v>
      </c>
    </row>
    <row r="476" spans="1:18" x14ac:dyDescent="0.35">
      <c r="A476" s="2" t="s">
        <v>3170</v>
      </c>
      <c r="B476" s="3">
        <v>44014</v>
      </c>
      <c r="C476" s="2" t="s">
        <v>3171</v>
      </c>
      <c r="D476" t="s">
        <v>6166</v>
      </c>
      <c r="E476" s="2">
        <v>1</v>
      </c>
      <c r="F476" s="2" t="str">
        <f>_xlfn.XLOOKUP(Orders[[#This Row],[Customer ID]],customers!$A$1:$A$1001,customers!$B$1:$B$1001,,0)</f>
        <v>Granger Smallcombe</v>
      </c>
      <c r="G476" s="2" t="str">
        <f>IF(_xlfn.XLOOKUP(C476,customers!$A$1:$A$1001,customers!C475:C1475,,0)=0,"",_xlfn.XLOOKUP(C476,customers!$A$1:$A$1001,customers!C475:C1475,,0))</f>
        <v>gcheekeqc@sitemeter.com</v>
      </c>
      <c r="H476" s="2" t="str">
        <f>_xlfn.XLOOKUP(Orders[[#This Row],[Customer ID]],customers!$A$1:$A$1001,customers!$G$1:$G$1001,,0)</f>
        <v>Ireland</v>
      </c>
      <c r="I476" s="2" t="str">
        <f>_xlfn.XLOOKUP(Orders[[#This Row],[Customer ID]],customers!$A$1:$A$1001,customers!$F$1:$F$1001,,0)</f>
        <v>Kilkenny</v>
      </c>
      <c r="J476" t="str">
        <f>INDEX(products!$A$1:$G$49,MATCH(orders!$D476,products!$A$1:$A$49,0),MATCH(orders!J$1,products!$A$1:$G$1,0))</f>
        <v>Exc</v>
      </c>
      <c r="K476" t="str">
        <f>INDEX(products!$A$1:$G$49,MATCH(orders!$D476,products!$A$1:$A$49,0),MATCH(orders!K$1,products!$A$1:$G$1,0))</f>
        <v>M</v>
      </c>
      <c r="L476" s="4">
        <f>INDEX(products!$A$1:$G$49,MATCH(orders!$D476,products!$A$1:$A$49,0),MATCH(orders!L$1,products!$A$1:$G$1,0))</f>
        <v>2.5</v>
      </c>
      <c r="M476" s="5">
        <f>INDEX(products!$A$1:$G$49,MATCH(orders!$D476,products!$A$1:$A$49,0),MATCH(orders!M$1,products!$A$1:$G$1,0))</f>
        <v>31.624999999999996</v>
      </c>
      <c r="N476" s="5">
        <f>Orders[[#This Row],[Quantity]]*(INDEX(products!$A$1:$G$49,MATCH(orders!$D476,products!$A$1:$A$49,0),MATCH(orders!N$1,products!$A$1:$G$1,0)))</f>
        <v>3.4787499999999998</v>
      </c>
      <c r="O476" s="5">
        <f>M476*E476</f>
        <v>31.624999999999996</v>
      </c>
      <c r="P476" t="str">
        <f t="shared" si="14"/>
        <v>Excelsa</v>
      </c>
      <c r="Q476" t="str">
        <f t="shared" si="15"/>
        <v>Medium</v>
      </c>
      <c r="R476" t="str">
        <f>_xlfn.XLOOKUP(Orders[[#This Row],[Customer ID]],customers!$A$1:$A$1001,customers!$I$1:$I$1001,,0)</f>
        <v>Yes</v>
      </c>
    </row>
    <row r="477" spans="1:18" x14ac:dyDescent="0.35">
      <c r="A477" s="2" t="s">
        <v>3176</v>
      </c>
      <c r="B477" s="3">
        <v>44767</v>
      </c>
      <c r="C477" s="2" t="s">
        <v>3177</v>
      </c>
      <c r="D477" t="s">
        <v>6159</v>
      </c>
      <c r="E477" s="2">
        <v>2</v>
      </c>
      <c r="F477" s="2" t="str">
        <f>_xlfn.XLOOKUP(Orders[[#This Row],[Customer ID]],customers!$A$1:$A$1001,customers!$B$1:$B$1001,,0)</f>
        <v>Daryn Dibley</v>
      </c>
      <c r="G477" s="2" t="str">
        <f>IF(_xlfn.XLOOKUP(C477,customers!$A$1:$A$1001,customers!C476:C1476,,0)=0,"",_xlfn.XLOOKUP(C477,customers!$A$1:$A$1001,customers!C476:C1476,,0))</f>
        <v/>
      </c>
      <c r="H477" s="2" t="str">
        <f>_xlfn.XLOOKUP(Orders[[#This Row],[Customer ID]],customers!$A$1:$A$1001,customers!$G$1:$G$1001,,0)</f>
        <v>United States</v>
      </c>
      <c r="I477" s="2" t="str">
        <f>_xlfn.XLOOKUP(Orders[[#This Row],[Customer ID]],customers!$A$1:$A$1001,customers!$F$1:$F$1001,,0)</f>
        <v>Kissimmee</v>
      </c>
      <c r="J477" t="str">
        <f>INDEX(products!$A$1:$G$49,MATCH(orders!$D477,products!$A$1:$A$49,0),MATCH(orders!J$1,products!$A$1:$G$1,0))</f>
        <v>Lib</v>
      </c>
      <c r="K477" t="str">
        <f>INDEX(products!$A$1:$G$49,MATCH(orders!$D477,products!$A$1:$A$49,0),MATCH(orders!K$1,products!$A$1:$G$1,0))</f>
        <v>M</v>
      </c>
      <c r="L477" s="4">
        <f>INDEX(products!$A$1:$G$49,MATCH(orders!$D477,products!$A$1:$A$49,0),MATCH(orders!L$1,products!$A$1:$G$1,0))</f>
        <v>0.2</v>
      </c>
      <c r="M477" s="5">
        <f>INDEX(products!$A$1:$G$49,MATCH(orders!$D477,products!$A$1:$A$49,0),MATCH(orders!M$1,products!$A$1:$G$1,0))</f>
        <v>4.3650000000000002</v>
      </c>
      <c r="N477" s="5">
        <f>Orders[[#This Row],[Quantity]]*(INDEX(products!$A$1:$G$49,MATCH(orders!$D477,products!$A$1:$A$49,0),MATCH(orders!N$1,products!$A$1:$G$1,0)))</f>
        <v>1.1349</v>
      </c>
      <c r="O477" s="5">
        <f>M477*E477</f>
        <v>8.73</v>
      </c>
      <c r="P477" t="str">
        <f t="shared" si="14"/>
        <v>Liberica</v>
      </c>
      <c r="Q477" t="str">
        <f t="shared" si="15"/>
        <v>Medium</v>
      </c>
      <c r="R477" t="str">
        <f>_xlfn.XLOOKUP(Orders[[#This Row],[Customer ID]],customers!$A$1:$A$1001,customers!$I$1:$I$1001,,0)</f>
        <v>No</v>
      </c>
    </row>
    <row r="478" spans="1:18" x14ac:dyDescent="0.35">
      <c r="A478" s="2" t="s">
        <v>3181</v>
      </c>
      <c r="B478" s="3">
        <v>44274</v>
      </c>
      <c r="C478" s="2" t="s">
        <v>3182</v>
      </c>
      <c r="D478" t="s">
        <v>6184</v>
      </c>
      <c r="E478" s="2">
        <v>6</v>
      </c>
      <c r="F478" s="2" t="str">
        <f>_xlfn.XLOOKUP(Orders[[#This Row],[Customer ID]],customers!$A$1:$A$1001,customers!$B$1:$B$1001,,0)</f>
        <v>Gardy Dimitriou</v>
      </c>
      <c r="G478" s="2" t="str">
        <f>IF(_xlfn.XLOOKUP(C478,customers!$A$1:$A$1001,customers!C477:C1477,,0)=0,"",_xlfn.XLOOKUP(C478,customers!$A$1:$A$1001,customers!C477:C1477,,0))</f>
        <v>jdrengqg@uiuc.edu</v>
      </c>
      <c r="H478" s="2" t="str">
        <f>_xlfn.XLOOKUP(Orders[[#This Row],[Customer ID]],customers!$A$1:$A$1001,customers!$G$1:$G$1001,,0)</f>
        <v>United States</v>
      </c>
      <c r="I478" s="2" t="str">
        <f>_xlfn.XLOOKUP(Orders[[#This Row],[Customer ID]],customers!$A$1:$A$1001,customers!$F$1:$F$1001,,0)</f>
        <v>Rochester</v>
      </c>
      <c r="J478" t="str">
        <f>INDEX(products!$A$1:$G$49,MATCH(orders!$D478,products!$A$1:$A$49,0),MATCH(orders!J$1,products!$A$1:$G$1,0))</f>
        <v>Exc</v>
      </c>
      <c r="K478" t="str">
        <f>INDEX(products!$A$1:$G$49,MATCH(orders!$D478,products!$A$1:$A$49,0),MATCH(orders!K$1,products!$A$1:$G$1,0))</f>
        <v>L</v>
      </c>
      <c r="L478" s="4">
        <f>INDEX(products!$A$1:$G$49,MATCH(orders!$D478,products!$A$1:$A$49,0),MATCH(orders!L$1,products!$A$1:$G$1,0))</f>
        <v>0.2</v>
      </c>
      <c r="M478" s="5">
        <f>INDEX(products!$A$1:$G$49,MATCH(orders!$D478,products!$A$1:$A$49,0),MATCH(orders!M$1,products!$A$1:$G$1,0))</f>
        <v>4.4550000000000001</v>
      </c>
      <c r="N478" s="5">
        <f>Orders[[#This Row],[Quantity]]*(INDEX(products!$A$1:$G$49,MATCH(orders!$D478,products!$A$1:$A$49,0),MATCH(orders!N$1,products!$A$1:$G$1,0)))</f>
        <v>2.9402999999999997</v>
      </c>
      <c r="O478" s="5">
        <f>M478*E478</f>
        <v>26.73</v>
      </c>
      <c r="P478" t="str">
        <f t="shared" si="14"/>
        <v>Excelsa</v>
      </c>
      <c r="Q478" t="str">
        <f t="shared" si="15"/>
        <v>Light</v>
      </c>
      <c r="R478" t="str">
        <f>_xlfn.XLOOKUP(Orders[[#This Row],[Customer ID]],customers!$A$1:$A$1001,customers!$I$1:$I$1001,,0)</f>
        <v>Yes</v>
      </c>
    </row>
    <row r="479" spans="1:18" x14ac:dyDescent="0.35">
      <c r="A479" s="2" t="s">
        <v>3187</v>
      </c>
      <c r="B479" s="3">
        <v>43962</v>
      </c>
      <c r="C479" s="2" t="s">
        <v>3188</v>
      </c>
      <c r="D479" t="s">
        <v>6159</v>
      </c>
      <c r="E479" s="2">
        <v>6</v>
      </c>
      <c r="F479" s="2" t="str">
        <f>_xlfn.XLOOKUP(Orders[[#This Row],[Customer ID]],customers!$A$1:$A$1001,customers!$B$1:$B$1001,,0)</f>
        <v>Fanny Flanagan</v>
      </c>
      <c r="G479" s="2" t="str">
        <f>IF(_xlfn.XLOOKUP(C479,customers!$A$1:$A$1001,customers!C478:C1478,,0)=0,"",_xlfn.XLOOKUP(C479,customers!$A$1:$A$1001,customers!C478:C1478,,0))</f>
        <v>clampelqi@jimdo.com</v>
      </c>
      <c r="H479" s="2" t="str">
        <f>_xlfn.XLOOKUP(Orders[[#This Row],[Customer ID]],customers!$A$1:$A$1001,customers!$G$1:$G$1001,,0)</f>
        <v>United States</v>
      </c>
      <c r="I479" s="2" t="str">
        <f>_xlfn.XLOOKUP(Orders[[#This Row],[Customer ID]],customers!$A$1:$A$1001,customers!$F$1:$F$1001,,0)</f>
        <v>Tyler</v>
      </c>
      <c r="J479" t="str">
        <f>INDEX(products!$A$1:$G$49,MATCH(orders!$D479,products!$A$1:$A$49,0),MATCH(orders!J$1,products!$A$1:$G$1,0))</f>
        <v>Lib</v>
      </c>
      <c r="K479" t="str">
        <f>INDEX(products!$A$1:$G$49,MATCH(orders!$D479,products!$A$1:$A$49,0),MATCH(orders!K$1,products!$A$1:$G$1,0))</f>
        <v>M</v>
      </c>
      <c r="L479" s="4">
        <f>INDEX(products!$A$1:$G$49,MATCH(orders!$D479,products!$A$1:$A$49,0),MATCH(orders!L$1,products!$A$1:$G$1,0))</f>
        <v>0.2</v>
      </c>
      <c r="M479" s="5">
        <f>INDEX(products!$A$1:$G$49,MATCH(orders!$D479,products!$A$1:$A$49,0),MATCH(orders!M$1,products!$A$1:$G$1,0))</f>
        <v>4.3650000000000002</v>
      </c>
      <c r="N479" s="5">
        <f>Orders[[#This Row],[Quantity]]*(INDEX(products!$A$1:$G$49,MATCH(orders!$D479,products!$A$1:$A$49,0),MATCH(orders!N$1,products!$A$1:$G$1,0)))</f>
        <v>3.4047000000000001</v>
      </c>
      <c r="O479" s="5">
        <f>M479*E479</f>
        <v>26.19</v>
      </c>
      <c r="P479" t="str">
        <f t="shared" si="14"/>
        <v>Liberica</v>
      </c>
      <c r="Q479" t="str">
        <f t="shared" si="15"/>
        <v>Medium</v>
      </c>
      <c r="R479" t="str">
        <f>_xlfn.XLOOKUP(Orders[[#This Row],[Customer ID]],customers!$A$1:$A$1001,customers!$I$1:$I$1001,,0)</f>
        <v>No</v>
      </c>
    </row>
    <row r="480" spans="1:18" x14ac:dyDescent="0.35">
      <c r="A480" s="2" t="s">
        <v>3193</v>
      </c>
      <c r="B480" s="3">
        <v>43624</v>
      </c>
      <c r="C480" s="2" t="s">
        <v>3194</v>
      </c>
      <c r="D480" t="s">
        <v>6177</v>
      </c>
      <c r="E480" s="2">
        <v>6</v>
      </c>
      <c r="F480" s="2" t="str">
        <f>_xlfn.XLOOKUP(Orders[[#This Row],[Customer ID]],customers!$A$1:$A$1001,customers!$B$1:$B$1001,,0)</f>
        <v>Ailey Brash</v>
      </c>
      <c r="G480" s="2" t="str">
        <f>IF(_xlfn.XLOOKUP(C480,customers!$A$1:$A$1001,customers!C479:C1479,,0)=0,"",_xlfn.XLOOKUP(C480,customers!$A$1:$A$1001,customers!C479:C1479,,0))</f>
        <v>edearmanqk@redcross.org</v>
      </c>
      <c r="H480" s="2" t="str">
        <f>_xlfn.XLOOKUP(Orders[[#This Row],[Customer ID]],customers!$A$1:$A$1001,customers!$G$1:$G$1001,,0)</f>
        <v>United States</v>
      </c>
      <c r="I480" s="2" t="str">
        <f>_xlfn.XLOOKUP(Orders[[#This Row],[Customer ID]],customers!$A$1:$A$1001,customers!$F$1:$F$1001,,0)</f>
        <v>Flushing</v>
      </c>
      <c r="J480" t="str">
        <f>INDEX(products!$A$1:$G$49,MATCH(orders!$D480,products!$A$1:$A$49,0),MATCH(orders!J$1,products!$A$1:$G$1,0))</f>
        <v>Rob</v>
      </c>
      <c r="K480" t="str">
        <f>INDEX(products!$A$1:$G$49,MATCH(orders!$D480,products!$A$1:$A$49,0),MATCH(orders!K$1,products!$A$1:$G$1,0))</f>
        <v>D</v>
      </c>
      <c r="L480" s="4">
        <f>INDEX(products!$A$1:$G$49,MATCH(orders!$D480,products!$A$1:$A$49,0),MATCH(orders!L$1,products!$A$1:$G$1,0))</f>
        <v>1</v>
      </c>
      <c r="M480" s="5">
        <f>INDEX(products!$A$1:$G$49,MATCH(orders!$D480,products!$A$1:$A$49,0),MATCH(orders!M$1,products!$A$1:$G$1,0))</f>
        <v>8.9499999999999993</v>
      </c>
      <c r="N480" s="5">
        <f>Orders[[#This Row],[Quantity]]*(INDEX(products!$A$1:$G$49,MATCH(orders!$D480,products!$A$1:$A$49,0),MATCH(orders!N$1,products!$A$1:$G$1,0)))</f>
        <v>3.2219999999999995</v>
      </c>
      <c r="O480" s="5">
        <f>M480*E480</f>
        <v>53.699999999999996</v>
      </c>
      <c r="P480" t="str">
        <f t="shared" si="14"/>
        <v>Robusta</v>
      </c>
      <c r="Q480" t="str">
        <f t="shared" si="15"/>
        <v>Dark</v>
      </c>
      <c r="R480" t="str">
        <f>_xlfn.XLOOKUP(Orders[[#This Row],[Customer ID]],customers!$A$1:$A$1001,customers!$I$1:$I$1001,,0)</f>
        <v>Yes</v>
      </c>
    </row>
    <row r="481" spans="1:18" x14ac:dyDescent="0.35">
      <c r="A481" s="2" t="s">
        <v>3193</v>
      </c>
      <c r="B481" s="3">
        <v>43624</v>
      </c>
      <c r="C481" s="2" t="s">
        <v>3194</v>
      </c>
      <c r="D481" t="s">
        <v>6166</v>
      </c>
      <c r="E481" s="2">
        <v>4</v>
      </c>
      <c r="F481" s="2" t="str">
        <f>_xlfn.XLOOKUP(Orders[[#This Row],[Customer ID]],customers!$A$1:$A$1001,customers!$B$1:$B$1001,,0)</f>
        <v>Ailey Brash</v>
      </c>
      <c r="G481" s="2" t="str">
        <f>IF(_xlfn.XLOOKUP(C481,customers!$A$1:$A$1001,customers!C480:C1480,,0)=0,"",_xlfn.XLOOKUP(C481,customers!$A$1:$A$1001,customers!C480:C1480,,0))</f>
        <v>dlenardql@bizjournals.com</v>
      </c>
      <c r="H481" s="2" t="str">
        <f>_xlfn.XLOOKUP(Orders[[#This Row],[Customer ID]],customers!$A$1:$A$1001,customers!$G$1:$G$1001,,0)</f>
        <v>United States</v>
      </c>
      <c r="I481" s="2" t="str">
        <f>_xlfn.XLOOKUP(Orders[[#This Row],[Customer ID]],customers!$A$1:$A$1001,customers!$F$1:$F$1001,,0)</f>
        <v>Flushing</v>
      </c>
      <c r="J481" t="str">
        <f>INDEX(products!$A$1:$G$49,MATCH(orders!$D481,products!$A$1:$A$49,0),MATCH(orders!J$1,products!$A$1:$G$1,0))</f>
        <v>Exc</v>
      </c>
      <c r="K481" t="str">
        <f>INDEX(products!$A$1:$G$49,MATCH(orders!$D481,products!$A$1:$A$49,0),MATCH(orders!K$1,products!$A$1:$G$1,0))</f>
        <v>M</v>
      </c>
      <c r="L481" s="4">
        <f>INDEX(products!$A$1:$G$49,MATCH(orders!$D481,products!$A$1:$A$49,0),MATCH(orders!L$1,products!$A$1:$G$1,0))</f>
        <v>2.5</v>
      </c>
      <c r="M481" s="5">
        <f>INDEX(products!$A$1:$G$49,MATCH(orders!$D481,products!$A$1:$A$49,0),MATCH(orders!M$1,products!$A$1:$G$1,0))</f>
        <v>31.624999999999996</v>
      </c>
      <c r="N481" s="5">
        <f>Orders[[#This Row],[Quantity]]*(INDEX(products!$A$1:$G$49,MATCH(orders!$D481,products!$A$1:$A$49,0),MATCH(orders!N$1,products!$A$1:$G$1,0)))</f>
        <v>13.914999999999999</v>
      </c>
      <c r="O481" s="5">
        <f>M481*E481</f>
        <v>126.49999999999999</v>
      </c>
      <c r="P481" t="str">
        <f t="shared" si="14"/>
        <v>Excelsa</v>
      </c>
      <c r="Q481" t="str">
        <f t="shared" si="15"/>
        <v>Medium</v>
      </c>
      <c r="R481" t="str">
        <f>_xlfn.XLOOKUP(Orders[[#This Row],[Customer ID]],customers!$A$1:$A$1001,customers!$I$1:$I$1001,,0)</f>
        <v>Yes</v>
      </c>
    </row>
    <row r="482" spans="1:18" x14ac:dyDescent="0.35">
      <c r="A482" s="2" t="s">
        <v>3193</v>
      </c>
      <c r="B482" s="3">
        <v>43624</v>
      </c>
      <c r="C482" s="2" t="s">
        <v>3194</v>
      </c>
      <c r="D482" t="s">
        <v>6156</v>
      </c>
      <c r="E482" s="2">
        <v>1</v>
      </c>
      <c r="F482" s="2" t="str">
        <f>_xlfn.XLOOKUP(Orders[[#This Row],[Customer ID]],customers!$A$1:$A$1001,customers!$B$1:$B$1001,,0)</f>
        <v>Ailey Brash</v>
      </c>
      <c r="G482" s="2" t="str">
        <f>IF(_xlfn.XLOOKUP(C482,customers!$A$1:$A$1001,customers!C481:C1481,,0)=0,"",_xlfn.XLOOKUP(C482,customers!$A$1:$A$1001,customers!C481:C1481,,0))</f>
        <v>ltoffanoqm@tripadvisor.com</v>
      </c>
      <c r="H482" s="2" t="str">
        <f>_xlfn.XLOOKUP(Orders[[#This Row],[Customer ID]],customers!$A$1:$A$1001,customers!$G$1:$G$1001,,0)</f>
        <v>United States</v>
      </c>
      <c r="I482" s="2" t="str">
        <f>_xlfn.XLOOKUP(Orders[[#This Row],[Customer ID]],customers!$A$1:$A$1001,customers!$F$1:$F$1001,,0)</f>
        <v>Flushing</v>
      </c>
      <c r="J482" t="str">
        <f>INDEX(products!$A$1:$G$49,MATCH(orders!$D482,products!$A$1:$A$49,0),MATCH(orders!J$1,products!$A$1:$G$1,0))</f>
        <v>Exc</v>
      </c>
      <c r="K482" t="str">
        <f>INDEX(products!$A$1:$G$49,MATCH(orders!$D482,products!$A$1:$A$49,0),MATCH(orders!K$1,products!$A$1:$G$1,0))</f>
        <v>M</v>
      </c>
      <c r="L482" s="4">
        <f>INDEX(products!$A$1:$G$49,MATCH(orders!$D482,products!$A$1:$A$49,0),MATCH(orders!L$1,products!$A$1:$G$1,0))</f>
        <v>0.2</v>
      </c>
      <c r="M482" s="5">
        <f>INDEX(products!$A$1:$G$49,MATCH(orders!$D482,products!$A$1:$A$49,0),MATCH(orders!M$1,products!$A$1:$G$1,0))</f>
        <v>4.125</v>
      </c>
      <c r="N482" s="5">
        <f>Orders[[#This Row],[Quantity]]*(INDEX(products!$A$1:$G$49,MATCH(orders!$D482,products!$A$1:$A$49,0),MATCH(orders!N$1,products!$A$1:$G$1,0)))</f>
        <v>0.45374999999999999</v>
      </c>
      <c r="O482" s="5">
        <f>M482*E482</f>
        <v>4.125</v>
      </c>
      <c r="P482" t="str">
        <f t="shared" si="14"/>
        <v>Excelsa</v>
      </c>
      <c r="Q482" t="str">
        <f t="shared" si="15"/>
        <v>Medium</v>
      </c>
      <c r="R482" t="str">
        <f>_xlfn.XLOOKUP(Orders[[#This Row],[Customer ID]],customers!$A$1:$A$1001,customers!$I$1:$I$1001,,0)</f>
        <v>Yes</v>
      </c>
    </row>
    <row r="483" spans="1:18" x14ac:dyDescent="0.35">
      <c r="A483" s="2" t="s">
        <v>3208</v>
      </c>
      <c r="B483" s="3">
        <v>43747</v>
      </c>
      <c r="C483" s="2" t="s">
        <v>3209</v>
      </c>
      <c r="D483" t="s">
        <v>6179</v>
      </c>
      <c r="E483" s="2">
        <v>2</v>
      </c>
      <c r="F483" s="2" t="str">
        <f>_xlfn.XLOOKUP(Orders[[#This Row],[Customer ID]],customers!$A$1:$A$1001,customers!$B$1:$B$1001,,0)</f>
        <v>Nanny Izhakov</v>
      </c>
      <c r="G483" s="2" t="str">
        <f>IF(_xlfn.XLOOKUP(C483,customers!$A$1:$A$1001,customers!C482:C1482,,0)=0,"",_xlfn.XLOOKUP(C483,customers!$A$1:$A$1001,customers!C482:C1482,,0))</f>
        <v>mrocksqq@exblog.jp</v>
      </c>
      <c r="H483" s="2" t="str">
        <f>_xlfn.XLOOKUP(Orders[[#This Row],[Customer ID]],customers!$A$1:$A$1001,customers!$G$1:$G$1001,,0)</f>
        <v>United Kingdom</v>
      </c>
      <c r="I483" s="2" t="str">
        <f>_xlfn.XLOOKUP(Orders[[#This Row],[Customer ID]],customers!$A$1:$A$1001,customers!$F$1:$F$1001,,0)</f>
        <v>Seaton</v>
      </c>
      <c r="J483" t="str">
        <f>INDEX(products!$A$1:$G$49,MATCH(orders!$D483,products!$A$1:$A$49,0),MATCH(orders!J$1,products!$A$1:$G$1,0))</f>
        <v>Rob</v>
      </c>
      <c r="K483" t="str">
        <f>INDEX(products!$A$1:$G$49,MATCH(orders!$D483,products!$A$1:$A$49,0),MATCH(orders!K$1,products!$A$1:$G$1,0))</f>
        <v>L</v>
      </c>
      <c r="L483" s="4">
        <f>INDEX(products!$A$1:$G$49,MATCH(orders!$D483,products!$A$1:$A$49,0),MATCH(orders!L$1,products!$A$1:$G$1,0))</f>
        <v>1</v>
      </c>
      <c r="M483" s="5">
        <f>INDEX(products!$A$1:$G$49,MATCH(orders!$D483,products!$A$1:$A$49,0),MATCH(orders!M$1,products!$A$1:$G$1,0))</f>
        <v>11.95</v>
      </c>
      <c r="N483" s="5">
        <f>Orders[[#This Row],[Quantity]]*(INDEX(products!$A$1:$G$49,MATCH(orders!$D483,products!$A$1:$A$49,0),MATCH(orders!N$1,products!$A$1:$G$1,0)))</f>
        <v>1.4339999999999999</v>
      </c>
      <c r="O483" s="5">
        <f>M483*E483</f>
        <v>23.9</v>
      </c>
      <c r="P483" t="str">
        <f t="shared" si="14"/>
        <v>Robusta</v>
      </c>
      <c r="Q483" t="str">
        <f t="shared" si="15"/>
        <v>Light</v>
      </c>
      <c r="R483" t="str">
        <f>_xlfn.XLOOKUP(Orders[[#This Row],[Customer ID]],customers!$A$1:$A$1001,customers!$I$1:$I$1001,,0)</f>
        <v>No</v>
      </c>
    </row>
    <row r="484" spans="1:18" x14ac:dyDescent="0.35">
      <c r="A484" s="2" t="s">
        <v>3214</v>
      </c>
      <c r="B484" s="3">
        <v>44247</v>
      </c>
      <c r="C484" s="2" t="s">
        <v>3215</v>
      </c>
      <c r="D484" t="s">
        <v>6185</v>
      </c>
      <c r="E484" s="2">
        <v>5</v>
      </c>
      <c r="F484" s="2" t="str">
        <f>_xlfn.XLOOKUP(Orders[[#This Row],[Customer ID]],customers!$A$1:$A$1001,customers!$B$1:$B$1001,,0)</f>
        <v>Stanly Keets</v>
      </c>
      <c r="G484" s="2" t="str">
        <f>IF(_xlfn.XLOOKUP(C484,customers!$A$1:$A$1001,customers!C483:C1483,,0)=0,"",_xlfn.XLOOKUP(C484,customers!$A$1:$A$1001,customers!C483:C1483,,0))</f>
        <v>cgoodrumqs@goodreads.com</v>
      </c>
      <c r="H484" s="2" t="str">
        <f>_xlfn.XLOOKUP(Orders[[#This Row],[Customer ID]],customers!$A$1:$A$1001,customers!$G$1:$G$1001,,0)</f>
        <v>United States</v>
      </c>
      <c r="I484" s="2" t="str">
        <f>_xlfn.XLOOKUP(Orders[[#This Row],[Customer ID]],customers!$A$1:$A$1001,customers!$F$1:$F$1001,,0)</f>
        <v>Alexandria</v>
      </c>
      <c r="J484" t="str">
        <f>INDEX(products!$A$1:$G$49,MATCH(orders!$D484,products!$A$1:$A$49,0),MATCH(orders!J$1,products!$A$1:$G$1,0))</f>
        <v>Exc</v>
      </c>
      <c r="K484" t="str">
        <f>INDEX(products!$A$1:$G$49,MATCH(orders!$D484,products!$A$1:$A$49,0),MATCH(orders!K$1,products!$A$1:$G$1,0))</f>
        <v>D</v>
      </c>
      <c r="L484" s="4">
        <f>INDEX(products!$A$1:$G$49,MATCH(orders!$D484,products!$A$1:$A$49,0),MATCH(orders!L$1,products!$A$1:$G$1,0))</f>
        <v>2.5</v>
      </c>
      <c r="M484" s="5">
        <f>INDEX(products!$A$1:$G$49,MATCH(orders!$D484,products!$A$1:$A$49,0),MATCH(orders!M$1,products!$A$1:$G$1,0))</f>
        <v>27.945</v>
      </c>
      <c r="N484" s="5">
        <f>Orders[[#This Row],[Quantity]]*(INDEX(products!$A$1:$G$49,MATCH(orders!$D484,products!$A$1:$A$49,0),MATCH(orders!N$1,products!$A$1:$G$1,0)))</f>
        <v>15.36975</v>
      </c>
      <c r="O484" s="5">
        <f>M484*E484</f>
        <v>139.72499999999999</v>
      </c>
      <c r="P484" t="str">
        <f t="shared" si="14"/>
        <v>Excelsa</v>
      </c>
      <c r="Q484" t="str">
        <f t="shared" si="15"/>
        <v>Dark</v>
      </c>
      <c r="R484" t="str">
        <f>_xlfn.XLOOKUP(Orders[[#This Row],[Customer ID]],customers!$A$1:$A$1001,customers!$I$1:$I$1001,,0)</f>
        <v>Yes</v>
      </c>
    </row>
    <row r="485" spans="1:18" x14ac:dyDescent="0.35">
      <c r="A485" s="2" t="s">
        <v>3220</v>
      </c>
      <c r="B485" s="3">
        <v>43790</v>
      </c>
      <c r="C485" s="2" t="s">
        <v>3221</v>
      </c>
      <c r="D485" t="s">
        <v>6165</v>
      </c>
      <c r="E485" s="2">
        <v>2</v>
      </c>
      <c r="F485" s="2" t="str">
        <f>_xlfn.XLOOKUP(Orders[[#This Row],[Customer ID]],customers!$A$1:$A$1001,customers!$B$1:$B$1001,,0)</f>
        <v>Orion Dyott</v>
      </c>
      <c r="G485" s="2" t="str">
        <f>IF(_xlfn.XLOOKUP(C485,customers!$A$1:$A$1001,customers!C484:C1484,,0)=0,"",_xlfn.XLOOKUP(C485,customers!$A$1:$A$1001,customers!C484:C1484,,0))</f>
        <v>bwardellqu@adobe.com</v>
      </c>
      <c r="H485" s="2" t="str">
        <f>_xlfn.XLOOKUP(Orders[[#This Row],[Customer ID]],customers!$A$1:$A$1001,customers!$G$1:$G$1001,,0)</f>
        <v>United States</v>
      </c>
      <c r="I485" s="2" t="str">
        <f>_xlfn.XLOOKUP(Orders[[#This Row],[Customer ID]],customers!$A$1:$A$1001,customers!$F$1:$F$1001,,0)</f>
        <v>Salt Lake City</v>
      </c>
      <c r="J485" t="str">
        <f>INDEX(products!$A$1:$G$49,MATCH(orders!$D485,products!$A$1:$A$49,0),MATCH(orders!J$1,products!$A$1:$G$1,0))</f>
        <v>Lib</v>
      </c>
      <c r="K485" t="str">
        <f>INDEX(products!$A$1:$G$49,MATCH(orders!$D485,products!$A$1:$A$49,0),MATCH(orders!K$1,products!$A$1:$G$1,0))</f>
        <v>D</v>
      </c>
      <c r="L485" s="4">
        <f>INDEX(products!$A$1:$G$49,MATCH(orders!$D485,products!$A$1:$A$49,0),MATCH(orders!L$1,products!$A$1:$G$1,0))</f>
        <v>2.5</v>
      </c>
      <c r="M485" s="5">
        <f>INDEX(products!$A$1:$G$49,MATCH(orders!$D485,products!$A$1:$A$49,0),MATCH(orders!M$1,products!$A$1:$G$1,0))</f>
        <v>29.784999999999997</v>
      </c>
      <c r="N485" s="5">
        <f>Orders[[#This Row],[Quantity]]*(INDEX(products!$A$1:$G$49,MATCH(orders!$D485,products!$A$1:$A$49,0),MATCH(orders!N$1,products!$A$1:$G$1,0)))</f>
        <v>7.7440999999999995</v>
      </c>
      <c r="O485" s="5">
        <f>M485*E485</f>
        <v>59.569999999999993</v>
      </c>
      <c r="P485" t="str">
        <f t="shared" si="14"/>
        <v>Liberica</v>
      </c>
      <c r="Q485" t="str">
        <f t="shared" si="15"/>
        <v>Dark</v>
      </c>
      <c r="R485" t="str">
        <f>_xlfn.XLOOKUP(Orders[[#This Row],[Customer ID]],customers!$A$1:$A$1001,customers!$I$1:$I$1001,,0)</f>
        <v>Yes</v>
      </c>
    </row>
    <row r="486" spans="1:18" x14ac:dyDescent="0.35">
      <c r="A486" s="2" t="s">
        <v>3225</v>
      </c>
      <c r="B486" s="3">
        <v>44479</v>
      </c>
      <c r="C486" s="2" t="s">
        <v>3226</v>
      </c>
      <c r="D486" t="s">
        <v>6161</v>
      </c>
      <c r="E486" s="2">
        <v>6</v>
      </c>
      <c r="F486" s="2" t="str">
        <f>_xlfn.XLOOKUP(Orders[[#This Row],[Customer ID]],customers!$A$1:$A$1001,customers!$B$1:$B$1001,,0)</f>
        <v>Keefer Cake</v>
      </c>
      <c r="G486" s="2" t="str">
        <f>IF(_xlfn.XLOOKUP(C486,customers!$A$1:$A$1001,customers!C485:C1485,,0)=0,"",_xlfn.XLOOKUP(C486,customers!$A$1:$A$1001,customers!C485:C1485,,0))</f>
        <v>wleopoldqw@blogspot.com</v>
      </c>
      <c r="H486" s="2" t="str">
        <f>_xlfn.XLOOKUP(Orders[[#This Row],[Customer ID]],customers!$A$1:$A$1001,customers!$G$1:$G$1001,,0)</f>
        <v>United States</v>
      </c>
      <c r="I486" s="2" t="str">
        <f>_xlfn.XLOOKUP(Orders[[#This Row],[Customer ID]],customers!$A$1:$A$1001,customers!$F$1:$F$1001,,0)</f>
        <v>San Jose</v>
      </c>
      <c r="J486" t="str">
        <f>INDEX(products!$A$1:$G$49,MATCH(orders!$D486,products!$A$1:$A$49,0),MATCH(orders!J$1,products!$A$1:$G$1,0))</f>
        <v>Lib</v>
      </c>
      <c r="K486" t="str">
        <f>INDEX(products!$A$1:$G$49,MATCH(orders!$D486,products!$A$1:$A$49,0),MATCH(orders!K$1,products!$A$1:$G$1,0))</f>
        <v>L</v>
      </c>
      <c r="L486" s="4">
        <f>INDEX(products!$A$1:$G$49,MATCH(orders!$D486,products!$A$1:$A$49,0),MATCH(orders!L$1,products!$A$1:$G$1,0))</f>
        <v>0.5</v>
      </c>
      <c r="M486" s="5">
        <f>INDEX(products!$A$1:$G$49,MATCH(orders!$D486,products!$A$1:$A$49,0),MATCH(orders!M$1,products!$A$1:$G$1,0))</f>
        <v>9.51</v>
      </c>
      <c r="N486" s="5">
        <f>Orders[[#This Row],[Quantity]]*(INDEX(products!$A$1:$G$49,MATCH(orders!$D486,products!$A$1:$A$49,0),MATCH(orders!N$1,products!$A$1:$G$1,0)))</f>
        <v>7.4177999999999997</v>
      </c>
      <c r="O486" s="5">
        <f>M486*E486</f>
        <v>57.06</v>
      </c>
      <c r="P486" t="str">
        <f t="shared" si="14"/>
        <v>Liberica</v>
      </c>
      <c r="Q486" t="str">
        <f t="shared" si="15"/>
        <v>Light</v>
      </c>
      <c r="R486" t="str">
        <f>_xlfn.XLOOKUP(Orders[[#This Row],[Customer ID]],customers!$A$1:$A$1001,customers!$I$1:$I$1001,,0)</f>
        <v>No</v>
      </c>
    </row>
    <row r="487" spans="1:18" x14ac:dyDescent="0.35">
      <c r="A487" s="2" t="s">
        <v>3230</v>
      </c>
      <c r="B487" s="3">
        <v>44413</v>
      </c>
      <c r="C487" s="2" t="s">
        <v>3231</v>
      </c>
      <c r="D487" t="s">
        <v>6178</v>
      </c>
      <c r="E487" s="2">
        <v>6</v>
      </c>
      <c r="F487" s="2" t="str">
        <f>_xlfn.XLOOKUP(Orders[[#This Row],[Customer ID]],customers!$A$1:$A$1001,customers!$B$1:$B$1001,,0)</f>
        <v>Morna Hansed</v>
      </c>
      <c r="G487" s="2" t="str">
        <f>IF(_xlfn.XLOOKUP(C487,customers!$A$1:$A$1001,customers!C486:C1486,,0)=0,"",_xlfn.XLOOKUP(C487,customers!$A$1:$A$1001,customers!C486:C1486,,0))</f>
        <v/>
      </c>
      <c r="H487" s="2" t="str">
        <f>_xlfn.XLOOKUP(Orders[[#This Row],[Customer ID]],customers!$A$1:$A$1001,customers!$G$1:$G$1001,,0)</f>
        <v>Ireland</v>
      </c>
      <c r="I487" s="2" t="str">
        <f>_xlfn.XLOOKUP(Orders[[#This Row],[Customer ID]],customers!$A$1:$A$1001,customers!$F$1:$F$1001,,0)</f>
        <v>Tr谩 Mh贸r</v>
      </c>
      <c r="J487" t="str">
        <f>INDEX(products!$A$1:$G$49,MATCH(orders!$D487,products!$A$1:$A$49,0),MATCH(orders!J$1,products!$A$1:$G$1,0))</f>
        <v>Rob</v>
      </c>
      <c r="K487" t="str">
        <f>INDEX(products!$A$1:$G$49,MATCH(orders!$D487,products!$A$1:$A$49,0),MATCH(orders!K$1,products!$A$1:$G$1,0))</f>
        <v>L</v>
      </c>
      <c r="L487" s="4">
        <f>INDEX(products!$A$1:$G$49,MATCH(orders!$D487,products!$A$1:$A$49,0),MATCH(orders!L$1,products!$A$1:$G$1,0))</f>
        <v>0.2</v>
      </c>
      <c r="M487" s="5">
        <f>INDEX(products!$A$1:$G$49,MATCH(orders!$D487,products!$A$1:$A$49,0),MATCH(orders!M$1,products!$A$1:$G$1,0))</f>
        <v>3.5849999999999995</v>
      </c>
      <c r="N487" s="5">
        <f>Orders[[#This Row],[Quantity]]*(INDEX(products!$A$1:$G$49,MATCH(orders!$D487,products!$A$1:$A$49,0),MATCH(orders!N$1,products!$A$1:$G$1,0)))</f>
        <v>1.2905999999999997</v>
      </c>
      <c r="O487" s="5">
        <f>M487*E487</f>
        <v>21.509999999999998</v>
      </c>
      <c r="P487" t="str">
        <f t="shared" si="14"/>
        <v>Robusta</v>
      </c>
      <c r="Q487" t="str">
        <f t="shared" si="15"/>
        <v>Light</v>
      </c>
      <c r="R487" t="str">
        <f>_xlfn.XLOOKUP(Orders[[#This Row],[Customer ID]],customers!$A$1:$A$1001,customers!$I$1:$I$1001,,0)</f>
        <v>Yes</v>
      </c>
    </row>
    <row r="488" spans="1:18" x14ac:dyDescent="0.35">
      <c r="A488" s="2" t="s">
        <v>3236</v>
      </c>
      <c r="B488" s="3">
        <v>44043</v>
      </c>
      <c r="C488" s="2" t="s">
        <v>3237</v>
      </c>
      <c r="D488" t="s">
        <v>6160</v>
      </c>
      <c r="E488" s="2">
        <v>6</v>
      </c>
      <c r="F488" s="2" t="str">
        <f>_xlfn.XLOOKUP(Orders[[#This Row],[Customer ID]],customers!$A$1:$A$1001,customers!$B$1:$B$1001,,0)</f>
        <v>Franny Kienlein</v>
      </c>
      <c r="G488" s="2" t="str">
        <f>IF(_xlfn.XLOOKUP(C488,customers!$A$1:$A$1001,customers!C487:C1487,,0)=0,"",_xlfn.XLOOKUP(C488,customers!$A$1:$A$1001,customers!C487:C1487,,0))</f>
        <v/>
      </c>
      <c r="H488" s="2" t="str">
        <f>_xlfn.XLOOKUP(Orders[[#This Row],[Customer ID]],customers!$A$1:$A$1001,customers!$G$1:$G$1001,,0)</f>
        <v>Ireland</v>
      </c>
      <c r="I488" s="2" t="str">
        <f>_xlfn.XLOOKUP(Orders[[#This Row],[Customer ID]],customers!$A$1:$A$1001,customers!$F$1:$F$1001,,0)</f>
        <v>Coolock</v>
      </c>
      <c r="J488" t="str">
        <f>INDEX(products!$A$1:$G$49,MATCH(orders!$D488,products!$A$1:$A$49,0),MATCH(orders!J$1,products!$A$1:$G$1,0))</f>
        <v>Lib</v>
      </c>
      <c r="K488" t="str">
        <f>INDEX(products!$A$1:$G$49,MATCH(orders!$D488,products!$A$1:$A$49,0),MATCH(orders!K$1,products!$A$1:$G$1,0))</f>
        <v>M</v>
      </c>
      <c r="L488" s="4">
        <f>INDEX(products!$A$1:$G$49,MATCH(orders!$D488,products!$A$1:$A$49,0),MATCH(orders!L$1,products!$A$1:$G$1,0))</f>
        <v>0.5</v>
      </c>
      <c r="M488" s="5">
        <f>INDEX(products!$A$1:$G$49,MATCH(orders!$D488,products!$A$1:$A$49,0),MATCH(orders!M$1,products!$A$1:$G$1,0))</f>
        <v>8.73</v>
      </c>
      <c r="N488" s="5">
        <f>Orders[[#This Row],[Quantity]]*(INDEX(products!$A$1:$G$49,MATCH(orders!$D488,products!$A$1:$A$49,0),MATCH(orders!N$1,products!$A$1:$G$1,0)))</f>
        <v>6.8094000000000001</v>
      </c>
      <c r="O488" s="5">
        <f>M488*E488</f>
        <v>52.38</v>
      </c>
      <c r="P488" t="str">
        <f t="shared" si="14"/>
        <v>Liberica</v>
      </c>
      <c r="Q488" t="str">
        <f t="shared" si="15"/>
        <v>Medium</v>
      </c>
      <c r="R488" t="str">
        <f>_xlfn.XLOOKUP(Orders[[#This Row],[Customer ID]],customers!$A$1:$A$1001,customers!$I$1:$I$1001,,0)</f>
        <v>Yes</v>
      </c>
    </row>
    <row r="489" spans="1:18" x14ac:dyDescent="0.35">
      <c r="A489" s="2" t="s">
        <v>3242</v>
      </c>
      <c r="B489" s="3">
        <v>44093</v>
      </c>
      <c r="C489" s="2" t="s">
        <v>3243</v>
      </c>
      <c r="D489" t="s">
        <v>6183</v>
      </c>
      <c r="E489" s="2">
        <v>6</v>
      </c>
      <c r="F489" s="2" t="str">
        <f>_xlfn.XLOOKUP(Orders[[#This Row],[Customer ID]],customers!$A$1:$A$1001,customers!$B$1:$B$1001,,0)</f>
        <v>Klarika Egglestone</v>
      </c>
      <c r="G489" s="2" t="str">
        <f>IF(_xlfn.XLOOKUP(C489,customers!$A$1:$A$1001,customers!C488:C1488,,0)=0,"",_xlfn.XLOOKUP(C489,customers!$A$1:$A$1001,customers!C488:C1488,,0))</f>
        <v>sroseboroughr2@virginia.edu</v>
      </c>
      <c r="H489" s="2" t="str">
        <f>_xlfn.XLOOKUP(Orders[[#This Row],[Customer ID]],customers!$A$1:$A$1001,customers!$G$1:$G$1001,,0)</f>
        <v>Ireland</v>
      </c>
      <c r="I489" s="2" t="str">
        <f>_xlfn.XLOOKUP(Orders[[#This Row],[Customer ID]],customers!$A$1:$A$1001,customers!$F$1:$F$1001,,0)</f>
        <v>Coolock</v>
      </c>
      <c r="J489" t="str">
        <f>INDEX(products!$A$1:$G$49,MATCH(orders!$D489,products!$A$1:$A$49,0),MATCH(orders!J$1,products!$A$1:$G$1,0))</f>
        <v>Exc</v>
      </c>
      <c r="K489" t="str">
        <f>INDEX(products!$A$1:$G$49,MATCH(orders!$D489,products!$A$1:$A$49,0),MATCH(orders!K$1,products!$A$1:$G$1,0))</f>
        <v>D</v>
      </c>
      <c r="L489" s="4">
        <f>INDEX(products!$A$1:$G$49,MATCH(orders!$D489,products!$A$1:$A$49,0),MATCH(orders!L$1,products!$A$1:$G$1,0))</f>
        <v>1</v>
      </c>
      <c r="M489" s="5">
        <f>INDEX(products!$A$1:$G$49,MATCH(orders!$D489,products!$A$1:$A$49,0),MATCH(orders!M$1,products!$A$1:$G$1,0))</f>
        <v>12.15</v>
      </c>
      <c r="N489" s="5">
        <f>Orders[[#This Row],[Quantity]]*(INDEX(products!$A$1:$G$49,MATCH(orders!$D489,products!$A$1:$A$49,0),MATCH(orders!N$1,products!$A$1:$G$1,0)))</f>
        <v>8.0190000000000001</v>
      </c>
      <c r="O489" s="5">
        <f>M489*E489</f>
        <v>72.900000000000006</v>
      </c>
      <c r="P489" t="str">
        <f t="shared" si="14"/>
        <v>Excelsa</v>
      </c>
      <c r="Q489" t="str">
        <f t="shared" si="15"/>
        <v>Dark</v>
      </c>
      <c r="R489" t="str">
        <f>_xlfn.XLOOKUP(Orders[[#This Row],[Customer ID]],customers!$A$1:$A$1001,customers!$I$1:$I$1001,,0)</f>
        <v>No</v>
      </c>
    </row>
    <row r="490" spans="1:18" x14ac:dyDescent="0.35">
      <c r="A490" s="2" t="s">
        <v>3248</v>
      </c>
      <c r="B490" s="3">
        <v>43954</v>
      </c>
      <c r="C490" s="2" t="s">
        <v>3249</v>
      </c>
      <c r="D490" t="s">
        <v>6174</v>
      </c>
      <c r="E490" s="2">
        <v>5</v>
      </c>
      <c r="F490" s="2" t="str">
        <f>_xlfn.XLOOKUP(Orders[[#This Row],[Customer ID]],customers!$A$1:$A$1001,customers!$B$1:$B$1001,,0)</f>
        <v>Becky Semkins</v>
      </c>
      <c r="G490" s="2" t="str">
        <f>IF(_xlfn.XLOOKUP(C490,customers!$A$1:$A$1001,customers!C489:C1489,,0)=0,"",_xlfn.XLOOKUP(C490,customers!$A$1:$A$1001,customers!C489:C1489,,0))</f>
        <v>kcantor4@gmpg.org</v>
      </c>
      <c r="H490" s="2" t="str">
        <f>_xlfn.XLOOKUP(Orders[[#This Row],[Customer ID]],customers!$A$1:$A$1001,customers!$G$1:$G$1001,,0)</f>
        <v>Ireland</v>
      </c>
      <c r="I490" s="2" t="str">
        <f>_xlfn.XLOOKUP(Orders[[#This Row],[Customer ID]],customers!$A$1:$A$1001,customers!$F$1:$F$1001,,0)</f>
        <v>Kinnegad</v>
      </c>
      <c r="J490" t="str">
        <f>INDEX(products!$A$1:$G$49,MATCH(orders!$D490,products!$A$1:$A$49,0),MATCH(orders!J$1,products!$A$1:$G$1,0))</f>
        <v>Rob</v>
      </c>
      <c r="K490" t="str">
        <f>INDEX(products!$A$1:$G$49,MATCH(orders!$D490,products!$A$1:$A$49,0),MATCH(orders!K$1,products!$A$1:$G$1,0))</f>
        <v>M</v>
      </c>
      <c r="L490" s="4">
        <f>INDEX(products!$A$1:$G$49,MATCH(orders!$D490,products!$A$1:$A$49,0),MATCH(orders!L$1,products!$A$1:$G$1,0))</f>
        <v>0.2</v>
      </c>
      <c r="M490" s="5">
        <f>INDEX(products!$A$1:$G$49,MATCH(orders!$D490,products!$A$1:$A$49,0),MATCH(orders!M$1,products!$A$1:$G$1,0))</f>
        <v>2.9849999999999999</v>
      </c>
      <c r="N490" s="5">
        <f>Orders[[#This Row],[Quantity]]*(INDEX(products!$A$1:$G$49,MATCH(orders!$D490,products!$A$1:$A$49,0),MATCH(orders!N$1,products!$A$1:$G$1,0)))</f>
        <v>0.89549999999999996</v>
      </c>
      <c r="O490" s="5">
        <f>M490*E490</f>
        <v>14.924999999999999</v>
      </c>
      <c r="P490" t="str">
        <f t="shared" si="14"/>
        <v>Robusta</v>
      </c>
      <c r="Q490" t="str">
        <f t="shared" si="15"/>
        <v>Medium</v>
      </c>
      <c r="R490" t="str">
        <f>_xlfn.XLOOKUP(Orders[[#This Row],[Customer ID]],customers!$A$1:$A$1001,customers!$I$1:$I$1001,,0)</f>
        <v>Yes</v>
      </c>
    </row>
    <row r="491" spans="1:18" x14ac:dyDescent="0.35">
      <c r="A491" s="2" t="s">
        <v>3254</v>
      </c>
      <c r="B491" s="3">
        <v>43654</v>
      </c>
      <c r="C491" s="2" t="s">
        <v>3255</v>
      </c>
      <c r="D491" t="s">
        <v>6170</v>
      </c>
      <c r="E491" s="2">
        <v>6</v>
      </c>
      <c r="F491" s="2" t="str">
        <f>_xlfn.XLOOKUP(Orders[[#This Row],[Customer ID]],customers!$A$1:$A$1001,customers!$B$1:$B$1001,,0)</f>
        <v>Sean Lorenzetti</v>
      </c>
      <c r="G491" s="2" t="str">
        <f>IF(_xlfn.XLOOKUP(C491,customers!$A$1:$A$1001,customers!C490:C1490,,0)=0,"",_xlfn.XLOOKUP(C491,customers!$A$1:$A$1001,customers!C490:C1490,,0))</f>
        <v>dgooderridger6@lycos.com</v>
      </c>
      <c r="H491" s="2" t="str">
        <f>_xlfn.XLOOKUP(Orders[[#This Row],[Customer ID]],customers!$A$1:$A$1001,customers!$G$1:$G$1001,,0)</f>
        <v>United States</v>
      </c>
      <c r="I491" s="2" t="str">
        <f>_xlfn.XLOOKUP(Orders[[#This Row],[Customer ID]],customers!$A$1:$A$1001,customers!$F$1:$F$1001,,0)</f>
        <v>El Paso</v>
      </c>
      <c r="J491" t="str">
        <f>INDEX(products!$A$1:$G$49,MATCH(orders!$D491,products!$A$1:$A$49,0),MATCH(orders!J$1,products!$A$1:$G$1,0))</f>
        <v>Lib</v>
      </c>
      <c r="K491" t="str">
        <f>INDEX(products!$A$1:$G$49,MATCH(orders!$D491,products!$A$1:$A$49,0),MATCH(orders!K$1,products!$A$1:$G$1,0))</f>
        <v>L</v>
      </c>
      <c r="L491" s="4">
        <f>INDEX(products!$A$1:$G$49,MATCH(orders!$D491,products!$A$1:$A$49,0),MATCH(orders!L$1,products!$A$1:$G$1,0))</f>
        <v>1</v>
      </c>
      <c r="M491" s="5">
        <f>INDEX(products!$A$1:$G$49,MATCH(orders!$D491,products!$A$1:$A$49,0),MATCH(orders!M$1,products!$A$1:$G$1,0))</f>
        <v>15.85</v>
      </c>
      <c r="N491" s="5">
        <f>Orders[[#This Row],[Quantity]]*(INDEX(products!$A$1:$G$49,MATCH(orders!$D491,products!$A$1:$A$49,0),MATCH(orders!N$1,products!$A$1:$G$1,0)))</f>
        <v>12.363000000000001</v>
      </c>
      <c r="O491" s="5">
        <f>M491*E491</f>
        <v>95.1</v>
      </c>
      <c r="P491" t="str">
        <f t="shared" si="14"/>
        <v>Liberica</v>
      </c>
      <c r="Q491" t="str">
        <f t="shared" si="15"/>
        <v>Light</v>
      </c>
      <c r="R491" t="str">
        <f>_xlfn.XLOOKUP(Orders[[#This Row],[Customer ID]],customers!$A$1:$A$1001,customers!$I$1:$I$1001,,0)</f>
        <v>No</v>
      </c>
    </row>
    <row r="492" spans="1:18" x14ac:dyDescent="0.35">
      <c r="A492" s="2" t="s">
        <v>3260</v>
      </c>
      <c r="B492" s="3">
        <v>43764</v>
      </c>
      <c r="C492" s="2" t="s">
        <v>3261</v>
      </c>
      <c r="D492" t="s">
        <v>6169</v>
      </c>
      <c r="E492" s="2">
        <v>2</v>
      </c>
      <c r="F492" s="2" t="str">
        <f>_xlfn.XLOOKUP(Orders[[#This Row],[Customer ID]],customers!$A$1:$A$1001,customers!$B$1:$B$1001,,0)</f>
        <v>Bob Giannazzi</v>
      </c>
      <c r="G492" s="2" t="str">
        <f>IF(_xlfn.XLOOKUP(C492,customers!$A$1:$A$1001,customers!C491:C1491,,0)=0,"",_xlfn.XLOOKUP(C492,customers!$A$1:$A$1001,customers!C491:C1491,,0))</f>
        <v/>
      </c>
      <c r="H492" s="2" t="str">
        <f>_xlfn.XLOOKUP(Orders[[#This Row],[Customer ID]],customers!$A$1:$A$1001,customers!$G$1:$G$1001,,0)</f>
        <v>United States</v>
      </c>
      <c r="I492" s="2" t="str">
        <f>_xlfn.XLOOKUP(Orders[[#This Row],[Customer ID]],customers!$A$1:$A$1001,customers!$F$1:$F$1001,,0)</f>
        <v>Fort Lauderdale</v>
      </c>
      <c r="J492" t="str">
        <f>INDEX(products!$A$1:$G$49,MATCH(orders!$D492,products!$A$1:$A$49,0),MATCH(orders!J$1,products!$A$1:$G$1,0))</f>
        <v>Lib</v>
      </c>
      <c r="K492" t="str">
        <f>INDEX(products!$A$1:$G$49,MATCH(orders!$D492,products!$A$1:$A$49,0),MATCH(orders!K$1,products!$A$1:$G$1,0))</f>
        <v>D</v>
      </c>
      <c r="L492" s="4">
        <f>INDEX(products!$A$1:$G$49,MATCH(orders!$D492,products!$A$1:$A$49,0),MATCH(orders!L$1,products!$A$1:$G$1,0))</f>
        <v>0.5</v>
      </c>
      <c r="M492" s="5">
        <f>INDEX(products!$A$1:$G$49,MATCH(orders!$D492,products!$A$1:$A$49,0),MATCH(orders!M$1,products!$A$1:$G$1,0))</f>
        <v>7.77</v>
      </c>
      <c r="N492" s="5">
        <f>Orders[[#This Row],[Quantity]]*(INDEX(products!$A$1:$G$49,MATCH(orders!$D492,products!$A$1:$A$49,0),MATCH(orders!N$1,products!$A$1:$G$1,0)))</f>
        <v>2.0202</v>
      </c>
      <c r="O492" s="5">
        <f>M492*E492</f>
        <v>15.54</v>
      </c>
      <c r="P492" t="str">
        <f t="shared" si="14"/>
        <v>Liberica</v>
      </c>
      <c r="Q492" t="str">
        <f t="shared" si="15"/>
        <v>Dark</v>
      </c>
      <c r="R492" t="str">
        <f>_xlfn.XLOOKUP(Orders[[#This Row],[Customer ID]],customers!$A$1:$A$1001,customers!$I$1:$I$1001,,0)</f>
        <v>No</v>
      </c>
    </row>
    <row r="493" spans="1:18" x14ac:dyDescent="0.35">
      <c r="A493" s="2" t="s">
        <v>3266</v>
      </c>
      <c r="B493" s="3">
        <v>44101</v>
      </c>
      <c r="C493" s="2" t="s">
        <v>3267</v>
      </c>
      <c r="D493" t="s">
        <v>6150</v>
      </c>
      <c r="E493" s="2">
        <v>6</v>
      </c>
      <c r="F493" s="2" t="str">
        <f>_xlfn.XLOOKUP(Orders[[#This Row],[Customer ID]],customers!$A$1:$A$1001,customers!$B$1:$B$1001,,0)</f>
        <v>Kendra Backshell</v>
      </c>
      <c r="G493" s="2" t="str">
        <f>IF(_xlfn.XLOOKUP(C493,customers!$A$1:$A$1001,customers!C492:C1492,,0)=0,"",_xlfn.XLOOKUP(C493,customers!$A$1:$A$1001,customers!C492:C1492,,0))</f>
        <v>kkemeryra@t.co</v>
      </c>
      <c r="H493" s="2" t="str">
        <f>_xlfn.XLOOKUP(Orders[[#This Row],[Customer ID]],customers!$A$1:$A$1001,customers!$G$1:$G$1001,,0)</f>
        <v>United States</v>
      </c>
      <c r="I493" s="2" t="str">
        <f>_xlfn.XLOOKUP(Orders[[#This Row],[Customer ID]],customers!$A$1:$A$1001,customers!$F$1:$F$1001,,0)</f>
        <v>Indianapolis</v>
      </c>
      <c r="J493" t="str">
        <f>INDEX(products!$A$1:$G$49,MATCH(orders!$D493,products!$A$1:$A$49,0),MATCH(orders!J$1,products!$A$1:$G$1,0))</f>
        <v>Lib</v>
      </c>
      <c r="K493" t="str">
        <f>INDEX(products!$A$1:$G$49,MATCH(orders!$D493,products!$A$1:$A$49,0),MATCH(orders!K$1,products!$A$1:$G$1,0))</f>
        <v>D</v>
      </c>
      <c r="L493" s="4">
        <f>INDEX(products!$A$1:$G$49,MATCH(orders!$D493,products!$A$1:$A$49,0),MATCH(orders!L$1,products!$A$1:$G$1,0))</f>
        <v>0.2</v>
      </c>
      <c r="M493" s="5">
        <f>INDEX(products!$A$1:$G$49,MATCH(orders!$D493,products!$A$1:$A$49,0),MATCH(orders!M$1,products!$A$1:$G$1,0))</f>
        <v>3.8849999999999998</v>
      </c>
      <c r="N493" s="5">
        <f>Orders[[#This Row],[Quantity]]*(INDEX(products!$A$1:$G$49,MATCH(orders!$D493,products!$A$1:$A$49,0),MATCH(orders!N$1,products!$A$1:$G$1,0)))</f>
        <v>3.0303</v>
      </c>
      <c r="O493" s="5">
        <f>M493*E493</f>
        <v>23.31</v>
      </c>
      <c r="P493" t="str">
        <f t="shared" si="14"/>
        <v>Liberica</v>
      </c>
      <c r="Q493" t="str">
        <f t="shared" si="15"/>
        <v>Dark</v>
      </c>
      <c r="R493" t="str">
        <f>_xlfn.XLOOKUP(Orders[[#This Row],[Customer ID]],customers!$A$1:$A$1001,customers!$I$1:$I$1001,,0)</f>
        <v>No</v>
      </c>
    </row>
    <row r="494" spans="1:18" x14ac:dyDescent="0.35">
      <c r="A494" s="2" t="s">
        <v>3271</v>
      </c>
      <c r="B494" s="3">
        <v>44620</v>
      </c>
      <c r="C494" s="2" t="s">
        <v>3272</v>
      </c>
      <c r="D494" t="s">
        <v>6156</v>
      </c>
      <c r="E494" s="2">
        <v>1</v>
      </c>
      <c r="F494" s="2" t="str">
        <f>_xlfn.XLOOKUP(Orders[[#This Row],[Customer ID]],customers!$A$1:$A$1001,customers!$B$1:$B$1001,,0)</f>
        <v>Uriah Lethbrig</v>
      </c>
      <c r="G494" s="2" t="str">
        <f>IF(_xlfn.XLOOKUP(C494,customers!$A$1:$A$1001,customers!C493:C1493,,0)=0,"",_xlfn.XLOOKUP(C494,customers!$A$1:$A$1001,customers!C493:C1493,,0))</f>
        <v>rcheakrc@tripadvisor.com</v>
      </c>
      <c r="H494" s="2" t="str">
        <f>_xlfn.XLOOKUP(Orders[[#This Row],[Customer ID]],customers!$A$1:$A$1001,customers!$G$1:$G$1001,,0)</f>
        <v>United States</v>
      </c>
      <c r="I494" s="2" t="str">
        <f>_xlfn.XLOOKUP(Orders[[#This Row],[Customer ID]],customers!$A$1:$A$1001,customers!$F$1:$F$1001,,0)</f>
        <v>Milwaukee</v>
      </c>
      <c r="J494" t="str">
        <f>INDEX(products!$A$1:$G$49,MATCH(orders!$D494,products!$A$1:$A$49,0),MATCH(orders!J$1,products!$A$1:$G$1,0))</f>
        <v>Exc</v>
      </c>
      <c r="K494" t="str">
        <f>INDEX(products!$A$1:$G$49,MATCH(orders!$D494,products!$A$1:$A$49,0),MATCH(orders!K$1,products!$A$1:$G$1,0))</f>
        <v>M</v>
      </c>
      <c r="L494" s="4">
        <f>INDEX(products!$A$1:$G$49,MATCH(orders!$D494,products!$A$1:$A$49,0),MATCH(orders!L$1,products!$A$1:$G$1,0))</f>
        <v>0.2</v>
      </c>
      <c r="M494" s="5">
        <f>INDEX(products!$A$1:$G$49,MATCH(orders!$D494,products!$A$1:$A$49,0),MATCH(orders!M$1,products!$A$1:$G$1,0))</f>
        <v>4.125</v>
      </c>
      <c r="N494" s="5">
        <f>Orders[[#This Row],[Quantity]]*(INDEX(products!$A$1:$G$49,MATCH(orders!$D494,products!$A$1:$A$49,0),MATCH(orders!N$1,products!$A$1:$G$1,0)))</f>
        <v>0.45374999999999999</v>
      </c>
      <c r="O494" s="5">
        <f>M494*E494</f>
        <v>4.125</v>
      </c>
      <c r="P494" t="str">
        <f t="shared" si="14"/>
        <v>Excelsa</v>
      </c>
      <c r="Q494" t="str">
        <f t="shared" si="15"/>
        <v>Medium</v>
      </c>
      <c r="R494" t="str">
        <f>_xlfn.XLOOKUP(Orders[[#This Row],[Customer ID]],customers!$A$1:$A$1001,customers!$I$1:$I$1001,,0)</f>
        <v>Yes</v>
      </c>
    </row>
    <row r="495" spans="1:18" x14ac:dyDescent="0.35">
      <c r="A495" s="2" t="s">
        <v>3277</v>
      </c>
      <c r="B495" s="3">
        <v>44090</v>
      </c>
      <c r="C495" s="2" t="s">
        <v>3278</v>
      </c>
      <c r="D495" t="s">
        <v>6146</v>
      </c>
      <c r="E495" s="2">
        <v>6</v>
      </c>
      <c r="F495" s="2" t="str">
        <f>_xlfn.XLOOKUP(Orders[[#This Row],[Customer ID]],customers!$A$1:$A$1001,customers!$B$1:$B$1001,,0)</f>
        <v>Sky Farnish</v>
      </c>
      <c r="G495" s="2" t="str">
        <f>IF(_xlfn.XLOOKUP(C495,customers!$A$1:$A$1001,customers!C494:C1494,,0)=0,"",_xlfn.XLOOKUP(C495,customers!$A$1:$A$1001,customers!C494:C1494,,0))</f>
        <v>cayrere@symantec.com</v>
      </c>
      <c r="H495" s="2" t="str">
        <f>_xlfn.XLOOKUP(Orders[[#This Row],[Customer ID]],customers!$A$1:$A$1001,customers!$G$1:$G$1001,,0)</f>
        <v>United Kingdom</v>
      </c>
      <c r="I495" s="2" t="str">
        <f>_xlfn.XLOOKUP(Orders[[#This Row],[Customer ID]],customers!$A$1:$A$1001,customers!$F$1:$F$1001,,0)</f>
        <v>Eaton</v>
      </c>
      <c r="J495" t="str">
        <f>INDEX(products!$A$1:$G$49,MATCH(orders!$D495,products!$A$1:$A$49,0),MATCH(orders!J$1,products!$A$1:$G$1,0))</f>
        <v>Rob</v>
      </c>
      <c r="K495" t="str">
        <f>INDEX(products!$A$1:$G$49,MATCH(orders!$D495,products!$A$1:$A$49,0),MATCH(orders!K$1,products!$A$1:$G$1,0))</f>
        <v>M</v>
      </c>
      <c r="L495" s="4">
        <f>INDEX(products!$A$1:$G$49,MATCH(orders!$D495,products!$A$1:$A$49,0),MATCH(orders!L$1,products!$A$1:$G$1,0))</f>
        <v>0.5</v>
      </c>
      <c r="M495" s="5">
        <f>INDEX(products!$A$1:$G$49,MATCH(orders!$D495,products!$A$1:$A$49,0),MATCH(orders!M$1,products!$A$1:$G$1,0))</f>
        <v>5.97</v>
      </c>
      <c r="N495" s="5">
        <f>Orders[[#This Row],[Quantity]]*(INDEX(products!$A$1:$G$49,MATCH(orders!$D495,products!$A$1:$A$49,0),MATCH(orders!N$1,products!$A$1:$G$1,0)))</f>
        <v>2.1491999999999996</v>
      </c>
      <c r="O495" s="5">
        <f>M495*E495</f>
        <v>35.82</v>
      </c>
      <c r="P495" t="str">
        <f t="shared" si="14"/>
        <v>Robusta</v>
      </c>
      <c r="Q495" t="str">
        <f t="shared" si="15"/>
        <v>Medium</v>
      </c>
      <c r="R495" t="str">
        <f>_xlfn.XLOOKUP(Orders[[#This Row],[Customer ID]],customers!$A$1:$A$1001,customers!$I$1:$I$1001,,0)</f>
        <v>No</v>
      </c>
    </row>
    <row r="496" spans="1:18" x14ac:dyDescent="0.35">
      <c r="A496" s="2" t="s">
        <v>3283</v>
      </c>
      <c r="B496" s="3">
        <v>44132</v>
      </c>
      <c r="C496" s="2" t="s">
        <v>3284</v>
      </c>
      <c r="D496" t="s">
        <v>6170</v>
      </c>
      <c r="E496" s="2">
        <v>2</v>
      </c>
      <c r="F496" s="2" t="str">
        <f>_xlfn.XLOOKUP(Orders[[#This Row],[Customer ID]],customers!$A$1:$A$1001,customers!$B$1:$B$1001,,0)</f>
        <v>Felicia Jecock</v>
      </c>
      <c r="G496" s="2" t="str">
        <f>IF(_xlfn.XLOOKUP(C496,customers!$A$1:$A$1001,customers!C495:C1495,,0)=0,"",_xlfn.XLOOKUP(C496,customers!$A$1:$A$1001,customers!C495:C1495,,0))</f>
        <v/>
      </c>
      <c r="H496" s="2" t="str">
        <f>_xlfn.XLOOKUP(Orders[[#This Row],[Customer ID]],customers!$A$1:$A$1001,customers!$G$1:$G$1001,,0)</f>
        <v>United States</v>
      </c>
      <c r="I496" s="2" t="str">
        <f>_xlfn.XLOOKUP(Orders[[#This Row],[Customer ID]],customers!$A$1:$A$1001,customers!$F$1:$F$1001,,0)</f>
        <v>Baton Rouge</v>
      </c>
      <c r="J496" t="str">
        <f>INDEX(products!$A$1:$G$49,MATCH(orders!$D496,products!$A$1:$A$49,0),MATCH(orders!J$1,products!$A$1:$G$1,0))</f>
        <v>Lib</v>
      </c>
      <c r="K496" t="str">
        <f>INDEX(products!$A$1:$G$49,MATCH(orders!$D496,products!$A$1:$A$49,0),MATCH(orders!K$1,products!$A$1:$G$1,0))</f>
        <v>L</v>
      </c>
      <c r="L496" s="4">
        <f>INDEX(products!$A$1:$G$49,MATCH(orders!$D496,products!$A$1:$A$49,0),MATCH(orders!L$1,products!$A$1:$G$1,0))</f>
        <v>1</v>
      </c>
      <c r="M496" s="5">
        <f>INDEX(products!$A$1:$G$49,MATCH(orders!$D496,products!$A$1:$A$49,0),MATCH(orders!M$1,products!$A$1:$G$1,0))</f>
        <v>15.85</v>
      </c>
      <c r="N496" s="5">
        <f>Orders[[#This Row],[Quantity]]*(INDEX(products!$A$1:$G$49,MATCH(orders!$D496,products!$A$1:$A$49,0),MATCH(orders!N$1,products!$A$1:$G$1,0)))</f>
        <v>4.1210000000000004</v>
      </c>
      <c r="O496" s="5">
        <f>M496*E496</f>
        <v>31.7</v>
      </c>
      <c r="P496" t="str">
        <f t="shared" si="14"/>
        <v>Liberica</v>
      </c>
      <c r="Q496" t="str">
        <f t="shared" si="15"/>
        <v>Light</v>
      </c>
      <c r="R496" t="str">
        <f>_xlfn.XLOOKUP(Orders[[#This Row],[Customer ID]],customers!$A$1:$A$1001,customers!$I$1:$I$1001,,0)</f>
        <v>No</v>
      </c>
    </row>
    <row r="497" spans="1:18" x14ac:dyDescent="0.35">
      <c r="A497" s="2" t="s">
        <v>3289</v>
      </c>
      <c r="B497" s="3">
        <v>43710</v>
      </c>
      <c r="C497" s="2" t="s">
        <v>3290</v>
      </c>
      <c r="D497" t="s">
        <v>6170</v>
      </c>
      <c r="E497" s="2">
        <v>5</v>
      </c>
      <c r="F497" s="2" t="str">
        <f>_xlfn.XLOOKUP(Orders[[#This Row],[Customer ID]],customers!$A$1:$A$1001,customers!$B$1:$B$1001,,0)</f>
        <v>Currey MacAllister</v>
      </c>
      <c r="G497" s="2" t="str">
        <f>IF(_xlfn.XLOOKUP(C497,customers!$A$1:$A$1001,customers!C496:C1496,,0)=0,"",_xlfn.XLOOKUP(C497,customers!$A$1:$A$1001,customers!C496:C1496,,0))</f>
        <v>dscrigmourri@cnbc.com</v>
      </c>
      <c r="H497" s="2" t="str">
        <f>_xlfn.XLOOKUP(Orders[[#This Row],[Customer ID]],customers!$A$1:$A$1001,customers!$G$1:$G$1001,,0)</f>
        <v>United States</v>
      </c>
      <c r="I497" s="2" t="str">
        <f>_xlfn.XLOOKUP(Orders[[#This Row],[Customer ID]],customers!$A$1:$A$1001,customers!$F$1:$F$1001,,0)</f>
        <v>Danbury</v>
      </c>
      <c r="J497" t="str">
        <f>INDEX(products!$A$1:$G$49,MATCH(orders!$D497,products!$A$1:$A$49,0),MATCH(orders!J$1,products!$A$1:$G$1,0))</f>
        <v>Lib</v>
      </c>
      <c r="K497" t="str">
        <f>INDEX(products!$A$1:$G$49,MATCH(orders!$D497,products!$A$1:$A$49,0),MATCH(orders!K$1,products!$A$1:$G$1,0))</f>
        <v>L</v>
      </c>
      <c r="L497" s="4">
        <f>INDEX(products!$A$1:$G$49,MATCH(orders!$D497,products!$A$1:$A$49,0),MATCH(orders!L$1,products!$A$1:$G$1,0))</f>
        <v>1</v>
      </c>
      <c r="M497" s="5">
        <f>INDEX(products!$A$1:$G$49,MATCH(orders!$D497,products!$A$1:$A$49,0),MATCH(orders!M$1,products!$A$1:$G$1,0))</f>
        <v>15.85</v>
      </c>
      <c r="N497" s="5">
        <f>Orders[[#This Row],[Quantity]]*(INDEX(products!$A$1:$G$49,MATCH(orders!$D497,products!$A$1:$A$49,0),MATCH(orders!N$1,products!$A$1:$G$1,0)))</f>
        <v>10.302500000000002</v>
      </c>
      <c r="O497" s="5">
        <f>M497*E497</f>
        <v>79.25</v>
      </c>
      <c r="P497" t="str">
        <f t="shared" si="14"/>
        <v>Liberica</v>
      </c>
      <c r="Q497" t="str">
        <f t="shared" si="15"/>
        <v>Light</v>
      </c>
      <c r="R497" t="str">
        <f>_xlfn.XLOOKUP(Orders[[#This Row],[Customer ID]],customers!$A$1:$A$1001,customers!$I$1:$I$1001,,0)</f>
        <v>Yes</v>
      </c>
    </row>
    <row r="498" spans="1:18" x14ac:dyDescent="0.35">
      <c r="A498" s="2" t="s">
        <v>3294</v>
      </c>
      <c r="B498" s="3">
        <v>44438</v>
      </c>
      <c r="C498" s="2" t="s">
        <v>3295</v>
      </c>
      <c r="D498" t="s">
        <v>6153</v>
      </c>
      <c r="E498" s="2">
        <v>3</v>
      </c>
      <c r="F498" s="2" t="str">
        <f>_xlfn.XLOOKUP(Orders[[#This Row],[Customer ID]],customers!$A$1:$A$1001,customers!$B$1:$B$1001,,0)</f>
        <v>Hamlen Pallister</v>
      </c>
      <c r="G498" s="2" t="str">
        <f>IF(_xlfn.XLOOKUP(C498,customers!$A$1:$A$1001,customers!C497:C1497,,0)=0,"",_xlfn.XLOOKUP(C498,customers!$A$1:$A$1001,customers!C497:C1497,,0))</f>
        <v/>
      </c>
      <c r="H498" s="2" t="str">
        <f>_xlfn.XLOOKUP(Orders[[#This Row],[Customer ID]],customers!$A$1:$A$1001,customers!$G$1:$G$1001,,0)</f>
        <v>United States</v>
      </c>
      <c r="I498" s="2" t="str">
        <f>_xlfn.XLOOKUP(Orders[[#This Row],[Customer ID]],customers!$A$1:$A$1001,customers!$F$1:$F$1001,,0)</f>
        <v>Pensacola</v>
      </c>
      <c r="J498" t="str">
        <f>INDEX(products!$A$1:$G$49,MATCH(orders!$D498,products!$A$1:$A$49,0),MATCH(orders!J$1,products!$A$1:$G$1,0))</f>
        <v>Exc</v>
      </c>
      <c r="K498" t="str">
        <f>INDEX(products!$A$1:$G$49,MATCH(orders!$D498,products!$A$1:$A$49,0),MATCH(orders!K$1,products!$A$1:$G$1,0))</f>
        <v>D</v>
      </c>
      <c r="L498" s="4">
        <f>INDEX(products!$A$1:$G$49,MATCH(orders!$D498,products!$A$1:$A$49,0),MATCH(orders!L$1,products!$A$1:$G$1,0))</f>
        <v>0.2</v>
      </c>
      <c r="M498" s="5">
        <f>INDEX(products!$A$1:$G$49,MATCH(orders!$D498,products!$A$1:$A$49,0),MATCH(orders!M$1,products!$A$1:$G$1,0))</f>
        <v>3.645</v>
      </c>
      <c r="N498" s="5">
        <f>Orders[[#This Row],[Quantity]]*(INDEX(products!$A$1:$G$49,MATCH(orders!$D498,products!$A$1:$A$49,0),MATCH(orders!N$1,products!$A$1:$G$1,0)))</f>
        <v>1.2028500000000002</v>
      </c>
      <c r="O498" s="5">
        <f>M498*E498</f>
        <v>10.935</v>
      </c>
      <c r="P498" t="str">
        <f t="shared" si="14"/>
        <v>Excelsa</v>
      </c>
      <c r="Q498" t="str">
        <f t="shared" si="15"/>
        <v>Dark</v>
      </c>
      <c r="R498" t="str">
        <f>_xlfn.XLOOKUP(Orders[[#This Row],[Customer ID]],customers!$A$1:$A$1001,customers!$I$1:$I$1001,,0)</f>
        <v>No</v>
      </c>
    </row>
    <row r="499" spans="1:18" x14ac:dyDescent="0.35">
      <c r="A499" s="2" t="s">
        <v>3300</v>
      </c>
      <c r="B499" s="3">
        <v>44351</v>
      </c>
      <c r="C499" s="2" t="s">
        <v>3301</v>
      </c>
      <c r="D499" t="s">
        <v>6147</v>
      </c>
      <c r="E499" s="2">
        <v>4</v>
      </c>
      <c r="F499" s="2" t="str">
        <f>_xlfn.XLOOKUP(Orders[[#This Row],[Customer ID]],customers!$A$1:$A$1001,customers!$B$1:$B$1001,,0)</f>
        <v>Chantal Mersh</v>
      </c>
      <c r="G499" s="2" t="str">
        <f>IF(_xlfn.XLOOKUP(C499,customers!$A$1:$A$1001,customers!C498:C1498,,0)=0,"",_xlfn.XLOOKUP(C499,customers!$A$1:$A$1001,customers!C498:C1498,,0))</f>
        <v/>
      </c>
      <c r="H499" s="2" t="str">
        <f>_xlfn.XLOOKUP(Orders[[#This Row],[Customer ID]],customers!$A$1:$A$1001,customers!$G$1:$G$1001,,0)</f>
        <v>Ireland</v>
      </c>
      <c r="I499" s="2" t="str">
        <f>_xlfn.XLOOKUP(Orders[[#This Row],[Customer ID]],customers!$A$1:$A$1001,customers!$F$1:$F$1001,,0)</f>
        <v>Milltown</v>
      </c>
      <c r="J499" t="str">
        <f>INDEX(products!$A$1:$G$49,MATCH(orders!$D499,products!$A$1:$A$49,0),MATCH(orders!J$1,products!$A$1:$G$1,0))</f>
        <v>Ara</v>
      </c>
      <c r="K499" t="str">
        <f>INDEX(products!$A$1:$G$49,MATCH(orders!$D499,products!$A$1:$A$49,0),MATCH(orders!K$1,products!$A$1:$G$1,0))</f>
        <v>D</v>
      </c>
      <c r="L499" s="4">
        <f>INDEX(products!$A$1:$G$49,MATCH(orders!$D499,products!$A$1:$A$49,0),MATCH(orders!L$1,products!$A$1:$G$1,0))</f>
        <v>1</v>
      </c>
      <c r="M499" s="5">
        <f>INDEX(products!$A$1:$G$49,MATCH(orders!$D499,products!$A$1:$A$49,0),MATCH(orders!M$1,products!$A$1:$G$1,0))</f>
        <v>9.9499999999999993</v>
      </c>
      <c r="N499" s="5">
        <f>Orders[[#This Row],[Quantity]]*(INDEX(products!$A$1:$G$49,MATCH(orders!$D499,products!$A$1:$A$49,0),MATCH(orders!N$1,products!$A$1:$G$1,0)))</f>
        <v>3.5819999999999994</v>
      </c>
      <c r="O499" s="5">
        <f>M499*E499</f>
        <v>39.799999999999997</v>
      </c>
      <c r="P499" t="str">
        <f t="shared" si="14"/>
        <v>Arabica</v>
      </c>
      <c r="Q499" t="str">
        <f t="shared" si="15"/>
        <v>Dark</v>
      </c>
      <c r="R499" t="str">
        <f>_xlfn.XLOOKUP(Orders[[#This Row],[Customer ID]],customers!$A$1:$A$1001,customers!$I$1:$I$1001,,0)</f>
        <v>No</v>
      </c>
    </row>
    <row r="500" spans="1:18" x14ac:dyDescent="0.35">
      <c r="A500" s="2" t="s">
        <v>3307</v>
      </c>
      <c r="B500" s="3">
        <v>44159</v>
      </c>
      <c r="C500" s="2" t="s">
        <v>3368</v>
      </c>
      <c r="D500" t="s">
        <v>6138</v>
      </c>
      <c r="E500" s="2">
        <v>5</v>
      </c>
      <c r="F500" s="2" t="str">
        <f>_xlfn.XLOOKUP(Orders[[#This Row],[Customer ID]],customers!$A$1:$A$1001,customers!$B$1:$B$1001,,0)</f>
        <v>Marja Urion</v>
      </c>
      <c r="G500" s="2" t="str">
        <f>IF(_xlfn.XLOOKUP(C500,customers!$A$1:$A$1001,customers!C499:C1499,,0)=0,"",_xlfn.XLOOKUP(C500,customers!$A$1:$A$1001,customers!C499:C1499,,0))</f>
        <v/>
      </c>
      <c r="H500" s="2" t="str">
        <f>_xlfn.XLOOKUP(Orders[[#This Row],[Customer ID]],customers!$A$1:$A$1001,customers!$G$1:$G$1001,,0)</f>
        <v>Ireland</v>
      </c>
      <c r="I500" s="2" t="str">
        <f>_xlfn.XLOOKUP(Orders[[#This Row],[Customer ID]],customers!$A$1:$A$1001,customers!$F$1:$F$1001,,0)</f>
        <v>Virginia</v>
      </c>
      <c r="J500" t="str">
        <f>INDEX(products!$A$1:$G$49,MATCH(orders!$D500,products!$A$1:$A$49,0),MATCH(orders!J$1,products!$A$1:$G$1,0))</f>
        <v>Rob</v>
      </c>
      <c r="K500" t="str">
        <f>INDEX(products!$A$1:$G$49,MATCH(orders!$D500,products!$A$1:$A$49,0),MATCH(orders!K$1,products!$A$1:$G$1,0))</f>
        <v>M</v>
      </c>
      <c r="L500" s="4">
        <f>INDEX(products!$A$1:$G$49,MATCH(orders!$D500,products!$A$1:$A$49,0),MATCH(orders!L$1,products!$A$1:$G$1,0))</f>
        <v>1</v>
      </c>
      <c r="M500" s="5">
        <f>INDEX(products!$A$1:$G$49,MATCH(orders!$D500,products!$A$1:$A$49,0),MATCH(orders!M$1,products!$A$1:$G$1,0))</f>
        <v>9.9499999999999993</v>
      </c>
      <c r="N500" s="5">
        <f>Orders[[#This Row],[Quantity]]*(INDEX(products!$A$1:$G$49,MATCH(orders!$D500,products!$A$1:$A$49,0),MATCH(orders!N$1,products!$A$1:$G$1,0)))</f>
        <v>2.9849999999999999</v>
      </c>
      <c r="O500" s="5">
        <f>M500*E500</f>
        <v>49.75</v>
      </c>
      <c r="P500" t="str">
        <f t="shared" si="14"/>
        <v>Robusta</v>
      </c>
      <c r="Q500" t="str">
        <f t="shared" si="15"/>
        <v>Medium</v>
      </c>
      <c r="R500" t="str">
        <f>_xlfn.XLOOKUP(Orders[[#This Row],[Customer ID]],customers!$A$1:$A$1001,customers!$I$1:$I$1001,,0)</f>
        <v>Yes</v>
      </c>
    </row>
    <row r="501" spans="1:18" x14ac:dyDescent="0.35">
      <c r="A501" s="2" t="s">
        <v>3313</v>
      </c>
      <c r="B501" s="3">
        <v>44003</v>
      </c>
      <c r="C501" s="2" t="s">
        <v>3314</v>
      </c>
      <c r="D501" t="s">
        <v>6163</v>
      </c>
      <c r="E501" s="2">
        <v>3</v>
      </c>
      <c r="F501" s="2" t="str">
        <f>_xlfn.XLOOKUP(Orders[[#This Row],[Customer ID]],customers!$A$1:$A$1001,customers!$B$1:$B$1001,,0)</f>
        <v>Malynda Purbrick</v>
      </c>
      <c r="G501" s="2" t="str">
        <f>IF(_xlfn.XLOOKUP(C501,customers!$A$1:$A$1001,customers!C500:C1500,,0)=0,"",_xlfn.XLOOKUP(C501,customers!$A$1:$A$1001,customers!C500:C1500,,0))</f>
        <v>njennyrq@bigcartel.com</v>
      </c>
      <c r="H501" s="2" t="str">
        <f>_xlfn.XLOOKUP(Orders[[#This Row],[Customer ID]],customers!$A$1:$A$1001,customers!$G$1:$G$1001,,0)</f>
        <v>Ireland</v>
      </c>
      <c r="I501" s="2" t="str">
        <f>_xlfn.XLOOKUP(Orders[[#This Row],[Customer ID]],customers!$A$1:$A$1001,customers!$F$1:$F$1001,,0)</f>
        <v>Balally</v>
      </c>
      <c r="J501" t="str">
        <f>INDEX(products!$A$1:$G$49,MATCH(orders!$D501,products!$A$1:$A$49,0),MATCH(orders!J$1,products!$A$1:$G$1,0))</f>
        <v>Rob</v>
      </c>
      <c r="K501" t="str">
        <f>INDEX(products!$A$1:$G$49,MATCH(orders!$D501,products!$A$1:$A$49,0),MATCH(orders!K$1,products!$A$1:$G$1,0))</f>
        <v>D</v>
      </c>
      <c r="L501" s="4">
        <f>INDEX(products!$A$1:$G$49,MATCH(orders!$D501,products!$A$1:$A$49,0),MATCH(orders!L$1,products!$A$1:$G$1,0))</f>
        <v>0.2</v>
      </c>
      <c r="M501" s="5">
        <f>INDEX(products!$A$1:$G$49,MATCH(orders!$D501,products!$A$1:$A$49,0),MATCH(orders!M$1,products!$A$1:$G$1,0))</f>
        <v>2.6849999999999996</v>
      </c>
      <c r="N501" s="5">
        <f>Orders[[#This Row],[Quantity]]*(INDEX(products!$A$1:$G$49,MATCH(orders!$D501,products!$A$1:$A$49,0),MATCH(orders!N$1,products!$A$1:$G$1,0)))</f>
        <v>0.4832999999999999</v>
      </c>
      <c r="O501" s="5">
        <f>M501*E501</f>
        <v>8.0549999999999997</v>
      </c>
      <c r="P501" t="str">
        <f t="shared" si="14"/>
        <v>Robusta</v>
      </c>
      <c r="Q501" t="str">
        <f t="shared" si="15"/>
        <v>Dark</v>
      </c>
      <c r="R501" t="str">
        <f>_xlfn.XLOOKUP(Orders[[#This Row],[Customer ID]],customers!$A$1:$A$1001,customers!$I$1:$I$1001,,0)</f>
        <v>Yes</v>
      </c>
    </row>
    <row r="502" spans="1:18" x14ac:dyDescent="0.35">
      <c r="A502" s="2" t="s">
        <v>3318</v>
      </c>
      <c r="B502" s="3">
        <v>44025</v>
      </c>
      <c r="C502" s="2" t="s">
        <v>3319</v>
      </c>
      <c r="D502" t="s">
        <v>6179</v>
      </c>
      <c r="E502" s="2">
        <v>4</v>
      </c>
      <c r="F502" s="2" t="str">
        <f>_xlfn.XLOOKUP(Orders[[#This Row],[Customer ID]],customers!$A$1:$A$1001,customers!$B$1:$B$1001,,0)</f>
        <v>Alf Housaman</v>
      </c>
      <c r="G502" s="2" t="str">
        <f>IF(_xlfn.XLOOKUP(C502,customers!$A$1:$A$1001,customers!C501:C1501,,0)=0,"",_xlfn.XLOOKUP(C502,customers!$A$1:$A$1001,customers!C501:C1501,,0))</f>
        <v/>
      </c>
      <c r="H502" s="2" t="str">
        <f>_xlfn.XLOOKUP(Orders[[#This Row],[Customer ID]],customers!$A$1:$A$1001,customers!$G$1:$G$1001,,0)</f>
        <v>United States</v>
      </c>
      <c r="I502" s="2" t="str">
        <f>_xlfn.XLOOKUP(Orders[[#This Row],[Customer ID]],customers!$A$1:$A$1001,customers!$F$1:$F$1001,,0)</f>
        <v>Grand Rapids</v>
      </c>
      <c r="J502" t="str">
        <f>INDEX(products!$A$1:$G$49,MATCH(orders!$D502,products!$A$1:$A$49,0),MATCH(orders!J$1,products!$A$1:$G$1,0))</f>
        <v>Rob</v>
      </c>
      <c r="K502" t="str">
        <f>INDEX(products!$A$1:$G$49,MATCH(orders!$D502,products!$A$1:$A$49,0),MATCH(orders!K$1,products!$A$1:$G$1,0))</f>
        <v>L</v>
      </c>
      <c r="L502" s="4">
        <f>INDEX(products!$A$1:$G$49,MATCH(orders!$D502,products!$A$1:$A$49,0),MATCH(orders!L$1,products!$A$1:$G$1,0))</f>
        <v>1</v>
      </c>
      <c r="M502" s="5">
        <f>INDEX(products!$A$1:$G$49,MATCH(orders!$D502,products!$A$1:$A$49,0),MATCH(orders!M$1,products!$A$1:$G$1,0))</f>
        <v>11.95</v>
      </c>
      <c r="N502" s="5">
        <f>Orders[[#This Row],[Quantity]]*(INDEX(products!$A$1:$G$49,MATCH(orders!$D502,products!$A$1:$A$49,0),MATCH(orders!N$1,products!$A$1:$G$1,0)))</f>
        <v>2.8679999999999999</v>
      </c>
      <c r="O502" s="5">
        <f>M502*E502</f>
        <v>47.8</v>
      </c>
      <c r="P502" t="str">
        <f t="shared" si="14"/>
        <v>Robusta</v>
      </c>
      <c r="Q502" t="str">
        <f t="shared" si="15"/>
        <v>Light</v>
      </c>
      <c r="R502" t="str">
        <f>_xlfn.XLOOKUP(Orders[[#This Row],[Customer ID]],customers!$A$1:$A$1001,customers!$I$1:$I$1001,,0)</f>
        <v>No</v>
      </c>
    </row>
    <row r="503" spans="1:18" x14ac:dyDescent="0.35">
      <c r="A503" s="2" t="s">
        <v>3323</v>
      </c>
      <c r="B503" s="3">
        <v>43467</v>
      </c>
      <c r="C503" s="2" t="s">
        <v>3324</v>
      </c>
      <c r="D503" t="s">
        <v>6174</v>
      </c>
      <c r="E503" s="2">
        <v>4</v>
      </c>
      <c r="F503" s="2" t="str">
        <f>_xlfn.XLOOKUP(Orders[[#This Row],[Customer ID]],customers!$A$1:$A$1001,customers!$B$1:$B$1001,,0)</f>
        <v>Gladi Ducker</v>
      </c>
      <c r="G503" s="2" t="str">
        <f>IF(_xlfn.XLOOKUP(C503,customers!$A$1:$A$1001,customers!C502:C1502,,0)=0,"",_xlfn.XLOOKUP(C503,customers!$A$1:$A$1001,customers!C502:C1502,,0))</f>
        <v/>
      </c>
      <c r="H503" s="2" t="str">
        <f>_xlfn.XLOOKUP(Orders[[#This Row],[Customer ID]],customers!$A$1:$A$1001,customers!$G$1:$G$1001,,0)</f>
        <v>United Kingdom</v>
      </c>
      <c r="I503" s="2" t="str">
        <f>_xlfn.XLOOKUP(Orders[[#This Row],[Customer ID]],customers!$A$1:$A$1001,customers!$F$1:$F$1001,,0)</f>
        <v>Belfast</v>
      </c>
      <c r="J503" t="str">
        <f>INDEX(products!$A$1:$G$49,MATCH(orders!$D503,products!$A$1:$A$49,0),MATCH(orders!J$1,products!$A$1:$G$1,0))</f>
        <v>Rob</v>
      </c>
      <c r="K503" t="str">
        <f>INDEX(products!$A$1:$G$49,MATCH(orders!$D503,products!$A$1:$A$49,0),MATCH(orders!K$1,products!$A$1:$G$1,0))</f>
        <v>M</v>
      </c>
      <c r="L503" s="4">
        <f>INDEX(products!$A$1:$G$49,MATCH(orders!$D503,products!$A$1:$A$49,0),MATCH(orders!L$1,products!$A$1:$G$1,0))</f>
        <v>0.2</v>
      </c>
      <c r="M503" s="5">
        <f>INDEX(products!$A$1:$G$49,MATCH(orders!$D503,products!$A$1:$A$49,0),MATCH(orders!M$1,products!$A$1:$G$1,0))</f>
        <v>2.9849999999999999</v>
      </c>
      <c r="N503" s="5">
        <f>Orders[[#This Row],[Quantity]]*(INDEX(products!$A$1:$G$49,MATCH(orders!$D503,products!$A$1:$A$49,0),MATCH(orders!N$1,products!$A$1:$G$1,0)))</f>
        <v>0.71639999999999993</v>
      </c>
      <c r="O503" s="5">
        <f>M503*E503</f>
        <v>11.94</v>
      </c>
      <c r="P503" t="str">
        <f t="shared" si="14"/>
        <v>Robusta</v>
      </c>
      <c r="Q503" t="str">
        <f t="shared" si="15"/>
        <v>Medium</v>
      </c>
      <c r="R503" t="str">
        <f>_xlfn.XLOOKUP(Orders[[#This Row],[Customer ID]],customers!$A$1:$A$1001,customers!$I$1:$I$1001,,0)</f>
        <v>No</v>
      </c>
    </row>
    <row r="504" spans="1:18" x14ac:dyDescent="0.35">
      <c r="A504" s="2" t="s">
        <v>3323</v>
      </c>
      <c r="B504" s="3">
        <v>43467</v>
      </c>
      <c r="C504" s="2" t="s">
        <v>3324</v>
      </c>
      <c r="D504" t="s">
        <v>6156</v>
      </c>
      <c r="E504" s="2">
        <v>4</v>
      </c>
      <c r="F504" s="2" t="str">
        <f>_xlfn.XLOOKUP(Orders[[#This Row],[Customer ID]],customers!$A$1:$A$1001,customers!$B$1:$B$1001,,0)</f>
        <v>Gladi Ducker</v>
      </c>
      <c r="G504" s="2" t="str">
        <f>IF(_xlfn.XLOOKUP(C504,customers!$A$1:$A$1001,customers!C503:C1503,,0)=0,"",_xlfn.XLOOKUP(C504,customers!$A$1:$A$1001,customers!C503:C1503,,0))</f>
        <v/>
      </c>
      <c r="H504" s="2" t="str">
        <f>_xlfn.XLOOKUP(Orders[[#This Row],[Customer ID]],customers!$A$1:$A$1001,customers!$G$1:$G$1001,,0)</f>
        <v>United Kingdom</v>
      </c>
      <c r="I504" s="2" t="str">
        <f>_xlfn.XLOOKUP(Orders[[#This Row],[Customer ID]],customers!$A$1:$A$1001,customers!$F$1:$F$1001,,0)</f>
        <v>Belfast</v>
      </c>
      <c r="J504" t="str">
        <f>INDEX(products!$A$1:$G$49,MATCH(orders!$D504,products!$A$1:$A$49,0),MATCH(orders!J$1,products!$A$1:$G$1,0))</f>
        <v>Exc</v>
      </c>
      <c r="K504" t="str">
        <f>INDEX(products!$A$1:$G$49,MATCH(orders!$D504,products!$A$1:$A$49,0),MATCH(orders!K$1,products!$A$1:$G$1,0))</f>
        <v>M</v>
      </c>
      <c r="L504" s="4">
        <f>INDEX(products!$A$1:$G$49,MATCH(orders!$D504,products!$A$1:$A$49,0),MATCH(orders!L$1,products!$A$1:$G$1,0))</f>
        <v>0.2</v>
      </c>
      <c r="M504" s="5">
        <f>INDEX(products!$A$1:$G$49,MATCH(orders!$D504,products!$A$1:$A$49,0),MATCH(orders!M$1,products!$A$1:$G$1,0))</f>
        <v>4.125</v>
      </c>
      <c r="N504" s="5">
        <f>Orders[[#This Row],[Quantity]]*(INDEX(products!$A$1:$G$49,MATCH(orders!$D504,products!$A$1:$A$49,0),MATCH(orders!N$1,products!$A$1:$G$1,0)))</f>
        <v>1.8149999999999999</v>
      </c>
      <c r="O504" s="5">
        <f>M504*E504</f>
        <v>16.5</v>
      </c>
      <c r="P504" t="str">
        <f t="shared" si="14"/>
        <v>Excelsa</v>
      </c>
      <c r="Q504" t="str">
        <f t="shared" si="15"/>
        <v>Medium</v>
      </c>
      <c r="R504" t="str">
        <f>_xlfn.XLOOKUP(Orders[[#This Row],[Customer ID]],customers!$A$1:$A$1001,customers!$I$1:$I$1001,,0)</f>
        <v>No</v>
      </c>
    </row>
    <row r="505" spans="1:18" x14ac:dyDescent="0.35">
      <c r="A505" s="2" t="s">
        <v>3323</v>
      </c>
      <c r="B505" s="3">
        <v>43467</v>
      </c>
      <c r="C505" s="2" t="s">
        <v>3324</v>
      </c>
      <c r="D505" t="s">
        <v>6143</v>
      </c>
      <c r="E505" s="2">
        <v>4</v>
      </c>
      <c r="F505" s="2" t="str">
        <f>_xlfn.XLOOKUP(Orders[[#This Row],[Customer ID]],customers!$A$1:$A$1001,customers!$B$1:$B$1001,,0)</f>
        <v>Gladi Ducker</v>
      </c>
      <c r="G505" s="2" t="str">
        <f>IF(_xlfn.XLOOKUP(C505,customers!$A$1:$A$1001,customers!C504:C1504,,0)=0,"",_xlfn.XLOOKUP(C505,customers!$A$1:$A$1001,customers!C504:C1504,,0))</f>
        <v/>
      </c>
      <c r="H505" s="2" t="str">
        <f>_xlfn.XLOOKUP(Orders[[#This Row],[Customer ID]],customers!$A$1:$A$1001,customers!$G$1:$G$1001,,0)</f>
        <v>United Kingdom</v>
      </c>
      <c r="I505" s="2" t="str">
        <f>_xlfn.XLOOKUP(Orders[[#This Row],[Customer ID]],customers!$A$1:$A$1001,customers!$F$1:$F$1001,,0)</f>
        <v>Belfast</v>
      </c>
      <c r="J505" t="str">
        <f>INDEX(products!$A$1:$G$49,MATCH(orders!$D505,products!$A$1:$A$49,0),MATCH(orders!J$1,products!$A$1:$G$1,0))</f>
        <v>Lib</v>
      </c>
      <c r="K505" t="str">
        <f>INDEX(products!$A$1:$G$49,MATCH(orders!$D505,products!$A$1:$A$49,0),MATCH(orders!K$1,products!$A$1:$G$1,0))</f>
        <v>D</v>
      </c>
      <c r="L505" s="4">
        <f>INDEX(products!$A$1:$G$49,MATCH(orders!$D505,products!$A$1:$A$49,0),MATCH(orders!L$1,products!$A$1:$G$1,0))</f>
        <v>1</v>
      </c>
      <c r="M505" s="5">
        <f>INDEX(products!$A$1:$G$49,MATCH(orders!$D505,products!$A$1:$A$49,0),MATCH(orders!M$1,products!$A$1:$G$1,0))</f>
        <v>12.95</v>
      </c>
      <c r="N505" s="5">
        <f>Orders[[#This Row],[Quantity]]*(INDEX(products!$A$1:$G$49,MATCH(orders!$D505,products!$A$1:$A$49,0),MATCH(orders!N$1,products!$A$1:$G$1,0)))</f>
        <v>6.734</v>
      </c>
      <c r="O505" s="5">
        <f>M505*E505</f>
        <v>51.8</v>
      </c>
      <c r="P505" t="str">
        <f t="shared" si="14"/>
        <v>Liberica</v>
      </c>
      <c r="Q505" t="str">
        <f t="shared" si="15"/>
        <v>Dark</v>
      </c>
      <c r="R505" t="str">
        <f>_xlfn.XLOOKUP(Orders[[#This Row],[Customer ID]],customers!$A$1:$A$1001,customers!$I$1:$I$1001,,0)</f>
        <v>No</v>
      </c>
    </row>
    <row r="506" spans="1:18" x14ac:dyDescent="0.35">
      <c r="A506" s="2" t="s">
        <v>3323</v>
      </c>
      <c r="B506" s="3">
        <v>43467</v>
      </c>
      <c r="C506" s="2" t="s">
        <v>3324</v>
      </c>
      <c r="D506" t="s">
        <v>6145</v>
      </c>
      <c r="E506" s="2">
        <v>3</v>
      </c>
      <c r="F506" s="2" t="str">
        <f>_xlfn.XLOOKUP(Orders[[#This Row],[Customer ID]],customers!$A$1:$A$1001,customers!$B$1:$B$1001,,0)</f>
        <v>Gladi Ducker</v>
      </c>
      <c r="G506" s="2" t="str">
        <f>IF(_xlfn.XLOOKUP(C506,customers!$A$1:$A$1001,customers!C505:C1505,,0)=0,"",_xlfn.XLOOKUP(C506,customers!$A$1:$A$1001,customers!C505:C1505,,0))</f>
        <v/>
      </c>
      <c r="H506" s="2" t="str">
        <f>_xlfn.XLOOKUP(Orders[[#This Row],[Customer ID]],customers!$A$1:$A$1001,customers!$G$1:$G$1001,,0)</f>
        <v>United Kingdom</v>
      </c>
      <c r="I506" s="2" t="str">
        <f>_xlfn.XLOOKUP(Orders[[#This Row],[Customer ID]],customers!$A$1:$A$1001,customers!$F$1:$F$1001,,0)</f>
        <v>Belfast</v>
      </c>
      <c r="J506" t="str">
        <f>INDEX(products!$A$1:$G$49,MATCH(orders!$D506,products!$A$1:$A$49,0),MATCH(orders!J$1,products!$A$1:$G$1,0))</f>
        <v>Lib</v>
      </c>
      <c r="K506" t="str">
        <f>INDEX(products!$A$1:$G$49,MATCH(orders!$D506,products!$A$1:$A$49,0),MATCH(orders!K$1,products!$A$1:$G$1,0))</f>
        <v>L</v>
      </c>
      <c r="L506" s="4">
        <f>INDEX(products!$A$1:$G$49,MATCH(orders!$D506,products!$A$1:$A$49,0),MATCH(orders!L$1,products!$A$1:$G$1,0))</f>
        <v>0.2</v>
      </c>
      <c r="M506" s="5">
        <f>INDEX(products!$A$1:$G$49,MATCH(orders!$D506,products!$A$1:$A$49,0),MATCH(orders!M$1,products!$A$1:$G$1,0))</f>
        <v>4.7549999999999999</v>
      </c>
      <c r="N506" s="5">
        <f>Orders[[#This Row],[Quantity]]*(INDEX(products!$A$1:$G$49,MATCH(orders!$D506,products!$A$1:$A$49,0),MATCH(orders!N$1,products!$A$1:$G$1,0)))</f>
        <v>1.8544499999999999</v>
      </c>
      <c r="O506" s="5">
        <f>M506*E506</f>
        <v>14.265000000000001</v>
      </c>
      <c r="P506" t="str">
        <f t="shared" si="14"/>
        <v>Liberica</v>
      </c>
      <c r="Q506" t="str">
        <f t="shared" si="15"/>
        <v>Light</v>
      </c>
      <c r="R506" t="str">
        <f>_xlfn.XLOOKUP(Orders[[#This Row],[Customer ID]],customers!$A$1:$A$1001,customers!$I$1:$I$1001,,0)</f>
        <v>No</v>
      </c>
    </row>
    <row r="507" spans="1:18" x14ac:dyDescent="0.35">
      <c r="A507" s="2" t="s">
        <v>3343</v>
      </c>
      <c r="B507" s="3">
        <v>44609</v>
      </c>
      <c r="C507" s="2" t="s">
        <v>3344</v>
      </c>
      <c r="D507" t="s">
        <v>6159</v>
      </c>
      <c r="E507" s="2">
        <v>6</v>
      </c>
      <c r="F507" s="2" t="str">
        <f>_xlfn.XLOOKUP(Orders[[#This Row],[Customer ID]],customers!$A$1:$A$1001,customers!$B$1:$B$1001,,0)</f>
        <v>Wain Stearley</v>
      </c>
      <c r="G507" s="2" t="str">
        <f>IF(_xlfn.XLOOKUP(C507,customers!$A$1:$A$1001,customers!C506:C1506,,0)=0,"",_xlfn.XLOOKUP(C507,customers!$A$1:$A$1001,customers!C506:C1506,,0))</f>
        <v/>
      </c>
      <c r="H507" s="2" t="str">
        <f>_xlfn.XLOOKUP(Orders[[#This Row],[Customer ID]],customers!$A$1:$A$1001,customers!$G$1:$G$1001,,0)</f>
        <v>United States</v>
      </c>
      <c r="I507" s="2" t="str">
        <f>_xlfn.XLOOKUP(Orders[[#This Row],[Customer ID]],customers!$A$1:$A$1001,customers!$F$1:$F$1001,,0)</f>
        <v>High Point</v>
      </c>
      <c r="J507" t="str">
        <f>INDEX(products!$A$1:$G$49,MATCH(orders!$D507,products!$A$1:$A$49,0),MATCH(orders!J$1,products!$A$1:$G$1,0))</f>
        <v>Lib</v>
      </c>
      <c r="K507" t="str">
        <f>INDEX(products!$A$1:$G$49,MATCH(orders!$D507,products!$A$1:$A$49,0),MATCH(orders!K$1,products!$A$1:$G$1,0))</f>
        <v>M</v>
      </c>
      <c r="L507" s="4">
        <f>INDEX(products!$A$1:$G$49,MATCH(orders!$D507,products!$A$1:$A$49,0),MATCH(orders!L$1,products!$A$1:$G$1,0))</f>
        <v>0.2</v>
      </c>
      <c r="M507" s="5">
        <f>INDEX(products!$A$1:$G$49,MATCH(orders!$D507,products!$A$1:$A$49,0),MATCH(orders!M$1,products!$A$1:$G$1,0))</f>
        <v>4.3650000000000002</v>
      </c>
      <c r="N507" s="5">
        <f>Orders[[#This Row],[Quantity]]*(INDEX(products!$A$1:$G$49,MATCH(orders!$D507,products!$A$1:$A$49,0),MATCH(orders!N$1,products!$A$1:$G$1,0)))</f>
        <v>3.4047000000000001</v>
      </c>
      <c r="O507" s="5">
        <f>M507*E507</f>
        <v>26.19</v>
      </c>
      <c r="P507" t="str">
        <f t="shared" si="14"/>
        <v>Liberica</v>
      </c>
      <c r="Q507" t="str">
        <f t="shared" si="15"/>
        <v>Medium</v>
      </c>
      <c r="R507" t="str">
        <f>_xlfn.XLOOKUP(Orders[[#This Row],[Customer ID]],customers!$A$1:$A$1001,customers!$I$1:$I$1001,,0)</f>
        <v>No</v>
      </c>
    </row>
    <row r="508" spans="1:18" x14ac:dyDescent="0.35">
      <c r="A508" s="2" t="s">
        <v>3349</v>
      </c>
      <c r="B508" s="3">
        <v>44184</v>
      </c>
      <c r="C508" s="2" t="s">
        <v>3350</v>
      </c>
      <c r="D508" t="s">
        <v>6140</v>
      </c>
      <c r="E508" s="2">
        <v>2</v>
      </c>
      <c r="F508" s="2" t="str">
        <f>_xlfn.XLOOKUP(Orders[[#This Row],[Customer ID]],customers!$A$1:$A$1001,customers!$B$1:$B$1001,,0)</f>
        <v>Diane-marie Wincer</v>
      </c>
      <c r="G508" s="2" t="str">
        <f>IF(_xlfn.XLOOKUP(C508,customers!$A$1:$A$1001,customers!C507:C1507,,0)=0,"",_xlfn.XLOOKUP(C508,customers!$A$1:$A$1001,customers!C507:C1507,,0))</f>
        <v/>
      </c>
      <c r="H508" s="2" t="str">
        <f>_xlfn.XLOOKUP(Orders[[#This Row],[Customer ID]],customers!$A$1:$A$1001,customers!$G$1:$G$1001,,0)</f>
        <v>United States</v>
      </c>
      <c r="I508" s="2" t="str">
        <f>_xlfn.XLOOKUP(Orders[[#This Row],[Customer ID]],customers!$A$1:$A$1001,customers!$F$1:$F$1001,,0)</f>
        <v>El Paso</v>
      </c>
      <c r="J508" t="str">
        <f>INDEX(products!$A$1:$G$49,MATCH(orders!$D508,products!$A$1:$A$49,0),MATCH(orders!J$1,products!$A$1:$G$1,0))</f>
        <v>Ara</v>
      </c>
      <c r="K508" t="str">
        <f>INDEX(products!$A$1:$G$49,MATCH(orders!$D508,products!$A$1:$A$49,0),MATCH(orders!K$1,products!$A$1:$G$1,0))</f>
        <v>L</v>
      </c>
      <c r="L508" s="4">
        <f>INDEX(products!$A$1:$G$49,MATCH(orders!$D508,products!$A$1:$A$49,0),MATCH(orders!L$1,products!$A$1:$G$1,0))</f>
        <v>1</v>
      </c>
      <c r="M508" s="5">
        <f>INDEX(products!$A$1:$G$49,MATCH(orders!$D508,products!$A$1:$A$49,0),MATCH(orders!M$1,products!$A$1:$G$1,0))</f>
        <v>12.95</v>
      </c>
      <c r="N508" s="5">
        <f>Orders[[#This Row],[Quantity]]*(INDEX(products!$A$1:$G$49,MATCH(orders!$D508,products!$A$1:$A$49,0),MATCH(orders!N$1,products!$A$1:$G$1,0)))</f>
        <v>2.331</v>
      </c>
      <c r="O508" s="5">
        <f>M508*E508</f>
        <v>25.9</v>
      </c>
      <c r="P508" t="str">
        <f t="shared" si="14"/>
        <v>Arabica</v>
      </c>
      <c r="Q508" t="str">
        <f t="shared" si="15"/>
        <v>Light</v>
      </c>
      <c r="R508" t="str">
        <f>_xlfn.XLOOKUP(Orders[[#This Row],[Customer ID]],customers!$A$1:$A$1001,customers!$I$1:$I$1001,,0)</f>
        <v>Yes</v>
      </c>
    </row>
    <row r="509" spans="1:18" x14ac:dyDescent="0.35">
      <c r="A509" s="2" t="s">
        <v>3355</v>
      </c>
      <c r="B509" s="3">
        <v>43516</v>
      </c>
      <c r="C509" s="2" t="s">
        <v>3356</v>
      </c>
      <c r="D509" t="s">
        <v>6182</v>
      </c>
      <c r="E509" s="2">
        <v>3</v>
      </c>
      <c r="F509" s="2" t="str">
        <f>_xlfn.XLOOKUP(Orders[[#This Row],[Customer ID]],customers!$A$1:$A$1001,customers!$B$1:$B$1001,,0)</f>
        <v>Perry Lyfield</v>
      </c>
      <c r="G509" s="2" t="str">
        <f>IF(_xlfn.XLOOKUP(C509,customers!$A$1:$A$1001,customers!C508:C1508,,0)=0,"",_xlfn.XLOOKUP(C509,customers!$A$1:$A$1001,customers!C508:C1508,,0))</f>
        <v/>
      </c>
      <c r="H509" s="2" t="str">
        <f>_xlfn.XLOOKUP(Orders[[#This Row],[Customer ID]],customers!$A$1:$A$1001,customers!$G$1:$G$1001,,0)</f>
        <v>United States</v>
      </c>
      <c r="I509" s="2" t="str">
        <f>_xlfn.XLOOKUP(Orders[[#This Row],[Customer ID]],customers!$A$1:$A$1001,customers!$F$1:$F$1001,,0)</f>
        <v>Cleveland</v>
      </c>
      <c r="J509" t="str">
        <f>INDEX(products!$A$1:$G$49,MATCH(orders!$D509,products!$A$1:$A$49,0),MATCH(orders!J$1,products!$A$1:$G$1,0))</f>
        <v>Ara</v>
      </c>
      <c r="K509" t="str">
        <f>INDEX(products!$A$1:$G$49,MATCH(orders!$D509,products!$A$1:$A$49,0),MATCH(orders!K$1,products!$A$1:$G$1,0))</f>
        <v>L</v>
      </c>
      <c r="L509" s="4">
        <f>INDEX(products!$A$1:$G$49,MATCH(orders!$D509,products!$A$1:$A$49,0),MATCH(orders!L$1,products!$A$1:$G$1,0))</f>
        <v>2.5</v>
      </c>
      <c r="M509" s="5">
        <f>INDEX(products!$A$1:$G$49,MATCH(orders!$D509,products!$A$1:$A$49,0),MATCH(orders!M$1,products!$A$1:$G$1,0))</f>
        <v>29.784999999999997</v>
      </c>
      <c r="N509" s="5">
        <f>Orders[[#This Row],[Quantity]]*(INDEX(products!$A$1:$G$49,MATCH(orders!$D509,products!$A$1:$A$49,0),MATCH(orders!N$1,products!$A$1:$G$1,0)))</f>
        <v>8.0419499999999982</v>
      </c>
      <c r="O509" s="5">
        <f>M509*E509</f>
        <v>89.35499999999999</v>
      </c>
      <c r="P509" t="str">
        <f t="shared" si="14"/>
        <v>Arabica</v>
      </c>
      <c r="Q509" t="str">
        <f t="shared" si="15"/>
        <v>Light</v>
      </c>
      <c r="R509" t="str">
        <f>_xlfn.XLOOKUP(Orders[[#This Row],[Customer ID]],customers!$A$1:$A$1001,customers!$I$1:$I$1001,,0)</f>
        <v>Yes</v>
      </c>
    </row>
    <row r="510" spans="1:18" x14ac:dyDescent="0.35">
      <c r="A510" s="2" t="s">
        <v>3361</v>
      </c>
      <c r="B510" s="3">
        <v>44210</v>
      </c>
      <c r="C510" s="2" t="s">
        <v>3362</v>
      </c>
      <c r="D510" t="s">
        <v>6169</v>
      </c>
      <c r="E510" s="2">
        <v>6</v>
      </c>
      <c r="F510" s="2" t="str">
        <f>_xlfn.XLOOKUP(Orders[[#This Row],[Customer ID]],customers!$A$1:$A$1001,customers!$B$1:$B$1001,,0)</f>
        <v>Heall Perris</v>
      </c>
      <c r="G510" s="2" t="str">
        <f>IF(_xlfn.XLOOKUP(C510,customers!$A$1:$A$1001,customers!C509:C1509,,0)=0,"",_xlfn.XLOOKUP(C510,customers!$A$1:$A$1001,customers!C509:C1509,,0))</f>
        <v/>
      </c>
      <c r="H510" s="2" t="str">
        <f>_xlfn.XLOOKUP(Orders[[#This Row],[Customer ID]],customers!$A$1:$A$1001,customers!$G$1:$G$1001,,0)</f>
        <v>Ireland</v>
      </c>
      <c r="I510" s="2" t="str">
        <f>_xlfn.XLOOKUP(Orders[[#This Row],[Customer ID]],customers!$A$1:$A$1001,customers!$F$1:$F$1001,,0)</f>
        <v>Ballymahon</v>
      </c>
      <c r="J510" t="str">
        <f>INDEX(products!$A$1:$G$49,MATCH(orders!$D510,products!$A$1:$A$49,0),MATCH(orders!J$1,products!$A$1:$G$1,0))</f>
        <v>Lib</v>
      </c>
      <c r="K510" t="str">
        <f>INDEX(products!$A$1:$G$49,MATCH(orders!$D510,products!$A$1:$A$49,0),MATCH(orders!K$1,products!$A$1:$G$1,0))</f>
        <v>D</v>
      </c>
      <c r="L510" s="4">
        <f>INDEX(products!$A$1:$G$49,MATCH(orders!$D510,products!$A$1:$A$49,0),MATCH(orders!L$1,products!$A$1:$G$1,0))</f>
        <v>0.5</v>
      </c>
      <c r="M510" s="5">
        <f>INDEX(products!$A$1:$G$49,MATCH(orders!$D510,products!$A$1:$A$49,0),MATCH(orders!M$1,products!$A$1:$G$1,0))</f>
        <v>7.77</v>
      </c>
      <c r="N510" s="5">
        <f>Orders[[#This Row],[Quantity]]*(INDEX(products!$A$1:$G$49,MATCH(orders!$D510,products!$A$1:$A$49,0),MATCH(orders!N$1,products!$A$1:$G$1,0)))</f>
        <v>6.0606</v>
      </c>
      <c r="O510" s="5">
        <f>M510*E510</f>
        <v>46.62</v>
      </c>
      <c r="P510" t="str">
        <f t="shared" si="14"/>
        <v>Liberica</v>
      </c>
      <c r="Q510" t="str">
        <f t="shared" si="15"/>
        <v>Dark</v>
      </c>
      <c r="R510" t="str">
        <f>_xlfn.XLOOKUP(Orders[[#This Row],[Customer ID]],customers!$A$1:$A$1001,customers!$I$1:$I$1001,,0)</f>
        <v>No</v>
      </c>
    </row>
    <row r="511" spans="1:18" x14ac:dyDescent="0.35">
      <c r="A511" s="2" t="s">
        <v>3367</v>
      </c>
      <c r="B511" s="3">
        <v>43785</v>
      </c>
      <c r="C511" s="2" t="s">
        <v>3368</v>
      </c>
      <c r="D511" t="s">
        <v>6147</v>
      </c>
      <c r="E511" s="2">
        <v>3</v>
      </c>
      <c r="F511" s="2" t="str">
        <f>_xlfn.XLOOKUP(Orders[[#This Row],[Customer ID]],customers!$A$1:$A$1001,customers!$B$1:$B$1001,,0)</f>
        <v>Marja Urion</v>
      </c>
      <c r="G511" s="2" t="str">
        <f>IF(_xlfn.XLOOKUP(C511,customers!$A$1:$A$1001,customers!C510:C1510,,0)=0,"",_xlfn.XLOOKUP(C511,customers!$A$1:$A$1001,customers!C510:C1510,,0))</f>
        <v/>
      </c>
      <c r="H511" s="2" t="str">
        <f>_xlfn.XLOOKUP(Orders[[#This Row],[Customer ID]],customers!$A$1:$A$1001,customers!$G$1:$G$1001,,0)</f>
        <v>Ireland</v>
      </c>
      <c r="I511" s="2" t="str">
        <f>_xlfn.XLOOKUP(Orders[[#This Row],[Customer ID]],customers!$A$1:$A$1001,customers!$F$1:$F$1001,,0)</f>
        <v>Virginia</v>
      </c>
      <c r="J511" t="str">
        <f>INDEX(products!$A$1:$G$49,MATCH(orders!$D511,products!$A$1:$A$49,0),MATCH(orders!J$1,products!$A$1:$G$1,0))</f>
        <v>Ara</v>
      </c>
      <c r="K511" t="str">
        <f>INDEX(products!$A$1:$G$49,MATCH(orders!$D511,products!$A$1:$A$49,0),MATCH(orders!K$1,products!$A$1:$G$1,0))</f>
        <v>D</v>
      </c>
      <c r="L511" s="4">
        <f>INDEX(products!$A$1:$G$49,MATCH(orders!$D511,products!$A$1:$A$49,0),MATCH(orders!L$1,products!$A$1:$G$1,0))</f>
        <v>1</v>
      </c>
      <c r="M511" s="5">
        <f>INDEX(products!$A$1:$G$49,MATCH(orders!$D511,products!$A$1:$A$49,0),MATCH(orders!M$1,products!$A$1:$G$1,0))</f>
        <v>9.9499999999999993</v>
      </c>
      <c r="N511" s="5">
        <f>Orders[[#This Row],[Quantity]]*(INDEX(products!$A$1:$G$49,MATCH(orders!$D511,products!$A$1:$A$49,0),MATCH(orders!N$1,products!$A$1:$G$1,0)))</f>
        <v>2.6864999999999997</v>
      </c>
      <c r="O511" s="5">
        <f>M511*E511</f>
        <v>29.849999999999998</v>
      </c>
      <c r="P511" t="str">
        <f t="shared" si="14"/>
        <v>Arabica</v>
      </c>
      <c r="Q511" t="str">
        <f t="shared" si="15"/>
        <v>Dark</v>
      </c>
      <c r="R511" t="str">
        <f>_xlfn.XLOOKUP(Orders[[#This Row],[Customer ID]],customers!$A$1:$A$1001,customers!$I$1:$I$1001,,0)</f>
        <v>Yes</v>
      </c>
    </row>
    <row r="512" spans="1:18" x14ac:dyDescent="0.35">
      <c r="A512" s="2" t="s">
        <v>3373</v>
      </c>
      <c r="B512" s="3">
        <v>43803</v>
      </c>
      <c r="C512" s="2" t="s">
        <v>3374</v>
      </c>
      <c r="D512" t="s">
        <v>6178</v>
      </c>
      <c r="E512" s="2">
        <v>3</v>
      </c>
      <c r="F512" s="2" t="str">
        <f>_xlfn.XLOOKUP(Orders[[#This Row],[Customer ID]],customers!$A$1:$A$1001,customers!$B$1:$B$1001,,0)</f>
        <v>Camellia Kid</v>
      </c>
      <c r="G512" s="2" t="str">
        <f>IF(_xlfn.XLOOKUP(C512,customers!$A$1:$A$1001,customers!C511:C1511,,0)=0,"",_xlfn.XLOOKUP(C512,customers!$A$1:$A$1001,customers!C511:C1511,,0))</f>
        <v/>
      </c>
      <c r="H512" s="2" t="str">
        <f>_xlfn.XLOOKUP(Orders[[#This Row],[Customer ID]],customers!$A$1:$A$1001,customers!$G$1:$G$1001,,0)</f>
        <v>Ireland</v>
      </c>
      <c r="I512" s="2" t="str">
        <f>_xlfn.XLOOKUP(Orders[[#This Row],[Customer ID]],customers!$A$1:$A$1001,customers!$F$1:$F$1001,,0)</f>
        <v>Whitegate</v>
      </c>
      <c r="J512" t="str">
        <f>INDEX(products!$A$1:$G$49,MATCH(orders!$D512,products!$A$1:$A$49,0),MATCH(orders!J$1,products!$A$1:$G$1,0))</f>
        <v>Rob</v>
      </c>
      <c r="K512" t="str">
        <f>INDEX(products!$A$1:$G$49,MATCH(orders!$D512,products!$A$1:$A$49,0),MATCH(orders!K$1,products!$A$1:$G$1,0))</f>
        <v>L</v>
      </c>
      <c r="L512" s="4">
        <f>INDEX(products!$A$1:$G$49,MATCH(orders!$D512,products!$A$1:$A$49,0),MATCH(orders!L$1,products!$A$1:$G$1,0))</f>
        <v>0.2</v>
      </c>
      <c r="M512" s="5">
        <f>INDEX(products!$A$1:$G$49,MATCH(orders!$D512,products!$A$1:$A$49,0),MATCH(orders!M$1,products!$A$1:$G$1,0))</f>
        <v>3.5849999999999995</v>
      </c>
      <c r="N512" s="5">
        <f>Orders[[#This Row],[Quantity]]*(INDEX(products!$A$1:$G$49,MATCH(orders!$D512,products!$A$1:$A$49,0),MATCH(orders!N$1,products!$A$1:$G$1,0)))</f>
        <v>0.64529999999999987</v>
      </c>
      <c r="O512" s="5">
        <f>M512*E512</f>
        <v>10.754999999999999</v>
      </c>
      <c r="P512" t="str">
        <f t="shared" si="14"/>
        <v>Robusta</v>
      </c>
      <c r="Q512" t="str">
        <f t="shared" si="15"/>
        <v>Light</v>
      </c>
      <c r="R512" t="str">
        <f>_xlfn.XLOOKUP(Orders[[#This Row],[Customer ID]],customers!$A$1:$A$1001,customers!$I$1:$I$1001,,0)</f>
        <v>Yes</v>
      </c>
    </row>
    <row r="513" spans="1:18" x14ac:dyDescent="0.35">
      <c r="A513" s="2" t="s">
        <v>3379</v>
      </c>
      <c r="B513" s="3">
        <v>44043</v>
      </c>
      <c r="C513" s="2" t="s">
        <v>3380</v>
      </c>
      <c r="D513" t="s">
        <v>6152</v>
      </c>
      <c r="E513" s="2">
        <v>4</v>
      </c>
      <c r="F513" s="2" t="str">
        <f>_xlfn.XLOOKUP(Orders[[#This Row],[Customer ID]],customers!$A$1:$A$1001,customers!$B$1:$B$1001,,0)</f>
        <v>Carolann Beine</v>
      </c>
      <c r="G513" s="2" t="str">
        <f>IF(_xlfn.XLOOKUP(C513,customers!$A$1:$A$1001,customers!C512:C1512,,0)=0,"",_xlfn.XLOOKUP(C513,customers!$A$1:$A$1001,customers!C512:C1512,,0))</f>
        <v/>
      </c>
      <c r="H513" s="2" t="str">
        <f>_xlfn.XLOOKUP(Orders[[#This Row],[Customer ID]],customers!$A$1:$A$1001,customers!$G$1:$G$1001,,0)</f>
        <v>United States</v>
      </c>
      <c r="I513" s="2" t="str">
        <f>_xlfn.XLOOKUP(Orders[[#This Row],[Customer ID]],customers!$A$1:$A$1001,customers!$F$1:$F$1001,,0)</f>
        <v>Birmingham</v>
      </c>
      <c r="J513" t="str">
        <f>INDEX(products!$A$1:$G$49,MATCH(orders!$D513,products!$A$1:$A$49,0),MATCH(orders!J$1,products!$A$1:$G$1,0))</f>
        <v>Ara</v>
      </c>
      <c r="K513" t="str">
        <f>INDEX(products!$A$1:$G$49,MATCH(orders!$D513,products!$A$1:$A$49,0),MATCH(orders!K$1,products!$A$1:$G$1,0))</f>
        <v>M</v>
      </c>
      <c r="L513" s="4">
        <f>INDEX(products!$A$1:$G$49,MATCH(orders!$D513,products!$A$1:$A$49,0),MATCH(orders!L$1,products!$A$1:$G$1,0))</f>
        <v>0.2</v>
      </c>
      <c r="M513" s="5">
        <f>INDEX(products!$A$1:$G$49,MATCH(orders!$D513,products!$A$1:$A$49,0),MATCH(orders!M$1,products!$A$1:$G$1,0))</f>
        <v>3.375</v>
      </c>
      <c r="N513" s="5">
        <f>Orders[[#This Row],[Quantity]]*(INDEX(products!$A$1:$G$49,MATCH(orders!$D513,products!$A$1:$A$49,0),MATCH(orders!N$1,products!$A$1:$G$1,0)))</f>
        <v>1.2149999999999999</v>
      </c>
      <c r="O513" s="5">
        <f>M513*E513</f>
        <v>13.5</v>
      </c>
      <c r="P513" t="str">
        <f t="shared" si="14"/>
        <v>Arabica</v>
      </c>
      <c r="Q513" t="str">
        <f t="shared" si="15"/>
        <v>Medium</v>
      </c>
      <c r="R513" t="str">
        <f>_xlfn.XLOOKUP(Orders[[#This Row],[Customer ID]],customers!$A$1:$A$1001,customers!$I$1:$I$1001,,0)</f>
        <v>Yes</v>
      </c>
    </row>
    <row r="514" spans="1:18" x14ac:dyDescent="0.35">
      <c r="A514" s="2" t="s">
        <v>3385</v>
      </c>
      <c r="B514" s="3">
        <v>43535</v>
      </c>
      <c r="C514" s="2" t="s">
        <v>3386</v>
      </c>
      <c r="D514" t="s">
        <v>6170</v>
      </c>
      <c r="E514" s="2">
        <v>3</v>
      </c>
      <c r="F514" s="2" t="str">
        <f>_xlfn.XLOOKUP(Orders[[#This Row],[Customer ID]],customers!$A$1:$A$1001,customers!$B$1:$B$1001,,0)</f>
        <v>Celia Bakeup</v>
      </c>
      <c r="G514" s="2" t="str">
        <f>IF(_xlfn.XLOOKUP(C514,customers!$A$1:$A$1001,customers!C513:C1513,,0)=0,"",_xlfn.XLOOKUP(C514,customers!$A$1:$A$1001,customers!C513:C1513,,0))</f>
        <v/>
      </c>
      <c r="H514" s="2" t="str">
        <f>_xlfn.XLOOKUP(Orders[[#This Row],[Customer ID]],customers!$A$1:$A$1001,customers!$G$1:$G$1001,,0)</f>
        <v>United States</v>
      </c>
      <c r="I514" s="2" t="str">
        <f>_xlfn.XLOOKUP(Orders[[#This Row],[Customer ID]],customers!$A$1:$A$1001,customers!$F$1:$F$1001,,0)</f>
        <v>Saint Cloud</v>
      </c>
      <c r="J514" t="str">
        <f>INDEX(products!$A$1:$G$49,MATCH(orders!$D514,products!$A$1:$A$49,0),MATCH(orders!J$1,products!$A$1:$G$1,0))</f>
        <v>Lib</v>
      </c>
      <c r="K514" t="str">
        <f>INDEX(products!$A$1:$G$49,MATCH(orders!$D514,products!$A$1:$A$49,0),MATCH(orders!K$1,products!$A$1:$G$1,0))</f>
        <v>L</v>
      </c>
      <c r="L514" s="4">
        <f>INDEX(products!$A$1:$G$49,MATCH(orders!$D514,products!$A$1:$A$49,0),MATCH(orders!L$1,products!$A$1:$G$1,0))</f>
        <v>1</v>
      </c>
      <c r="M514" s="5">
        <f>INDEX(products!$A$1:$G$49,MATCH(orders!$D514,products!$A$1:$A$49,0),MATCH(orders!M$1,products!$A$1:$G$1,0))</f>
        <v>15.85</v>
      </c>
      <c r="N514" s="5">
        <f>Orders[[#This Row],[Quantity]]*(INDEX(products!$A$1:$G$49,MATCH(orders!$D514,products!$A$1:$A$49,0),MATCH(orders!N$1,products!$A$1:$G$1,0)))</f>
        <v>6.1815000000000007</v>
      </c>
      <c r="O514" s="5">
        <f>M514*E514</f>
        <v>47.55</v>
      </c>
      <c r="P514" t="str">
        <f t="shared" si="14"/>
        <v>Liberica</v>
      </c>
      <c r="Q514" t="str">
        <f t="shared" si="15"/>
        <v>Light</v>
      </c>
      <c r="R514" t="str">
        <f>_xlfn.XLOOKUP(Orders[[#This Row],[Customer ID]],customers!$A$1:$A$1001,customers!$I$1:$I$1001,,0)</f>
        <v>No</v>
      </c>
    </row>
    <row r="515" spans="1:18" x14ac:dyDescent="0.35">
      <c r="A515" s="2" t="s">
        <v>3391</v>
      </c>
      <c r="B515" s="3">
        <v>44691</v>
      </c>
      <c r="C515" s="2" t="s">
        <v>3392</v>
      </c>
      <c r="D515" t="s">
        <v>6170</v>
      </c>
      <c r="E515" s="2">
        <v>5</v>
      </c>
      <c r="F515" s="2" t="str">
        <f>_xlfn.XLOOKUP(Orders[[#This Row],[Customer ID]],customers!$A$1:$A$1001,customers!$B$1:$B$1001,,0)</f>
        <v>Nataniel Helkin</v>
      </c>
      <c r="G515" s="2" t="str">
        <f>IF(_xlfn.XLOOKUP(C515,customers!$A$1:$A$1001,customers!C514:C1514,,0)=0,"",_xlfn.XLOOKUP(C515,customers!$A$1:$A$1001,customers!C514:C1514,,0))</f>
        <v/>
      </c>
      <c r="H515" s="2" t="str">
        <f>_xlfn.XLOOKUP(Orders[[#This Row],[Customer ID]],customers!$A$1:$A$1001,customers!$G$1:$G$1001,,0)</f>
        <v>United States</v>
      </c>
      <c r="I515" s="2" t="str">
        <f>_xlfn.XLOOKUP(Orders[[#This Row],[Customer ID]],customers!$A$1:$A$1001,customers!$F$1:$F$1001,,0)</f>
        <v>Philadelphia</v>
      </c>
      <c r="J515" t="str">
        <f>INDEX(products!$A$1:$G$49,MATCH(orders!$D515,products!$A$1:$A$49,0),MATCH(orders!J$1,products!$A$1:$G$1,0))</f>
        <v>Lib</v>
      </c>
      <c r="K515" t="str">
        <f>INDEX(products!$A$1:$G$49,MATCH(orders!$D515,products!$A$1:$A$49,0),MATCH(orders!K$1,products!$A$1:$G$1,0))</f>
        <v>L</v>
      </c>
      <c r="L515" s="4">
        <f>INDEX(products!$A$1:$G$49,MATCH(orders!$D515,products!$A$1:$A$49,0),MATCH(orders!L$1,products!$A$1:$G$1,0))</f>
        <v>1</v>
      </c>
      <c r="M515" s="5">
        <f>INDEX(products!$A$1:$G$49,MATCH(orders!$D515,products!$A$1:$A$49,0),MATCH(orders!M$1,products!$A$1:$G$1,0))</f>
        <v>15.85</v>
      </c>
      <c r="N515" s="5">
        <f>Orders[[#This Row],[Quantity]]*(INDEX(products!$A$1:$G$49,MATCH(orders!$D515,products!$A$1:$A$49,0),MATCH(orders!N$1,products!$A$1:$G$1,0)))</f>
        <v>10.302500000000002</v>
      </c>
      <c r="O515" s="5">
        <f>M515*E515</f>
        <v>79.25</v>
      </c>
      <c r="P515" t="str">
        <f t="shared" ref="P515:P578" si="16">IF(J515="Rob","Robusta",IF(J515="Exc","Excelsa",IF(J515="Ara","Arabica",IF(J515="Lib","Liberica",""))))</f>
        <v>Liberica</v>
      </c>
      <c r="Q515" t="str">
        <f t="shared" ref="Q515:Q578" si="17">IF(K515="M", "Medium", IF(K515="L", "Light", IF(K515="D", "Dark", "")))</f>
        <v>Light</v>
      </c>
      <c r="R515" t="str">
        <f>_xlfn.XLOOKUP(Orders[[#This Row],[Customer ID]],customers!$A$1:$A$1001,customers!$I$1:$I$1001,,0)</f>
        <v>No</v>
      </c>
    </row>
    <row r="516" spans="1:18" x14ac:dyDescent="0.35">
      <c r="A516" s="2" t="s">
        <v>3396</v>
      </c>
      <c r="B516" s="3">
        <v>44555</v>
      </c>
      <c r="C516" s="2" t="s">
        <v>3397</v>
      </c>
      <c r="D516" t="s">
        <v>6159</v>
      </c>
      <c r="E516" s="2">
        <v>6</v>
      </c>
      <c r="F516" s="2" t="str">
        <f>_xlfn.XLOOKUP(Orders[[#This Row],[Customer ID]],customers!$A$1:$A$1001,customers!$B$1:$B$1001,,0)</f>
        <v>Pippo Witherington</v>
      </c>
      <c r="G516" s="2" t="str">
        <f>IF(_xlfn.XLOOKUP(C516,customers!$A$1:$A$1001,customers!C515:C1515,,0)=0,"",_xlfn.XLOOKUP(C516,customers!$A$1:$A$1001,customers!C515:C1515,,0))</f>
        <v/>
      </c>
      <c r="H516" s="2" t="str">
        <f>_xlfn.XLOOKUP(Orders[[#This Row],[Customer ID]],customers!$A$1:$A$1001,customers!$G$1:$G$1001,,0)</f>
        <v>United States</v>
      </c>
      <c r="I516" s="2" t="str">
        <f>_xlfn.XLOOKUP(Orders[[#This Row],[Customer ID]],customers!$A$1:$A$1001,customers!$F$1:$F$1001,,0)</f>
        <v>Detroit</v>
      </c>
      <c r="J516" t="str">
        <f>INDEX(products!$A$1:$G$49,MATCH(orders!$D516,products!$A$1:$A$49,0),MATCH(orders!J$1,products!$A$1:$G$1,0))</f>
        <v>Lib</v>
      </c>
      <c r="K516" t="str">
        <f>INDEX(products!$A$1:$G$49,MATCH(orders!$D516,products!$A$1:$A$49,0),MATCH(orders!K$1,products!$A$1:$G$1,0))</f>
        <v>M</v>
      </c>
      <c r="L516" s="4">
        <f>INDEX(products!$A$1:$G$49,MATCH(orders!$D516,products!$A$1:$A$49,0),MATCH(orders!L$1,products!$A$1:$G$1,0))</f>
        <v>0.2</v>
      </c>
      <c r="M516" s="5">
        <f>INDEX(products!$A$1:$G$49,MATCH(orders!$D516,products!$A$1:$A$49,0),MATCH(orders!M$1,products!$A$1:$G$1,0))</f>
        <v>4.3650000000000002</v>
      </c>
      <c r="N516" s="5">
        <f>Orders[[#This Row],[Quantity]]*(INDEX(products!$A$1:$G$49,MATCH(orders!$D516,products!$A$1:$A$49,0),MATCH(orders!N$1,products!$A$1:$G$1,0)))</f>
        <v>3.4047000000000001</v>
      </c>
      <c r="O516" s="5">
        <f>M516*E516</f>
        <v>26.19</v>
      </c>
      <c r="P516" t="str">
        <f t="shared" si="16"/>
        <v>Liberica</v>
      </c>
      <c r="Q516" t="str">
        <f t="shared" si="17"/>
        <v>Medium</v>
      </c>
      <c r="R516" t="str">
        <f>_xlfn.XLOOKUP(Orders[[#This Row],[Customer ID]],customers!$A$1:$A$1001,customers!$I$1:$I$1001,,0)</f>
        <v>Yes</v>
      </c>
    </row>
    <row r="517" spans="1:18" x14ac:dyDescent="0.35">
      <c r="A517" s="2" t="s">
        <v>3402</v>
      </c>
      <c r="B517" s="3">
        <v>44673</v>
      </c>
      <c r="C517" s="2" t="s">
        <v>3403</v>
      </c>
      <c r="D517" t="s">
        <v>6173</v>
      </c>
      <c r="E517" s="2">
        <v>3</v>
      </c>
      <c r="F517" s="2" t="str">
        <f>_xlfn.XLOOKUP(Orders[[#This Row],[Customer ID]],customers!$A$1:$A$1001,customers!$B$1:$B$1001,,0)</f>
        <v>Tildie Tilzey</v>
      </c>
      <c r="G517" s="2" t="str">
        <f>IF(_xlfn.XLOOKUP(C517,customers!$A$1:$A$1001,customers!C516:C1516,,0)=0,"",_xlfn.XLOOKUP(C517,customers!$A$1:$A$1001,customers!C516:C1516,,0))</f>
        <v/>
      </c>
      <c r="H517" s="2" t="str">
        <f>_xlfn.XLOOKUP(Orders[[#This Row],[Customer ID]],customers!$A$1:$A$1001,customers!$G$1:$G$1001,,0)</f>
        <v>United States</v>
      </c>
      <c r="I517" s="2" t="str">
        <f>_xlfn.XLOOKUP(Orders[[#This Row],[Customer ID]],customers!$A$1:$A$1001,customers!$F$1:$F$1001,,0)</f>
        <v>Saint Louis</v>
      </c>
      <c r="J517" t="str">
        <f>INDEX(products!$A$1:$G$49,MATCH(orders!$D517,products!$A$1:$A$49,0),MATCH(orders!J$1,products!$A$1:$G$1,0))</f>
        <v>Rob</v>
      </c>
      <c r="K517" t="str">
        <f>INDEX(products!$A$1:$G$49,MATCH(orders!$D517,products!$A$1:$A$49,0),MATCH(orders!K$1,products!$A$1:$G$1,0))</f>
        <v>L</v>
      </c>
      <c r="L517" s="4">
        <f>INDEX(products!$A$1:$G$49,MATCH(orders!$D517,products!$A$1:$A$49,0),MATCH(orders!L$1,products!$A$1:$G$1,0))</f>
        <v>0.5</v>
      </c>
      <c r="M517" s="5">
        <f>INDEX(products!$A$1:$G$49,MATCH(orders!$D517,products!$A$1:$A$49,0),MATCH(orders!M$1,products!$A$1:$G$1,0))</f>
        <v>7.169999999999999</v>
      </c>
      <c r="N517" s="5">
        <f>Orders[[#This Row],[Quantity]]*(INDEX(products!$A$1:$G$49,MATCH(orders!$D517,products!$A$1:$A$49,0),MATCH(orders!N$1,products!$A$1:$G$1,0)))</f>
        <v>1.2905999999999997</v>
      </c>
      <c r="O517" s="5">
        <f>M517*E517</f>
        <v>21.509999999999998</v>
      </c>
      <c r="P517" t="str">
        <f t="shared" si="16"/>
        <v>Robusta</v>
      </c>
      <c r="Q517" t="str">
        <f t="shared" si="17"/>
        <v>Light</v>
      </c>
      <c r="R517" t="str">
        <f>_xlfn.XLOOKUP(Orders[[#This Row],[Customer ID]],customers!$A$1:$A$1001,customers!$I$1:$I$1001,,0)</f>
        <v>No</v>
      </c>
    </row>
    <row r="518" spans="1:18" x14ac:dyDescent="0.35">
      <c r="A518" s="2" t="s">
        <v>3408</v>
      </c>
      <c r="B518" s="3">
        <v>44723</v>
      </c>
      <c r="C518" s="2" t="s">
        <v>3409</v>
      </c>
      <c r="D518" t="s">
        <v>6149</v>
      </c>
      <c r="E518" s="2">
        <v>5</v>
      </c>
      <c r="F518" s="2" t="str">
        <f>_xlfn.XLOOKUP(Orders[[#This Row],[Customer ID]],customers!$A$1:$A$1001,customers!$B$1:$B$1001,,0)</f>
        <v>Cindra Burling</v>
      </c>
      <c r="G518" s="2" t="str">
        <f>IF(_xlfn.XLOOKUP(C518,customers!$A$1:$A$1001,customers!C517:C1517,,0)=0,"",_xlfn.XLOOKUP(C518,customers!$A$1:$A$1001,customers!C517:C1517,,0))</f>
        <v/>
      </c>
      <c r="H518" s="2" t="str">
        <f>_xlfn.XLOOKUP(Orders[[#This Row],[Customer ID]],customers!$A$1:$A$1001,customers!$G$1:$G$1001,,0)</f>
        <v>United States</v>
      </c>
      <c r="I518" s="2" t="str">
        <f>_xlfn.XLOOKUP(Orders[[#This Row],[Customer ID]],customers!$A$1:$A$1001,customers!$F$1:$F$1001,,0)</f>
        <v>Schenectady</v>
      </c>
      <c r="J518" t="str">
        <f>INDEX(products!$A$1:$G$49,MATCH(orders!$D518,products!$A$1:$A$49,0),MATCH(orders!J$1,products!$A$1:$G$1,0))</f>
        <v>Rob</v>
      </c>
      <c r="K518" t="str">
        <f>INDEX(products!$A$1:$G$49,MATCH(orders!$D518,products!$A$1:$A$49,0),MATCH(orders!K$1,products!$A$1:$G$1,0))</f>
        <v>D</v>
      </c>
      <c r="L518" s="4">
        <f>INDEX(products!$A$1:$G$49,MATCH(orders!$D518,products!$A$1:$A$49,0),MATCH(orders!L$1,products!$A$1:$G$1,0))</f>
        <v>2.5</v>
      </c>
      <c r="M518" s="5">
        <f>INDEX(products!$A$1:$G$49,MATCH(orders!$D518,products!$A$1:$A$49,0),MATCH(orders!M$1,products!$A$1:$G$1,0))</f>
        <v>20.584999999999997</v>
      </c>
      <c r="N518" s="5">
        <f>Orders[[#This Row],[Quantity]]*(INDEX(products!$A$1:$G$49,MATCH(orders!$D518,products!$A$1:$A$49,0),MATCH(orders!N$1,products!$A$1:$G$1,0)))</f>
        <v>6.1754999999999995</v>
      </c>
      <c r="O518" s="5">
        <f>M518*E518</f>
        <v>102.92499999999998</v>
      </c>
      <c r="P518" t="str">
        <f t="shared" si="16"/>
        <v>Robusta</v>
      </c>
      <c r="Q518" t="str">
        <f t="shared" si="17"/>
        <v>Dark</v>
      </c>
      <c r="R518" t="str">
        <f>_xlfn.XLOOKUP(Orders[[#This Row],[Customer ID]],customers!$A$1:$A$1001,customers!$I$1:$I$1001,,0)</f>
        <v>Yes</v>
      </c>
    </row>
    <row r="519" spans="1:18" x14ac:dyDescent="0.35">
      <c r="A519" s="2" t="s">
        <v>3413</v>
      </c>
      <c r="B519" s="3">
        <v>44678</v>
      </c>
      <c r="C519" s="2" t="s">
        <v>3414</v>
      </c>
      <c r="D519" t="s">
        <v>6150</v>
      </c>
      <c r="E519" s="2">
        <v>2</v>
      </c>
      <c r="F519" s="2" t="str">
        <f>_xlfn.XLOOKUP(Orders[[#This Row],[Customer ID]],customers!$A$1:$A$1001,customers!$B$1:$B$1001,,0)</f>
        <v>Channa Belamy</v>
      </c>
      <c r="G519" s="2" t="str">
        <f>IF(_xlfn.XLOOKUP(C519,customers!$A$1:$A$1001,customers!C518:C1518,,0)=0,"",_xlfn.XLOOKUP(C519,customers!$A$1:$A$1001,customers!C518:C1518,,0))</f>
        <v/>
      </c>
      <c r="H519" s="2" t="str">
        <f>_xlfn.XLOOKUP(Orders[[#This Row],[Customer ID]],customers!$A$1:$A$1001,customers!$G$1:$G$1001,,0)</f>
        <v>United States</v>
      </c>
      <c r="I519" s="2" t="str">
        <f>_xlfn.XLOOKUP(Orders[[#This Row],[Customer ID]],customers!$A$1:$A$1001,customers!$F$1:$F$1001,,0)</f>
        <v>Lakeland</v>
      </c>
      <c r="J519" t="str">
        <f>INDEX(products!$A$1:$G$49,MATCH(orders!$D519,products!$A$1:$A$49,0),MATCH(orders!J$1,products!$A$1:$G$1,0))</f>
        <v>Lib</v>
      </c>
      <c r="K519" t="str">
        <f>INDEX(products!$A$1:$G$49,MATCH(orders!$D519,products!$A$1:$A$49,0),MATCH(orders!K$1,products!$A$1:$G$1,0))</f>
        <v>D</v>
      </c>
      <c r="L519" s="4">
        <f>INDEX(products!$A$1:$G$49,MATCH(orders!$D519,products!$A$1:$A$49,0),MATCH(orders!L$1,products!$A$1:$G$1,0))</f>
        <v>0.2</v>
      </c>
      <c r="M519" s="5">
        <f>INDEX(products!$A$1:$G$49,MATCH(orders!$D519,products!$A$1:$A$49,0),MATCH(orders!M$1,products!$A$1:$G$1,0))</f>
        <v>3.8849999999999998</v>
      </c>
      <c r="N519" s="5">
        <f>Orders[[#This Row],[Quantity]]*(INDEX(products!$A$1:$G$49,MATCH(orders!$D519,products!$A$1:$A$49,0),MATCH(orders!N$1,products!$A$1:$G$1,0)))</f>
        <v>1.0101</v>
      </c>
      <c r="O519" s="5">
        <f>M519*E519</f>
        <v>7.77</v>
      </c>
      <c r="P519" t="str">
        <f t="shared" si="16"/>
        <v>Liberica</v>
      </c>
      <c r="Q519" t="str">
        <f t="shared" si="17"/>
        <v>Dark</v>
      </c>
      <c r="R519" t="str">
        <f>_xlfn.XLOOKUP(Orders[[#This Row],[Customer ID]],customers!$A$1:$A$1001,customers!$I$1:$I$1001,,0)</f>
        <v>No</v>
      </c>
    </row>
    <row r="520" spans="1:18" x14ac:dyDescent="0.35">
      <c r="A520" s="2" t="s">
        <v>3418</v>
      </c>
      <c r="B520" s="3">
        <v>44194</v>
      </c>
      <c r="C520" s="2" t="s">
        <v>3419</v>
      </c>
      <c r="D520" t="s">
        <v>6185</v>
      </c>
      <c r="E520" s="2">
        <v>5</v>
      </c>
      <c r="F520" s="2" t="str">
        <f>_xlfn.XLOOKUP(Orders[[#This Row],[Customer ID]],customers!$A$1:$A$1001,customers!$B$1:$B$1001,,0)</f>
        <v>Karl Imorts</v>
      </c>
      <c r="G520" s="2" t="str">
        <f>IF(_xlfn.XLOOKUP(C520,customers!$A$1:$A$1001,customers!C519:C1519,,0)=0,"",_xlfn.XLOOKUP(C520,customers!$A$1:$A$1001,customers!C519:C1519,,0))</f>
        <v/>
      </c>
      <c r="H520" s="2" t="str">
        <f>_xlfn.XLOOKUP(Orders[[#This Row],[Customer ID]],customers!$A$1:$A$1001,customers!$G$1:$G$1001,,0)</f>
        <v>United States</v>
      </c>
      <c r="I520" s="2" t="str">
        <f>_xlfn.XLOOKUP(Orders[[#This Row],[Customer ID]],customers!$A$1:$A$1001,customers!$F$1:$F$1001,,0)</f>
        <v>Melbourne</v>
      </c>
      <c r="J520" t="str">
        <f>INDEX(products!$A$1:$G$49,MATCH(orders!$D520,products!$A$1:$A$49,0),MATCH(orders!J$1,products!$A$1:$G$1,0))</f>
        <v>Exc</v>
      </c>
      <c r="K520" t="str">
        <f>INDEX(products!$A$1:$G$49,MATCH(orders!$D520,products!$A$1:$A$49,0),MATCH(orders!K$1,products!$A$1:$G$1,0))</f>
        <v>D</v>
      </c>
      <c r="L520" s="4">
        <f>INDEX(products!$A$1:$G$49,MATCH(orders!$D520,products!$A$1:$A$49,0),MATCH(orders!L$1,products!$A$1:$G$1,0))</f>
        <v>2.5</v>
      </c>
      <c r="M520" s="5">
        <f>INDEX(products!$A$1:$G$49,MATCH(orders!$D520,products!$A$1:$A$49,0),MATCH(orders!M$1,products!$A$1:$G$1,0))</f>
        <v>27.945</v>
      </c>
      <c r="N520" s="5">
        <f>Orders[[#This Row],[Quantity]]*(INDEX(products!$A$1:$G$49,MATCH(orders!$D520,products!$A$1:$A$49,0),MATCH(orders!N$1,products!$A$1:$G$1,0)))</f>
        <v>15.36975</v>
      </c>
      <c r="O520" s="5">
        <f>M520*E520</f>
        <v>139.72499999999999</v>
      </c>
      <c r="P520" t="str">
        <f t="shared" si="16"/>
        <v>Excelsa</v>
      </c>
      <c r="Q520" t="str">
        <f t="shared" si="17"/>
        <v>Dark</v>
      </c>
      <c r="R520" t="str">
        <f>_xlfn.XLOOKUP(Orders[[#This Row],[Customer ID]],customers!$A$1:$A$1001,customers!$I$1:$I$1001,,0)</f>
        <v>No</v>
      </c>
    </row>
    <row r="521" spans="1:18" x14ac:dyDescent="0.35">
      <c r="A521" s="2" t="s">
        <v>3424</v>
      </c>
      <c r="B521" s="3">
        <v>44026</v>
      </c>
      <c r="C521" s="2" t="s">
        <v>3368</v>
      </c>
      <c r="D521" t="s">
        <v>6158</v>
      </c>
      <c r="E521" s="2">
        <v>2</v>
      </c>
      <c r="F521" s="2" t="str">
        <f>_xlfn.XLOOKUP(Orders[[#This Row],[Customer ID]],customers!$A$1:$A$1001,customers!$B$1:$B$1001,,0)</f>
        <v>Marja Urion</v>
      </c>
      <c r="G521" s="2" t="str">
        <f>IF(_xlfn.XLOOKUP(C521,customers!$A$1:$A$1001,customers!C520:C1520,,0)=0,"",_xlfn.XLOOKUP(C521,customers!$A$1:$A$1001,customers!C520:C1520,,0))</f>
        <v/>
      </c>
      <c r="H521" s="2" t="str">
        <f>_xlfn.XLOOKUP(Orders[[#This Row],[Customer ID]],customers!$A$1:$A$1001,customers!$G$1:$G$1001,,0)</f>
        <v>Ireland</v>
      </c>
      <c r="I521" s="2" t="str">
        <f>_xlfn.XLOOKUP(Orders[[#This Row],[Customer ID]],customers!$A$1:$A$1001,customers!$F$1:$F$1001,,0)</f>
        <v>Virginia</v>
      </c>
      <c r="J521" t="str">
        <f>INDEX(products!$A$1:$G$49,MATCH(orders!$D521,products!$A$1:$A$49,0),MATCH(orders!J$1,products!$A$1:$G$1,0))</f>
        <v>Ara</v>
      </c>
      <c r="K521" t="str">
        <f>INDEX(products!$A$1:$G$49,MATCH(orders!$D521,products!$A$1:$A$49,0),MATCH(orders!K$1,products!$A$1:$G$1,0))</f>
        <v>D</v>
      </c>
      <c r="L521" s="4">
        <f>INDEX(products!$A$1:$G$49,MATCH(orders!$D521,products!$A$1:$A$49,0),MATCH(orders!L$1,products!$A$1:$G$1,0))</f>
        <v>0.5</v>
      </c>
      <c r="M521" s="5">
        <f>INDEX(products!$A$1:$G$49,MATCH(orders!$D521,products!$A$1:$A$49,0),MATCH(orders!M$1,products!$A$1:$G$1,0))</f>
        <v>5.97</v>
      </c>
      <c r="N521" s="5">
        <f>Orders[[#This Row],[Quantity]]*(INDEX(products!$A$1:$G$49,MATCH(orders!$D521,products!$A$1:$A$49,0),MATCH(orders!N$1,products!$A$1:$G$1,0)))</f>
        <v>1.0746</v>
      </c>
      <c r="O521" s="5">
        <f>M521*E521</f>
        <v>11.94</v>
      </c>
      <c r="P521" t="str">
        <f t="shared" si="16"/>
        <v>Arabica</v>
      </c>
      <c r="Q521" t="str">
        <f t="shared" si="17"/>
        <v>Dark</v>
      </c>
      <c r="R521" t="str">
        <f>_xlfn.XLOOKUP(Orders[[#This Row],[Customer ID]],customers!$A$1:$A$1001,customers!$I$1:$I$1001,,0)</f>
        <v>Yes</v>
      </c>
    </row>
    <row r="522" spans="1:18" x14ac:dyDescent="0.35">
      <c r="A522" s="2" t="s">
        <v>3430</v>
      </c>
      <c r="B522" s="3">
        <v>44446</v>
      </c>
      <c r="C522" s="2" t="s">
        <v>3431</v>
      </c>
      <c r="D522" t="s">
        <v>6150</v>
      </c>
      <c r="E522" s="2">
        <v>1</v>
      </c>
      <c r="F522" s="2" t="str">
        <f>_xlfn.XLOOKUP(Orders[[#This Row],[Customer ID]],customers!$A$1:$A$1001,customers!$B$1:$B$1001,,0)</f>
        <v>Mag Armistead</v>
      </c>
      <c r="G522" s="2" t="str">
        <f>IF(_xlfn.XLOOKUP(C522,customers!$A$1:$A$1001,customers!C521:C1521,,0)=0,"",_xlfn.XLOOKUP(C522,customers!$A$1:$A$1001,customers!C521:C1521,,0))</f>
        <v/>
      </c>
      <c r="H522" s="2" t="str">
        <f>_xlfn.XLOOKUP(Orders[[#This Row],[Customer ID]],customers!$A$1:$A$1001,customers!$G$1:$G$1001,,0)</f>
        <v>United States</v>
      </c>
      <c r="I522" s="2" t="str">
        <f>_xlfn.XLOOKUP(Orders[[#This Row],[Customer ID]],customers!$A$1:$A$1001,customers!$F$1:$F$1001,,0)</f>
        <v>New Orleans</v>
      </c>
      <c r="J522" t="str">
        <f>INDEX(products!$A$1:$G$49,MATCH(orders!$D522,products!$A$1:$A$49,0),MATCH(orders!J$1,products!$A$1:$G$1,0))</f>
        <v>Lib</v>
      </c>
      <c r="K522" t="str">
        <f>INDEX(products!$A$1:$G$49,MATCH(orders!$D522,products!$A$1:$A$49,0),MATCH(orders!K$1,products!$A$1:$G$1,0))</f>
        <v>D</v>
      </c>
      <c r="L522" s="4">
        <f>INDEX(products!$A$1:$G$49,MATCH(orders!$D522,products!$A$1:$A$49,0),MATCH(orders!L$1,products!$A$1:$G$1,0))</f>
        <v>0.2</v>
      </c>
      <c r="M522" s="5">
        <f>INDEX(products!$A$1:$G$49,MATCH(orders!$D522,products!$A$1:$A$49,0),MATCH(orders!M$1,products!$A$1:$G$1,0))</f>
        <v>3.8849999999999998</v>
      </c>
      <c r="N522" s="5">
        <f>Orders[[#This Row],[Quantity]]*(INDEX(products!$A$1:$G$49,MATCH(orders!$D522,products!$A$1:$A$49,0),MATCH(orders!N$1,products!$A$1:$G$1,0)))</f>
        <v>0.50505</v>
      </c>
      <c r="O522" s="5">
        <f>M522*E522</f>
        <v>3.8849999999999998</v>
      </c>
      <c r="P522" t="str">
        <f t="shared" si="16"/>
        <v>Liberica</v>
      </c>
      <c r="Q522" t="str">
        <f t="shared" si="17"/>
        <v>Dark</v>
      </c>
      <c r="R522" t="str">
        <f>_xlfn.XLOOKUP(Orders[[#This Row],[Customer ID]],customers!$A$1:$A$1001,customers!$I$1:$I$1001,,0)</f>
        <v>No</v>
      </c>
    </row>
    <row r="523" spans="1:18" x14ac:dyDescent="0.35">
      <c r="A523" s="2" t="s">
        <v>3430</v>
      </c>
      <c r="B523" s="3">
        <v>44446</v>
      </c>
      <c r="C523" s="2" t="s">
        <v>3431</v>
      </c>
      <c r="D523" t="s">
        <v>6138</v>
      </c>
      <c r="E523" s="2">
        <v>4</v>
      </c>
      <c r="F523" s="2" t="str">
        <f>_xlfn.XLOOKUP(Orders[[#This Row],[Customer ID]],customers!$A$1:$A$1001,customers!$B$1:$B$1001,,0)</f>
        <v>Mag Armistead</v>
      </c>
      <c r="G523" s="2" t="str">
        <f>IF(_xlfn.XLOOKUP(C523,customers!$A$1:$A$1001,customers!C522:C1522,,0)=0,"",_xlfn.XLOOKUP(C523,customers!$A$1:$A$1001,customers!C522:C1522,,0))</f>
        <v/>
      </c>
      <c r="H523" s="2" t="str">
        <f>_xlfn.XLOOKUP(Orders[[#This Row],[Customer ID]],customers!$A$1:$A$1001,customers!$G$1:$G$1001,,0)</f>
        <v>United States</v>
      </c>
      <c r="I523" s="2" t="str">
        <f>_xlfn.XLOOKUP(Orders[[#This Row],[Customer ID]],customers!$A$1:$A$1001,customers!$F$1:$F$1001,,0)</f>
        <v>New Orleans</v>
      </c>
      <c r="J523" t="str">
        <f>INDEX(products!$A$1:$G$49,MATCH(orders!$D523,products!$A$1:$A$49,0),MATCH(orders!J$1,products!$A$1:$G$1,0))</f>
        <v>Rob</v>
      </c>
      <c r="K523" t="str">
        <f>INDEX(products!$A$1:$G$49,MATCH(orders!$D523,products!$A$1:$A$49,0),MATCH(orders!K$1,products!$A$1:$G$1,0))</f>
        <v>M</v>
      </c>
      <c r="L523" s="4">
        <f>INDEX(products!$A$1:$G$49,MATCH(orders!$D523,products!$A$1:$A$49,0),MATCH(orders!L$1,products!$A$1:$G$1,0))</f>
        <v>1</v>
      </c>
      <c r="M523" s="5">
        <f>INDEX(products!$A$1:$G$49,MATCH(orders!$D523,products!$A$1:$A$49,0),MATCH(orders!M$1,products!$A$1:$G$1,0))</f>
        <v>9.9499999999999993</v>
      </c>
      <c r="N523" s="5">
        <f>Orders[[#This Row],[Quantity]]*(INDEX(products!$A$1:$G$49,MATCH(orders!$D523,products!$A$1:$A$49,0),MATCH(orders!N$1,products!$A$1:$G$1,0)))</f>
        <v>2.3879999999999999</v>
      </c>
      <c r="O523" s="5">
        <f>M523*E523</f>
        <v>39.799999999999997</v>
      </c>
      <c r="P523" t="str">
        <f t="shared" si="16"/>
        <v>Robusta</v>
      </c>
      <c r="Q523" t="str">
        <f t="shared" si="17"/>
        <v>Medium</v>
      </c>
      <c r="R523" t="str">
        <f>_xlfn.XLOOKUP(Orders[[#This Row],[Customer ID]],customers!$A$1:$A$1001,customers!$I$1:$I$1001,,0)</f>
        <v>No</v>
      </c>
    </row>
    <row r="524" spans="1:18" x14ac:dyDescent="0.35">
      <c r="A524" s="2" t="s">
        <v>3441</v>
      </c>
      <c r="B524" s="3">
        <v>43625</v>
      </c>
      <c r="C524" s="2" t="s">
        <v>3442</v>
      </c>
      <c r="D524" t="s">
        <v>6146</v>
      </c>
      <c r="E524" s="2">
        <v>5</v>
      </c>
      <c r="F524" s="2" t="str">
        <f>_xlfn.XLOOKUP(Orders[[#This Row],[Customer ID]],customers!$A$1:$A$1001,customers!$B$1:$B$1001,,0)</f>
        <v>Vasili Upstone</v>
      </c>
      <c r="G524" s="2" t="str">
        <f>IF(_xlfn.XLOOKUP(C524,customers!$A$1:$A$1001,customers!C523:C1523,,0)=0,"",_xlfn.XLOOKUP(C524,customers!$A$1:$A$1001,customers!C523:C1523,,0))</f>
        <v/>
      </c>
      <c r="H524" s="2" t="str">
        <f>_xlfn.XLOOKUP(Orders[[#This Row],[Customer ID]],customers!$A$1:$A$1001,customers!$G$1:$G$1001,,0)</f>
        <v>United States</v>
      </c>
      <c r="I524" s="2" t="str">
        <f>_xlfn.XLOOKUP(Orders[[#This Row],[Customer ID]],customers!$A$1:$A$1001,customers!$F$1:$F$1001,,0)</f>
        <v>Topeka</v>
      </c>
      <c r="J524" t="str">
        <f>INDEX(products!$A$1:$G$49,MATCH(orders!$D524,products!$A$1:$A$49,0),MATCH(orders!J$1,products!$A$1:$G$1,0))</f>
        <v>Rob</v>
      </c>
      <c r="K524" t="str">
        <f>INDEX(products!$A$1:$G$49,MATCH(orders!$D524,products!$A$1:$A$49,0),MATCH(orders!K$1,products!$A$1:$G$1,0))</f>
        <v>M</v>
      </c>
      <c r="L524" s="4">
        <f>INDEX(products!$A$1:$G$49,MATCH(orders!$D524,products!$A$1:$A$49,0),MATCH(orders!L$1,products!$A$1:$G$1,0))</f>
        <v>0.5</v>
      </c>
      <c r="M524" s="5">
        <f>INDEX(products!$A$1:$G$49,MATCH(orders!$D524,products!$A$1:$A$49,0),MATCH(orders!M$1,products!$A$1:$G$1,0))</f>
        <v>5.97</v>
      </c>
      <c r="N524" s="5">
        <f>Orders[[#This Row],[Quantity]]*(INDEX(products!$A$1:$G$49,MATCH(orders!$D524,products!$A$1:$A$49,0),MATCH(orders!N$1,products!$A$1:$G$1,0)))</f>
        <v>1.7909999999999999</v>
      </c>
      <c r="O524" s="5">
        <f>M524*E524</f>
        <v>29.849999999999998</v>
      </c>
      <c r="P524" t="str">
        <f t="shared" si="16"/>
        <v>Robusta</v>
      </c>
      <c r="Q524" t="str">
        <f t="shared" si="17"/>
        <v>Medium</v>
      </c>
      <c r="R524" t="str">
        <f>_xlfn.XLOOKUP(Orders[[#This Row],[Customer ID]],customers!$A$1:$A$1001,customers!$I$1:$I$1001,,0)</f>
        <v>No</v>
      </c>
    </row>
    <row r="525" spans="1:18" x14ac:dyDescent="0.35">
      <c r="A525" s="2" t="s">
        <v>3447</v>
      </c>
      <c r="B525" s="3">
        <v>44129</v>
      </c>
      <c r="C525" s="2" t="s">
        <v>3448</v>
      </c>
      <c r="D525" t="s">
        <v>6165</v>
      </c>
      <c r="E525" s="2">
        <v>1</v>
      </c>
      <c r="F525" s="2" t="str">
        <f>_xlfn.XLOOKUP(Orders[[#This Row],[Customer ID]],customers!$A$1:$A$1001,customers!$B$1:$B$1001,,0)</f>
        <v>Berty Beelby</v>
      </c>
      <c r="G525" s="2" t="str">
        <f>IF(_xlfn.XLOOKUP(C525,customers!$A$1:$A$1001,customers!C524:C1524,,0)=0,"",_xlfn.XLOOKUP(C525,customers!$A$1:$A$1001,customers!C524:C1524,,0))</f>
        <v/>
      </c>
      <c r="H525" s="2" t="str">
        <f>_xlfn.XLOOKUP(Orders[[#This Row],[Customer ID]],customers!$A$1:$A$1001,customers!$G$1:$G$1001,,0)</f>
        <v>Ireland</v>
      </c>
      <c r="I525" s="2" t="str">
        <f>_xlfn.XLOOKUP(Orders[[#This Row],[Customer ID]],customers!$A$1:$A$1001,customers!$F$1:$F$1001,,0)</f>
        <v>Lucan</v>
      </c>
      <c r="J525" t="str">
        <f>INDEX(products!$A$1:$G$49,MATCH(orders!$D525,products!$A$1:$A$49,0),MATCH(orders!J$1,products!$A$1:$G$1,0))</f>
        <v>Lib</v>
      </c>
      <c r="K525" t="str">
        <f>INDEX(products!$A$1:$G$49,MATCH(orders!$D525,products!$A$1:$A$49,0),MATCH(orders!K$1,products!$A$1:$G$1,0))</f>
        <v>D</v>
      </c>
      <c r="L525" s="4">
        <f>INDEX(products!$A$1:$G$49,MATCH(orders!$D525,products!$A$1:$A$49,0),MATCH(orders!L$1,products!$A$1:$G$1,0))</f>
        <v>2.5</v>
      </c>
      <c r="M525" s="5">
        <f>INDEX(products!$A$1:$G$49,MATCH(orders!$D525,products!$A$1:$A$49,0),MATCH(orders!M$1,products!$A$1:$G$1,0))</f>
        <v>29.784999999999997</v>
      </c>
      <c r="N525" s="5">
        <f>Orders[[#This Row],[Quantity]]*(INDEX(products!$A$1:$G$49,MATCH(orders!$D525,products!$A$1:$A$49,0),MATCH(orders!N$1,products!$A$1:$G$1,0)))</f>
        <v>3.8720499999999998</v>
      </c>
      <c r="O525" s="5">
        <f>M525*E525</f>
        <v>29.784999999999997</v>
      </c>
      <c r="P525" t="str">
        <f t="shared" si="16"/>
        <v>Liberica</v>
      </c>
      <c r="Q525" t="str">
        <f t="shared" si="17"/>
        <v>Dark</v>
      </c>
      <c r="R525" t="str">
        <f>_xlfn.XLOOKUP(Orders[[#This Row],[Customer ID]],customers!$A$1:$A$1001,customers!$I$1:$I$1001,,0)</f>
        <v>No</v>
      </c>
    </row>
    <row r="526" spans="1:18" x14ac:dyDescent="0.35">
      <c r="A526" s="2" t="s">
        <v>3453</v>
      </c>
      <c r="B526" s="3">
        <v>44255</v>
      </c>
      <c r="C526" s="2" t="s">
        <v>3454</v>
      </c>
      <c r="D526" t="s">
        <v>6164</v>
      </c>
      <c r="E526" s="2">
        <v>2</v>
      </c>
      <c r="F526" s="2" t="str">
        <f>_xlfn.XLOOKUP(Orders[[#This Row],[Customer ID]],customers!$A$1:$A$1001,customers!$B$1:$B$1001,,0)</f>
        <v>Erny Stenyng</v>
      </c>
      <c r="G526" s="2" t="str">
        <f>IF(_xlfn.XLOOKUP(C526,customers!$A$1:$A$1001,customers!C525:C1525,,0)=0,"",_xlfn.XLOOKUP(C526,customers!$A$1:$A$1001,customers!C525:C1525,,0))</f>
        <v/>
      </c>
      <c r="H526" s="2" t="str">
        <f>_xlfn.XLOOKUP(Orders[[#This Row],[Customer ID]],customers!$A$1:$A$1001,customers!$G$1:$G$1001,,0)</f>
        <v>United States</v>
      </c>
      <c r="I526" s="2" t="str">
        <f>_xlfn.XLOOKUP(Orders[[#This Row],[Customer ID]],customers!$A$1:$A$1001,customers!$F$1:$F$1001,,0)</f>
        <v>Springfield</v>
      </c>
      <c r="J526" t="str">
        <f>INDEX(products!$A$1:$G$49,MATCH(orders!$D526,products!$A$1:$A$49,0),MATCH(orders!J$1,products!$A$1:$G$1,0))</f>
        <v>Lib</v>
      </c>
      <c r="K526" t="str">
        <f>INDEX(products!$A$1:$G$49,MATCH(orders!$D526,products!$A$1:$A$49,0),MATCH(orders!K$1,products!$A$1:$G$1,0))</f>
        <v>L</v>
      </c>
      <c r="L526" s="4">
        <f>INDEX(products!$A$1:$G$49,MATCH(orders!$D526,products!$A$1:$A$49,0),MATCH(orders!L$1,products!$A$1:$G$1,0))</f>
        <v>2.5</v>
      </c>
      <c r="M526" s="5">
        <f>INDEX(products!$A$1:$G$49,MATCH(orders!$D526,products!$A$1:$A$49,0),MATCH(orders!M$1,products!$A$1:$G$1,0))</f>
        <v>36.454999999999998</v>
      </c>
      <c r="N526" s="5">
        <f>Orders[[#This Row],[Quantity]]*(INDEX(products!$A$1:$G$49,MATCH(orders!$D526,products!$A$1:$A$49,0),MATCH(orders!N$1,products!$A$1:$G$1,0)))</f>
        <v>9.4782999999999991</v>
      </c>
      <c r="O526" s="5">
        <f>M526*E526</f>
        <v>72.91</v>
      </c>
      <c r="P526" t="str">
        <f t="shared" si="16"/>
        <v>Liberica</v>
      </c>
      <c r="Q526" t="str">
        <f t="shared" si="17"/>
        <v>Light</v>
      </c>
      <c r="R526" t="str">
        <f>_xlfn.XLOOKUP(Orders[[#This Row],[Customer ID]],customers!$A$1:$A$1001,customers!$I$1:$I$1001,,0)</f>
        <v>No</v>
      </c>
    </row>
    <row r="527" spans="1:18" x14ac:dyDescent="0.35">
      <c r="A527" s="2" t="s">
        <v>3458</v>
      </c>
      <c r="B527" s="3">
        <v>44038</v>
      </c>
      <c r="C527" s="2" t="s">
        <v>3459</v>
      </c>
      <c r="D527" t="s">
        <v>6163</v>
      </c>
      <c r="E527" s="2">
        <v>5</v>
      </c>
      <c r="F527" s="2" t="str">
        <f>_xlfn.XLOOKUP(Orders[[#This Row],[Customer ID]],customers!$A$1:$A$1001,customers!$B$1:$B$1001,,0)</f>
        <v>Edin Yantsurev</v>
      </c>
      <c r="G527" s="2" t="str">
        <f>IF(_xlfn.XLOOKUP(C527,customers!$A$1:$A$1001,customers!C526:C1526,,0)=0,"",_xlfn.XLOOKUP(C527,customers!$A$1:$A$1001,customers!C526:C1526,,0))</f>
        <v/>
      </c>
      <c r="H527" s="2" t="str">
        <f>_xlfn.XLOOKUP(Orders[[#This Row],[Customer ID]],customers!$A$1:$A$1001,customers!$G$1:$G$1001,,0)</f>
        <v>United States</v>
      </c>
      <c r="I527" s="2" t="str">
        <f>_xlfn.XLOOKUP(Orders[[#This Row],[Customer ID]],customers!$A$1:$A$1001,customers!$F$1:$F$1001,,0)</f>
        <v>Camden</v>
      </c>
      <c r="J527" t="str">
        <f>INDEX(products!$A$1:$G$49,MATCH(orders!$D527,products!$A$1:$A$49,0),MATCH(orders!J$1,products!$A$1:$G$1,0))</f>
        <v>Rob</v>
      </c>
      <c r="K527" t="str">
        <f>INDEX(products!$A$1:$G$49,MATCH(orders!$D527,products!$A$1:$A$49,0),MATCH(orders!K$1,products!$A$1:$G$1,0))</f>
        <v>D</v>
      </c>
      <c r="L527" s="4">
        <f>INDEX(products!$A$1:$G$49,MATCH(orders!$D527,products!$A$1:$A$49,0),MATCH(orders!L$1,products!$A$1:$G$1,0))</f>
        <v>0.2</v>
      </c>
      <c r="M527" s="5">
        <f>INDEX(products!$A$1:$G$49,MATCH(orders!$D527,products!$A$1:$A$49,0),MATCH(orders!M$1,products!$A$1:$G$1,0))</f>
        <v>2.6849999999999996</v>
      </c>
      <c r="N527" s="5">
        <f>Orders[[#This Row],[Quantity]]*(INDEX(products!$A$1:$G$49,MATCH(orders!$D527,products!$A$1:$A$49,0),MATCH(orders!N$1,products!$A$1:$G$1,0)))</f>
        <v>0.80549999999999988</v>
      </c>
      <c r="O527" s="5">
        <f>M527*E527</f>
        <v>13.424999999999997</v>
      </c>
      <c r="P527" t="str">
        <f t="shared" si="16"/>
        <v>Robusta</v>
      </c>
      <c r="Q527" t="str">
        <f t="shared" si="17"/>
        <v>Dark</v>
      </c>
      <c r="R527" t="str">
        <f>_xlfn.XLOOKUP(Orders[[#This Row],[Customer ID]],customers!$A$1:$A$1001,customers!$I$1:$I$1001,,0)</f>
        <v>Yes</v>
      </c>
    </row>
    <row r="528" spans="1:18" x14ac:dyDescent="0.35">
      <c r="A528" s="2" t="s">
        <v>3463</v>
      </c>
      <c r="B528" s="3">
        <v>44717</v>
      </c>
      <c r="C528" s="2" t="s">
        <v>3464</v>
      </c>
      <c r="D528" t="s">
        <v>6166</v>
      </c>
      <c r="E528" s="2">
        <v>4</v>
      </c>
      <c r="F528" s="2" t="str">
        <f>_xlfn.XLOOKUP(Orders[[#This Row],[Customer ID]],customers!$A$1:$A$1001,customers!$B$1:$B$1001,,0)</f>
        <v>Webb Speechly</v>
      </c>
      <c r="G528" s="2" t="str">
        <f>IF(_xlfn.XLOOKUP(C528,customers!$A$1:$A$1001,customers!C527:C1527,,0)=0,"",_xlfn.XLOOKUP(C528,customers!$A$1:$A$1001,customers!C527:C1527,,0))</f>
        <v/>
      </c>
      <c r="H528" s="2" t="str">
        <f>_xlfn.XLOOKUP(Orders[[#This Row],[Customer ID]],customers!$A$1:$A$1001,customers!$G$1:$G$1001,,0)</f>
        <v>United States</v>
      </c>
      <c r="I528" s="2" t="str">
        <f>_xlfn.XLOOKUP(Orders[[#This Row],[Customer ID]],customers!$A$1:$A$1001,customers!$F$1:$F$1001,,0)</f>
        <v>Seattle</v>
      </c>
      <c r="J528" t="str">
        <f>INDEX(products!$A$1:$G$49,MATCH(orders!$D528,products!$A$1:$A$49,0),MATCH(orders!J$1,products!$A$1:$G$1,0))</f>
        <v>Exc</v>
      </c>
      <c r="K528" t="str">
        <f>INDEX(products!$A$1:$G$49,MATCH(orders!$D528,products!$A$1:$A$49,0),MATCH(orders!K$1,products!$A$1:$G$1,0))</f>
        <v>M</v>
      </c>
      <c r="L528" s="4">
        <f>INDEX(products!$A$1:$G$49,MATCH(orders!$D528,products!$A$1:$A$49,0),MATCH(orders!L$1,products!$A$1:$G$1,0))</f>
        <v>2.5</v>
      </c>
      <c r="M528" s="5">
        <f>INDEX(products!$A$1:$G$49,MATCH(orders!$D528,products!$A$1:$A$49,0),MATCH(orders!M$1,products!$A$1:$G$1,0))</f>
        <v>31.624999999999996</v>
      </c>
      <c r="N528" s="5">
        <f>Orders[[#This Row],[Quantity]]*(INDEX(products!$A$1:$G$49,MATCH(orders!$D528,products!$A$1:$A$49,0),MATCH(orders!N$1,products!$A$1:$G$1,0)))</f>
        <v>13.914999999999999</v>
      </c>
      <c r="O528" s="5">
        <f>M528*E528</f>
        <v>126.49999999999999</v>
      </c>
      <c r="P528" t="str">
        <f t="shared" si="16"/>
        <v>Excelsa</v>
      </c>
      <c r="Q528" t="str">
        <f t="shared" si="17"/>
        <v>Medium</v>
      </c>
      <c r="R528" t="str">
        <f>_xlfn.XLOOKUP(Orders[[#This Row],[Customer ID]],customers!$A$1:$A$1001,customers!$I$1:$I$1001,,0)</f>
        <v>Yes</v>
      </c>
    </row>
    <row r="529" spans="1:18" x14ac:dyDescent="0.35">
      <c r="A529" s="2" t="s">
        <v>3469</v>
      </c>
      <c r="B529" s="3">
        <v>43517</v>
      </c>
      <c r="C529" s="2" t="s">
        <v>3470</v>
      </c>
      <c r="D529" t="s">
        <v>6139</v>
      </c>
      <c r="E529" s="2">
        <v>5</v>
      </c>
      <c r="F529" s="2" t="str">
        <f>_xlfn.XLOOKUP(Orders[[#This Row],[Customer ID]],customers!$A$1:$A$1001,customers!$B$1:$B$1001,,0)</f>
        <v>Irvine Phillpot</v>
      </c>
      <c r="G529" s="2" t="str">
        <f>IF(_xlfn.XLOOKUP(C529,customers!$A$1:$A$1001,customers!C528:C1528,,0)=0,"",_xlfn.XLOOKUP(C529,customers!$A$1:$A$1001,customers!C528:C1528,,0))</f>
        <v/>
      </c>
      <c r="H529" s="2" t="str">
        <f>_xlfn.XLOOKUP(Orders[[#This Row],[Customer ID]],customers!$A$1:$A$1001,customers!$G$1:$G$1001,,0)</f>
        <v>United Kingdom</v>
      </c>
      <c r="I529" s="2" t="str">
        <f>_xlfn.XLOOKUP(Orders[[#This Row],[Customer ID]],customers!$A$1:$A$1001,customers!$F$1:$F$1001,,0)</f>
        <v>Wootton</v>
      </c>
      <c r="J529" t="str">
        <f>INDEX(products!$A$1:$G$49,MATCH(orders!$D529,products!$A$1:$A$49,0),MATCH(orders!J$1,products!$A$1:$G$1,0))</f>
        <v>Exc</v>
      </c>
      <c r="K529" t="str">
        <f>INDEX(products!$A$1:$G$49,MATCH(orders!$D529,products!$A$1:$A$49,0),MATCH(orders!K$1,products!$A$1:$G$1,0))</f>
        <v>M</v>
      </c>
      <c r="L529" s="4">
        <f>INDEX(products!$A$1:$G$49,MATCH(orders!$D529,products!$A$1:$A$49,0),MATCH(orders!L$1,products!$A$1:$G$1,0))</f>
        <v>0.5</v>
      </c>
      <c r="M529" s="5">
        <f>INDEX(products!$A$1:$G$49,MATCH(orders!$D529,products!$A$1:$A$49,0),MATCH(orders!M$1,products!$A$1:$G$1,0))</f>
        <v>8.25</v>
      </c>
      <c r="N529" s="5">
        <f>Orders[[#This Row],[Quantity]]*(INDEX(products!$A$1:$G$49,MATCH(orders!$D529,products!$A$1:$A$49,0),MATCH(orders!N$1,products!$A$1:$G$1,0)))</f>
        <v>4.5374999999999996</v>
      </c>
      <c r="O529" s="5">
        <f>M529*E529</f>
        <v>41.25</v>
      </c>
      <c r="P529" t="str">
        <f t="shared" si="16"/>
        <v>Excelsa</v>
      </c>
      <c r="Q529" t="str">
        <f t="shared" si="17"/>
        <v>Medium</v>
      </c>
      <c r="R529" t="str">
        <f>_xlfn.XLOOKUP(Orders[[#This Row],[Customer ID]],customers!$A$1:$A$1001,customers!$I$1:$I$1001,,0)</f>
        <v>No</v>
      </c>
    </row>
    <row r="530" spans="1:18" x14ac:dyDescent="0.35">
      <c r="A530" s="2" t="s">
        <v>3475</v>
      </c>
      <c r="B530" s="3">
        <v>43926</v>
      </c>
      <c r="C530" s="2" t="s">
        <v>3476</v>
      </c>
      <c r="D530" t="s">
        <v>6176</v>
      </c>
      <c r="E530" s="2">
        <v>6</v>
      </c>
      <c r="F530" s="2" t="str">
        <f>_xlfn.XLOOKUP(Orders[[#This Row],[Customer ID]],customers!$A$1:$A$1001,customers!$B$1:$B$1001,,0)</f>
        <v>Lem Pennacci</v>
      </c>
      <c r="G530" s="2" t="str">
        <f>IF(_xlfn.XLOOKUP(C530,customers!$A$1:$A$1001,customers!C529:C1529,,0)=0,"",_xlfn.XLOOKUP(C530,customers!$A$1:$A$1001,customers!C529:C1529,,0))</f>
        <v/>
      </c>
      <c r="H530" s="2" t="str">
        <f>_xlfn.XLOOKUP(Orders[[#This Row],[Customer ID]],customers!$A$1:$A$1001,customers!$G$1:$G$1001,,0)</f>
        <v>United States</v>
      </c>
      <c r="I530" s="2" t="str">
        <f>_xlfn.XLOOKUP(Orders[[#This Row],[Customer ID]],customers!$A$1:$A$1001,customers!$F$1:$F$1001,,0)</f>
        <v>Waco</v>
      </c>
      <c r="J530" t="str">
        <f>INDEX(products!$A$1:$G$49,MATCH(orders!$D530,products!$A$1:$A$49,0),MATCH(orders!J$1,products!$A$1:$G$1,0))</f>
        <v>Exc</v>
      </c>
      <c r="K530" t="str">
        <f>INDEX(products!$A$1:$G$49,MATCH(orders!$D530,products!$A$1:$A$49,0),MATCH(orders!K$1,products!$A$1:$G$1,0))</f>
        <v>L</v>
      </c>
      <c r="L530" s="4">
        <f>INDEX(products!$A$1:$G$49,MATCH(orders!$D530,products!$A$1:$A$49,0),MATCH(orders!L$1,products!$A$1:$G$1,0))</f>
        <v>0.5</v>
      </c>
      <c r="M530" s="5">
        <f>INDEX(products!$A$1:$G$49,MATCH(orders!$D530,products!$A$1:$A$49,0),MATCH(orders!M$1,products!$A$1:$G$1,0))</f>
        <v>8.91</v>
      </c>
      <c r="N530" s="5">
        <f>Orders[[#This Row],[Quantity]]*(INDEX(products!$A$1:$G$49,MATCH(orders!$D530,products!$A$1:$A$49,0),MATCH(orders!N$1,products!$A$1:$G$1,0)))</f>
        <v>5.8805999999999994</v>
      </c>
      <c r="O530" s="5">
        <f>M530*E530</f>
        <v>53.46</v>
      </c>
      <c r="P530" t="str">
        <f t="shared" si="16"/>
        <v>Excelsa</v>
      </c>
      <c r="Q530" t="str">
        <f t="shared" si="17"/>
        <v>Light</v>
      </c>
      <c r="R530" t="str">
        <f>_xlfn.XLOOKUP(Orders[[#This Row],[Customer ID]],customers!$A$1:$A$1001,customers!$I$1:$I$1001,,0)</f>
        <v>No</v>
      </c>
    </row>
    <row r="531" spans="1:18" x14ac:dyDescent="0.35">
      <c r="A531" s="2" t="s">
        <v>3481</v>
      </c>
      <c r="B531" s="3">
        <v>43475</v>
      </c>
      <c r="C531" s="2" t="s">
        <v>3482</v>
      </c>
      <c r="D531" t="s">
        <v>6138</v>
      </c>
      <c r="E531" s="2">
        <v>6</v>
      </c>
      <c r="F531" s="2" t="str">
        <f>_xlfn.XLOOKUP(Orders[[#This Row],[Customer ID]],customers!$A$1:$A$1001,customers!$B$1:$B$1001,,0)</f>
        <v>Starr Arpin</v>
      </c>
      <c r="G531" s="2" t="str">
        <f>IF(_xlfn.XLOOKUP(C531,customers!$A$1:$A$1001,customers!C530:C1530,,0)=0,"",_xlfn.XLOOKUP(C531,customers!$A$1:$A$1001,customers!C530:C1530,,0))</f>
        <v/>
      </c>
      <c r="H531" s="2" t="str">
        <f>_xlfn.XLOOKUP(Orders[[#This Row],[Customer ID]],customers!$A$1:$A$1001,customers!$G$1:$G$1001,,0)</f>
        <v>United States</v>
      </c>
      <c r="I531" s="2" t="str">
        <f>_xlfn.XLOOKUP(Orders[[#This Row],[Customer ID]],customers!$A$1:$A$1001,customers!$F$1:$F$1001,,0)</f>
        <v>Richmond</v>
      </c>
      <c r="J531" t="str">
        <f>INDEX(products!$A$1:$G$49,MATCH(orders!$D531,products!$A$1:$A$49,0),MATCH(orders!J$1,products!$A$1:$G$1,0))</f>
        <v>Rob</v>
      </c>
      <c r="K531" t="str">
        <f>INDEX(products!$A$1:$G$49,MATCH(orders!$D531,products!$A$1:$A$49,0),MATCH(orders!K$1,products!$A$1:$G$1,0))</f>
        <v>M</v>
      </c>
      <c r="L531" s="4">
        <f>INDEX(products!$A$1:$G$49,MATCH(orders!$D531,products!$A$1:$A$49,0),MATCH(orders!L$1,products!$A$1:$G$1,0))</f>
        <v>1</v>
      </c>
      <c r="M531" s="5">
        <f>INDEX(products!$A$1:$G$49,MATCH(orders!$D531,products!$A$1:$A$49,0),MATCH(orders!M$1,products!$A$1:$G$1,0))</f>
        <v>9.9499999999999993</v>
      </c>
      <c r="N531" s="5">
        <f>Orders[[#This Row],[Quantity]]*(INDEX(products!$A$1:$G$49,MATCH(orders!$D531,products!$A$1:$A$49,0),MATCH(orders!N$1,products!$A$1:$G$1,0)))</f>
        <v>3.5819999999999999</v>
      </c>
      <c r="O531" s="5">
        <f>M531*E531</f>
        <v>59.699999999999996</v>
      </c>
      <c r="P531" t="str">
        <f t="shared" si="16"/>
        <v>Robusta</v>
      </c>
      <c r="Q531" t="str">
        <f t="shared" si="17"/>
        <v>Medium</v>
      </c>
      <c r="R531" t="str">
        <f>_xlfn.XLOOKUP(Orders[[#This Row],[Customer ID]],customers!$A$1:$A$1001,customers!$I$1:$I$1001,,0)</f>
        <v>No</v>
      </c>
    </row>
    <row r="532" spans="1:18" x14ac:dyDescent="0.35">
      <c r="A532" s="2" t="s">
        <v>3487</v>
      </c>
      <c r="B532" s="3">
        <v>44663</v>
      </c>
      <c r="C532" s="2" t="s">
        <v>3488</v>
      </c>
      <c r="D532" t="s">
        <v>6138</v>
      </c>
      <c r="E532" s="2">
        <v>6</v>
      </c>
      <c r="F532" s="2" t="str">
        <f>_xlfn.XLOOKUP(Orders[[#This Row],[Customer ID]],customers!$A$1:$A$1001,customers!$B$1:$B$1001,,0)</f>
        <v>Donny Fries</v>
      </c>
      <c r="G532" s="2" t="str">
        <f>IF(_xlfn.XLOOKUP(C532,customers!$A$1:$A$1001,customers!C531:C1531,,0)=0,"",_xlfn.XLOOKUP(C532,customers!$A$1:$A$1001,customers!C531:C1531,,0))</f>
        <v/>
      </c>
      <c r="H532" s="2" t="str">
        <f>_xlfn.XLOOKUP(Orders[[#This Row],[Customer ID]],customers!$A$1:$A$1001,customers!$G$1:$G$1001,,0)</f>
        <v>United States</v>
      </c>
      <c r="I532" s="2" t="str">
        <f>_xlfn.XLOOKUP(Orders[[#This Row],[Customer ID]],customers!$A$1:$A$1001,customers!$F$1:$F$1001,,0)</f>
        <v>Toledo</v>
      </c>
      <c r="J532" t="str">
        <f>INDEX(products!$A$1:$G$49,MATCH(orders!$D532,products!$A$1:$A$49,0),MATCH(orders!J$1,products!$A$1:$G$1,0))</f>
        <v>Rob</v>
      </c>
      <c r="K532" t="str">
        <f>INDEX(products!$A$1:$G$49,MATCH(orders!$D532,products!$A$1:$A$49,0),MATCH(orders!K$1,products!$A$1:$G$1,0))</f>
        <v>M</v>
      </c>
      <c r="L532" s="4">
        <f>INDEX(products!$A$1:$G$49,MATCH(orders!$D532,products!$A$1:$A$49,0),MATCH(orders!L$1,products!$A$1:$G$1,0))</f>
        <v>1</v>
      </c>
      <c r="M532" s="5">
        <f>INDEX(products!$A$1:$G$49,MATCH(orders!$D532,products!$A$1:$A$49,0),MATCH(orders!M$1,products!$A$1:$G$1,0))</f>
        <v>9.9499999999999993</v>
      </c>
      <c r="N532" s="5">
        <f>Orders[[#This Row],[Quantity]]*(INDEX(products!$A$1:$G$49,MATCH(orders!$D532,products!$A$1:$A$49,0),MATCH(orders!N$1,products!$A$1:$G$1,0)))</f>
        <v>3.5819999999999999</v>
      </c>
      <c r="O532" s="5">
        <f>M532*E532</f>
        <v>59.699999999999996</v>
      </c>
      <c r="P532" t="str">
        <f t="shared" si="16"/>
        <v>Robusta</v>
      </c>
      <c r="Q532" t="str">
        <f t="shared" si="17"/>
        <v>Medium</v>
      </c>
      <c r="R532" t="str">
        <f>_xlfn.XLOOKUP(Orders[[#This Row],[Customer ID]],customers!$A$1:$A$1001,customers!$I$1:$I$1001,,0)</f>
        <v>No</v>
      </c>
    </row>
    <row r="533" spans="1:18" x14ac:dyDescent="0.35">
      <c r="A533" s="2" t="s">
        <v>3493</v>
      </c>
      <c r="B533" s="3">
        <v>44591</v>
      </c>
      <c r="C533" s="2" t="s">
        <v>3494</v>
      </c>
      <c r="D533" t="s">
        <v>6177</v>
      </c>
      <c r="E533" s="2">
        <v>5</v>
      </c>
      <c r="F533" s="2" t="str">
        <f>_xlfn.XLOOKUP(Orders[[#This Row],[Customer ID]],customers!$A$1:$A$1001,customers!$B$1:$B$1001,,0)</f>
        <v>Rana Sharer</v>
      </c>
      <c r="G533" s="2" t="str">
        <f>IF(_xlfn.XLOOKUP(C533,customers!$A$1:$A$1001,customers!C532:C1532,,0)=0,"",_xlfn.XLOOKUP(C533,customers!$A$1:$A$1001,customers!C532:C1532,,0))</f>
        <v/>
      </c>
      <c r="H533" s="2" t="str">
        <f>_xlfn.XLOOKUP(Orders[[#This Row],[Customer ID]],customers!$A$1:$A$1001,customers!$G$1:$G$1001,,0)</f>
        <v>United States</v>
      </c>
      <c r="I533" s="2" t="str">
        <f>_xlfn.XLOOKUP(Orders[[#This Row],[Customer ID]],customers!$A$1:$A$1001,customers!$F$1:$F$1001,,0)</f>
        <v>Huntington</v>
      </c>
      <c r="J533" t="str">
        <f>INDEX(products!$A$1:$G$49,MATCH(orders!$D533,products!$A$1:$A$49,0),MATCH(orders!J$1,products!$A$1:$G$1,0))</f>
        <v>Rob</v>
      </c>
      <c r="K533" t="str">
        <f>INDEX(products!$A$1:$G$49,MATCH(orders!$D533,products!$A$1:$A$49,0),MATCH(orders!K$1,products!$A$1:$G$1,0))</f>
        <v>D</v>
      </c>
      <c r="L533" s="4">
        <f>INDEX(products!$A$1:$G$49,MATCH(orders!$D533,products!$A$1:$A$49,0),MATCH(orders!L$1,products!$A$1:$G$1,0))</f>
        <v>1</v>
      </c>
      <c r="M533" s="5">
        <f>INDEX(products!$A$1:$G$49,MATCH(orders!$D533,products!$A$1:$A$49,0),MATCH(orders!M$1,products!$A$1:$G$1,0))</f>
        <v>8.9499999999999993</v>
      </c>
      <c r="N533" s="5">
        <f>Orders[[#This Row],[Quantity]]*(INDEX(products!$A$1:$G$49,MATCH(orders!$D533,products!$A$1:$A$49,0),MATCH(orders!N$1,products!$A$1:$G$1,0)))</f>
        <v>2.6849999999999996</v>
      </c>
      <c r="O533" s="5">
        <f>M533*E533</f>
        <v>44.75</v>
      </c>
      <c r="P533" t="str">
        <f t="shared" si="16"/>
        <v>Robusta</v>
      </c>
      <c r="Q533" t="str">
        <f t="shared" si="17"/>
        <v>Dark</v>
      </c>
      <c r="R533" t="str">
        <f>_xlfn.XLOOKUP(Orders[[#This Row],[Customer ID]],customers!$A$1:$A$1001,customers!$I$1:$I$1001,,0)</f>
        <v>No</v>
      </c>
    </row>
    <row r="534" spans="1:18" x14ac:dyDescent="0.35">
      <c r="A534" s="2" t="s">
        <v>3499</v>
      </c>
      <c r="B534" s="3">
        <v>44330</v>
      </c>
      <c r="C534" s="2" t="s">
        <v>3500</v>
      </c>
      <c r="D534" t="s">
        <v>6139</v>
      </c>
      <c r="E534" s="2">
        <v>2</v>
      </c>
      <c r="F534" s="2" t="str">
        <f>_xlfn.XLOOKUP(Orders[[#This Row],[Customer ID]],customers!$A$1:$A$1001,customers!$B$1:$B$1001,,0)</f>
        <v>Nannie Naseby</v>
      </c>
      <c r="G534" s="2" t="str">
        <f>IF(_xlfn.XLOOKUP(C534,customers!$A$1:$A$1001,customers!C533:C1533,,0)=0,"",_xlfn.XLOOKUP(C534,customers!$A$1:$A$1001,customers!C533:C1533,,0))</f>
        <v/>
      </c>
      <c r="H534" s="2" t="str">
        <f>_xlfn.XLOOKUP(Orders[[#This Row],[Customer ID]],customers!$A$1:$A$1001,customers!$G$1:$G$1001,,0)</f>
        <v>United States</v>
      </c>
      <c r="I534" s="2" t="str">
        <f>_xlfn.XLOOKUP(Orders[[#This Row],[Customer ID]],customers!$A$1:$A$1001,customers!$F$1:$F$1001,,0)</f>
        <v>Winter Haven</v>
      </c>
      <c r="J534" t="str">
        <f>INDEX(products!$A$1:$G$49,MATCH(orders!$D534,products!$A$1:$A$49,0),MATCH(orders!J$1,products!$A$1:$G$1,0))</f>
        <v>Exc</v>
      </c>
      <c r="K534" t="str">
        <f>INDEX(products!$A$1:$G$49,MATCH(orders!$D534,products!$A$1:$A$49,0),MATCH(orders!K$1,products!$A$1:$G$1,0))</f>
        <v>M</v>
      </c>
      <c r="L534" s="4">
        <f>INDEX(products!$A$1:$G$49,MATCH(orders!$D534,products!$A$1:$A$49,0),MATCH(orders!L$1,products!$A$1:$G$1,0))</f>
        <v>0.5</v>
      </c>
      <c r="M534" s="5">
        <f>INDEX(products!$A$1:$G$49,MATCH(orders!$D534,products!$A$1:$A$49,0),MATCH(orders!M$1,products!$A$1:$G$1,0))</f>
        <v>8.25</v>
      </c>
      <c r="N534" s="5">
        <f>Orders[[#This Row],[Quantity]]*(INDEX(products!$A$1:$G$49,MATCH(orders!$D534,products!$A$1:$A$49,0),MATCH(orders!N$1,products!$A$1:$G$1,0)))</f>
        <v>1.8149999999999999</v>
      </c>
      <c r="O534" s="5">
        <f>M534*E534</f>
        <v>16.5</v>
      </c>
      <c r="P534" t="str">
        <f t="shared" si="16"/>
        <v>Excelsa</v>
      </c>
      <c r="Q534" t="str">
        <f t="shared" si="17"/>
        <v>Medium</v>
      </c>
      <c r="R534" t="str">
        <f>_xlfn.XLOOKUP(Orders[[#This Row],[Customer ID]],customers!$A$1:$A$1001,customers!$I$1:$I$1001,,0)</f>
        <v>Yes</v>
      </c>
    </row>
    <row r="535" spans="1:18" x14ac:dyDescent="0.35">
      <c r="A535" s="2" t="s">
        <v>3505</v>
      </c>
      <c r="B535" s="3">
        <v>44724</v>
      </c>
      <c r="C535" s="2" t="s">
        <v>3506</v>
      </c>
      <c r="D535" t="s">
        <v>6172</v>
      </c>
      <c r="E535" s="2">
        <v>4</v>
      </c>
      <c r="F535" s="2" t="str">
        <f>_xlfn.XLOOKUP(Orders[[#This Row],[Customer ID]],customers!$A$1:$A$1001,customers!$B$1:$B$1001,,0)</f>
        <v>Rea Offell</v>
      </c>
      <c r="G535" s="2" t="str">
        <f>IF(_xlfn.XLOOKUP(C535,customers!$A$1:$A$1001,customers!C534:C1534,,0)=0,"",_xlfn.XLOOKUP(C535,customers!$A$1:$A$1001,customers!C534:C1534,,0))</f>
        <v/>
      </c>
      <c r="H535" s="2" t="str">
        <f>_xlfn.XLOOKUP(Orders[[#This Row],[Customer ID]],customers!$A$1:$A$1001,customers!$G$1:$G$1001,,0)</f>
        <v>United States</v>
      </c>
      <c r="I535" s="2" t="str">
        <f>_xlfn.XLOOKUP(Orders[[#This Row],[Customer ID]],customers!$A$1:$A$1001,customers!$F$1:$F$1001,,0)</f>
        <v>Dallas</v>
      </c>
      <c r="J535" t="str">
        <f>INDEX(products!$A$1:$G$49,MATCH(orders!$D535,products!$A$1:$A$49,0),MATCH(orders!J$1,products!$A$1:$G$1,0))</f>
        <v>Rob</v>
      </c>
      <c r="K535" t="str">
        <f>INDEX(products!$A$1:$G$49,MATCH(orders!$D535,products!$A$1:$A$49,0),MATCH(orders!K$1,products!$A$1:$G$1,0))</f>
        <v>D</v>
      </c>
      <c r="L535" s="4">
        <f>INDEX(products!$A$1:$G$49,MATCH(orders!$D535,products!$A$1:$A$49,0),MATCH(orders!L$1,products!$A$1:$G$1,0))</f>
        <v>0.5</v>
      </c>
      <c r="M535" s="5">
        <f>INDEX(products!$A$1:$G$49,MATCH(orders!$D535,products!$A$1:$A$49,0),MATCH(orders!M$1,products!$A$1:$G$1,0))</f>
        <v>5.3699999999999992</v>
      </c>
      <c r="N535" s="5">
        <f>Orders[[#This Row],[Quantity]]*(INDEX(products!$A$1:$G$49,MATCH(orders!$D535,products!$A$1:$A$49,0),MATCH(orders!N$1,products!$A$1:$G$1,0)))</f>
        <v>1.2887999999999997</v>
      </c>
      <c r="O535" s="5">
        <f>M535*E535</f>
        <v>21.479999999999997</v>
      </c>
      <c r="P535" t="str">
        <f t="shared" si="16"/>
        <v>Robusta</v>
      </c>
      <c r="Q535" t="str">
        <f t="shared" si="17"/>
        <v>Dark</v>
      </c>
      <c r="R535" t="str">
        <f>_xlfn.XLOOKUP(Orders[[#This Row],[Customer ID]],customers!$A$1:$A$1001,customers!$I$1:$I$1001,,0)</f>
        <v>No</v>
      </c>
    </row>
    <row r="536" spans="1:18" x14ac:dyDescent="0.35">
      <c r="A536" s="2" t="s">
        <v>3510</v>
      </c>
      <c r="B536" s="3">
        <v>44563</v>
      </c>
      <c r="C536" s="2" t="s">
        <v>3511</v>
      </c>
      <c r="D536" t="s">
        <v>6151</v>
      </c>
      <c r="E536" s="2">
        <v>2</v>
      </c>
      <c r="F536" s="2" t="str">
        <f>_xlfn.XLOOKUP(Orders[[#This Row],[Customer ID]],customers!$A$1:$A$1001,customers!$B$1:$B$1001,,0)</f>
        <v>Kris O'Cullen</v>
      </c>
      <c r="G536" s="2" t="str">
        <f>IF(_xlfn.XLOOKUP(C536,customers!$A$1:$A$1001,customers!C535:C1535,,0)=0,"",_xlfn.XLOOKUP(C536,customers!$A$1:$A$1001,customers!C535:C1535,,0))</f>
        <v/>
      </c>
      <c r="H536" s="2" t="str">
        <f>_xlfn.XLOOKUP(Orders[[#This Row],[Customer ID]],customers!$A$1:$A$1001,customers!$G$1:$G$1001,,0)</f>
        <v>Ireland</v>
      </c>
      <c r="I536" s="2" t="str">
        <f>_xlfn.XLOOKUP(Orders[[#This Row],[Customer ID]],customers!$A$1:$A$1001,customers!$F$1:$F$1001,,0)</f>
        <v>Adare</v>
      </c>
      <c r="J536" t="str">
        <f>INDEX(products!$A$1:$G$49,MATCH(orders!$D536,products!$A$1:$A$49,0),MATCH(orders!J$1,products!$A$1:$G$1,0))</f>
        <v>Rob</v>
      </c>
      <c r="K536" t="str">
        <f>INDEX(products!$A$1:$G$49,MATCH(orders!$D536,products!$A$1:$A$49,0),MATCH(orders!K$1,products!$A$1:$G$1,0))</f>
        <v>M</v>
      </c>
      <c r="L536" s="4">
        <f>INDEX(products!$A$1:$G$49,MATCH(orders!$D536,products!$A$1:$A$49,0),MATCH(orders!L$1,products!$A$1:$G$1,0))</f>
        <v>2.5</v>
      </c>
      <c r="M536" s="5">
        <f>INDEX(products!$A$1:$G$49,MATCH(orders!$D536,products!$A$1:$A$49,0),MATCH(orders!M$1,products!$A$1:$G$1,0))</f>
        <v>22.884999999999998</v>
      </c>
      <c r="N536" s="5">
        <f>Orders[[#This Row],[Quantity]]*(INDEX(products!$A$1:$G$49,MATCH(orders!$D536,products!$A$1:$A$49,0),MATCH(orders!N$1,products!$A$1:$G$1,0)))</f>
        <v>2.7461999999999995</v>
      </c>
      <c r="O536" s="5">
        <f>M536*E536</f>
        <v>45.769999999999996</v>
      </c>
      <c r="P536" t="str">
        <f t="shared" si="16"/>
        <v>Robusta</v>
      </c>
      <c r="Q536" t="str">
        <f t="shared" si="17"/>
        <v>Medium</v>
      </c>
      <c r="R536" t="str">
        <f>_xlfn.XLOOKUP(Orders[[#This Row],[Customer ID]],customers!$A$1:$A$1001,customers!$I$1:$I$1001,,0)</f>
        <v>Yes</v>
      </c>
    </row>
    <row r="537" spans="1:18" x14ac:dyDescent="0.35">
      <c r="A537" s="2" t="s">
        <v>3516</v>
      </c>
      <c r="B537" s="3">
        <v>44585</v>
      </c>
      <c r="C537" s="2" t="s">
        <v>3517</v>
      </c>
      <c r="D537" t="s">
        <v>6145</v>
      </c>
      <c r="E537" s="2">
        <v>2</v>
      </c>
      <c r="F537" s="2" t="str">
        <f>_xlfn.XLOOKUP(Orders[[#This Row],[Customer ID]],customers!$A$1:$A$1001,customers!$B$1:$B$1001,,0)</f>
        <v>Timoteo Glisane</v>
      </c>
      <c r="G537" s="2" t="str">
        <f>IF(_xlfn.XLOOKUP(C537,customers!$A$1:$A$1001,customers!C536:C1536,,0)=0,"",_xlfn.XLOOKUP(C537,customers!$A$1:$A$1001,customers!C536:C1536,,0))</f>
        <v/>
      </c>
      <c r="H537" s="2" t="str">
        <f>_xlfn.XLOOKUP(Orders[[#This Row],[Customer ID]],customers!$A$1:$A$1001,customers!$G$1:$G$1001,,0)</f>
        <v>Ireland</v>
      </c>
      <c r="I537" s="2" t="str">
        <f>_xlfn.XLOOKUP(Orders[[#This Row],[Customer ID]],customers!$A$1:$A$1001,customers!$F$1:$F$1001,,0)</f>
        <v>Ballivor</v>
      </c>
      <c r="J537" t="str">
        <f>INDEX(products!$A$1:$G$49,MATCH(orders!$D537,products!$A$1:$A$49,0),MATCH(orders!J$1,products!$A$1:$G$1,0))</f>
        <v>Lib</v>
      </c>
      <c r="K537" t="str">
        <f>INDEX(products!$A$1:$G$49,MATCH(orders!$D537,products!$A$1:$A$49,0),MATCH(orders!K$1,products!$A$1:$G$1,0))</f>
        <v>L</v>
      </c>
      <c r="L537" s="4">
        <f>INDEX(products!$A$1:$G$49,MATCH(orders!$D537,products!$A$1:$A$49,0),MATCH(orders!L$1,products!$A$1:$G$1,0))</f>
        <v>0.2</v>
      </c>
      <c r="M537" s="5">
        <f>INDEX(products!$A$1:$G$49,MATCH(orders!$D537,products!$A$1:$A$49,0),MATCH(orders!M$1,products!$A$1:$G$1,0))</f>
        <v>4.7549999999999999</v>
      </c>
      <c r="N537" s="5">
        <f>Orders[[#This Row],[Quantity]]*(INDEX(products!$A$1:$G$49,MATCH(orders!$D537,products!$A$1:$A$49,0),MATCH(orders!N$1,products!$A$1:$G$1,0)))</f>
        <v>1.2363</v>
      </c>
      <c r="O537" s="5">
        <f>M537*E537</f>
        <v>9.51</v>
      </c>
      <c r="P537" t="str">
        <f t="shared" si="16"/>
        <v>Liberica</v>
      </c>
      <c r="Q537" t="str">
        <f t="shared" si="17"/>
        <v>Light</v>
      </c>
      <c r="R537" t="str">
        <f>_xlfn.XLOOKUP(Orders[[#This Row],[Customer ID]],customers!$A$1:$A$1001,customers!$I$1:$I$1001,,0)</f>
        <v>No</v>
      </c>
    </row>
    <row r="538" spans="1:18" x14ac:dyDescent="0.35">
      <c r="A538" s="2" t="s">
        <v>3521</v>
      </c>
      <c r="B538" s="3">
        <v>43544</v>
      </c>
      <c r="C538" s="2" t="s">
        <v>3368</v>
      </c>
      <c r="D538" t="s">
        <v>6163</v>
      </c>
      <c r="E538" s="2">
        <v>3</v>
      </c>
      <c r="F538" s="2" t="str">
        <f>_xlfn.XLOOKUP(Orders[[#This Row],[Customer ID]],customers!$A$1:$A$1001,customers!$B$1:$B$1001,,0)</f>
        <v>Marja Urion</v>
      </c>
      <c r="G538" s="2" t="str">
        <f>IF(_xlfn.XLOOKUP(C538,customers!$A$1:$A$1001,customers!C537:C1537,,0)=0,"",_xlfn.XLOOKUP(C538,customers!$A$1:$A$1001,customers!C537:C1537,,0))</f>
        <v/>
      </c>
      <c r="H538" s="2" t="str">
        <f>_xlfn.XLOOKUP(Orders[[#This Row],[Customer ID]],customers!$A$1:$A$1001,customers!$G$1:$G$1001,,0)</f>
        <v>Ireland</v>
      </c>
      <c r="I538" s="2" t="str">
        <f>_xlfn.XLOOKUP(Orders[[#This Row],[Customer ID]],customers!$A$1:$A$1001,customers!$F$1:$F$1001,,0)</f>
        <v>Virginia</v>
      </c>
      <c r="J538" t="str">
        <f>INDEX(products!$A$1:$G$49,MATCH(orders!$D538,products!$A$1:$A$49,0),MATCH(orders!J$1,products!$A$1:$G$1,0))</f>
        <v>Rob</v>
      </c>
      <c r="K538" t="str">
        <f>INDEX(products!$A$1:$G$49,MATCH(orders!$D538,products!$A$1:$A$49,0),MATCH(orders!K$1,products!$A$1:$G$1,0))</f>
        <v>D</v>
      </c>
      <c r="L538" s="4">
        <f>INDEX(products!$A$1:$G$49,MATCH(orders!$D538,products!$A$1:$A$49,0),MATCH(orders!L$1,products!$A$1:$G$1,0))</f>
        <v>0.2</v>
      </c>
      <c r="M538" s="5">
        <f>INDEX(products!$A$1:$G$49,MATCH(orders!$D538,products!$A$1:$A$49,0),MATCH(orders!M$1,products!$A$1:$G$1,0))</f>
        <v>2.6849999999999996</v>
      </c>
      <c r="N538" s="5">
        <f>Orders[[#This Row],[Quantity]]*(INDEX(products!$A$1:$G$49,MATCH(orders!$D538,products!$A$1:$A$49,0),MATCH(orders!N$1,products!$A$1:$G$1,0)))</f>
        <v>0.4832999999999999</v>
      </c>
      <c r="O538" s="5">
        <f>M538*E538</f>
        <v>8.0549999999999997</v>
      </c>
      <c r="P538" t="str">
        <f t="shared" si="16"/>
        <v>Robusta</v>
      </c>
      <c r="Q538" t="str">
        <f t="shared" si="17"/>
        <v>Dark</v>
      </c>
      <c r="R538" t="str">
        <f>_xlfn.XLOOKUP(Orders[[#This Row],[Customer ID]],customers!$A$1:$A$1001,customers!$I$1:$I$1001,,0)</f>
        <v>Yes</v>
      </c>
    </row>
    <row r="539" spans="1:18" x14ac:dyDescent="0.35">
      <c r="A539" s="2" t="s">
        <v>3527</v>
      </c>
      <c r="B539" s="3">
        <v>44156</v>
      </c>
      <c r="C539" s="2" t="s">
        <v>3528</v>
      </c>
      <c r="D539" t="s">
        <v>6185</v>
      </c>
      <c r="E539" s="2">
        <v>4</v>
      </c>
      <c r="F539" s="2" t="str">
        <f>_xlfn.XLOOKUP(Orders[[#This Row],[Customer ID]],customers!$A$1:$A$1001,customers!$B$1:$B$1001,,0)</f>
        <v>Hildegarde Brangan</v>
      </c>
      <c r="G539" s="2" t="str">
        <f>IF(_xlfn.XLOOKUP(C539,customers!$A$1:$A$1001,customers!C538:C1538,,0)=0,"",_xlfn.XLOOKUP(C539,customers!$A$1:$A$1001,customers!C538:C1538,,0))</f>
        <v/>
      </c>
      <c r="H539" s="2" t="str">
        <f>_xlfn.XLOOKUP(Orders[[#This Row],[Customer ID]],customers!$A$1:$A$1001,customers!$G$1:$G$1001,,0)</f>
        <v>United States</v>
      </c>
      <c r="I539" s="2" t="str">
        <f>_xlfn.XLOOKUP(Orders[[#This Row],[Customer ID]],customers!$A$1:$A$1001,customers!$F$1:$F$1001,,0)</f>
        <v>Evansville</v>
      </c>
      <c r="J539" t="str">
        <f>INDEX(products!$A$1:$G$49,MATCH(orders!$D539,products!$A$1:$A$49,0),MATCH(orders!J$1,products!$A$1:$G$1,0))</f>
        <v>Exc</v>
      </c>
      <c r="K539" t="str">
        <f>INDEX(products!$A$1:$G$49,MATCH(orders!$D539,products!$A$1:$A$49,0),MATCH(orders!K$1,products!$A$1:$G$1,0))</f>
        <v>D</v>
      </c>
      <c r="L539" s="4">
        <f>INDEX(products!$A$1:$G$49,MATCH(orders!$D539,products!$A$1:$A$49,0),MATCH(orders!L$1,products!$A$1:$G$1,0))</f>
        <v>2.5</v>
      </c>
      <c r="M539" s="5">
        <f>INDEX(products!$A$1:$G$49,MATCH(orders!$D539,products!$A$1:$A$49,0),MATCH(orders!M$1,products!$A$1:$G$1,0))</f>
        <v>27.945</v>
      </c>
      <c r="N539" s="5">
        <f>Orders[[#This Row],[Quantity]]*(INDEX(products!$A$1:$G$49,MATCH(orders!$D539,products!$A$1:$A$49,0),MATCH(orders!N$1,products!$A$1:$G$1,0)))</f>
        <v>12.2958</v>
      </c>
      <c r="O539" s="5">
        <f>M539*E539</f>
        <v>111.78</v>
      </c>
      <c r="P539" t="str">
        <f t="shared" si="16"/>
        <v>Excelsa</v>
      </c>
      <c r="Q539" t="str">
        <f t="shared" si="17"/>
        <v>Dark</v>
      </c>
      <c r="R539" t="str">
        <f>_xlfn.XLOOKUP(Orders[[#This Row],[Customer ID]],customers!$A$1:$A$1001,customers!$I$1:$I$1001,,0)</f>
        <v>Yes</v>
      </c>
    </row>
    <row r="540" spans="1:18" x14ac:dyDescent="0.35">
      <c r="A540" s="2" t="s">
        <v>3532</v>
      </c>
      <c r="B540" s="3">
        <v>44482</v>
      </c>
      <c r="C540" s="2" t="s">
        <v>3533</v>
      </c>
      <c r="D540" t="s">
        <v>6163</v>
      </c>
      <c r="E540" s="2">
        <v>4</v>
      </c>
      <c r="F540" s="2" t="str">
        <f>_xlfn.XLOOKUP(Orders[[#This Row],[Customer ID]],customers!$A$1:$A$1001,customers!$B$1:$B$1001,,0)</f>
        <v>Amii Gallyon</v>
      </c>
      <c r="G540" s="2" t="str">
        <f>IF(_xlfn.XLOOKUP(C540,customers!$A$1:$A$1001,customers!C539:C1539,,0)=0,"",_xlfn.XLOOKUP(C540,customers!$A$1:$A$1001,customers!C539:C1539,,0))</f>
        <v/>
      </c>
      <c r="H540" s="2" t="str">
        <f>_xlfn.XLOOKUP(Orders[[#This Row],[Customer ID]],customers!$A$1:$A$1001,customers!$G$1:$G$1001,,0)</f>
        <v>United States</v>
      </c>
      <c r="I540" s="2" t="str">
        <f>_xlfn.XLOOKUP(Orders[[#This Row],[Customer ID]],customers!$A$1:$A$1001,customers!$F$1:$F$1001,,0)</f>
        <v>Naperville</v>
      </c>
      <c r="J540" t="str">
        <f>INDEX(products!$A$1:$G$49,MATCH(orders!$D540,products!$A$1:$A$49,0),MATCH(orders!J$1,products!$A$1:$G$1,0))</f>
        <v>Rob</v>
      </c>
      <c r="K540" t="str">
        <f>INDEX(products!$A$1:$G$49,MATCH(orders!$D540,products!$A$1:$A$49,0),MATCH(orders!K$1,products!$A$1:$G$1,0))</f>
        <v>D</v>
      </c>
      <c r="L540" s="4">
        <f>INDEX(products!$A$1:$G$49,MATCH(orders!$D540,products!$A$1:$A$49,0),MATCH(orders!L$1,products!$A$1:$G$1,0))</f>
        <v>0.2</v>
      </c>
      <c r="M540" s="5">
        <f>INDEX(products!$A$1:$G$49,MATCH(orders!$D540,products!$A$1:$A$49,0),MATCH(orders!M$1,products!$A$1:$G$1,0))</f>
        <v>2.6849999999999996</v>
      </c>
      <c r="N540" s="5">
        <f>Orders[[#This Row],[Quantity]]*(INDEX(products!$A$1:$G$49,MATCH(orders!$D540,products!$A$1:$A$49,0),MATCH(orders!N$1,products!$A$1:$G$1,0)))</f>
        <v>0.64439999999999986</v>
      </c>
      <c r="O540" s="5">
        <f>M540*E540</f>
        <v>10.739999999999998</v>
      </c>
      <c r="P540" t="str">
        <f t="shared" si="16"/>
        <v>Robusta</v>
      </c>
      <c r="Q540" t="str">
        <f t="shared" si="17"/>
        <v>Dark</v>
      </c>
      <c r="R540" t="str">
        <f>_xlfn.XLOOKUP(Orders[[#This Row],[Customer ID]],customers!$A$1:$A$1001,customers!$I$1:$I$1001,,0)</f>
        <v>Yes</v>
      </c>
    </row>
    <row r="541" spans="1:18" x14ac:dyDescent="0.35">
      <c r="A541" s="2" t="s">
        <v>3537</v>
      </c>
      <c r="B541" s="3">
        <v>44488</v>
      </c>
      <c r="C541" s="2" t="s">
        <v>3538</v>
      </c>
      <c r="D541" t="s">
        <v>6172</v>
      </c>
      <c r="E541" s="2">
        <v>5</v>
      </c>
      <c r="F541" s="2" t="str">
        <f>_xlfn.XLOOKUP(Orders[[#This Row],[Customer ID]],customers!$A$1:$A$1001,customers!$B$1:$B$1001,,0)</f>
        <v>Birgit Domange</v>
      </c>
      <c r="G541" s="2" t="str">
        <f>IF(_xlfn.XLOOKUP(C541,customers!$A$1:$A$1001,customers!C540:C1540,,0)=0,"",_xlfn.XLOOKUP(C541,customers!$A$1:$A$1001,customers!C540:C1540,,0))</f>
        <v/>
      </c>
      <c r="H541" s="2" t="str">
        <f>_xlfn.XLOOKUP(Orders[[#This Row],[Customer ID]],customers!$A$1:$A$1001,customers!$G$1:$G$1001,,0)</f>
        <v>United States</v>
      </c>
      <c r="I541" s="2" t="str">
        <f>_xlfn.XLOOKUP(Orders[[#This Row],[Customer ID]],customers!$A$1:$A$1001,customers!$F$1:$F$1001,,0)</f>
        <v>Charleston</v>
      </c>
      <c r="J541" t="str">
        <f>INDEX(products!$A$1:$G$49,MATCH(orders!$D541,products!$A$1:$A$49,0),MATCH(orders!J$1,products!$A$1:$G$1,0))</f>
        <v>Rob</v>
      </c>
      <c r="K541" t="str">
        <f>INDEX(products!$A$1:$G$49,MATCH(orders!$D541,products!$A$1:$A$49,0),MATCH(orders!K$1,products!$A$1:$G$1,0))</f>
        <v>D</v>
      </c>
      <c r="L541" s="4">
        <f>INDEX(products!$A$1:$G$49,MATCH(orders!$D541,products!$A$1:$A$49,0),MATCH(orders!L$1,products!$A$1:$G$1,0))</f>
        <v>0.5</v>
      </c>
      <c r="M541" s="5">
        <f>INDEX(products!$A$1:$G$49,MATCH(orders!$D541,products!$A$1:$A$49,0),MATCH(orders!M$1,products!$A$1:$G$1,0))</f>
        <v>5.3699999999999992</v>
      </c>
      <c r="N541" s="5">
        <f>Orders[[#This Row],[Quantity]]*(INDEX(products!$A$1:$G$49,MATCH(orders!$D541,products!$A$1:$A$49,0),MATCH(orders!N$1,products!$A$1:$G$1,0)))</f>
        <v>1.6109999999999998</v>
      </c>
      <c r="O541" s="5">
        <f>M541*E541</f>
        <v>26.849999999999994</v>
      </c>
      <c r="P541" t="str">
        <f t="shared" si="16"/>
        <v>Robusta</v>
      </c>
      <c r="Q541" t="str">
        <f t="shared" si="17"/>
        <v>Dark</v>
      </c>
      <c r="R541" t="str">
        <f>_xlfn.XLOOKUP(Orders[[#This Row],[Customer ID]],customers!$A$1:$A$1001,customers!$I$1:$I$1001,,0)</f>
        <v>No</v>
      </c>
    </row>
    <row r="542" spans="1:18" x14ac:dyDescent="0.35">
      <c r="A542" s="2" t="s">
        <v>3542</v>
      </c>
      <c r="B542" s="3">
        <v>43584</v>
      </c>
      <c r="C542" s="2" t="s">
        <v>3543</v>
      </c>
      <c r="D542" t="s">
        <v>6170</v>
      </c>
      <c r="E542" s="2">
        <v>4</v>
      </c>
      <c r="F542" s="2" t="str">
        <f>_xlfn.XLOOKUP(Orders[[#This Row],[Customer ID]],customers!$A$1:$A$1001,customers!$B$1:$B$1001,,0)</f>
        <v>Killian Osler</v>
      </c>
      <c r="G542" s="2" t="str">
        <f>IF(_xlfn.XLOOKUP(C542,customers!$A$1:$A$1001,customers!C541:C1541,,0)=0,"",_xlfn.XLOOKUP(C542,customers!$A$1:$A$1001,customers!C541:C1541,,0))</f>
        <v/>
      </c>
      <c r="H542" s="2" t="str">
        <f>_xlfn.XLOOKUP(Orders[[#This Row],[Customer ID]],customers!$A$1:$A$1001,customers!$G$1:$G$1001,,0)</f>
        <v>United States</v>
      </c>
      <c r="I542" s="2" t="str">
        <f>_xlfn.XLOOKUP(Orders[[#This Row],[Customer ID]],customers!$A$1:$A$1001,customers!$F$1:$F$1001,,0)</f>
        <v>Lansing</v>
      </c>
      <c r="J542" t="str">
        <f>INDEX(products!$A$1:$G$49,MATCH(orders!$D542,products!$A$1:$A$49,0),MATCH(orders!J$1,products!$A$1:$G$1,0))</f>
        <v>Lib</v>
      </c>
      <c r="K542" t="str">
        <f>INDEX(products!$A$1:$G$49,MATCH(orders!$D542,products!$A$1:$A$49,0),MATCH(orders!K$1,products!$A$1:$G$1,0))</f>
        <v>L</v>
      </c>
      <c r="L542" s="4">
        <f>INDEX(products!$A$1:$G$49,MATCH(orders!$D542,products!$A$1:$A$49,0),MATCH(orders!L$1,products!$A$1:$G$1,0))</f>
        <v>1</v>
      </c>
      <c r="M542" s="5">
        <f>INDEX(products!$A$1:$G$49,MATCH(orders!$D542,products!$A$1:$A$49,0),MATCH(orders!M$1,products!$A$1:$G$1,0))</f>
        <v>15.85</v>
      </c>
      <c r="N542" s="5">
        <f>Orders[[#This Row],[Quantity]]*(INDEX(products!$A$1:$G$49,MATCH(orders!$D542,products!$A$1:$A$49,0),MATCH(orders!N$1,products!$A$1:$G$1,0)))</f>
        <v>8.2420000000000009</v>
      </c>
      <c r="O542" s="5">
        <f>M542*E542</f>
        <v>63.4</v>
      </c>
      <c r="P542" t="str">
        <f t="shared" si="16"/>
        <v>Liberica</v>
      </c>
      <c r="Q542" t="str">
        <f t="shared" si="17"/>
        <v>Light</v>
      </c>
      <c r="R542" t="str">
        <f>_xlfn.XLOOKUP(Orders[[#This Row],[Customer ID]],customers!$A$1:$A$1001,customers!$I$1:$I$1001,,0)</f>
        <v>Yes</v>
      </c>
    </row>
    <row r="543" spans="1:18" x14ac:dyDescent="0.35">
      <c r="A543" s="2" t="s">
        <v>3548</v>
      </c>
      <c r="B543" s="3">
        <v>43750</v>
      </c>
      <c r="C543" s="2" t="s">
        <v>3549</v>
      </c>
      <c r="D543" t="s">
        <v>6168</v>
      </c>
      <c r="E543" s="2">
        <v>1</v>
      </c>
      <c r="F543" s="2" t="str">
        <f>_xlfn.XLOOKUP(Orders[[#This Row],[Customer ID]],customers!$A$1:$A$1001,customers!$B$1:$B$1001,,0)</f>
        <v>Lora Dukes</v>
      </c>
      <c r="G543" s="2" t="str">
        <f>IF(_xlfn.XLOOKUP(C543,customers!$A$1:$A$1001,customers!C542:C1542,,0)=0,"",_xlfn.XLOOKUP(C543,customers!$A$1:$A$1001,customers!C542:C1542,,0))</f>
        <v/>
      </c>
      <c r="H543" s="2" t="str">
        <f>_xlfn.XLOOKUP(Orders[[#This Row],[Customer ID]],customers!$A$1:$A$1001,customers!$G$1:$G$1001,,0)</f>
        <v>Ireland</v>
      </c>
      <c r="I543" s="2" t="str">
        <f>_xlfn.XLOOKUP(Orders[[#This Row],[Customer ID]],customers!$A$1:$A$1001,customers!$F$1:$F$1001,,0)</f>
        <v>Boyle</v>
      </c>
      <c r="J543" t="str">
        <f>INDEX(products!$A$1:$G$49,MATCH(orders!$D543,products!$A$1:$A$49,0),MATCH(orders!J$1,products!$A$1:$G$1,0))</f>
        <v>Ara</v>
      </c>
      <c r="K543" t="str">
        <f>INDEX(products!$A$1:$G$49,MATCH(orders!$D543,products!$A$1:$A$49,0),MATCH(orders!K$1,products!$A$1:$G$1,0))</f>
        <v>D</v>
      </c>
      <c r="L543" s="4">
        <f>INDEX(products!$A$1:$G$49,MATCH(orders!$D543,products!$A$1:$A$49,0),MATCH(orders!L$1,products!$A$1:$G$1,0))</f>
        <v>2.5</v>
      </c>
      <c r="M543" s="5">
        <f>INDEX(products!$A$1:$G$49,MATCH(orders!$D543,products!$A$1:$A$49,0),MATCH(orders!M$1,products!$A$1:$G$1,0))</f>
        <v>22.884999999999998</v>
      </c>
      <c r="N543" s="5">
        <f>Orders[[#This Row],[Quantity]]*(INDEX(products!$A$1:$G$49,MATCH(orders!$D543,products!$A$1:$A$49,0),MATCH(orders!N$1,products!$A$1:$G$1,0)))</f>
        <v>2.0596499999999995</v>
      </c>
      <c r="O543" s="5">
        <f>M543*E543</f>
        <v>22.884999999999998</v>
      </c>
      <c r="P543" t="str">
        <f t="shared" si="16"/>
        <v>Arabica</v>
      </c>
      <c r="Q543" t="str">
        <f t="shared" si="17"/>
        <v>Dark</v>
      </c>
      <c r="R543" t="str">
        <f>_xlfn.XLOOKUP(Orders[[#This Row],[Customer ID]],customers!$A$1:$A$1001,customers!$I$1:$I$1001,,0)</f>
        <v>Yes</v>
      </c>
    </row>
    <row r="544" spans="1:18" x14ac:dyDescent="0.35">
      <c r="A544" s="2" t="s">
        <v>3553</v>
      </c>
      <c r="B544" s="3">
        <v>44335</v>
      </c>
      <c r="C544" s="2" t="s">
        <v>3554</v>
      </c>
      <c r="D544" t="s">
        <v>6175</v>
      </c>
      <c r="E544" s="2">
        <v>4</v>
      </c>
      <c r="F544" s="2" t="str">
        <f>_xlfn.XLOOKUP(Orders[[#This Row],[Customer ID]],customers!$A$1:$A$1001,customers!$B$1:$B$1001,,0)</f>
        <v>Zack Pellett</v>
      </c>
      <c r="G544" s="2" t="str">
        <f>IF(_xlfn.XLOOKUP(C544,customers!$A$1:$A$1001,customers!C543:C1543,,0)=0,"",_xlfn.XLOOKUP(C544,customers!$A$1:$A$1001,customers!C543:C1543,,0))</f>
        <v/>
      </c>
      <c r="H544" s="2" t="str">
        <f>_xlfn.XLOOKUP(Orders[[#This Row],[Customer ID]],customers!$A$1:$A$1001,customers!$G$1:$G$1001,,0)</f>
        <v>United States</v>
      </c>
      <c r="I544" s="2" t="str">
        <f>_xlfn.XLOOKUP(Orders[[#This Row],[Customer ID]],customers!$A$1:$A$1001,customers!$F$1:$F$1001,,0)</f>
        <v>Shreveport</v>
      </c>
      <c r="J544" t="str">
        <f>INDEX(products!$A$1:$G$49,MATCH(orders!$D544,products!$A$1:$A$49,0),MATCH(orders!J$1,products!$A$1:$G$1,0))</f>
        <v>Ara</v>
      </c>
      <c r="K544" t="str">
        <f>INDEX(products!$A$1:$G$49,MATCH(orders!$D544,products!$A$1:$A$49,0),MATCH(orders!K$1,products!$A$1:$G$1,0))</f>
        <v>M</v>
      </c>
      <c r="L544" s="4">
        <f>INDEX(products!$A$1:$G$49,MATCH(orders!$D544,products!$A$1:$A$49,0),MATCH(orders!L$1,products!$A$1:$G$1,0))</f>
        <v>2.5</v>
      </c>
      <c r="M544" s="5">
        <f>INDEX(products!$A$1:$G$49,MATCH(orders!$D544,products!$A$1:$A$49,0),MATCH(orders!M$1,products!$A$1:$G$1,0))</f>
        <v>25.874999999999996</v>
      </c>
      <c r="N544" s="5">
        <f>Orders[[#This Row],[Quantity]]*(INDEX(products!$A$1:$G$49,MATCH(orders!$D544,products!$A$1:$A$49,0),MATCH(orders!N$1,products!$A$1:$G$1,0)))</f>
        <v>9.3149999999999977</v>
      </c>
      <c r="O544" s="5">
        <f>M544*E544</f>
        <v>103.49999999999999</v>
      </c>
      <c r="P544" t="str">
        <f t="shared" si="16"/>
        <v>Arabica</v>
      </c>
      <c r="Q544" t="str">
        <f t="shared" si="17"/>
        <v>Medium</v>
      </c>
      <c r="R544" t="str">
        <f>_xlfn.XLOOKUP(Orders[[#This Row],[Customer ID]],customers!$A$1:$A$1001,customers!$I$1:$I$1001,,0)</f>
        <v>No</v>
      </c>
    </row>
    <row r="545" spans="1:18" x14ac:dyDescent="0.35">
      <c r="A545" s="2" t="s">
        <v>3559</v>
      </c>
      <c r="B545" s="3">
        <v>44380</v>
      </c>
      <c r="C545" s="2" t="s">
        <v>3560</v>
      </c>
      <c r="D545" t="s">
        <v>6142</v>
      </c>
      <c r="E545" s="2">
        <v>2</v>
      </c>
      <c r="F545" s="2" t="str">
        <f>_xlfn.XLOOKUP(Orders[[#This Row],[Customer ID]],customers!$A$1:$A$1001,customers!$B$1:$B$1001,,0)</f>
        <v>Ilaire Sprakes</v>
      </c>
      <c r="G545" s="2" t="str">
        <f>IF(_xlfn.XLOOKUP(C545,customers!$A$1:$A$1001,customers!C544:C1544,,0)=0,"",_xlfn.XLOOKUP(C545,customers!$A$1:$A$1001,customers!C544:C1544,,0))</f>
        <v/>
      </c>
      <c r="H545" s="2" t="str">
        <f>_xlfn.XLOOKUP(Orders[[#This Row],[Customer ID]],customers!$A$1:$A$1001,customers!$G$1:$G$1001,,0)</f>
        <v>United States</v>
      </c>
      <c r="I545" s="2" t="str">
        <f>_xlfn.XLOOKUP(Orders[[#This Row],[Customer ID]],customers!$A$1:$A$1001,customers!$F$1:$F$1001,,0)</f>
        <v>San Jose</v>
      </c>
      <c r="J545" t="str">
        <f>INDEX(products!$A$1:$G$49,MATCH(orders!$D545,products!$A$1:$A$49,0),MATCH(orders!J$1,products!$A$1:$G$1,0))</f>
        <v>Rob</v>
      </c>
      <c r="K545" t="str">
        <f>INDEX(products!$A$1:$G$49,MATCH(orders!$D545,products!$A$1:$A$49,0),MATCH(orders!K$1,products!$A$1:$G$1,0))</f>
        <v>L</v>
      </c>
      <c r="L545" s="4">
        <f>INDEX(products!$A$1:$G$49,MATCH(orders!$D545,products!$A$1:$A$49,0),MATCH(orders!L$1,products!$A$1:$G$1,0))</f>
        <v>2.5</v>
      </c>
      <c r="M545" s="5">
        <f>INDEX(products!$A$1:$G$49,MATCH(orders!$D545,products!$A$1:$A$49,0),MATCH(orders!M$1,products!$A$1:$G$1,0))</f>
        <v>27.484999999999996</v>
      </c>
      <c r="N545" s="5">
        <f>Orders[[#This Row],[Quantity]]*(INDEX(products!$A$1:$G$49,MATCH(orders!$D545,products!$A$1:$A$49,0),MATCH(orders!N$1,products!$A$1:$G$1,0)))</f>
        <v>3.2981999999999996</v>
      </c>
      <c r="O545" s="5">
        <f>M545*E545</f>
        <v>54.969999999999992</v>
      </c>
      <c r="P545" t="str">
        <f t="shared" si="16"/>
        <v>Robusta</v>
      </c>
      <c r="Q545" t="str">
        <f t="shared" si="17"/>
        <v>Light</v>
      </c>
      <c r="R545" t="str">
        <f>_xlfn.XLOOKUP(Orders[[#This Row],[Customer ID]],customers!$A$1:$A$1001,customers!$I$1:$I$1001,,0)</f>
        <v>No</v>
      </c>
    </row>
    <row r="546" spans="1:18" x14ac:dyDescent="0.35">
      <c r="A546" s="2" t="s">
        <v>3565</v>
      </c>
      <c r="B546" s="3">
        <v>43869</v>
      </c>
      <c r="C546" s="2" t="s">
        <v>3566</v>
      </c>
      <c r="D546" t="s">
        <v>6180</v>
      </c>
      <c r="E546" s="2">
        <v>2</v>
      </c>
      <c r="F546" s="2" t="str">
        <f>_xlfn.XLOOKUP(Orders[[#This Row],[Customer ID]],customers!$A$1:$A$1001,customers!$B$1:$B$1001,,0)</f>
        <v>Heda Fromant</v>
      </c>
      <c r="G546" s="2" t="str">
        <f>IF(_xlfn.XLOOKUP(C546,customers!$A$1:$A$1001,customers!C545:C1545,,0)=0,"",_xlfn.XLOOKUP(C546,customers!$A$1:$A$1001,customers!C545:C1545,,0))</f>
        <v/>
      </c>
      <c r="H546" s="2" t="str">
        <f>_xlfn.XLOOKUP(Orders[[#This Row],[Customer ID]],customers!$A$1:$A$1001,customers!$G$1:$G$1001,,0)</f>
        <v>United States</v>
      </c>
      <c r="I546" s="2" t="str">
        <f>_xlfn.XLOOKUP(Orders[[#This Row],[Customer ID]],customers!$A$1:$A$1001,customers!$F$1:$F$1001,,0)</f>
        <v>Philadelphia</v>
      </c>
      <c r="J546" t="str">
        <f>INDEX(products!$A$1:$G$49,MATCH(orders!$D546,products!$A$1:$A$49,0),MATCH(orders!J$1,products!$A$1:$G$1,0))</f>
        <v>Ara</v>
      </c>
      <c r="K546" t="str">
        <f>INDEX(products!$A$1:$G$49,MATCH(orders!$D546,products!$A$1:$A$49,0),MATCH(orders!K$1,products!$A$1:$G$1,0))</f>
        <v>L</v>
      </c>
      <c r="L546" s="4">
        <f>INDEX(products!$A$1:$G$49,MATCH(orders!$D546,products!$A$1:$A$49,0),MATCH(orders!L$1,products!$A$1:$G$1,0))</f>
        <v>0.5</v>
      </c>
      <c r="M546" s="5">
        <f>INDEX(products!$A$1:$G$49,MATCH(orders!$D546,products!$A$1:$A$49,0),MATCH(orders!M$1,products!$A$1:$G$1,0))</f>
        <v>7.77</v>
      </c>
      <c r="N546" s="5">
        <f>Orders[[#This Row],[Quantity]]*(INDEX(products!$A$1:$G$49,MATCH(orders!$D546,products!$A$1:$A$49,0),MATCH(orders!N$1,products!$A$1:$G$1,0)))</f>
        <v>1.3985999999999998</v>
      </c>
      <c r="O546" s="5">
        <f>M546*E546</f>
        <v>15.54</v>
      </c>
      <c r="P546" t="str">
        <f t="shared" si="16"/>
        <v>Arabica</v>
      </c>
      <c r="Q546" t="str">
        <f t="shared" si="17"/>
        <v>Light</v>
      </c>
      <c r="R546" t="str">
        <f>_xlfn.XLOOKUP(Orders[[#This Row],[Customer ID]],customers!$A$1:$A$1001,customers!$I$1:$I$1001,,0)</f>
        <v>No</v>
      </c>
    </row>
    <row r="547" spans="1:18" x14ac:dyDescent="0.35">
      <c r="A547" s="2" t="s">
        <v>3571</v>
      </c>
      <c r="B547" s="3">
        <v>44120</v>
      </c>
      <c r="C547" s="2" t="s">
        <v>3572</v>
      </c>
      <c r="D547" t="s">
        <v>6150</v>
      </c>
      <c r="E547" s="2">
        <v>4</v>
      </c>
      <c r="F547" s="2" t="str">
        <f>_xlfn.XLOOKUP(Orders[[#This Row],[Customer ID]],customers!$A$1:$A$1001,customers!$B$1:$B$1001,,0)</f>
        <v>Rufus Flear</v>
      </c>
      <c r="G547" s="2" t="str">
        <f>IF(_xlfn.XLOOKUP(C547,customers!$A$1:$A$1001,customers!C546:C1546,,0)=0,"",_xlfn.XLOOKUP(C547,customers!$A$1:$A$1001,customers!C546:C1546,,0))</f>
        <v/>
      </c>
      <c r="H547" s="2" t="str">
        <f>_xlfn.XLOOKUP(Orders[[#This Row],[Customer ID]],customers!$A$1:$A$1001,customers!$G$1:$G$1001,,0)</f>
        <v>United Kingdom</v>
      </c>
      <c r="I547" s="2" t="str">
        <f>_xlfn.XLOOKUP(Orders[[#This Row],[Customer ID]],customers!$A$1:$A$1001,customers!$F$1:$F$1001,,0)</f>
        <v>Sheffield</v>
      </c>
      <c r="J547" t="str">
        <f>INDEX(products!$A$1:$G$49,MATCH(orders!$D547,products!$A$1:$A$49,0),MATCH(orders!J$1,products!$A$1:$G$1,0))</f>
        <v>Lib</v>
      </c>
      <c r="K547" t="str">
        <f>INDEX(products!$A$1:$G$49,MATCH(orders!$D547,products!$A$1:$A$49,0),MATCH(orders!K$1,products!$A$1:$G$1,0))</f>
        <v>D</v>
      </c>
      <c r="L547" s="4">
        <f>INDEX(products!$A$1:$G$49,MATCH(orders!$D547,products!$A$1:$A$49,0),MATCH(orders!L$1,products!$A$1:$G$1,0))</f>
        <v>0.2</v>
      </c>
      <c r="M547" s="5">
        <f>INDEX(products!$A$1:$G$49,MATCH(orders!$D547,products!$A$1:$A$49,0),MATCH(orders!M$1,products!$A$1:$G$1,0))</f>
        <v>3.8849999999999998</v>
      </c>
      <c r="N547" s="5">
        <f>Orders[[#This Row],[Quantity]]*(INDEX(products!$A$1:$G$49,MATCH(orders!$D547,products!$A$1:$A$49,0),MATCH(orders!N$1,products!$A$1:$G$1,0)))</f>
        <v>2.0202</v>
      </c>
      <c r="O547" s="5">
        <f>M547*E547</f>
        <v>15.54</v>
      </c>
      <c r="P547" t="str">
        <f t="shared" si="16"/>
        <v>Liberica</v>
      </c>
      <c r="Q547" t="str">
        <f t="shared" si="17"/>
        <v>Dark</v>
      </c>
      <c r="R547" t="str">
        <f>_xlfn.XLOOKUP(Orders[[#This Row],[Customer ID]],customers!$A$1:$A$1001,customers!$I$1:$I$1001,,0)</f>
        <v>No</v>
      </c>
    </row>
    <row r="548" spans="1:18" x14ac:dyDescent="0.35">
      <c r="A548" s="2" t="s">
        <v>3577</v>
      </c>
      <c r="B548" s="3">
        <v>44127</v>
      </c>
      <c r="C548" s="2" t="s">
        <v>3578</v>
      </c>
      <c r="D548" t="s">
        <v>6185</v>
      </c>
      <c r="E548" s="2">
        <v>3</v>
      </c>
      <c r="F548" s="2" t="str">
        <f>_xlfn.XLOOKUP(Orders[[#This Row],[Customer ID]],customers!$A$1:$A$1001,customers!$B$1:$B$1001,,0)</f>
        <v>Dom Milella</v>
      </c>
      <c r="G548" s="2" t="str">
        <f>IF(_xlfn.XLOOKUP(C548,customers!$A$1:$A$1001,customers!C547:C1547,,0)=0,"",_xlfn.XLOOKUP(C548,customers!$A$1:$A$1001,customers!C547:C1547,,0))</f>
        <v/>
      </c>
      <c r="H548" s="2" t="str">
        <f>_xlfn.XLOOKUP(Orders[[#This Row],[Customer ID]],customers!$A$1:$A$1001,customers!$G$1:$G$1001,,0)</f>
        <v>Ireland</v>
      </c>
      <c r="I548" s="2" t="str">
        <f>_xlfn.XLOOKUP(Orders[[#This Row],[Customer ID]],customers!$A$1:$A$1001,customers!$F$1:$F$1001,,0)</f>
        <v>Manorhamilton</v>
      </c>
      <c r="J548" t="str">
        <f>INDEX(products!$A$1:$G$49,MATCH(orders!$D548,products!$A$1:$A$49,0),MATCH(orders!J$1,products!$A$1:$G$1,0))</f>
        <v>Exc</v>
      </c>
      <c r="K548" t="str">
        <f>INDEX(products!$A$1:$G$49,MATCH(orders!$D548,products!$A$1:$A$49,0),MATCH(orders!K$1,products!$A$1:$G$1,0))</f>
        <v>D</v>
      </c>
      <c r="L548" s="4">
        <f>INDEX(products!$A$1:$G$49,MATCH(orders!$D548,products!$A$1:$A$49,0),MATCH(orders!L$1,products!$A$1:$G$1,0))</f>
        <v>2.5</v>
      </c>
      <c r="M548" s="5">
        <f>INDEX(products!$A$1:$G$49,MATCH(orders!$D548,products!$A$1:$A$49,0),MATCH(orders!M$1,products!$A$1:$G$1,0))</f>
        <v>27.945</v>
      </c>
      <c r="N548" s="5">
        <f>Orders[[#This Row],[Quantity]]*(INDEX(products!$A$1:$G$49,MATCH(orders!$D548,products!$A$1:$A$49,0),MATCH(orders!N$1,products!$A$1:$G$1,0)))</f>
        <v>9.2218499999999999</v>
      </c>
      <c r="O548" s="5">
        <f>M548*E548</f>
        <v>83.835000000000008</v>
      </c>
      <c r="P548" t="str">
        <f t="shared" si="16"/>
        <v>Excelsa</v>
      </c>
      <c r="Q548" t="str">
        <f t="shared" si="17"/>
        <v>Dark</v>
      </c>
      <c r="R548" t="str">
        <f>_xlfn.XLOOKUP(Orders[[#This Row],[Customer ID]],customers!$A$1:$A$1001,customers!$I$1:$I$1001,,0)</f>
        <v>No</v>
      </c>
    </row>
    <row r="549" spans="1:18" x14ac:dyDescent="0.35">
      <c r="A549" s="2" t="s">
        <v>3582</v>
      </c>
      <c r="B549" s="3">
        <v>44265</v>
      </c>
      <c r="C549" s="2" t="s">
        <v>3594</v>
      </c>
      <c r="D549" t="s">
        <v>6178</v>
      </c>
      <c r="E549" s="2">
        <v>3</v>
      </c>
      <c r="F549" s="2" t="str">
        <f>_xlfn.XLOOKUP(Orders[[#This Row],[Customer ID]],customers!$A$1:$A$1001,customers!$B$1:$B$1001,,0)</f>
        <v>Wilek Lightollers</v>
      </c>
      <c r="G549" s="2" t="str">
        <f>IF(_xlfn.XLOOKUP(C549,customers!$A$1:$A$1001,customers!C548:C1548,,0)=0,"",_xlfn.XLOOKUP(C549,customers!$A$1:$A$1001,customers!C548:C1548,,0))</f>
        <v/>
      </c>
      <c r="H549" s="2" t="str">
        <f>_xlfn.XLOOKUP(Orders[[#This Row],[Customer ID]],customers!$A$1:$A$1001,customers!$G$1:$G$1001,,0)</f>
        <v>United States</v>
      </c>
      <c r="I549" s="2" t="str">
        <f>_xlfn.XLOOKUP(Orders[[#This Row],[Customer ID]],customers!$A$1:$A$1001,customers!$F$1:$F$1001,,0)</f>
        <v>New York City</v>
      </c>
      <c r="J549" t="str">
        <f>INDEX(products!$A$1:$G$49,MATCH(orders!$D549,products!$A$1:$A$49,0),MATCH(orders!J$1,products!$A$1:$G$1,0))</f>
        <v>Rob</v>
      </c>
      <c r="K549" t="str">
        <f>INDEX(products!$A$1:$G$49,MATCH(orders!$D549,products!$A$1:$A$49,0),MATCH(orders!K$1,products!$A$1:$G$1,0))</f>
        <v>L</v>
      </c>
      <c r="L549" s="4">
        <f>INDEX(products!$A$1:$G$49,MATCH(orders!$D549,products!$A$1:$A$49,0),MATCH(orders!L$1,products!$A$1:$G$1,0))</f>
        <v>0.2</v>
      </c>
      <c r="M549" s="5">
        <f>INDEX(products!$A$1:$G$49,MATCH(orders!$D549,products!$A$1:$A$49,0),MATCH(orders!M$1,products!$A$1:$G$1,0))</f>
        <v>3.5849999999999995</v>
      </c>
      <c r="N549" s="5">
        <f>Orders[[#This Row],[Quantity]]*(INDEX(products!$A$1:$G$49,MATCH(orders!$D549,products!$A$1:$A$49,0),MATCH(orders!N$1,products!$A$1:$G$1,0)))</f>
        <v>0.64529999999999987</v>
      </c>
      <c r="O549" s="5">
        <f>M549*E549</f>
        <v>10.754999999999999</v>
      </c>
      <c r="P549" t="str">
        <f t="shared" si="16"/>
        <v>Robusta</v>
      </c>
      <c r="Q549" t="str">
        <f t="shared" si="17"/>
        <v>Light</v>
      </c>
      <c r="R549" t="str">
        <f>_xlfn.XLOOKUP(Orders[[#This Row],[Customer ID]],customers!$A$1:$A$1001,customers!$I$1:$I$1001,,0)</f>
        <v>Yes</v>
      </c>
    </row>
    <row r="550" spans="1:18" x14ac:dyDescent="0.35">
      <c r="A550" s="2" t="s">
        <v>3587</v>
      </c>
      <c r="B550" s="3">
        <v>44384</v>
      </c>
      <c r="C550" s="2" t="s">
        <v>3588</v>
      </c>
      <c r="D550" t="s">
        <v>6184</v>
      </c>
      <c r="E550" s="2">
        <v>3</v>
      </c>
      <c r="F550" s="2" t="str">
        <f>_xlfn.XLOOKUP(Orders[[#This Row],[Customer ID]],customers!$A$1:$A$1001,customers!$B$1:$B$1001,,0)</f>
        <v>Bette-ann Munden</v>
      </c>
      <c r="G550" s="2" t="str">
        <f>IF(_xlfn.XLOOKUP(C550,customers!$A$1:$A$1001,customers!C549:C1549,,0)=0,"",_xlfn.XLOOKUP(C550,customers!$A$1:$A$1001,customers!C549:C1549,,0))</f>
        <v/>
      </c>
      <c r="H550" s="2" t="str">
        <f>_xlfn.XLOOKUP(Orders[[#This Row],[Customer ID]],customers!$A$1:$A$1001,customers!$G$1:$G$1001,,0)</f>
        <v>United States</v>
      </c>
      <c r="I550" s="2" t="str">
        <f>_xlfn.XLOOKUP(Orders[[#This Row],[Customer ID]],customers!$A$1:$A$1001,customers!$F$1:$F$1001,,0)</f>
        <v>Oklahoma City</v>
      </c>
      <c r="J550" t="str">
        <f>INDEX(products!$A$1:$G$49,MATCH(orders!$D550,products!$A$1:$A$49,0),MATCH(orders!J$1,products!$A$1:$G$1,0))</f>
        <v>Exc</v>
      </c>
      <c r="K550" t="str">
        <f>INDEX(products!$A$1:$G$49,MATCH(orders!$D550,products!$A$1:$A$49,0),MATCH(orders!K$1,products!$A$1:$G$1,0))</f>
        <v>L</v>
      </c>
      <c r="L550" s="4">
        <f>INDEX(products!$A$1:$G$49,MATCH(orders!$D550,products!$A$1:$A$49,0),MATCH(orders!L$1,products!$A$1:$G$1,0))</f>
        <v>0.2</v>
      </c>
      <c r="M550" s="5">
        <f>INDEX(products!$A$1:$G$49,MATCH(orders!$D550,products!$A$1:$A$49,0),MATCH(orders!M$1,products!$A$1:$G$1,0))</f>
        <v>4.4550000000000001</v>
      </c>
      <c r="N550" s="5">
        <f>Orders[[#This Row],[Quantity]]*(INDEX(products!$A$1:$G$49,MATCH(orders!$D550,products!$A$1:$A$49,0),MATCH(orders!N$1,products!$A$1:$G$1,0)))</f>
        <v>1.4701499999999998</v>
      </c>
      <c r="O550" s="5">
        <f>M550*E550</f>
        <v>13.365</v>
      </c>
      <c r="P550" t="str">
        <f t="shared" si="16"/>
        <v>Excelsa</v>
      </c>
      <c r="Q550" t="str">
        <f t="shared" si="17"/>
        <v>Light</v>
      </c>
      <c r="R550" t="str">
        <f>_xlfn.XLOOKUP(Orders[[#This Row],[Customer ID]],customers!$A$1:$A$1001,customers!$I$1:$I$1001,,0)</f>
        <v>Yes</v>
      </c>
    </row>
    <row r="551" spans="1:18" x14ac:dyDescent="0.35">
      <c r="A551" s="2" t="s">
        <v>3593</v>
      </c>
      <c r="B551" s="3">
        <v>44232</v>
      </c>
      <c r="C551" s="2" t="s">
        <v>3594</v>
      </c>
      <c r="D551" t="s">
        <v>6184</v>
      </c>
      <c r="E551" s="2">
        <v>4</v>
      </c>
      <c r="F551" s="2" t="str">
        <f>_xlfn.XLOOKUP(Orders[[#This Row],[Customer ID]],customers!$A$1:$A$1001,customers!$B$1:$B$1001,,0)</f>
        <v>Wilek Lightollers</v>
      </c>
      <c r="G551" s="2" t="str">
        <f>IF(_xlfn.XLOOKUP(C551,customers!$A$1:$A$1001,customers!C550:C1550,,0)=0,"",_xlfn.XLOOKUP(C551,customers!$A$1:$A$1001,customers!C550:C1550,,0))</f>
        <v/>
      </c>
      <c r="H551" s="2" t="str">
        <f>_xlfn.XLOOKUP(Orders[[#This Row],[Customer ID]],customers!$A$1:$A$1001,customers!$G$1:$G$1001,,0)</f>
        <v>United States</v>
      </c>
      <c r="I551" s="2" t="str">
        <f>_xlfn.XLOOKUP(Orders[[#This Row],[Customer ID]],customers!$A$1:$A$1001,customers!$F$1:$F$1001,,0)</f>
        <v>New York City</v>
      </c>
      <c r="J551" t="str">
        <f>INDEX(products!$A$1:$G$49,MATCH(orders!$D551,products!$A$1:$A$49,0),MATCH(orders!J$1,products!$A$1:$G$1,0))</f>
        <v>Exc</v>
      </c>
      <c r="K551" t="str">
        <f>INDEX(products!$A$1:$G$49,MATCH(orders!$D551,products!$A$1:$A$49,0),MATCH(orders!K$1,products!$A$1:$G$1,0))</f>
        <v>L</v>
      </c>
      <c r="L551" s="4">
        <f>INDEX(products!$A$1:$G$49,MATCH(orders!$D551,products!$A$1:$A$49,0),MATCH(orders!L$1,products!$A$1:$G$1,0))</f>
        <v>0.2</v>
      </c>
      <c r="M551" s="5">
        <f>INDEX(products!$A$1:$G$49,MATCH(orders!$D551,products!$A$1:$A$49,0),MATCH(orders!M$1,products!$A$1:$G$1,0))</f>
        <v>4.4550000000000001</v>
      </c>
      <c r="N551" s="5">
        <f>Orders[[#This Row],[Quantity]]*(INDEX(products!$A$1:$G$49,MATCH(orders!$D551,products!$A$1:$A$49,0),MATCH(orders!N$1,products!$A$1:$G$1,0)))</f>
        <v>1.9601999999999999</v>
      </c>
      <c r="O551" s="5">
        <f>M551*E551</f>
        <v>17.82</v>
      </c>
      <c r="P551" t="str">
        <f t="shared" si="16"/>
        <v>Excelsa</v>
      </c>
      <c r="Q551" t="str">
        <f t="shared" si="17"/>
        <v>Light</v>
      </c>
      <c r="R551" t="str">
        <f>_xlfn.XLOOKUP(Orders[[#This Row],[Customer ID]],customers!$A$1:$A$1001,customers!$I$1:$I$1001,,0)</f>
        <v>Yes</v>
      </c>
    </row>
    <row r="552" spans="1:18" x14ac:dyDescent="0.35">
      <c r="A552" s="2" t="s">
        <v>3599</v>
      </c>
      <c r="B552" s="3">
        <v>44176</v>
      </c>
      <c r="C552" s="2" t="s">
        <v>3600</v>
      </c>
      <c r="D552" t="s">
        <v>6150</v>
      </c>
      <c r="E552" s="2">
        <v>6</v>
      </c>
      <c r="F552" s="2" t="str">
        <f>_xlfn.XLOOKUP(Orders[[#This Row],[Customer ID]],customers!$A$1:$A$1001,customers!$B$1:$B$1001,,0)</f>
        <v>Nick Brakespear</v>
      </c>
      <c r="G552" s="2" t="str">
        <f>IF(_xlfn.XLOOKUP(C552,customers!$A$1:$A$1001,customers!C551:C1551,,0)=0,"",_xlfn.XLOOKUP(C552,customers!$A$1:$A$1001,customers!C551:C1551,,0))</f>
        <v/>
      </c>
      <c r="H552" s="2" t="str">
        <f>_xlfn.XLOOKUP(Orders[[#This Row],[Customer ID]],customers!$A$1:$A$1001,customers!$G$1:$G$1001,,0)</f>
        <v>United States</v>
      </c>
      <c r="I552" s="2" t="str">
        <f>_xlfn.XLOOKUP(Orders[[#This Row],[Customer ID]],customers!$A$1:$A$1001,customers!$F$1:$F$1001,,0)</f>
        <v>Newark</v>
      </c>
      <c r="J552" t="str">
        <f>INDEX(products!$A$1:$G$49,MATCH(orders!$D552,products!$A$1:$A$49,0),MATCH(orders!J$1,products!$A$1:$G$1,0))</f>
        <v>Lib</v>
      </c>
      <c r="K552" t="str">
        <f>INDEX(products!$A$1:$G$49,MATCH(orders!$D552,products!$A$1:$A$49,0),MATCH(orders!K$1,products!$A$1:$G$1,0))</f>
        <v>D</v>
      </c>
      <c r="L552" s="4">
        <f>INDEX(products!$A$1:$G$49,MATCH(orders!$D552,products!$A$1:$A$49,0),MATCH(orders!L$1,products!$A$1:$G$1,0))</f>
        <v>0.2</v>
      </c>
      <c r="M552" s="5">
        <f>INDEX(products!$A$1:$G$49,MATCH(orders!$D552,products!$A$1:$A$49,0),MATCH(orders!M$1,products!$A$1:$G$1,0))</f>
        <v>3.8849999999999998</v>
      </c>
      <c r="N552" s="5">
        <f>Orders[[#This Row],[Quantity]]*(INDEX(products!$A$1:$G$49,MATCH(orders!$D552,products!$A$1:$A$49,0),MATCH(orders!N$1,products!$A$1:$G$1,0)))</f>
        <v>3.0303</v>
      </c>
      <c r="O552" s="5">
        <f>M552*E552</f>
        <v>23.31</v>
      </c>
      <c r="P552" t="str">
        <f t="shared" si="16"/>
        <v>Liberica</v>
      </c>
      <c r="Q552" t="str">
        <f t="shared" si="17"/>
        <v>Dark</v>
      </c>
      <c r="R552" t="str">
        <f>_xlfn.XLOOKUP(Orders[[#This Row],[Customer ID]],customers!$A$1:$A$1001,customers!$I$1:$I$1001,,0)</f>
        <v>Yes</v>
      </c>
    </row>
    <row r="553" spans="1:18" x14ac:dyDescent="0.35">
      <c r="A553" s="2" t="s">
        <v>3605</v>
      </c>
      <c r="B553" s="3">
        <v>44694</v>
      </c>
      <c r="C553" s="2" t="s">
        <v>3606</v>
      </c>
      <c r="D553" t="s">
        <v>6153</v>
      </c>
      <c r="E553" s="2">
        <v>2</v>
      </c>
      <c r="F553" s="2" t="str">
        <f>_xlfn.XLOOKUP(Orders[[#This Row],[Customer ID]],customers!$A$1:$A$1001,customers!$B$1:$B$1001,,0)</f>
        <v>Malynda Glawsop</v>
      </c>
      <c r="G553" s="2" t="str">
        <f>IF(_xlfn.XLOOKUP(C553,customers!$A$1:$A$1001,customers!C552:C1552,,0)=0,"",_xlfn.XLOOKUP(C553,customers!$A$1:$A$1001,customers!C552:C1552,,0))</f>
        <v/>
      </c>
      <c r="H553" s="2" t="str">
        <f>_xlfn.XLOOKUP(Orders[[#This Row],[Customer ID]],customers!$A$1:$A$1001,customers!$G$1:$G$1001,,0)</f>
        <v>United States</v>
      </c>
      <c r="I553" s="2" t="str">
        <f>_xlfn.XLOOKUP(Orders[[#This Row],[Customer ID]],customers!$A$1:$A$1001,customers!$F$1:$F$1001,,0)</f>
        <v>New Haven</v>
      </c>
      <c r="J553" t="str">
        <f>INDEX(products!$A$1:$G$49,MATCH(orders!$D553,products!$A$1:$A$49,0),MATCH(orders!J$1,products!$A$1:$G$1,0))</f>
        <v>Exc</v>
      </c>
      <c r="K553" t="str">
        <f>INDEX(products!$A$1:$G$49,MATCH(orders!$D553,products!$A$1:$A$49,0),MATCH(orders!K$1,products!$A$1:$G$1,0))</f>
        <v>D</v>
      </c>
      <c r="L553" s="4">
        <f>INDEX(products!$A$1:$G$49,MATCH(orders!$D553,products!$A$1:$A$49,0),MATCH(orders!L$1,products!$A$1:$G$1,0))</f>
        <v>0.2</v>
      </c>
      <c r="M553" s="5">
        <f>INDEX(products!$A$1:$G$49,MATCH(orders!$D553,products!$A$1:$A$49,0),MATCH(orders!M$1,products!$A$1:$G$1,0))</f>
        <v>3.645</v>
      </c>
      <c r="N553" s="5">
        <f>Orders[[#This Row],[Quantity]]*(INDEX(products!$A$1:$G$49,MATCH(orders!$D553,products!$A$1:$A$49,0),MATCH(orders!N$1,products!$A$1:$G$1,0)))</f>
        <v>0.80190000000000006</v>
      </c>
      <c r="O553" s="5">
        <f>M553*E553</f>
        <v>7.29</v>
      </c>
      <c r="P553" t="str">
        <f t="shared" si="16"/>
        <v>Excelsa</v>
      </c>
      <c r="Q553" t="str">
        <f t="shared" si="17"/>
        <v>Dark</v>
      </c>
      <c r="R553" t="str">
        <f>_xlfn.XLOOKUP(Orders[[#This Row],[Customer ID]],customers!$A$1:$A$1001,customers!$I$1:$I$1001,,0)</f>
        <v>No</v>
      </c>
    </row>
    <row r="554" spans="1:18" x14ac:dyDescent="0.35">
      <c r="A554" s="2" t="s">
        <v>3611</v>
      </c>
      <c r="B554" s="3">
        <v>43761</v>
      </c>
      <c r="C554" s="2" t="s">
        <v>3612</v>
      </c>
      <c r="D554" t="s">
        <v>6184</v>
      </c>
      <c r="E554" s="2">
        <v>4</v>
      </c>
      <c r="F554" s="2" t="str">
        <f>_xlfn.XLOOKUP(Orders[[#This Row],[Customer ID]],customers!$A$1:$A$1001,customers!$B$1:$B$1001,,0)</f>
        <v>Granville Alberts</v>
      </c>
      <c r="G554" s="2" t="str">
        <f>IF(_xlfn.XLOOKUP(C554,customers!$A$1:$A$1001,customers!C553:C1553,,0)=0,"",_xlfn.XLOOKUP(C554,customers!$A$1:$A$1001,customers!C553:C1553,,0))</f>
        <v/>
      </c>
      <c r="H554" s="2" t="str">
        <f>_xlfn.XLOOKUP(Orders[[#This Row],[Customer ID]],customers!$A$1:$A$1001,customers!$G$1:$G$1001,,0)</f>
        <v>United Kingdom</v>
      </c>
      <c r="I554" s="2" t="str">
        <f>_xlfn.XLOOKUP(Orders[[#This Row],[Customer ID]],customers!$A$1:$A$1001,customers!$F$1:$F$1001,,0)</f>
        <v>Belfast</v>
      </c>
      <c r="J554" t="str">
        <f>INDEX(products!$A$1:$G$49,MATCH(orders!$D554,products!$A$1:$A$49,0),MATCH(orders!J$1,products!$A$1:$G$1,0))</f>
        <v>Exc</v>
      </c>
      <c r="K554" t="str">
        <f>INDEX(products!$A$1:$G$49,MATCH(orders!$D554,products!$A$1:$A$49,0),MATCH(orders!K$1,products!$A$1:$G$1,0))</f>
        <v>L</v>
      </c>
      <c r="L554" s="4">
        <f>INDEX(products!$A$1:$G$49,MATCH(orders!$D554,products!$A$1:$A$49,0),MATCH(orders!L$1,products!$A$1:$G$1,0))</f>
        <v>0.2</v>
      </c>
      <c r="M554" s="5">
        <f>INDEX(products!$A$1:$G$49,MATCH(orders!$D554,products!$A$1:$A$49,0),MATCH(orders!M$1,products!$A$1:$G$1,0))</f>
        <v>4.4550000000000001</v>
      </c>
      <c r="N554" s="5">
        <f>Orders[[#This Row],[Quantity]]*(INDEX(products!$A$1:$G$49,MATCH(orders!$D554,products!$A$1:$A$49,0),MATCH(orders!N$1,products!$A$1:$G$1,0)))</f>
        <v>1.9601999999999999</v>
      </c>
      <c r="O554" s="5">
        <f>M554*E554</f>
        <v>17.82</v>
      </c>
      <c r="P554" t="str">
        <f t="shared" si="16"/>
        <v>Excelsa</v>
      </c>
      <c r="Q554" t="str">
        <f t="shared" si="17"/>
        <v>Light</v>
      </c>
      <c r="R554" t="str">
        <f>_xlfn.XLOOKUP(Orders[[#This Row],[Customer ID]],customers!$A$1:$A$1001,customers!$I$1:$I$1001,,0)</f>
        <v>Yes</v>
      </c>
    </row>
    <row r="555" spans="1:18" x14ac:dyDescent="0.35">
      <c r="A555" s="2" t="s">
        <v>3617</v>
      </c>
      <c r="B555" s="3">
        <v>44085</v>
      </c>
      <c r="C555" s="2" t="s">
        <v>3618</v>
      </c>
      <c r="D555" t="s">
        <v>6141</v>
      </c>
      <c r="E555" s="2">
        <v>5</v>
      </c>
      <c r="F555" s="2" t="str">
        <f>_xlfn.XLOOKUP(Orders[[#This Row],[Customer ID]],customers!$A$1:$A$1001,customers!$B$1:$B$1001,,0)</f>
        <v>Vasily Polglase</v>
      </c>
      <c r="G555" s="2" t="str">
        <f>IF(_xlfn.XLOOKUP(C555,customers!$A$1:$A$1001,customers!C554:C1554,,0)=0,"",_xlfn.XLOOKUP(C555,customers!$A$1:$A$1001,customers!C554:C1554,,0))</f>
        <v/>
      </c>
      <c r="H555" s="2" t="str">
        <f>_xlfn.XLOOKUP(Orders[[#This Row],[Customer ID]],customers!$A$1:$A$1001,customers!$G$1:$G$1001,,0)</f>
        <v>United States</v>
      </c>
      <c r="I555" s="2" t="str">
        <f>_xlfn.XLOOKUP(Orders[[#This Row],[Customer ID]],customers!$A$1:$A$1001,customers!$F$1:$F$1001,,0)</f>
        <v>Toledo</v>
      </c>
      <c r="J555" t="str">
        <f>INDEX(products!$A$1:$G$49,MATCH(orders!$D555,products!$A$1:$A$49,0),MATCH(orders!J$1,products!$A$1:$G$1,0))</f>
        <v>Exc</v>
      </c>
      <c r="K555" t="str">
        <f>INDEX(products!$A$1:$G$49,MATCH(orders!$D555,products!$A$1:$A$49,0),MATCH(orders!K$1,products!$A$1:$G$1,0))</f>
        <v>M</v>
      </c>
      <c r="L555" s="4">
        <f>INDEX(products!$A$1:$G$49,MATCH(orders!$D555,products!$A$1:$A$49,0),MATCH(orders!L$1,products!$A$1:$G$1,0))</f>
        <v>1</v>
      </c>
      <c r="M555" s="5">
        <f>INDEX(products!$A$1:$G$49,MATCH(orders!$D555,products!$A$1:$A$49,0),MATCH(orders!M$1,products!$A$1:$G$1,0))</f>
        <v>13.75</v>
      </c>
      <c r="N555" s="5">
        <f>Orders[[#This Row],[Quantity]]*(INDEX(products!$A$1:$G$49,MATCH(orders!$D555,products!$A$1:$A$49,0),MATCH(orders!N$1,products!$A$1:$G$1,0)))</f>
        <v>7.5625</v>
      </c>
      <c r="O555" s="5">
        <f>M555*E555</f>
        <v>68.75</v>
      </c>
      <c r="P555" t="str">
        <f t="shared" si="16"/>
        <v>Excelsa</v>
      </c>
      <c r="Q555" t="str">
        <f t="shared" si="17"/>
        <v>Medium</v>
      </c>
      <c r="R555" t="str">
        <f>_xlfn.XLOOKUP(Orders[[#This Row],[Customer ID]],customers!$A$1:$A$1001,customers!$I$1:$I$1001,,0)</f>
        <v>No</v>
      </c>
    </row>
    <row r="556" spans="1:18" x14ac:dyDescent="0.35">
      <c r="A556" s="2" t="s">
        <v>3622</v>
      </c>
      <c r="B556" s="3">
        <v>43737</v>
      </c>
      <c r="C556" s="2" t="s">
        <v>3623</v>
      </c>
      <c r="D556" t="s">
        <v>6142</v>
      </c>
      <c r="E556" s="2">
        <v>2</v>
      </c>
      <c r="F556" s="2" t="str">
        <f>_xlfn.XLOOKUP(Orders[[#This Row],[Customer ID]],customers!$A$1:$A$1001,customers!$B$1:$B$1001,,0)</f>
        <v>Madelaine Sharples</v>
      </c>
      <c r="G556" s="2" t="str">
        <f>IF(_xlfn.XLOOKUP(C556,customers!$A$1:$A$1001,customers!C555:C1555,,0)=0,"",_xlfn.XLOOKUP(C556,customers!$A$1:$A$1001,customers!C555:C1555,,0))</f>
        <v/>
      </c>
      <c r="H556" s="2" t="str">
        <f>_xlfn.XLOOKUP(Orders[[#This Row],[Customer ID]],customers!$A$1:$A$1001,customers!$G$1:$G$1001,,0)</f>
        <v>United Kingdom</v>
      </c>
      <c r="I556" s="2" t="str">
        <f>_xlfn.XLOOKUP(Orders[[#This Row],[Customer ID]],customers!$A$1:$A$1001,customers!$F$1:$F$1001,,0)</f>
        <v>Newton</v>
      </c>
      <c r="J556" t="str">
        <f>INDEX(products!$A$1:$G$49,MATCH(orders!$D556,products!$A$1:$A$49,0),MATCH(orders!J$1,products!$A$1:$G$1,0))</f>
        <v>Rob</v>
      </c>
      <c r="K556" t="str">
        <f>INDEX(products!$A$1:$G$49,MATCH(orders!$D556,products!$A$1:$A$49,0),MATCH(orders!K$1,products!$A$1:$G$1,0))</f>
        <v>L</v>
      </c>
      <c r="L556" s="4">
        <f>INDEX(products!$A$1:$G$49,MATCH(orders!$D556,products!$A$1:$A$49,0),MATCH(orders!L$1,products!$A$1:$G$1,0))</f>
        <v>2.5</v>
      </c>
      <c r="M556" s="5">
        <f>INDEX(products!$A$1:$G$49,MATCH(orders!$D556,products!$A$1:$A$49,0),MATCH(orders!M$1,products!$A$1:$G$1,0))</f>
        <v>27.484999999999996</v>
      </c>
      <c r="N556" s="5">
        <f>Orders[[#This Row],[Quantity]]*(INDEX(products!$A$1:$G$49,MATCH(orders!$D556,products!$A$1:$A$49,0),MATCH(orders!N$1,products!$A$1:$G$1,0)))</f>
        <v>3.2981999999999996</v>
      </c>
      <c r="O556" s="5">
        <f>M556*E556</f>
        <v>54.969999999999992</v>
      </c>
      <c r="P556" t="str">
        <f t="shared" si="16"/>
        <v>Robusta</v>
      </c>
      <c r="Q556" t="str">
        <f t="shared" si="17"/>
        <v>Light</v>
      </c>
      <c r="R556" t="str">
        <f>_xlfn.XLOOKUP(Orders[[#This Row],[Customer ID]],customers!$A$1:$A$1001,customers!$I$1:$I$1001,,0)</f>
        <v>Yes</v>
      </c>
    </row>
    <row r="557" spans="1:18" x14ac:dyDescent="0.35">
      <c r="A557" s="2" t="s">
        <v>3627</v>
      </c>
      <c r="B557" s="3">
        <v>44258</v>
      </c>
      <c r="C557" s="2" t="s">
        <v>3628</v>
      </c>
      <c r="D557" t="s">
        <v>6141</v>
      </c>
      <c r="E557" s="2">
        <v>6</v>
      </c>
      <c r="F557" s="2" t="str">
        <f>_xlfn.XLOOKUP(Orders[[#This Row],[Customer ID]],customers!$A$1:$A$1001,customers!$B$1:$B$1001,,0)</f>
        <v>Sigfrid Busch</v>
      </c>
      <c r="G557" s="2" t="str">
        <f>IF(_xlfn.XLOOKUP(C557,customers!$A$1:$A$1001,customers!C556:C1556,,0)=0,"",_xlfn.XLOOKUP(C557,customers!$A$1:$A$1001,customers!C556:C1556,,0))</f>
        <v/>
      </c>
      <c r="H557" s="2" t="str">
        <f>_xlfn.XLOOKUP(Orders[[#This Row],[Customer ID]],customers!$A$1:$A$1001,customers!$G$1:$G$1001,,0)</f>
        <v>Ireland</v>
      </c>
      <c r="I557" s="2" t="str">
        <f>_xlfn.XLOOKUP(Orders[[#This Row],[Customer ID]],customers!$A$1:$A$1001,customers!$F$1:$F$1001,,0)</f>
        <v>Bantry</v>
      </c>
      <c r="J557" t="str">
        <f>INDEX(products!$A$1:$G$49,MATCH(orders!$D557,products!$A$1:$A$49,0),MATCH(orders!J$1,products!$A$1:$G$1,0))</f>
        <v>Exc</v>
      </c>
      <c r="K557" t="str">
        <f>INDEX(products!$A$1:$G$49,MATCH(orders!$D557,products!$A$1:$A$49,0),MATCH(orders!K$1,products!$A$1:$G$1,0))</f>
        <v>M</v>
      </c>
      <c r="L557" s="4">
        <f>INDEX(products!$A$1:$G$49,MATCH(orders!$D557,products!$A$1:$A$49,0),MATCH(orders!L$1,products!$A$1:$G$1,0))</f>
        <v>1</v>
      </c>
      <c r="M557" s="5">
        <f>INDEX(products!$A$1:$G$49,MATCH(orders!$D557,products!$A$1:$A$49,0),MATCH(orders!M$1,products!$A$1:$G$1,0))</f>
        <v>13.75</v>
      </c>
      <c r="N557" s="5">
        <f>Orders[[#This Row],[Quantity]]*(INDEX(products!$A$1:$G$49,MATCH(orders!$D557,products!$A$1:$A$49,0),MATCH(orders!N$1,products!$A$1:$G$1,0)))</f>
        <v>9.0749999999999993</v>
      </c>
      <c r="O557" s="5">
        <f>M557*E557</f>
        <v>82.5</v>
      </c>
      <c r="P557" t="str">
        <f t="shared" si="16"/>
        <v>Excelsa</v>
      </c>
      <c r="Q557" t="str">
        <f t="shared" si="17"/>
        <v>Medium</v>
      </c>
      <c r="R557" t="str">
        <f>_xlfn.XLOOKUP(Orders[[#This Row],[Customer ID]],customers!$A$1:$A$1001,customers!$I$1:$I$1001,,0)</f>
        <v>No</v>
      </c>
    </row>
    <row r="558" spans="1:18" x14ac:dyDescent="0.35">
      <c r="A558" s="2" t="s">
        <v>3633</v>
      </c>
      <c r="B558" s="3">
        <v>44523</v>
      </c>
      <c r="C558" s="2" t="s">
        <v>3634</v>
      </c>
      <c r="D558" t="s">
        <v>6159</v>
      </c>
      <c r="E558" s="2">
        <v>2</v>
      </c>
      <c r="F558" s="2" t="str">
        <f>_xlfn.XLOOKUP(Orders[[#This Row],[Customer ID]],customers!$A$1:$A$1001,customers!$B$1:$B$1001,,0)</f>
        <v>Cissiee Raisbeck</v>
      </c>
      <c r="G558" s="2" t="str">
        <f>IF(_xlfn.XLOOKUP(C558,customers!$A$1:$A$1001,customers!C557:C1557,,0)=0,"",_xlfn.XLOOKUP(C558,customers!$A$1:$A$1001,customers!C557:C1557,,0))</f>
        <v/>
      </c>
      <c r="H558" s="2" t="str">
        <f>_xlfn.XLOOKUP(Orders[[#This Row],[Customer ID]],customers!$A$1:$A$1001,customers!$G$1:$G$1001,,0)</f>
        <v>United States</v>
      </c>
      <c r="I558" s="2" t="str">
        <f>_xlfn.XLOOKUP(Orders[[#This Row],[Customer ID]],customers!$A$1:$A$1001,customers!$F$1:$F$1001,,0)</f>
        <v>Shreveport</v>
      </c>
      <c r="J558" t="str">
        <f>INDEX(products!$A$1:$G$49,MATCH(orders!$D558,products!$A$1:$A$49,0),MATCH(orders!J$1,products!$A$1:$G$1,0))</f>
        <v>Lib</v>
      </c>
      <c r="K558" t="str">
        <f>INDEX(products!$A$1:$G$49,MATCH(orders!$D558,products!$A$1:$A$49,0),MATCH(orders!K$1,products!$A$1:$G$1,0))</f>
        <v>M</v>
      </c>
      <c r="L558" s="4">
        <f>INDEX(products!$A$1:$G$49,MATCH(orders!$D558,products!$A$1:$A$49,0),MATCH(orders!L$1,products!$A$1:$G$1,0))</f>
        <v>0.2</v>
      </c>
      <c r="M558" s="5">
        <f>INDEX(products!$A$1:$G$49,MATCH(orders!$D558,products!$A$1:$A$49,0),MATCH(orders!M$1,products!$A$1:$G$1,0))</f>
        <v>4.3650000000000002</v>
      </c>
      <c r="N558" s="5">
        <f>Orders[[#This Row],[Quantity]]*(INDEX(products!$A$1:$G$49,MATCH(orders!$D558,products!$A$1:$A$49,0),MATCH(orders!N$1,products!$A$1:$G$1,0)))</f>
        <v>1.1349</v>
      </c>
      <c r="O558" s="5">
        <f>M558*E558</f>
        <v>8.73</v>
      </c>
      <c r="P558" t="str">
        <f t="shared" si="16"/>
        <v>Liberica</v>
      </c>
      <c r="Q558" t="str">
        <f t="shared" si="17"/>
        <v>Medium</v>
      </c>
      <c r="R558" t="str">
        <f>_xlfn.XLOOKUP(Orders[[#This Row],[Customer ID]],customers!$A$1:$A$1001,customers!$I$1:$I$1001,,0)</f>
        <v>Yes</v>
      </c>
    </row>
    <row r="559" spans="1:18" x14ac:dyDescent="0.35">
      <c r="A559" s="2" t="s">
        <v>3638</v>
      </c>
      <c r="B559" s="3">
        <v>44506</v>
      </c>
      <c r="C559" s="2" t="s">
        <v>3368</v>
      </c>
      <c r="D559" t="s">
        <v>6171</v>
      </c>
      <c r="E559" s="2">
        <v>4</v>
      </c>
      <c r="F559" s="2" t="str">
        <f>_xlfn.XLOOKUP(Orders[[#This Row],[Customer ID]],customers!$A$1:$A$1001,customers!$B$1:$B$1001,,0)</f>
        <v>Marja Urion</v>
      </c>
      <c r="G559" s="2" t="str">
        <f>IF(_xlfn.XLOOKUP(C559,customers!$A$1:$A$1001,customers!C558:C1558,,0)=0,"",_xlfn.XLOOKUP(C559,customers!$A$1:$A$1001,customers!C558:C1558,,0))</f>
        <v/>
      </c>
      <c r="H559" s="2" t="str">
        <f>_xlfn.XLOOKUP(Orders[[#This Row],[Customer ID]],customers!$A$1:$A$1001,customers!$G$1:$G$1001,,0)</f>
        <v>Ireland</v>
      </c>
      <c r="I559" s="2" t="str">
        <f>_xlfn.XLOOKUP(Orders[[#This Row],[Customer ID]],customers!$A$1:$A$1001,customers!$F$1:$F$1001,,0)</f>
        <v>Virginia</v>
      </c>
      <c r="J559" t="str">
        <f>INDEX(products!$A$1:$G$49,MATCH(orders!$D559,products!$A$1:$A$49,0),MATCH(orders!J$1,products!$A$1:$G$1,0))</f>
        <v>Exc</v>
      </c>
      <c r="K559" t="str">
        <f>INDEX(products!$A$1:$G$49,MATCH(orders!$D559,products!$A$1:$A$49,0),MATCH(orders!K$1,products!$A$1:$G$1,0))</f>
        <v>L</v>
      </c>
      <c r="L559" s="4">
        <f>INDEX(products!$A$1:$G$49,MATCH(orders!$D559,products!$A$1:$A$49,0),MATCH(orders!L$1,products!$A$1:$G$1,0))</f>
        <v>1</v>
      </c>
      <c r="M559" s="5">
        <f>INDEX(products!$A$1:$G$49,MATCH(orders!$D559,products!$A$1:$A$49,0),MATCH(orders!M$1,products!$A$1:$G$1,0))</f>
        <v>14.85</v>
      </c>
      <c r="N559" s="5">
        <f>Orders[[#This Row],[Quantity]]*(INDEX(products!$A$1:$G$49,MATCH(orders!$D559,products!$A$1:$A$49,0),MATCH(orders!N$1,products!$A$1:$G$1,0)))</f>
        <v>6.5339999999999998</v>
      </c>
      <c r="O559" s="5">
        <f>M559*E559</f>
        <v>59.4</v>
      </c>
      <c r="P559" t="str">
        <f t="shared" si="16"/>
        <v>Excelsa</v>
      </c>
      <c r="Q559" t="str">
        <f t="shared" si="17"/>
        <v>Light</v>
      </c>
      <c r="R559" t="str">
        <f>_xlfn.XLOOKUP(Orders[[#This Row],[Customer ID]],customers!$A$1:$A$1001,customers!$I$1:$I$1001,,0)</f>
        <v>Yes</v>
      </c>
    </row>
    <row r="560" spans="1:18" x14ac:dyDescent="0.35">
      <c r="A560" s="2" t="s">
        <v>3643</v>
      </c>
      <c r="B560" s="3">
        <v>44225</v>
      </c>
      <c r="C560" s="2" t="s">
        <v>3644</v>
      </c>
      <c r="D560" t="s">
        <v>6150</v>
      </c>
      <c r="E560" s="2">
        <v>4</v>
      </c>
      <c r="F560" s="2" t="str">
        <f>_xlfn.XLOOKUP(Orders[[#This Row],[Customer ID]],customers!$A$1:$A$1001,customers!$B$1:$B$1001,,0)</f>
        <v>Kenton Wetherick</v>
      </c>
      <c r="G560" s="2" t="str">
        <f>IF(_xlfn.XLOOKUP(C560,customers!$A$1:$A$1001,customers!C559:C1559,,0)=0,"",_xlfn.XLOOKUP(C560,customers!$A$1:$A$1001,customers!C559:C1559,,0))</f>
        <v/>
      </c>
      <c r="H560" s="2" t="str">
        <f>_xlfn.XLOOKUP(Orders[[#This Row],[Customer ID]],customers!$A$1:$A$1001,customers!$G$1:$G$1001,,0)</f>
        <v>United States</v>
      </c>
      <c r="I560" s="2" t="str">
        <f>_xlfn.XLOOKUP(Orders[[#This Row],[Customer ID]],customers!$A$1:$A$1001,customers!$F$1:$F$1001,,0)</f>
        <v>Lexington</v>
      </c>
      <c r="J560" t="str">
        <f>INDEX(products!$A$1:$G$49,MATCH(orders!$D560,products!$A$1:$A$49,0),MATCH(orders!J$1,products!$A$1:$G$1,0))</f>
        <v>Lib</v>
      </c>
      <c r="K560" t="str">
        <f>INDEX(products!$A$1:$G$49,MATCH(orders!$D560,products!$A$1:$A$49,0),MATCH(orders!K$1,products!$A$1:$G$1,0))</f>
        <v>D</v>
      </c>
      <c r="L560" s="4">
        <f>INDEX(products!$A$1:$G$49,MATCH(orders!$D560,products!$A$1:$A$49,0),MATCH(orders!L$1,products!$A$1:$G$1,0))</f>
        <v>0.2</v>
      </c>
      <c r="M560" s="5">
        <f>INDEX(products!$A$1:$G$49,MATCH(orders!$D560,products!$A$1:$A$49,0),MATCH(orders!M$1,products!$A$1:$G$1,0))</f>
        <v>3.8849999999999998</v>
      </c>
      <c r="N560" s="5">
        <f>Orders[[#This Row],[Quantity]]*(INDEX(products!$A$1:$G$49,MATCH(orders!$D560,products!$A$1:$A$49,0),MATCH(orders!N$1,products!$A$1:$G$1,0)))</f>
        <v>2.0202</v>
      </c>
      <c r="O560" s="5">
        <f>M560*E560</f>
        <v>15.54</v>
      </c>
      <c r="P560" t="str">
        <f t="shared" si="16"/>
        <v>Liberica</v>
      </c>
      <c r="Q560" t="str">
        <f t="shared" si="17"/>
        <v>Dark</v>
      </c>
      <c r="R560" t="str">
        <f>_xlfn.XLOOKUP(Orders[[#This Row],[Customer ID]],customers!$A$1:$A$1001,customers!$I$1:$I$1001,,0)</f>
        <v>Yes</v>
      </c>
    </row>
    <row r="561" spans="1:18" x14ac:dyDescent="0.35">
      <c r="A561" s="2" t="s">
        <v>3648</v>
      </c>
      <c r="B561" s="3">
        <v>44667</v>
      </c>
      <c r="C561" s="2" t="s">
        <v>3649</v>
      </c>
      <c r="D561" t="s">
        <v>6140</v>
      </c>
      <c r="E561" s="2">
        <v>3</v>
      </c>
      <c r="F561" s="2" t="str">
        <f>_xlfn.XLOOKUP(Orders[[#This Row],[Customer ID]],customers!$A$1:$A$1001,customers!$B$1:$B$1001,,0)</f>
        <v>Reamonn Aynold</v>
      </c>
      <c r="G561" s="2" t="str">
        <f>IF(_xlfn.XLOOKUP(C561,customers!$A$1:$A$1001,customers!C560:C1560,,0)=0,"",_xlfn.XLOOKUP(C561,customers!$A$1:$A$1001,customers!C560:C1560,,0))</f>
        <v/>
      </c>
      <c r="H561" s="2" t="str">
        <f>_xlfn.XLOOKUP(Orders[[#This Row],[Customer ID]],customers!$A$1:$A$1001,customers!$G$1:$G$1001,,0)</f>
        <v>United States</v>
      </c>
      <c r="I561" s="2" t="str">
        <f>_xlfn.XLOOKUP(Orders[[#This Row],[Customer ID]],customers!$A$1:$A$1001,customers!$F$1:$F$1001,,0)</f>
        <v>Milwaukee</v>
      </c>
      <c r="J561" t="str">
        <f>INDEX(products!$A$1:$G$49,MATCH(orders!$D561,products!$A$1:$A$49,0),MATCH(orders!J$1,products!$A$1:$G$1,0))</f>
        <v>Ara</v>
      </c>
      <c r="K561" t="str">
        <f>INDEX(products!$A$1:$G$49,MATCH(orders!$D561,products!$A$1:$A$49,0),MATCH(orders!K$1,products!$A$1:$G$1,0))</f>
        <v>L</v>
      </c>
      <c r="L561" s="4">
        <f>INDEX(products!$A$1:$G$49,MATCH(orders!$D561,products!$A$1:$A$49,0),MATCH(orders!L$1,products!$A$1:$G$1,0))</f>
        <v>1</v>
      </c>
      <c r="M561" s="5">
        <f>INDEX(products!$A$1:$G$49,MATCH(orders!$D561,products!$A$1:$A$49,0),MATCH(orders!M$1,products!$A$1:$G$1,0))</f>
        <v>12.95</v>
      </c>
      <c r="N561" s="5">
        <f>Orders[[#This Row],[Quantity]]*(INDEX(products!$A$1:$G$49,MATCH(orders!$D561,products!$A$1:$A$49,0),MATCH(orders!N$1,products!$A$1:$G$1,0)))</f>
        <v>3.4965000000000002</v>
      </c>
      <c r="O561" s="5">
        <f>M561*E561</f>
        <v>38.849999999999994</v>
      </c>
      <c r="P561" t="str">
        <f t="shared" si="16"/>
        <v>Arabica</v>
      </c>
      <c r="Q561" t="str">
        <f t="shared" si="17"/>
        <v>Light</v>
      </c>
      <c r="R561" t="str">
        <f>_xlfn.XLOOKUP(Orders[[#This Row],[Customer ID]],customers!$A$1:$A$1001,customers!$I$1:$I$1001,,0)</f>
        <v>Yes</v>
      </c>
    </row>
    <row r="562" spans="1:18" x14ac:dyDescent="0.35">
      <c r="A562" s="2" t="s">
        <v>3654</v>
      </c>
      <c r="B562" s="3">
        <v>44401</v>
      </c>
      <c r="C562" s="2" t="s">
        <v>3655</v>
      </c>
      <c r="D562" t="s">
        <v>6166</v>
      </c>
      <c r="E562" s="2">
        <v>6</v>
      </c>
      <c r="F562" s="2" t="str">
        <f>_xlfn.XLOOKUP(Orders[[#This Row],[Customer ID]],customers!$A$1:$A$1001,customers!$B$1:$B$1001,,0)</f>
        <v>Hatty Dovydenas</v>
      </c>
      <c r="G562" s="2" t="str">
        <f>IF(_xlfn.XLOOKUP(C562,customers!$A$1:$A$1001,customers!C561:C1561,,0)=0,"",_xlfn.XLOOKUP(C562,customers!$A$1:$A$1001,customers!C561:C1561,,0))</f>
        <v/>
      </c>
      <c r="H562" s="2" t="str">
        <f>_xlfn.XLOOKUP(Orders[[#This Row],[Customer ID]],customers!$A$1:$A$1001,customers!$G$1:$G$1001,,0)</f>
        <v>United States</v>
      </c>
      <c r="I562" s="2" t="str">
        <f>_xlfn.XLOOKUP(Orders[[#This Row],[Customer ID]],customers!$A$1:$A$1001,customers!$F$1:$F$1001,,0)</f>
        <v>Amarillo</v>
      </c>
      <c r="J562" t="str">
        <f>INDEX(products!$A$1:$G$49,MATCH(orders!$D562,products!$A$1:$A$49,0),MATCH(orders!J$1,products!$A$1:$G$1,0))</f>
        <v>Exc</v>
      </c>
      <c r="K562" t="str">
        <f>INDEX(products!$A$1:$G$49,MATCH(orders!$D562,products!$A$1:$A$49,0),MATCH(orders!K$1,products!$A$1:$G$1,0))</f>
        <v>M</v>
      </c>
      <c r="L562" s="4">
        <f>INDEX(products!$A$1:$G$49,MATCH(orders!$D562,products!$A$1:$A$49,0),MATCH(orders!L$1,products!$A$1:$G$1,0))</f>
        <v>2.5</v>
      </c>
      <c r="M562" s="5">
        <f>INDEX(products!$A$1:$G$49,MATCH(orders!$D562,products!$A$1:$A$49,0),MATCH(orders!M$1,products!$A$1:$G$1,0))</f>
        <v>31.624999999999996</v>
      </c>
      <c r="N562" s="5">
        <f>Orders[[#This Row],[Quantity]]*(INDEX(products!$A$1:$G$49,MATCH(orders!$D562,products!$A$1:$A$49,0),MATCH(orders!N$1,products!$A$1:$G$1,0)))</f>
        <v>20.872499999999999</v>
      </c>
      <c r="O562" s="5">
        <f>M562*E562</f>
        <v>189.74999999999997</v>
      </c>
      <c r="P562" t="str">
        <f t="shared" si="16"/>
        <v>Excelsa</v>
      </c>
      <c r="Q562" t="str">
        <f t="shared" si="17"/>
        <v>Medium</v>
      </c>
      <c r="R562" t="str">
        <f>_xlfn.XLOOKUP(Orders[[#This Row],[Customer ID]],customers!$A$1:$A$1001,customers!$I$1:$I$1001,,0)</f>
        <v>Yes</v>
      </c>
    </row>
    <row r="563" spans="1:18" x14ac:dyDescent="0.35">
      <c r="A563" s="2" t="s">
        <v>3659</v>
      </c>
      <c r="B563" s="3">
        <v>43688</v>
      </c>
      <c r="C563" s="2" t="s">
        <v>3660</v>
      </c>
      <c r="D563" t="s">
        <v>6154</v>
      </c>
      <c r="E563" s="2">
        <v>6</v>
      </c>
      <c r="F563" s="2" t="str">
        <f>_xlfn.XLOOKUP(Orders[[#This Row],[Customer ID]],customers!$A$1:$A$1001,customers!$B$1:$B$1001,,0)</f>
        <v>Nathaniel Bloxland</v>
      </c>
      <c r="G563" s="2" t="str">
        <f>IF(_xlfn.XLOOKUP(C563,customers!$A$1:$A$1001,customers!C562:C1562,,0)=0,"",_xlfn.XLOOKUP(C563,customers!$A$1:$A$1001,customers!C562:C1562,,0))</f>
        <v/>
      </c>
      <c r="H563" s="2" t="str">
        <f>_xlfn.XLOOKUP(Orders[[#This Row],[Customer ID]],customers!$A$1:$A$1001,customers!$G$1:$G$1001,,0)</f>
        <v>Ireland</v>
      </c>
      <c r="I563" s="2" t="str">
        <f>_xlfn.XLOOKUP(Orders[[#This Row],[Customer ID]],customers!$A$1:$A$1001,customers!$F$1:$F$1001,,0)</f>
        <v>Daingean</v>
      </c>
      <c r="J563" t="str">
        <f>INDEX(products!$A$1:$G$49,MATCH(orders!$D563,products!$A$1:$A$49,0),MATCH(orders!J$1,products!$A$1:$G$1,0))</f>
        <v>Ara</v>
      </c>
      <c r="K563" t="str">
        <f>INDEX(products!$A$1:$G$49,MATCH(orders!$D563,products!$A$1:$A$49,0),MATCH(orders!K$1,products!$A$1:$G$1,0))</f>
        <v>D</v>
      </c>
      <c r="L563" s="4">
        <f>INDEX(products!$A$1:$G$49,MATCH(orders!$D563,products!$A$1:$A$49,0),MATCH(orders!L$1,products!$A$1:$G$1,0))</f>
        <v>0.2</v>
      </c>
      <c r="M563" s="5">
        <f>INDEX(products!$A$1:$G$49,MATCH(orders!$D563,products!$A$1:$A$49,0),MATCH(orders!M$1,products!$A$1:$G$1,0))</f>
        <v>2.9849999999999999</v>
      </c>
      <c r="N563" s="5">
        <f>Orders[[#This Row],[Quantity]]*(INDEX(products!$A$1:$G$49,MATCH(orders!$D563,products!$A$1:$A$49,0),MATCH(orders!N$1,products!$A$1:$G$1,0)))</f>
        <v>1.6118999999999999</v>
      </c>
      <c r="O563" s="5">
        <f>M563*E563</f>
        <v>17.91</v>
      </c>
      <c r="P563" t="str">
        <f t="shared" si="16"/>
        <v>Arabica</v>
      </c>
      <c r="Q563" t="str">
        <f t="shared" si="17"/>
        <v>Dark</v>
      </c>
      <c r="R563" t="str">
        <f>_xlfn.XLOOKUP(Orders[[#This Row],[Customer ID]],customers!$A$1:$A$1001,customers!$I$1:$I$1001,,0)</f>
        <v>Yes</v>
      </c>
    </row>
    <row r="564" spans="1:18" x14ac:dyDescent="0.35">
      <c r="A564" s="2" t="s">
        <v>3665</v>
      </c>
      <c r="B564" s="3">
        <v>43669</v>
      </c>
      <c r="C564" s="2" t="s">
        <v>3666</v>
      </c>
      <c r="D564" t="s">
        <v>6145</v>
      </c>
      <c r="E564" s="2">
        <v>6</v>
      </c>
      <c r="F564" s="2" t="str">
        <f>_xlfn.XLOOKUP(Orders[[#This Row],[Customer ID]],customers!$A$1:$A$1001,customers!$B$1:$B$1001,,0)</f>
        <v>Brendan Grece</v>
      </c>
      <c r="G564" s="2" t="str">
        <f>IF(_xlfn.XLOOKUP(C564,customers!$A$1:$A$1001,customers!C563:C1563,,0)=0,"",_xlfn.XLOOKUP(C564,customers!$A$1:$A$1001,customers!C563:C1563,,0))</f>
        <v/>
      </c>
      <c r="H564" s="2" t="str">
        <f>_xlfn.XLOOKUP(Orders[[#This Row],[Customer ID]],customers!$A$1:$A$1001,customers!$G$1:$G$1001,,0)</f>
        <v>United Kingdom</v>
      </c>
      <c r="I564" s="2" t="str">
        <f>_xlfn.XLOOKUP(Orders[[#This Row],[Customer ID]],customers!$A$1:$A$1001,customers!$F$1:$F$1001,,0)</f>
        <v>Halton</v>
      </c>
      <c r="J564" t="str">
        <f>INDEX(products!$A$1:$G$49,MATCH(orders!$D564,products!$A$1:$A$49,0),MATCH(orders!J$1,products!$A$1:$G$1,0))</f>
        <v>Lib</v>
      </c>
      <c r="K564" t="str">
        <f>INDEX(products!$A$1:$G$49,MATCH(orders!$D564,products!$A$1:$A$49,0),MATCH(orders!K$1,products!$A$1:$G$1,0))</f>
        <v>L</v>
      </c>
      <c r="L564" s="4">
        <f>INDEX(products!$A$1:$G$49,MATCH(orders!$D564,products!$A$1:$A$49,0),MATCH(orders!L$1,products!$A$1:$G$1,0))</f>
        <v>0.2</v>
      </c>
      <c r="M564" s="5">
        <f>INDEX(products!$A$1:$G$49,MATCH(orders!$D564,products!$A$1:$A$49,0),MATCH(orders!M$1,products!$A$1:$G$1,0))</f>
        <v>4.7549999999999999</v>
      </c>
      <c r="N564" s="5">
        <f>Orders[[#This Row],[Quantity]]*(INDEX(products!$A$1:$G$49,MATCH(orders!$D564,products!$A$1:$A$49,0),MATCH(orders!N$1,products!$A$1:$G$1,0)))</f>
        <v>3.7088999999999999</v>
      </c>
      <c r="O564" s="5">
        <f>M564*E564</f>
        <v>28.53</v>
      </c>
      <c r="P564" t="str">
        <f t="shared" si="16"/>
        <v>Liberica</v>
      </c>
      <c r="Q564" t="str">
        <f t="shared" si="17"/>
        <v>Light</v>
      </c>
      <c r="R564" t="str">
        <f>_xlfn.XLOOKUP(Orders[[#This Row],[Customer ID]],customers!$A$1:$A$1001,customers!$I$1:$I$1001,,0)</f>
        <v>No</v>
      </c>
    </row>
    <row r="565" spans="1:18" x14ac:dyDescent="0.35">
      <c r="A565" s="2" t="s">
        <v>3671</v>
      </c>
      <c r="B565" s="3">
        <v>43991</v>
      </c>
      <c r="C565" s="2" t="s">
        <v>3752</v>
      </c>
      <c r="D565" t="s">
        <v>6141</v>
      </c>
      <c r="E565" s="2">
        <v>6</v>
      </c>
      <c r="F565" s="2" t="str">
        <f>_xlfn.XLOOKUP(Orders[[#This Row],[Customer ID]],customers!$A$1:$A$1001,customers!$B$1:$B$1001,,0)</f>
        <v>Don Flintiff</v>
      </c>
      <c r="G565" s="2" t="str">
        <f>IF(_xlfn.XLOOKUP(C565,customers!$A$1:$A$1001,customers!C564:C1564,,0)=0,"",_xlfn.XLOOKUP(C565,customers!$A$1:$A$1001,customers!C564:C1564,,0))</f>
        <v/>
      </c>
      <c r="H565" s="2" t="str">
        <f>_xlfn.XLOOKUP(Orders[[#This Row],[Customer ID]],customers!$A$1:$A$1001,customers!$G$1:$G$1001,,0)</f>
        <v>United Kingdom</v>
      </c>
      <c r="I565" s="2" t="str">
        <f>_xlfn.XLOOKUP(Orders[[#This Row],[Customer ID]],customers!$A$1:$A$1001,customers!$F$1:$F$1001,,0)</f>
        <v>London</v>
      </c>
      <c r="J565" t="str">
        <f>INDEX(products!$A$1:$G$49,MATCH(orders!$D565,products!$A$1:$A$49,0),MATCH(orders!J$1,products!$A$1:$G$1,0))</f>
        <v>Exc</v>
      </c>
      <c r="K565" t="str">
        <f>INDEX(products!$A$1:$G$49,MATCH(orders!$D565,products!$A$1:$A$49,0),MATCH(orders!K$1,products!$A$1:$G$1,0))</f>
        <v>M</v>
      </c>
      <c r="L565" s="4">
        <f>INDEX(products!$A$1:$G$49,MATCH(orders!$D565,products!$A$1:$A$49,0),MATCH(orders!L$1,products!$A$1:$G$1,0))</f>
        <v>1</v>
      </c>
      <c r="M565" s="5">
        <f>INDEX(products!$A$1:$G$49,MATCH(orders!$D565,products!$A$1:$A$49,0),MATCH(orders!M$1,products!$A$1:$G$1,0))</f>
        <v>13.75</v>
      </c>
      <c r="N565" s="5">
        <f>Orders[[#This Row],[Quantity]]*(INDEX(products!$A$1:$G$49,MATCH(orders!$D565,products!$A$1:$A$49,0),MATCH(orders!N$1,products!$A$1:$G$1,0)))</f>
        <v>9.0749999999999993</v>
      </c>
      <c r="O565" s="5">
        <f>M565*E565</f>
        <v>82.5</v>
      </c>
      <c r="P565" t="str">
        <f t="shared" si="16"/>
        <v>Excelsa</v>
      </c>
      <c r="Q565" t="str">
        <f t="shared" si="17"/>
        <v>Medium</v>
      </c>
      <c r="R565" t="str">
        <f>_xlfn.XLOOKUP(Orders[[#This Row],[Customer ID]],customers!$A$1:$A$1001,customers!$I$1:$I$1001,,0)</f>
        <v>No</v>
      </c>
    </row>
    <row r="566" spans="1:18" x14ac:dyDescent="0.35">
      <c r="A566" s="2" t="s">
        <v>3677</v>
      </c>
      <c r="B566" s="3">
        <v>43883</v>
      </c>
      <c r="C566" s="2" t="s">
        <v>3678</v>
      </c>
      <c r="D566" t="s">
        <v>6173</v>
      </c>
      <c r="E566" s="2">
        <v>2</v>
      </c>
      <c r="F566" s="2" t="str">
        <f>_xlfn.XLOOKUP(Orders[[#This Row],[Customer ID]],customers!$A$1:$A$1001,customers!$B$1:$B$1001,,0)</f>
        <v>Abbe Thys</v>
      </c>
      <c r="G566" s="2" t="str">
        <f>IF(_xlfn.XLOOKUP(C566,customers!$A$1:$A$1001,customers!C565:C1565,,0)=0,"",_xlfn.XLOOKUP(C566,customers!$A$1:$A$1001,customers!C565:C1565,,0))</f>
        <v/>
      </c>
      <c r="H566" s="2" t="str">
        <f>_xlfn.XLOOKUP(Orders[[#This Row],[Customer ID]],customers!$A$1:$A$1001,customers!$G$1:$G$1001,,0)</f>
        <v>United States</v>
      </c>
      <c r="I566" s="2" t="str">
        <f>_xlfn.XLOOKUP(Orders[[#This Row],[Customer ID]],customers!$A$1:$A$1001,customers!$F$1:$F$1001,,0)</f>
        <v>Knoxville</v>
      </c>
      <c r="J566" t="str">
        <f>INDEX(products!$A$1:$G$49,MATCH(orders!$D566,products!$A$1:$A$49,0),MATCH(orders!J$1,products!$A$1:$G$1,0))</f>
        <v>Rob</v>
      </c>
      <c r="K566" t="str">
        <f>INDEX(products!$A$1:$G$49,MATCH(orders!$D566,products!$A$1:$A$49,0),MATCH(orders!K$1,products!$A$1:$G$1,0))</f>
        <v>L</v>
      </c>
      <c r="L566" s="4">
        <f>INDEX(products!$A$1:$G$49,MATCH(orders!$D566,products!$A$1:$A$49,0),MATCH(orders!L$1,products!$A$1:$G$1,0))</f>
        <v>0.5</v>
      </c>
      <c r="M566" s="5">
        <f>INDEX(products!$A$1:$G$49,MATCH(orders!$D566,products!$A$1:$A$49,0),MATCH(orders!M$1,products!$A$1:$G$1,0))</f>
        <v>7.169999999999999</v>
      </c>
      <c r="N566" s="5">
        <f>Orders[[#This Row],[Quantity]]*(INDEX(products!$A$1:$G$49,MATCH(orders!$D566,products!$A$1:$A$49,0),MATCH(orders!N$1,products!$A$1:$G$1,0)))</f>
        <v>0.86039999999999983</v>
      </c>
      <c r="O566" s="5">
        <f>M566*E566</f>
        <v>14.339999999999998</v>
      </c>
      <c r="P566" t="str">
        <f t="shared" si="16"/>
        <v>Robusta</v>
      </c>
      <c r="Q566" t="str">
        <f t="shared" si="17"/>
        <v>Light</v>
      </c>
      <c r="R566" t="str">
        <f>_xlfn.XLOOKUP(Orders[[#This Row],[Customer ID]],customers!$A$1:$A$1001,customers!$I$1:$I$1001,,0)</f>
        <v>No</v>
      </c>
    </row>
    <row r="567" spans="1:18" x14ac:dyDescent="0.35">
      <c r="A567" s="2" t="s">
        <v>3683</v>
      </c>
      <c r="B567" s="3">
        <v>44031</v>
      </c>
      <c r="C567" s="2" t="s">
        <v>3684</v>
      </c>
      <c r="D567" t="s">
        <v>6149</v>
      </c>
      <c r="E567" s="2">
        <v>4</v>
      </c>
      <c r="F567" s="2" t="str">
        <f>_xlfn.XLOOKUP(Orders[[#This Row],[Customer ID]],customers!$A$1:$A$1001,customers!$B$1:$B$1001,,0)</f>
        <v>Jackquelin Chugg</v>
      </c>
      <c r="G567" s="2" t="str">
        <f>IF(_xlfn.XLOOKUP(C567,customers!$A$1:$A$1001,customers!C566:C1566,,0)=0,"",_xlfn.XLOOKUP(C567,customers!$A$1:$A$1001,customers!C566:C1566,,0))</f>
        <v/>
      </c>
      <c r="H567" s="2" t="str">
        <f>_xlfn.XLOOKUP(Orders[[#This Row],[Customer ID]],customers!$A$1:$A$1001,customers!$G$1:$G$1001,,0)</f>
        <v>United States</v>
      </c>
      <c r="I567" s="2" t="str">
        <f>_xlfn.XLOOKUP(Orders[[#This Row],[Customer ID]],customers!$A$1:$A$1001,customers!$F$1:$F$1001,,0)</f>
        <v>Shawnee Mission</v>
      </c>
      <c r="J567" t="str">
        <f>INDEX(products!$A$1:$G$49,MATCH(orders!$D567,products!$A$1:$A$49,0),MATCH(orders!J$1,products!$A$1:$G$1,0))</f>
        <v>Rob</v>
      </c>
      <c r="K567" t="str">
        <f>INDEX(products!$A$1:$G$49,MATCH(orders!$D567,products!$A$1:$A$49,0),MATCH(orders!K$1,products!$A$1:$G$1,0))</f>
        <v>D</v>
      </c>
      <c r="L567" s="4">
        <f>INDEX(products!$A$1:$G$49,MATCH(orders!$D567,products!$A$1:$A$49,0),MATCH(orders!L$1,products!$A$1:$G$1,0))</f>
        <v>2.5</v>
      </c>
      <c r="M567" s="5">
        <f>INDEX(products!$A$1:$G$49,MATCH(orders!$D567,products!$A$1:$A$49,0),MATCH(orders!M$1,products!$A$1:$G$1,0))</f>
        <v>20.584999999999997</v>
      </c>
      <c r="N567" s="5">
        <f>Orders[[#This Row],[Quantity]]*(INDEX(products!$A$1:$G$49,MATCH(orders!$D567,products!$A$1:$A$49,0),MATCH(orders!N$1,products!$A$1:$G$1,0)))</f>
        <v>4.9403999999999995</v>
      </c>
      <c r="O567" s="5">
        <f>M567*E567</f>
        <v>82.339999999999989</v>
      </c>
      <c r="P567" t="str">
        <f t="shared" si="16"/>
        <v>Robusta</v>
      </c>
      <c r="Q567" t="str">
        <f t="shared" si="17"/>
        <v>Dark</v>
      </c>
      <c r="R567" t="str">
        <f>_xlfn.XLOOKUP(Orders[[#This Row],[Customer ID]],customers!$A$1:$A$1001,customers!$I$1:$I$1001,,0)</f>
        <v>No</v>
      </c>
    </row>
    <row r="568" spans="1:18" x14ac:dyDescent="0.35">
      <c r="A568" s="2" t="s">
        <v>3689</v>
      </c>
      <c r="B568" s="3">
        <v>44459</v>
      </c>
      <c r="C568" s="2" t="s">
        <v>3690</v>
      </c>
      <c r="D568" t="s">
        <v>6152</v>
      </c>
      <c r="E568" s="2">
        <v>6</v>
      </c>
      <c r="F568" s="2" t="str">
        <f>_xlfn.XLOOKUP(Orders[[#This Row],[Customer ID]],customers!$A$1:$A$1001,customers!$B$1:$B$1001,,0)</f>
        <v>Audra Kelston</v>
      </c>
      <c r="G568" s="2" t="str">
        <f>IF(_xlfn.XLOOKUP(C568,customers!$A$1:$A$1001,customers!C567:C1567,,0)=0,"",_xlfn.XLOOKUP(C568,customers!$A$1:$A$1001,customers!C567:C1567,,0))</f>
        <v/>
      </c>
      <c r="H568" s="2" t="str">
        <f>_xlfn.XLOOKUP(Orders[[#This Row],[Customer ID]],customers!$A$1:$A$1001,customers!$G$1:$G$1001,,0)</f>
        <v>United States</v>
      </c>
      <c r="I568" s="2" t="str">
        <f>_xlfn.XLOOKUP(Orders[[#This Row],[Customer ID]],customers!$A$1:$A$1001,customers!$F$1:$F$1001,,0)</f>
        <v>Fort Lauderdale</v>
      </c>
      <c r="J568" t="str">
        <f>INDEX(products!$A$1:$G$49,MATCH(orders!$D568,products!$A$1:$A$49,0),MATCH(orders!J$1,products!$A$1:$G$1,0))</f>
        <v>Ara</v>
      </c>
      <c r="K568" t="str">
        <f>INDEX(products!$A$1:$G$49,MATCH(orders!$D568,products!$A$1:$A$49,0),MATCH(orders!K$1,products!$A$1:$G$1,0))</f>
        <v>M</v>
      </c>
      <c r="L568" s="4">
        <f>INDEX(products!$A$1:$G$49,MATCH(orders!$D568,products!$A$1:$A$49,0),MATCH(orders!L$1,products!$A$1:$G$1,0))</f>
        <v>0.2</v>
      </c>
      <c r="M568" s="5">
        <f>INDEX(products!$A$1:$G$49,MATCH(orders!$D568,products!$A$1:$A$49,0),MATCH(orders!M$1,products!$A$1:$G$1,0))</f>
        <v>3.375</v>
      </c>
      <c r="N568" s="5">
        <f>Orders[[#This Row],[Quantity]]*(INDEX(products!$A$1:$G$49,MATCH(orders!$D568,products!$A$1:$A$49,0),MATCH(orders!N$1,products!$A$1:$G$1,0)))</f>
        <v>1.8224999999999998</v>
      </c>
      <c r="O568" s="5">
        <f>M568*E568</f>
        <v>20.25</v>
      </c>
      <c r="P568" t="str">
        <f t="shared" si="16"/>
        <v>Arabica</v>
      </c>
      <c r="Q568" t="str">
        <f t="shared" si="17"/>
        <v>Medium</v>
      </c>
      <c r="R568" t="str">
        <f>_xlfn.XLOOKUP(Orders[[#This Row],[Customer ID]],customers!$A$1:$A$1001,customers!$I$1:$I$1001,,0)</f>
        <v>Yes</v>
      </c>
    </row>
    <row r="569" spans="1:18" x14ac:dyDescent="0.35">
      <c r="A569" s="2" t="s">
        <v>3695</v>
      </c>
      <c r="B569" s="3">
        <v>44318</v>
      </c>
      <c r="C569" s="2" t="s">
        <v>3696</v>
      </c>
      <c r="D569" t="s">
        <v>6142</v>
      </c>
      <c r="E569" s="2">
        <v>6</v>
      </c>
      <c r="F569" s="2" t="str">
        <f>_xlfn.XLOOKUP(Orders[[#This Row],[Customer ID]],customers!$A$1:$A$1001,customers!$B$1:$B$1001,,0)</f>
        <v>Elvina Angel</v>
      </c>
      <c r="G569" s="2" t="str">
        <f>IF(_xlfn.XLOOKUP(C569,customers!$A$1:$A$1001,customers!C568:C1568,,0)=0,"",_xlfn.XLOOKUP(C569,customers!$A$1:$A$1001,customers!C568:C1568,,0))</f>
        <v/>
      </c>
      <c r="H569" s="2" t="str">
        <f>_xlfn.XLOOKUP(Orders[[#This Row],[Customer ID]],customers!$A$1:$A$1001,customers!$G$1:$G$1001,,0)</f>
        <v>Ireland</v>
      </c>
      <c r="I569" s="2" t="str">
        <f>_xlfn.XLOOKUP(Orders[[#This Row],[Customer ID]],customers!$A$1:$A$1001,customers!$F$1:$F$1001,,0)</f>
        <v>Tralee</v>
      </c>
      <c r="J569" t="str">
        <f>INDEX(products!$A$1:$G$49,MATCH(orders!$D569,products!$A$1:$A$49,0),MATCH(orders!J$1,products!$A$1:$G$1,0))</f>
        <v>Rob</v>
      </c>
      <c r="K569" t="str">
        <f>INDEX(products!$A$1:$G$49,MATCH(orders!$D569,products!$A$1:$A$49,0),MATCH(orders!K$1,products!$A$1:$G$1,0))</f>
        <v>L</v>
      </c>
      <c r="L569" s="4">
        <f>INDEX(products!$A$1:$G$49,MATCH(orders!$D569,products!$A$1:$A$49,0),MATCH(orders!L$1,products!$A$1:$G$1,0))</f>
        <v>2.5</v>
      </c>
      <c r="M569" s="5">
        <f>INDEX(products!$A$1:$G$49,MATCH(orders!$D569,products!$A$1:$A$49,0),MATCH(orders!M$1,products!$A$1:$G$1,0))</f>
        <v>27.484999999999996</v>
      </c>
      <c r="N569" s="5">
        <f>Orders[[#This Row],[Quantity]]*(INDEX(products!$A$1:$G$49,MATCH(orders!$D569,products!$A$1:$A$49,0),MATCH(orders!N$1,products!$A$1:$G$1,0)))</f>
        <v>9.8945999999999987</v>
      </c>
      <c r="O569" s="5">
        <f>M569*E569</f>
        <v>164.90999999999997</v>
      </c>
      <c r="P569" t="str">
        <f t="shared" si="16"/>
        <v>Robusta</v>
      </c>
      <c r="Q569" t="str">
        <f t="shared" si="17"/>
        <v>Light</v>
      </c>
      <c r="R569" t="str">
        <f>_xlfn.XLOOKUP(Orders[[#This Row],[Customer ID]],customers!$A$1:$A$1001,customers!$I$1:$I$1001,,0)</f>
        <v>No</v>
      </c>
    </row>
    <row r="570" spans="1:18" x14ac:dyDescent="0.35">
      <c r="A570" s="2" t="s">
        <v>3700</v>
      </c>
      <c r="B570" s="3">
        <v>44526</v>
      </c>
      <c r="C570" s="2" t="s">
        <v>3701</v>
      </c>
      <c r="D570" t="s">
        <v>6145</v>
      </c>
      <c r="E570" s="2">
        <v>4</v>
      </c>
      <c r="F570" s="2" t="str">
        <f>_xlfn.XLOOKUP(Orders[[#This Row],[Customer ID]],customers!$A$1:$A$1001,customers!$B$1:$B$1001,,0)</f>
        <v>Claiborne Mottram</v>
      </c>
      <c r="G570" s="2" t="str">
        <f>IF(_xlfn.XLOOKUP(C570,customers!$A$1:$A$1001,customers!C569:C1569,,0)=0,"",_xlfn.XLOOKUP(C570,customers!$A$1:$A$1001,customers!C569:C1569,,0))</f>
        <v/>
      </c>
      <c r="H570" s="2" t="str">
        <f>_xlfn.XLOOKUP(Orders[[#This Row],[Customer ID]],customers!$A$1:$A$1001,customers!$G$1:$G$1001,,0)</f>
        <v>United States</v>
      </c>
      <c r="I570" s="2" t="str">
        <f>_xlfn.XLOOKUP(Orders[[#This Row],[Customer ID]],customers!$A$1:$A$1001,customers!$F$1:$F$1001,,0)</f>
        <v>Austin</v>
      </c>
      <c r="J570" t="str">
        <f>INDEX(products!$A$1:$G$49,MATCH(orders!$D570,products!$A$1:$A$49,0),MATCH(orders!J$1,products!$A$1:$G$1,0))</f>
        <v>Lib</v>
      </c>
      <c r="K570" t="str">
        <f>INDEX(products!$A$1:$G$49,MATCH(orders!$D570,products!$A$1:$A$49,0),MATCH(orders!K$1,products!$A$1:$G$1,0))</f>
        <v>L</v>
      </c>
      <c r="L570" s="4">
        <f>INDEX(products!$A$1:$G$49,MATCH(orders!$D570,products!$A$1:$A$49,0),MATCH(orders!L$1,products!$A$1:$G$1,0))</f>
        <v>0.2</v>
      </c>
      <c r="M570" s="5">
        <f>INDEX(products!$A$1:$G$49,MATCH(orders!$D570,products!$A$1:$A$49,0),MATCH(orders!M$1,products!$A$1:$G$1,0))</f>
        <v>4.7549999999999999</v>
      </c>
      <c r="N570" s="5">
        <f>Orders[[#This Row],[Quantity]]*(INDEX(products!$A$1:$G$49,MATCH(orders!$D570,products!$A$1:$A$49,0),MATCH(orders!N$1,products!$A$1:$G$1,0)))</f>
        <v>2.4725999999999999</v>
      </c>
      <c r="O570" s="5">
        <f>M570*E570</f>
        <v>19.02</v>
      </c>
      <c r="P570" t="str">
        <f t="shared" si="16"/>
        <v>Liberica</v>
      </c>
      <c r="Q570" t="str">
        <f t="shared" si="17"/>
        <v>Light</v>
      </c>
      <c r="R570" t="str">
        <f>_xlfn.XLOOKUP(Orders[[#This Row],[Customer ID]],customers!$A$1:$A$1001,customers!$I$1:$I$1001,,0)</f>
        <v>Yes</v>
      </c>
    </row>
    <row r="571" spans="1:18" x14ac:dyDescent="0.35">
      <c r="A571" s="2" t="s">
        <v>3706</v>
      </c>
      <c r="B571" s="3">
        <v>43879</v>
      </c>
      <c r="C571" s="2" t="s">
        <v>3752</v>
      </c>
      <c r="D571" t="s">
        <v>6168</v>
      </c>
      <c r="E571" s="2">
        <v>6</v>
      </c>
      <c r="F571" s="2" t="str">
        <f>_xlfn.XLOOKUP(Orders[[#This Row],[Customer ID]],customers!$A$1:$A$1001,customers!$B$1:$B$1001,,0)</f>
        <v>Don Flintiff</v>
      </c>
      <c r="G571" s="2" t="str">
        <f>IF(_xlfn.XLOOKUP(C571,customers!$A$1:$A$1001,customers!C570:C1570,,0)=0,"",_xlfn.XLOOKUP(C571,customers!$A$1:$A$1001,customers!C570:C1570,,0))</f>
        <v/>
      </c>
      <c r="H571" s="2" t="str">
        <f>_xlfn.XLOOKUP(Orders[[#This Row],[Customer ID]],customers!$A$1:$A$1001,customers!$G$1:$G$1001,,0)</f>
        <v>United Kingdom</v>
      </c>
      <c r="I571" s="2" t="str">
        <f>_xlfn.XLOOKUP(Orders[[#This Row],[Customer ID]],customers!$A$1:$A$1001,customers!$F$1:$F$1001,,0)</f>
        <v>London</v>
      </c>
      <c r="J571" t="str">
        <f>INDEX(products!$A$1:$G$49,MATCH(orders!$D571,products!$A$1:$A$49,0),MATCH(orders!J$1,products!$A$1:$G$1,0))</f>
        <v>Ara</v>
      </c>
      <c r="K571" t="str">
        <f>INDEX(products!$A$1:$G$49,MATCH(orders!$D571,products!$A$1:$A$49,0),MATCH(orders!K$1,products!$A$1:$G$1,0))</f>
        <v>D</v>
      </c>
      <c r="L571" s="4">
        <f>INDEX(products!$A$1:$G$49,MATCH(orders!$D571,products!$A$1:$A$49,0),MATCH(orders!L$1,products!$A$1:$G$1,0))</f>
        <v>2.5</v>
      </c>
      <c r="M571" s="5">
        <f>INDEX(products!$A$1:$G$49,MATCH(orders!$D571,products!$A$1:$A$49,0),MATCH(orders!M$1,products!$A$1:$G$1,0))</f>
        <v>22.884999999999998</v>
      </c>
      <c r="N571" s="5">
        <f>Orders[[#This Row],[Quantity]]*(INDEX(products!$A$1:$G$49,MATCH(orders!$D571,products!$A$1:$A$49,0),MATCH(orders!N$1,products!$A$1:$G$1,0)))</f>
        <v>12.357899999999997</v>
      </c>
      <c r="O571" s="5">
        <f>M571*E571</f>
        <v>137.31</v>
      </c>
      <c r="P571" t="str">
        <f t="shared" si="16"/>
        <v>Arabica</v>
      </c>
      <c r="Q571" t="str">
        <f t="shared" si="17"/>
        <v>Dark</v>
      </c>
      <c r="R571" t="str">
        <f>_xlfn.XLOOKUP(Orders[[#This Row],[Customer ID]],customers!$A$1:$A$1001,customers!$I$1:$I$1001,,0)</f>
        <v>No</v>
      </c>
    </row>
    <row r="572" spans="1:18" x14ac:dyDescent="0.35">
      <c r="A572" s="2" t="s">
        <v>3712</v>
      </c>
      <c r="B572" s="3">
        <v>43928</v>
      </c>
      <c r="C572" s="2" t="s">
        <v>3713</v>
      </c>
      <c r="D572" t="s">
        <v>6157</v>
      </c>
      <c r="E572" s="2">
        <v>4</v>
      </c>
      <c r="F572" s="2" t="str">
        <f>_xlfn.XLOOKUP(Orders[[#This Row],[Customer ID]],customers!$A$1:$A$1001,customers!$B$1:$B$1001,,0)</f>
        <v>Donalt Sangwin</v>
      </c>
      <c r="G572" s="2" t="str">
        <f>IF(_xlfn.XLOOKUP(C572,customers!$A$1:$A$1001,customers!C571:C1571,,0)=0,"",_xlfn.XLOOKUP(C572,customers!$A$1:$A$1001,customers!C571:C1571,,0))</f>
        <v/>
      </c>
      <c r="H572" s="2" t="str">
        <f>_xlfn.XLOOKUP(Orders[[#This Row],[Customer ID]],customers!$A$1:$A$1001,customers!$G$1:$G$1001,,0)</f>
        <v>United States</v>
      </c>
      <c r="I572" s="2" t="str">
        <f>_xlfn.XLOOKUP(Orders[[#This Row],[Customer ID]],customers!$A$1:$A$1001,customers!$F$1:$F$1001,,0)</f>
        <v>Hyattsville</v>
      </c>
      <c r="J572" t="str">
        <f>INDEX(products!$A$1:$G$49,MATCH(orders!$D572,products!$A$1:$A$49,0),MATCH(orders!J$1,products!$A$1:$G$1,0))</f>
        <v>Ara</v>
      </c>
      <c r="K572" t="str">
        <f>INDEX(products!$A$1:$G$49,MATCH(orders!$D572,products!$A$1:$A$49,0),MATCH(orders!K$1,products!$A$1:$G$1,0))</f>
        <v>M</v>
      </c>
      <c r="L572" s="4">
        <f>INDEX(products!$A$1:$G$49,MATCH(orders!$D572,products!$A$1:$A$49,0),MATCH(orders!L$1,products!$A$1:$G$1,0))</f>
        <v>0.5</v>
      </c>
      <c r="M572" s="5">
        <f>INDEX(products!$A$1:$G$49,MATCH(orders!$D572,products!$A$1:$A$49,0),MATCH(orders!M$1,products!$A$1:$G$1,0))</f>
        <v>6.75</v>
      </c>
      <c r="N572" s="5">
        <f>Orders[[#This Row],[Quantity]]*(INDEX(products!$A$1:$G$49,MATCH(orders!$D572,products!$A$1:$A$49,0),MATCH(orders!N$1,products!$A$1:$G$1,0)))</f>
        <v>2.4299999999999997</v>
      </c>
      <c r="O572" s="5">
        <f>M572*E572</f>
        <v>27</v>
      </c>
      <c r="P572" t="str">
        <f t="shared" si="16"/>
        <v>Arabica</v>
      </c>
      <c r="Q572" t="str">
        <f t="shared" si="17"/>
        <v>Medium</v>
      </c>
      <c r="R572" t="str">
        <f>_xlfn.XLOOKUP(Orders[[#This Row],[Customer ID]],customers!$A$1:$A$1001,customers!$I$1:$I$1001,,0)</f>
        <v>No</v>
      </c>
    </row>
    <row r="573" spans="1:18" x14ac:dyDescent="0.35">
      <c r="A573" s="2" t="s">
        <v>3718</v>
      </c>
      <c r="B573" s="3">
        <v>44592</v>
      </c>
      <c r="C573" s="2" t="s">
        <v>3719</v>
      </c>
      <c r="D573" t="s">
        <v>6176</v>
      </c>
      <c r="E573" s="2">
        <v>4</v>
      </c>
      <c r="F573" s="2" t="str">
        <f>_xlfn.XLOOKUP(Orders[[#This Row],[Customer ID]],customers!$A$1:$A$1001,customers!$B$1:$B$1001,,0)</f>
        <v>Elizabet Aizikowitz</v>
      </c>
      <c r="G573" s="2" t="str">
        <f>IF(_xlfn.XLOOKUP(C573,customers!$A$1:$A$1001,customers!C572:C1572,,0)=0,"",_xlfn.XLOOKUP(C573,customers!$A$1:$A$1001,customers!C572:C1572,,0))</f>
        <v/>
      </c>
      <c r="H573" s="2" t="str">
        <f>_xlfn.XLOOKUP(Orders[[#This Row],[Customer ID]],customers!$A$1:$A$1001,customers!$G$1:$G$1001,,0)</f>
        <v>United Kingdom</v>
      </c>
      <c r="I573" s="2" t="str">
        <f>_xlfn.XLOOKUP(Orders[[#This Row],[Customer ID]],customers!$A$1:$A$1001,customers!$F$1:$F$1001,,0)</f>
        <v>Ashley</v>
      </c>
      <c r="J573" t="str">
        <f>INDEX(products!$A$1:$G$49,MATCH(orders!$D573,products!$A$1:$A$49,0),MATCH(orders!J$1,products!$A$1:$G$1,0))</f>
        <v>Exc</v>
      </c>
      <c r="K573" t="str">
        <f>INDEX(products!$A$1:$G$49,MATCH(orders!$D573,products!$A$1:$A$49,0),MATCH(orders!K$1,products!$A$1:$G$1,0))</f>
        <v>L</v>
      </c>
      <c r="L573" s="4">
        <f>INDEX(products!$A$1:$G$49,MATCH(orders!$D573,products!$A$1:$A$49,0),MATCH(orders!L$1,products!$A$1:$G$1,0))</f>
        <v>0.5</v>
      </c>
      <c r="M573" s="5">
        <f>INDEX(products!$A$1:$G$49,MATCH(orders!$D573,products!$A$1:$A$49,0),MATCH(orders!M$1,products!$A$1:$G$1,0))</f>
        <v>8.91</v>
      </c>
      <c r="N573" s="5">
        <f>Orders[[#This Row],[Quantity]]*(INDEX(products!$A$1:$G$49,MATCH(orders!$D573,products!$A$1:$A$49,0),MATCH(orders!N$1,products!$A$1:$G$1,0)))</f>
        <v>3.9203999999999999</v>
      </c>
      <c r="O573" s="5">
        <f>M573*E573</f>
        <v>35.64</v>
      </c>
      <c r="P573" t="str">
        <f t="shared" si="16"/>
        <v>Excelsa</v>
      </c>
      <c r="Q573" t="str">
        <f t="shared" si="17"/>
        <v>Light</v>
      </c>
      <c r="R573" t="str">
        <f>_xlfn.XLOOKUP(Orders[[#This Row],[Customer ID]],customers!$A$1:$A$1001,customers!$I$1:$I$1001,,0)</f>
        <v>No</v>
      </c>
    </row>
    <row r="574" spans="1:18" x14ac:dyDescent="0.35">
      <c r="A574" s="2" t="s">
        <v>3724</v>
      </c>
      <c r="B574" s="3">
        <v>43515</v>
      </c>
      <c r="C574" s="2" t="s">
        <v>3725</v>
      </c>
      <c r="D574" t="s">
        <v>6154</v>
      </c>
      <c r="E574" s="2">
        <v>2</v>
      </c>
      <c r="F574" s="2" t="str">
        <f>_xlfn.XLOOKUP(Orders[[#This Row],[Customer ID]],customers!$A$1:$A$1001,customers!$B$1:$B$1001,,0)</f>
        <v>Herbie Peppard</v>
      </c>
      <c r="G574" s="2" t="str">
        <f>IF(_xlfn.XLOOKUP(C574,customers!$A$1:$A$1001,customers!C573:C1573,,0)=0,"",_xlfn.XLOOKUP(C574,customers!$A$1:$A$1001,customers!C573:C1573,,0))</f>
        <v/>
      </c>
      <c r="H574" s="2" t="str">
        <f>_xlfn.XLOOKUP(Orders[[#This Row],[Customer ID]],customers!$A$1:$A$1001,customers!$G$1:$G$1001,,0)</f>
        <v>United States</v>
      </c>
      <c r="I574" s="2" t="str">
        <f>_xlfn.XLOOKUP(Orders[[#This Row],[Customer ID]],customers!$A$1:$A$1001,customers!$F$1:$F$1001,,0)</f>
        <v>Pasadena</v>
      </c>
      <c r="J574" t="str">
        <f>INDEX(products!$A$1:$G$49,MATCH(orders!$D574,products!$A$1:$A$49,0),MATCH(orders!J$1,products!$A$1:$G$1,0))</f>
        <v>Ara</v>
      </c>
      <c r="K574" t="str">
        <f>INDEX(products!$A$1:$G$49,MATCH(orders!$D574,products!$A$1:$A$49,0),MATCH(orders!K$1,products!$A$1:$G$1,0))</f>
        <v>D</v>
      </c>
      <c r="L574" s="4">
        <f>INDEX(products!$A$1:$G$49,MATCH(orders!$D574,products!$A$1:$A$49,0),MATCH(orders!L$1,products!$A$1:$G$1,0))</f>
        <v>0.2</v>
      </c>
      <c r="M574" s="5">
        <f>INDEX(products!$A$1:$G$49,MATCH(orders!$D574,products!$A$1:$A$49,0),MATCH(orders!M$1,products!$A$1:$G$1,0))</f>
        <v>2.9849999999999999</v>
      </c>
      <c r="N574" s="5">
        <f>Orders[[#This Row],[Quantity]]*(INDEX(products!$A$1:$G$49,MATCH(orders!$D574,products!$A$1:$A$49,0),MATCH(orders!N$1,products!$A$1:$G$1,0)))</f>
        <v>0.5373</v>
      </c>
      <c r="O574" s="5">
        <f>M574*E574</f>
        <v>5.97</v>
      </c>
      <c r="P574" t="str">
        <f t="shared" si="16"/>
        <v>Arabica</v>
      </c>
      <c r="Q574" t="str">
        <f t="shared" si="17"/>
        <v>Dark</v>
      </c>
      <c r="R574" t="str">
        <f>_xlfn.XLOOKUP(Orders[[#This Row],[Customer ID]],customers!$A$1:$A$1001,customers!$I$1:$I$1001,,0)</f>
        <v>Yes</v>
      </c>
    </row>
    <row r="575" spans="1:18" x14ac:dyDescent="0.35">
      <c r="A575" s="2" t="s">
        <v>3728</v>
      </c>
      <c r="B575" s="3">
        <v>43781</v>
      </c>
      <c r="C575" s="2" t="s">
        <v>3729</v>
      </c>
      <c r="D575" t="s">
        <v>6155</v>
      </c>
      <c r="E575" s="2">
        <v>6</v>
      </c>
      <c r="F575" s="2" t="str">
        <f>_xlfn.XLOOKUP(Orders[[#This Row],[Customer ID]],customers!$A$1:$A$1001,customers!$B$1:$B$1001,,0)</f>
        <v>Cornie Venour</v>
      </c>
      <c r="G575" s="2" t="str">
        <f>IF(_xlfn.XLOOKUP(C575,customers!$A$1:$A$1001,customers!C574:C1574,,0)=0,"",_xlfn.XLOOKUP(C575,customers!$A$1:$A$1001,customers!C574:C1574,,0))</f>
        <v/>
      </c>
      <c r="H575" s="2" t="str">
        <f>_xlfn.XLOOKUP(Orders[[#This Row],[Customer ID]],customers!$A$1:$A$1001,customers!$G$1:$G$1001,,0)</f>
        <v>United States</v>
      </c>
      <c r="I575" s="2" t="str">
        <f>_xlfn.XLOOKUP(Orders[[#This Row],[Customer ID]],customers!$A$1:$A$1001,customers!$F$1:$F$1001,,0)</f>
        <v>Shreveport</v>
      </c>
      <c r="J575" t="str">
        <f>INDEX(products!$A$1:$G$49,MATCH(orders!$D575,products!$A$1:$A$49,0),MATCH(orders!J$1,products!$A$1:$G$1,0))</f>
        <v>Ara</v>
      </c>
      <c r="K575" t="str">
        <f>INDEX(products!$A$1:$G$49,MATCH(orders!$D575,products!$A$1:$A$49,0),MATCH(orders!K$1,products!$A$1:$G$1,0))</f>
        <v>M</v>
      </c>
      <c r="L575" s="4">
        <f>INDEX(products!$A$1:$G$49,MATCH(orders!$D575,products!$A$1:$A$49,0),MATCH(orders!L$1,products!$A$1:$G$1,0))</f>
        <v>1</v>
      </c>
      <c r="M575" s="5">
        <f>INDEX(products!$A$1:$G$49,MATCH(orders!$D575,products!$A$1:$A$49,0),MATCH(orders!M$1,products!$A$1:$G$1,0))</f>
        <v>11.25</v>
      </c>
      <c r="N575" s="5">
        <f>Orders[[#This Row],[Quantity]]*(INDEX(products!$A$1:$G$49,MATCH(orders!$D575,products!$A$1:$A$49,0),MATCH(orders!N$1,products!$A$1:$G$1,0)))</f>
        <v>6.0749999999999993</v>
      </c>
      <c r="O575" s="5">
        <f>M575*E575</f>
        <v>67.5</v>
      </c>
      <c r="P575" t="str">
        <f t="shared" si="16"/>
        <v>Arabica</v>
      </c>
      <c r="Q575" t="str">
        <f t="shared" si="17"/>
        <v>Medium</v>
      </c>
      <c r="R575" t="str">
        <f>_xlfn.XLOOKUP(Orders[[#This Row],[Customer ID]],customers!$A$1:$A$1001,customers!$I$1:$I$1001,,0)</f>
        <v>No</v>
      </c>
    </row>
    <row r="576" spans="1:18" x14ac:dyDescent="0.35">
      <c r="A576" s="2" t="s">
        <v>3734</v>
      </c>
      <c r="B576" s="3">
        <v>44697</v>
      </c>
      <c r="C576" s="2" t="s">
        <v>3735</v>
      </c>
      <c r="D576" t="s">
        <v>6178</v>
      </c>
      <c r="E576" s="2">
        <v>6</v>
      </c>
      <c r="F576" s="2" t="str">
        <f>_xlfn.XLOOKUP(Orders[[#This Row],[Customer ID]],customers!$A$1:$A$1001,customers!$B$1:$B$1001,,0)</f>
        <v>Maggy Harby</v>
      </c>
      <c r="G576" s="2" t="str">
        <f>IF(_xlfn.XLOOKUP(C576,customers!$A$1:$A$1001,customers!C575:C1575,,0)=0,"",_xlfn.XLOOKUP(C576,customers!$A$1:$A$1001,customers!C575:C1575,,0))</f>
        <v/>
      </c>
      <c r="H576" s="2" t="str">
        <f>_xlfn.XLOOKUP(Orders[[#This Row],[Customer ID]],customers!$A$1:$A$1001,customers!$G$1:$G$1001,,0)</f>
        <v>United States</v>
      </c>
      <c r="I576" s="2" t="str">
        <f>_xlfn.XLOOKUP(Orders[[#This Row],[Customer ID]],customers!$A$1:$A$1001,customers!$F$1:$F$1001,,0)</f>
        <v>Pensacola</v>
      </c>
      <c r="J576" t="str">
        <f>INDEX(products!$A$1:$G$49,MATCH(orders!$D576,products!$A$1:$A$49,0),MATCH(orders!J$1,products!$A$1:$G$1,0))</f>
        <v>Rob</v>
      </c>
      <c r="K576" t="str">
        <f>INDEX(products!$A$1:$G$49,MATCH(orders!$D576,products!$A$1:$A$49,0),MATCH(orders!K$1,products!$A$1:$G$1,0))</f>
        <v>L</v>
      </c>
      <c r="L576" s="4">
        <f>INDEX(products!$A$1:$G$49,MATCH(orders!$D576,products!$A$1:$A$49,0),MATCH(orders!L$1,products!$A$1:$G$1,0))</f>
        <v>0.2</v>
      </c>
      <c r="M576" s="5">
        <f>INDEX(products!$A$1:$G$49,MATCH(orders!$D576,products!$A$1:$A$49,0),MATCH(orders!M$1,products!$A$1:$G$1,0))</f>
        <v>3.5849999999999995</v>
      </c>
      <c r="N576" s="5">
        <f>Orders[[#This Row],[Quantity]]*(INDEX(products!$A$1:$G$49,MATCH(orders!$D576,products!$A$1:$A$49,0),MATCH(orders!N$1,products!$A$1:$G$1,0)))</f>
        <v>1.2905999999999997</v>
      </c>
      <c r="O576" s="5">
        <f>M576*E576</f>
        <v>21.509999999999998</v>
      </c>
      <c r="P576" t="str">
        <f t="shared" si="16"/>
        <v>Robusta</v>
      </c>
      <c r="Q576" t="str">
        <f t="shared" si="17"/>
        <v>Light</v>
      </c>
      <c r="R576" t="str">
        <f>_xlfn.XLOOKUP(Orders[[#This Row],[Customer ID]],customers!$A$1:$A$1001,customers!$I$1:$I$1001,,0)</f>
        <v>Yes</v>
      </c>
    </row>
    <row r="577" spans="1:18" x14ac:dyDescent="0.35">
      <c r="A577" s="2" t="s">
        <v>3739</v>
      </c>
      <c r="B577" s="3">
        <v>44239</v>
      </c>
      <c r="C577" s="2" t="s">
        <v>3740</v>
      </c>
      <c r="D577" t="s">
        <v>6181</v>
      </c>
      <c r="E577" s="2">
        <v>2</v>
      </c>
      <c r="F577" s="2" t="str">
        <f>_xlfn.XLOOKUP(Orders[[#This Row],[Customer ID]],customers!$A$1:$A$1001,customers!$B$1:$B$1001,,0)</f>
        <v>Reggie Thickpenny</v>
      </c>
      <c r="G577" s="2" t="str">
        <f>IF(_xlfn.XLOOKUP(C577,customers!$A$1:$A$1001,customers!C576:C1576,,0)=0,"",_xlfn.XLOOKUP(C577,customers!$A$1:$A$1001,customers!C576:C1576,,0))</f>
        <v/>
      </c>
      <c r="H577" s="2" t="str">
        <f>_xlfn.XLOOKUP(Orders[[#This Row],[Customer ID]],customers!$A$1:$A$1001,customers!$G$1:$G$1001,,0)</f>
        <v>United States</v>
      </c>
      <c r="I577" s="2" t="str">
        <f>_xlfn.XLOOKUP(Orders[[#This Row],[Customer ID]],customers!$A$1:$A$1001,customers!$F$1:$F$1001,,0)</f>
        <v>Los Angeles</v>
      </c>
      <c r="J577" t="str">
        <f>INDEX(products!$A$1:$G$49,MATCH(orders!$D577,products!$A$1:$A$49,0),MATCH(orders!J$1,products!$A$1:$G$1,0))</f>
        <v>Lib</v>
      </c>
      <c r="K577" t="str">
        <f>INDEX(products!$A$1:$G$49,MATCH(orders!$D577,products!$A$1:$A$49,0),MATCH(orders!K$1,products!$A$1:$G$1,0))</f>
        <v>M</v>
      </c>
      <c r="L577" s="4">
        <f>INDEX(products!$A$1:$G$49,MATCH(orders!$D577,products!$A$1:$A$49,0),MATCH(orders!L$1,products!$A$1:$G$1,0))</f>
        <v>2.5</v>
      </c>
      <c r="M577" s="5">
        <f>INDEX(products!$A$1:$G$49,MATCH(orders!$D577,products!$A$1:$A$49,0),MATCH(orders!M$1,products!$A$1:$G$1,0))</f>
        <v>33.464999999999996</v>
      </c>
      <c r="N577" s="5">
        <f>Orders[[#This Row],[Quantity]]*(INDEX(products!$A$1:$G$49,MATCH(orders!$D577,products!$A$1:$A$49,0),MATCH(orders!N$1,products!$A$1:$G$1,0)))</f>
        <v>8.700899999999999</v>
      </c>
      <c r="O577" s="5">
        <f>M577*E577</f>
        <v>66.929999999999993</v>
      </c>
      <c r="P577" t="str">
        <f t="shared" si="16"/>
        <v>Liberica</v>
      </c>
      <c r="Q577" t="str">
        <f t="shared" si="17"/>
        <v>Medium</v>
      </c>
      <c r="R577" t="str">
        <f>_xlfn.XLOOKUP(Orders[[#This Row],[Customer ID]],customers!$A$1:$A$1001,customers!$I$1:$I$1001,,0)</f>
        <v>No</v>
      </c>
    </row>
    <row r="578" spans="1:18" x14ac:dyDescent="0.35">
      <c r="A578" s="2" t="s">
        <v>3745</v>
      </c>
      <c r="B578" s="3">
        <v>44290</v>
      </c>
      <c r="C578" s="2" t="s">
        <v>3746</v>
      </c>
      <c r="D578" t="s">
        <v>6154</v>
      </c>
      <c r="E578" s="2">
        <v>6</v>
      </c>
      <c r="F578" s="2" t="str">
        <f>_xlfn.XLOOKUP(Orders[[#This Row],[Customer ID]],customers!$A$1:$A$1001,customers!$B$1:$B$1001,,0)</f>
        <v>Phyllys Ormerod</v>
      </c>
      <c r="G578" s="2" t="str">
        <f>IF(_xlfn.XLOOKUP(C578,customers!$A$1:$A$1001,customers!C577:C1577,,0)=0,"",_xlfn.XLOOKUP(C578,customers!$A$1:$A$1001,customers!C577:C1577,,0))</f>
        <v/>
      </c>
      <c r="H578" s="2" t="str">
        <f>_xlfn.XLOOKUP(Orders[[#This Row],[Customer ID]],customers!$A$1:$A$1001,customers!$G$1:$G$1001,,0)</f>
        <v>United States</v>
      </c>
      <c r="I578" s="2" t="str">
        <f>_xlfn.XLOOKUP(Orders[[#This Row],[Customer ID]],customers!$A$1:$A$1001,customers!$F$1:$F$1001,,0)</f>
        <v>Durham</v>
      </c>
      <c r="J578" t="str">
        <f>INDEX(products!$A$1:$G$49,MATCH(orders!$D578,products!$A$1:$A$49,0),MATCH(orders!J$1,products!$A$1:$G$1,0))</f>
        <v>Ara</v>
      </c>
      <c r="K578" t="str">
        <f>INDEX(products!$A$1:$G$49,MATCH(orders!$D578,products!$A$1:$A$49,0),MATCH(orders!K$1,products!$A$1:$G$1,0))</f>
        <v>D</v>
      </c>
      <c r="L578" s="4">
        <f>INDEX(products!$A$1:$G$49,MATCH(orders!$D578,products!$A$1:$A$49,0),MATCH(orders!L$1,products!$A$1:$G$1,0))</f>
        <v>0.2</v>
      </c>
      <c r="M578" s="5">
        <f>INDEX(products!$A$1:$G$49,MATCH(orders!$D578,products!$A$1:$A$49,0),MATCH(orders!M$1,products!$A$1:$G$1,0))</f>
        <v>2.9849999999999999</v>
      </c>
      <c r="N578" s="5">
        <f>Orders[[#This Row],[Quantity]]*(INDEX(products!$A$1:$G$49,MATCH(orders!$D578,products!$A$1:$A$49,0),MATCH(orders!N$1,products!$A$1:$G$1,0)))</f>
        <v>1.6118999999999999</v>
      </c>
      <c r="O578" s="5">
        <f>M578*E578</f>
        <v>17.91</v>
      </c>
      <c r="P578" t="str">
        <f t="shared" si="16"/>
        <v>Arabica</v>
      </c>
      <c r="Q578" t="str">
        <f t="shared" si="17"/>
        <v>Dark</v>
      </c>
      <c r="R578" t="str">
        <f>_xlfn.XLOOKUP(Orders[[#This Row],[Customer ID]],customers!$A$1:$A$1001,customers!$I$1:$I$1001,,0)</f>
        <v>No</v>
      </c>
    </row>
    <row r="579" spans="1:18" x14ac:dyDescent="0.35">
      <c r="A579" s="2" t="s">
        <v>3751</v>
      </c>
      <c r="B579" s="3">
        <v>44410</v>
      </c>
      <c r="C579" s="2" t="s">
        <v>3752</v>
      </c>
      <c r="D579" t="s">
        <v>6162</v>
      </c>
      <c r="E579" s="2">
        <v>4</v>
      </c>
      <c r="F579" s="2" t="str">
        <f>_xlfn.XLOOKUP(Orders[[#This Row],[Customer ID]],customers!$A$1:$A$1001,customers!$B$1:$B$1001,,0)</f>
        <v>Don Flintiff</v>
      </c>
      <c r="G579" s="2" t="str">
        <f>IF(_xlfn.XLOOKUP(C579,customers!$A$1:$A$1001,customers!C578:C1578,,0)=0,"",_xlfn.XLOOKUP(C579,customers!$A$1:$A$1001,customers!C578:C1578,,0))</f>
        <v/>
      </c>
      <c r="H579" s="2" t="str">
        <f>_xlfn.XLOOKUP(Orders[[#This Row],[Customer ID]],customers!$A$1:$A$1001,customers!$G$1:$G$1001,,0)</f>
        <v>United Kingdom</v>
      </c>
      <c r="I579" s="2" t="str">
        <f>_xlfn.XLOOKUP(Orders[[#This Row],[Customer ID]],customers!$A$1:$A$1001,customers!$F$1:$F$1001,,0)</f>
        <v>London</v>
      </c>
      <c r="J579" t="str">
        <f>INDEX(products!$A$1:$G$49,MATCH(orders!$D579,products!$A$1:$A$49,0),MATCH(orders!J$1,products!$A$1:$G$1,0))</f>
        <v>Lib</v>
      </c>
      <c r="K579" t="str">
        <f>INDEX(products!$A$1:$G$49,MATCH(orders!$D579,products!$A$1:$A$49,0),MATCH(orders!K$1,products!$A$1:$G$1,0))</f>
        <v>M</v>
      </c>
      <c r="L579" s="4">
        <f>INDEX(products!$A$1:$G$49,MATCH(orders!$D579,products!$A$1:$A$49,0),MATCH(orders!L$1,products!$A$1:$G$1,0))</f>
        <v>1</v>
      </c>
      <c r="M579" s="5">
        <f>INDEX(products!$A$1:$G$49,MATCH(orders!$D579,products!$A$1:$A$49,0),MATCH(orders!M$1,products!$A$1:$G$1,0))</f>
        <v>14.55</v>
      </c>
      <c r="N579" s="5">
        <f>Orders[[#This Row],[Quantity]]*(INDEX(products!$A$1:$G$49,MATCH(orders!$D579,products!$A$1:$A$49,0),MATCH(orders!N$1,products!$A$1:$G$1,0)))</f>
        <v>7.5660000000000007</v>
      </c>
      <c r="O579" s="5">
        <f>M579*E579</f>
        <v>58.2</v>
      </c>
      <c r="P579" t="str">
        <f t="shared" ref="P579:P642" si="18">IF(J579="Rob","Robusta",IF(J579="Exc","Excelsa",IF(J579="Ara","Arabica",IF(J579="Lib","Liberica",""))))</f>
        <v>Liberica</v>
      </c>
      <c r="Q579" t="str">
        <f t="shared" ref="Q579:Q642" si="19">IF(K579="M", "Medium", IF(K579="L", "Light", IF(K579="D", "Dark", "")))</f>
        <v>Medium</v>
      </c>
      <c r="R579" t="str">
        <f>_xlfn.XLOOKUP(Orders[[#This Row],[Customer ID]],customers!$A$1:$A$1001,customers!$I$1:$I$1001,,0)</f>
        <v>No</v>
      </c>
    </row>
    <row r="580" spans="1:18" x14ac:dyDescent="0.35">
      <c r="A580" s="2" t="s">
        <v>3756</v>
      </c>
      <c r="B580" s="3">
        <v>44720</v>
      </c>
      <c r="C580" s="2" t="s">
        <v>3757</v>
      </c>
      <c r="D580" t="s">
        <v>6184</v>
      </c>
      <c r="E580" s="2">
        <v>3</v>
      </c>
      <c r="F580" s="2" t="str">
        <f>_xlfn.XLOOKUP(Orders[[#This Row],[Customer ID]],customers!$A$1:$A$1001,customers!$B$1:$B$1001,,0)</f>
        <v>Tymon Zanetti</v>
      </c>
      <c r="G580" s="2" t="str">
        <f>IF(_xlfn.XLOOKUP(C580,customers!$A$1:$A$1001,customers!C579:C1579,,0)=0,"",_xlfn.XLOOKUP(C580,customers!$A$1:$A$1001,customers!C579:C1579,,0))</f>
        <v/>
      </c>
      <c r="H580" s="2" t="str">
        <f>_xlfn.XLOOKUP(Orders[[#This Row],[Customer ID]],customers!$A$1:$A$1001,customers!$G$1:$G$1001,,0)</f>
        <v>Ireland</v>
      </c>
      <c r="I580" s="2" t="str">
        <f>_xlfn.XLOOKUP(Orders[[#This Row],[Customer ID]],customers!$A$1:$A$1001,customers!$F$1:$F$1001,,0)</f>
        <v>Loughrea</v>
      </c>
      <c r="J580" t="str">
        <f>INDEX(products!$A$1:$G$49,MATCH(orders!$D580,products!$A$1:$A$49,0),MATCH(orders!J$1,products!$A$1:$G$1,0))</f>
        <v>Exc</v>
      </c>
      <c r="K580" t="str">
        <f>INDEX(products!$A$1:$G$49,MATCH(orders!$D580,products!$A$1:$A$49,0),MATCH(orders!K$1,products!$A$1:$G$1,0))</f>
        <v>L</v>
      </c>
      <c r="L580" s="4">
        <f>INDEX(products!$A$1:$G$49,MATCH(orders!$D580,products!$A$1:$A$49,0),MATCH(orders!L$1,products!$A$1:$G$1,0))</f>
        <v>0.2</v>
      </c>
      <c r="M580" s="5">
        <f>INDEX(products!$A$1:$G$49,MATCH(orders!$D580,products!$A$1:$A$49,0),MATCH(orders!M$1,products!$A$1:$G$1,0))</f>
        <v>4.4550000000000001</v>
      </c>
      <c r="N580" s="5">
        <f>Orders[[#This Row],[Quantity]]*(INDEX(products!$A$1:$G$49,MATCH(orders!$D580,products!$A$1:$A$49,0),MATCH(orders!N$1,products!$A$1:$G$1,0)))</f>
        <v>1.4701499999999998</v>
      </c>
      <c r="O580" s="5">
        <f>M580*E580</f>
        <v>13.365</v>
      </c>
      <c r="P580" t="str">
        <f t="shared" si="18"/>
        <v>Excelsa</v>
      </c>
      <c r="Q580" t="str">
        <f t="shared" si="19"/>
        <v>Light</v>
      </c>
      <c r="R580" t="str">
        <f>_xlfn.XLOOKUP(Orders[[#This Row],[Customer ID]],customers!$A$1:$A$1001,customers!$I$1:$I$1001,,0)</f>
        <v>No</v>
      </c>
    </row>
    <row r="581" spans="1:18" x14ac:dyDescent="0.35">
      <c r="A581" s="2" t="s">
        <v>3756</v>
      </c>
      <c r="B581" s="3">
        <v>44720</v>
      </c>
      <c r="C581" s="2" t="s">
        <v>3757</v>
      </c>
      <c r="D581" t="s">
        <v>6157</v>
      </c>
      <c r="E581" s="2">
        <v>5</v>
      </c>
      <c r="F581" s="2" t="str">
        <f>_xlfn.XLOOKUP(Orders[[#This Row],[Customer ID]],customers!$A$1:$A$1001,customers!$B$1:$B$1001,,0)</f>
        <v>Tymon Zanetti</v>
      </c>
      <c r="G581" s="2" t="str">
        <f>IF(_xlfn.XLOOKUP(C581,customers!$A$1:$A$1001,customers!C580:C1580,,0)=0,"",_xlfn.XLOOKUP(C581,customers!$A$1:$A$1001,customers!C580:C1580,,0))</f>
        <v/>
      </c>
      <c r="H581" s="2" t="str">
        <f>_xlfn.XLOOKUP(Orders[[#This Row],[Customer ID]],customers!$A$1:$A$1001,customers!$G$1:$G$1001,,0)</f>
        <v>Ireland</v>
      </c>
      <c r="I581" s="2" t="str">
        <f>_xlfn.XLOOKUP(Orders[[#This Row],[Customer ID]],customers!$A$1:$A$1001,customers!$F$1:$F$1001,,0)</f>
        <v>Loughrea</v>
      </c>
      <c r="J581" t="str">
        <f>INDEX(products!$A$1:$G$49,MATCH(orders!$D581,products!$A$1:$A$49,0),MATCH(orders!J$1,products!$A$1:$G$1,0))</f>
        <v>Ara</v>
      </c>
      <c r="K581" t="str">
        <f>INDEX(products!$A$1:$G$49,MATCH(orders!$D581,products!$A$1:$A$49,0),MATCH(orders!K$1,products!$A$1:$G$1,0))</f>
        <v>M</v>
      </c>
      <c r="L581" s="4">
        <f>INDEX(products!$A$1:$G$49,MATCH(orders!$D581,products!$A$1:$A$49,0),MATCH(orders!L$1,products!$A$1:$G$1,0))</f>
        <v>0.5</v>
      </c>
      <c r="M581" s="5">
        <f>INDEX(products!$A$1:$G$49,MATCH(orders!$D581,products!$A$1:$A$49,0),MATCH(orders!M$1,products!$A$1:$G$1,0))</f>
        <v>6.75</v>
      </c>
      <c r="N581" s="5">
        <f>Orders[[#This Row],[Quantity]]*(INDEX(products!$A$1:$G$49,MATCH(orders!$D581,products!$A$1:$A$49,0),MATCH(orders!N$1,products!$A$1:$G$1,0)))</f>
        <v>3.0374999999999996</v>
      </c>
      <c r="O581" s="5">
        <f>M581*E581</f>
        <v>33.75</v>
      </c>
      <c r="P581" t="str">
        <f t="shared" si="18"/>
        <v>Arabica</v>
      </c>
      <c r="Q581" t="str">
        <f t="shared" si="19"/>
        <v>Medium</v>
      </c>
      <c r="R581" t="str">
        <f>_xlfn.XLOOKUP(Orders[[#This Row],[Customer ID]],customers!$A$1:$A$1001,customers!$I$1:$I$1001,,0)</f>
        <v>No</v>
      </c>
    </row>
    <row r="582" spans="1:18" x14ac:dyDescent="0.35">
      <c r="A582" s="2" t="s">
        <v>3767</v>
      </c>
      <c r="B582" s="3">
        <v>43965</v>
      </c>
      <c r="C582" s="2" t="s">
        <v>3768</v>
      </c>
      <c r="D582" t="s">
        <v>6171</v>
      </c>
      <c r="E582" s="2">
        <v>3</v>
      </c>
      <c r="F582" s="2" t="str">
        <f>_xlfn.XLOOKUP(Orders[[#This Row],[Customer ID]],customers!$A$1:$A$1001,customers!$B$1:$B$1001,,0)</f>
        <v>Reinaldos Kirtley</v>
      </c>
      <c r="G582" s="2" t="str">
        <f>IF(_xlfn.XLOOKUP(C582,customers!$A$1:$A$1001,customers!C581:C1581,,0)=0,"",_xlfn.XLOOKUP(C582,customers!$A$1:$A$1001,customers!C581:C1581,,0))</f>
        <v/>
      </c>
      <c r="H582" s="2" t="str">
        <f>_xlfn.XLOOKUP(Orders[[#This Row],[Customer ID]],customers!$A$1:$A$1001,customers!$G$1:$G$1001,,0)</f>
        <v>United States</v>
      </c>
      <c r="I582" s="2" t="str">
        <f>_xlfn.XLOOKUP(Orders[[#This Row],[Customer ID]],customers!$A$1:$A$1001,customers!$F$1:$F$1001,,0)</f>
        <v>Whittier</v>
      </c>
      <c r="J582" t="str">
        <f>INDEX(products!$A$1:$G$49,MATCH(orders!$D582,products!$A$1:$A$49,0),MATCH(orders!J$1,products!$A$1:$G$1,0))</f>
        <v>Exc</v>
      </c>
      <c r="K582" t="str">
        <f>INDEX(products!$A$1:$G$49,MATCH(orders!$D582,products!$A$1:$A$49,0),MATCH(orders!K$1,products!$A$1:$G$1,0))</f>
        <v>L</v>
      </c>
      <c r="L582" s="4">
        <f>INDEX(products!$A$1:$G$49,MATCH(orders!$D582,products!$A$1:$A$49,0),MATCH(orders!L$1,products!$A$1:$G$1,0))</f>
        <v>1</v>
      </c>
      <c r="M582" s="5">
        <f>INDEX(products!$A$1:$G$49,MATCH(orders!$D582,products!$A$1:$A$49,0),MATCH(orders!M$1,products!$A$1:$G$1,0))</f>
        <v>14.85</v>
      </c>
      <c r="N582" s="5">
        <f>Orders[[#This Row],[Quantity]]*(INDEX(products!$A$1:$G$49,MATCH(orders!$D582,products!$A$1:$A$49,0),MATCH(orders!N$1,products!$A$1:$G$1,0)))</f>
        <v>4.9005000000000001</v>
      </c>
      <c r="O582" s="5">
        <f>M582*E582</f>
        <v>44.55</v>
      </c>
      <c r="P582" t="str">
        <f t="shared" si="18"/>
        <v>Excelsa</v>
      </c>
      <c r="Q582" t="str">
        <f t="shared" si="19"/>
        <v>Light</v>
      </c>
      <c r="R582" t="str">
        <f>_xlfn.XLOOKUP(Orders[[#This Row],[Customer ID]],customers!$A$1:$A$1001,customers!$I$1:$I$1001,,0)</f>
        <v>Yes</v>
      </c>
    </row>
    <row r="583" spans="1:18" x14ac:dyDescent="0.35">
      <c r="A583" s="2" t="s">
        <v>3773</v>
      </c>
      <c r="B583" s="3">
        <v>44190</v>
      </c>
      <c r="C583" s="2" t="s">
        <v>3774</v>
      </c>
      <c r="D583" t="s">
        <v>6176</v>
      </c>
      <c r="E583" s="2">
        <v>5</v>
      </c>
      <c r="F583" s="2" t="str">
        <f>_xlfn.XLOOKUP(Orders[[#This Row],[Customer ID]],customers!$A$1:$A$1001,customers!$B$1:$B$1001,,0)</f>
        <v>Carney Clemencet</v>
      </c>
      <c r="G583" s="2" t="str">
        <f>IF(_xlfn.XLOOKUP(C583,customers!$A$1:$A$1001,customers!C582:C1582,,0)=0,"",_xlfn.XLOOKUP(C583,customers!$A$1:$A$1001,customers!C582:C1582,,0))</f>
        <v/>
      </c>
      <c r="H583" s="2" t="str">
        <f>_xlfn.XLOOKUP(Orders[[#This Row],[Customer ID]],customers!$A$1:$A$1001,customers!$G$1:$G$1001,,0)</f>
        <v>United Kingdom</v>
      </c>
      <c r="I583" s="2" t="str">
        <f>_xlfn.XLOOKUP(Orders[[#This Row],[Customer ID]],customers!$A$1:$A$1001,customers!$F$1:$F$1001,,0)</f>
        <v>Birmingham</v>
      </c>
      <c r="J583" t="str">
        <f>INDEX(products!$A$1:$G$49,MATCH(orders!$D583,products!$A$1:$A$49,0),MATCH(orders!J$1,products!$A$1:$G$1,0))</f>
        <v>Exc</v>
      </c>
      <c r="K583" t="str">
        <f>INDEX(products!$A$1:$G$49,MATCH(orders!$D583,products!$A$1:$A$49,0),MATCH(orders!K$1,products!$A$1:$G$1,0))</f>
        <v>L</v>
      </c>
      <c r="L583" s="4">
        <f>INDEX(products!$A$1:$G$49,MATCH(orders!$D583,products!$A$1:$A$49,0),MATCH(orders!L$1,products!$A$1:$G$1,0))</f>
        <v>0.5</v>
      </c>
      <c r="M583" s="5">
        <f>INDEX(products!$A$1:$G$49,MATCH(orders!$D583,products!$A$1:$A$49,0),MATCH(orders!M$1,products!$A$1:$G$1,0))</f>
        <v>8.91</v>
      </c>
      <c r="N583" s="5">
        <f>Orders[[#This Row],[Quantity]]*(INDEX(products!$A$1:$G$49,MATCH(orders!$D583,products!$A$1:$A$49,0),MATCH(orders!N$1,products!$A$1:$G$1,0)))</f>
        <v>4.9005000000000001</v>
      </c>
      <c r="O583" s="5">
        <f>M583*E583</f>
        <v>44.55</v>
      </c>
      <c r="P583" t="str">
        <f t="shared" si="18"/>
        <v>Excelsa</v>
      </c>
      <c r="Q583" t="str">
        <f t="shared" si="19"/>
        <v>Light</v>
      </c>
      <c r="R583" t="str">
        <f>_xlfn.XLOOKUP(Orders[[#This Row],[Customer ID]],customers!$A$1:$A$1001,customers!$I$1:$I$1001,,0)</f>
        <v>Yes</v>
      </c>
    </row>
    <row r="584" spans="1:18" x14ac:dyDescent="0.35">
      <c r="A584" s="2" t="s">
        <v>3778</v>
      </c>
      <c r="B584" s="3">
        <v>44382</v>
      </c>
      <c r="C584" s="2" t="s">
        <v>3779</v>
      </c>
      <c r="D584" t="s">
        <v>6183</v>
      </c>
      <c r="E584" s="2">
        <v>5</v>
      </c>
      <c r="F584" s="2" t="str">
        <f>_xlfn.XLOOKUP(Orders[[#This Row],[Customer ID]],customers!$A$1:$A$1001,customers!$B$1:$B$1001,,0)</f>
        <v>Russell Donet</v>
      </c>
      <c r="G584" s="2" t="str">
        <f>IF(_xlfn.XLOOKUP(C584,customers!$A$1:$A$1001,customers!C583:C1583,,0)=0,"",_xlfn.XLOOKUP(C584,customers!$A$1:$A$1001,customers!C583:C1583,,0))</f>
        <v/>
      </c>
      <c r="H584" s="2" t="str">
        <f>_xlfn.XLOOKUP(Orders[[#This Row],[Customer ID]],customers!$A$1:$A$1001,customers!$G$1:$G$1001,,0)</f>
        <v>United States</v>
      </c>
      <c r="I584" s="2" t="str">
        <f>_xlfn.XLOOKUP(Orders[[#This Row],[Customer ID]],customers!$A$1:$A$1001,customers!$F$1:$F$1001,,0)</f>
        <v>Richmond</v>
      </c>
      <c r="J584" t="str">
        <f>INDEX(products!$A$1:$G$49,MATCH(orders!$D584,products!$A$1:$A$49,0),MATCH(orders!J$1,products!$A$1:$G$1,0))</f>
        <v>Exc</v>
      </c>
      <c r="K584" t="str">
        <f>INDEX(products!$A$1:$G$49,MATCH(orders!$D584,products!$A$1:$A$49,0),MATCH(orders!K$1,products!$A$1:$G$1,0))</f>
        <v>D</v>
      </c>
      <c r="L584" s="4">
        <f>INDEX(products!$A$1:$G$49,MATCH(orders!$D584,products!$A$1:$A$49,0),MATCH(orders!L$1,products!$A$1:$G$1,0))</f>
        <v>1</v>
      </c>
      <c r="M584" s="5">
        <f>INDEX(products!$A$1:$G$49,MATCH(orders!$D584,products!$A$1:$A$49,0),MATCH(orders!M$1,products!$A$1:$G$1,0))</f>
        <v>12.15</v>
      </c>
      <c r="N584" s="5">
        <f>Orders[[#This Row],[Quantity]]*(INDEX(products!$A$1:$G$49,MATCH(orders!$D584,products!$A$1:$A$49,0),MATCH(orders!N$1,products!$A$1:$G$1,0)))</f>
        <v>6.6825000000000001</v>
      </c>
      <c r="O584" s="5">
        <f>M584*E584</f>
        <v>60.75</v>
      </c>
      <c r="P584" t="str">
        <f t="shared" si="18"/>
        <v>Excelsa</v>
      </c>
      <c r="Q584" t="str">
        <f t="shared" si="19"/>
        <v>Dark</v>
      </c>
      <c r="R584" t="str">
        <f>_xlfn.XLOOKUP(Orders[[#This Row],[Customer ID]],customers!$A$1:$A$1001,customers!$I$1:$I$1001,,0)</f>
        <v>No</v>
      </c>
    </row>
    <row r="585" spans="1:18" x14ac:dyDescent="0.35">
      <c r="A585" s="2" t="s">
        <v>3784</v>
      </c>
      <c r="B585" s="3">
        <v>43538</v>
      </c>
      <c r="C585" s="2" t="s">
        <v>3785</v>
      </c>
      <c r="D585" t="s">
        <v>6178</v>
      </c>
      <c r="E585" s="2">
        <v>1</v>
      </c>
      <c r="F585" s="2" t="str">
        <f>_xlfn.XLOOKUP(Orders[[#This Row],[Customer ID]],customers!$A$1:$A$1001,customers!$B$1:$B$1001,,0)</f>
        <v>Sidney Gawen</v>
      </c>
      <c r="G585" s="2" t="str">
        <f>IF(_xlfn.XLOOKUP(C585,customers!$A$1:$A$1001,customers!C584:C1584,,0)=0,"",_xlfn.XLOOKUP(C585,customers!$A$1:$A$1001,customers!C584:C1584,,0))</f>
        <v/>
      </c>
      <c r="H585" s="2" t="str">
        <f>_xlfn.XLOOKUP(Orders[[#This Row],[Customer ID]],customers!$A$1:$A$1001,customers!$G$1:$G$1001,,0)</f>
        <v>United States</v>
      </c>
      <c r="I585" s="2" t="str">
        <f>_xlfn.XLOOKUP(Orders[[#This Row],[Customer ID]],customers!$A$1:$A$1001,customers!$F$1:$F$1001,,0)</f>
        <v>Sterling</v>
      </c>
      <c r="J585" t="str">
        <f>INDEX(products!$A$1:$G$49,MATCH(orders!$D585,products!$A$1:$A$49,0),MATCH(orders!J$1,products!$A$1:$G$1,0))</f>
        <v>Rob</v>
      </c>
      <c r="K585" t="str">
        <f>INDEX(products!$A$1:$G$49,MATCH(orders!$D585,products!$A$1:$A$49,0),MATCH(orders!K$1,products!$A$1:$G$1,0))</f>
        <v>L</v>
      </c>
      <c r="L585" s="4">
        <f>INDEX(products!$A$1:$G$49,MATCH(orders!$D585,products!$A$1:$A$49,0),MATCH(orders!L$1,products!$A$1:$G$1,0))</f>
        <v>0.2</v>
      </c>
      <c r="M585" s="5">
        <f>INDEX(products!$A$1:$G$49,MATCH(orders!$D585,products!$A$1:$A$49,0),MATCH(orders!M$1,products!$A$1:$G$1,0))</f>
        <v>3.5849999999999995</v>
      </c>
      <c r="N585" s="5">
        <f>Orders[[#This Row],[Quantity]]*(INDEX(products!$A$1:$G$49,MATCH(orders!$D585,products!$A$1:$A$49,0),MATCH(orders!N$1,products!$A$1:$G$1,0)))</f>
        <v>0.21509999999999996</v>
      </c>
      <c r="O585" s="5">
        <f>M585*E585</f>
        <v>3.5849999999999995</v>
      </c>
      <c r="P585" t="str">
        <f t="shared" si="18"/>
        <v>Robusta</v>
      </c>
      <c r="Q585" t="str">
        <f t="shared" si="19"/>
        <v>Light</v>
      </c>
      <c r="R585" t="str">
        <f>_xlfn.XLOOKUP(Orders[[#This Row],[Customer ID]],customers!$A$1:$A$1001,customers!$I$1:$I$1001,,0)</f>
        <v>Yes</v>
      </c>
    </row>
    <row r="586" spans="1:18" x14ac:dyDescent="0.35">
      <c r="A586" s="2" t="s">
        <v>3790</v>
      </c>
      <c r="B586" s="3">
        <v>44262</v>
      </c>
      <c r="C586" s="2" t="s">
        <v>3791</v>
      </c>
      <c r="D586" t="s">
        <v>6178</v>
      </c>
      <c r="E586" s="2">
        <v>6</v>
      </c>
      <c r="F586" s="2" t="str">
        <f>_xlfn.XLOOKUP(Orders[[#This Row],[Customer ID]],customers!$A$1:$A$1001,customers!$B$1:$B$1001,,0)</f>
        <v>Rickey Readie</v>
      </c>
      <c r="G586" s="2" t="str">
        <f>IF(_xlfn.XLOOKUP(C586,customers!$A$1:$A$1001,customers!C585:C1585,,0)=0,"",_xlfn.XLOOKUP(C586,customers!$A$1:$A$1001,customers!C585:C1585,,0))</f>
        <v/>
      </c>
      <c r="H586" s="2" t="str">
        <f>_xlfn.XLOOKUP(Orders[[#This Row],[Customer ID]],customers!$A$1:$A$1001,customers!$G$1:$G$1001,,0)</f>
        <v>United States</v>
      </c>
      <c r="I586" s="2" t="str">
        <f>_xlfn.XLOOKUP(Orders[[#This Row],[Customer ID]],customers!$A$1:$A$1001,customers!$F$1:$F$1001,,0)</f>
        <v>Carson City</v>
      </c>
      <c r="J586" t="str">
        <f>INDEX(products!$A$1:$G$49,MATCH(orders!$D586,products!$A$1:$A$49,0),MATCH(orders!J$1,products!$A$1:$G$1,0))</f>
        <v>Rob</v>
      </c>
      <c r="K586" t="str">
        <f>INDEX(products!$A$1:$G$49,MATCH(orders!$D586,products!$A$1:$A$49,0),MATCH(orders!K$1,products!$A$1:$G$1,0))</f>
        <v>L</v>
      </c>
      <c r="L586" s="4">
        <f>INDEX(products!$A$1:$G$49,MATCH(orders!$D586,products!$A$1:$A$49,0),MATCH(orders!L$1,products!$A$1:$G$1,0))</f>
        <v>0.2</v>
      </c>
      <c r="M586" s="5">
        <f>INDEX(products!$A$1:$G$49,MATCH(orders!$D586,products!$A$1:$A$49,0),MATCH(orders!M$1,products!$A$1:$G$1,0))</f>
        <v>3.5849999999999995</v>
      </c>
      <c r="N586" s="5">
        <f>Orders[[#This Row],[Quantity]]*(INDEX(products!$A$1:$G$49,MATCH(orders!$D586,products!$A$1:$A$49,0),MATCH(orders!N$1,products!$A$1:$G$1,0)))</f>
        <v>1.2905999999999997</v>
      </c>
      <c r="O586" s="5">
        <f>M586*E586</f>
        <v>21.509999999999998</v>
      </c>
      <c r="P586" t="str">
        <f t="shared" si="18"/>
        <v>Robusta</v>
      </c>
      <c r="Q586" t="str">
        <f t="shared" si="19"/>
        <v>Light</v>
      </c>
      <c r="R586" t="str">
        <f>_xlfn.XLOOKUP(Orders[[#This Row],[Customer ID]],customers!$A$1:$A$1001,customers!$I$1:$I$1001,,0)</f>
        <v>No</v>
      </c>
    </row>
    <row r="587" spans="1:18" x14ac:dyDescent="0.35">
      <c r="A587" s="2" t="s">
        <v>3796</v>
      </c>
      <c r="B587" s="3">
        <v>44505</v>
      </c>
      <c r="C587" s="2" t="s">
        <v>3840</v>
      </c>
      <c r="D587" t="s">
        <v>6139</v>
      </c>
      <c r="E587" s="2">
        <v>2</v>
      </c>
      <c r="F587" s="2" t="str">
        <f>_xlfn.XLOOKUP(Orders[[#This Row],[Customer ID]],customers!$A$1:$A$1001,customers!$B$1:$B$1001,,0)</f>
        <v>Cody Verissimo</v>
      </c>
      <c r="G587" s="2" t="str">
        <f>IF(_xlfn.XLOOKUP(C587,customers!$A$1:$A$1001,customers!C586:C1586,,0)=0,"",_xlfn.XLOOKUP(C587,customers!$A$1:$A$1001,customers!C586:C1586,,0))</f>
        <v/>
      </c>
      <c r="H587" s="2" t="str">
        <f>_xlfn.XLOOKUP(Orders[[#This Row],[Customer ID]],customers!$A$1:$A$1001,customers!$G$1:$G$1001,,0)</f>
        <v>United Kingdom</v>
      </c>
      <c r="I587" s="2" t="str">
        <f>_xlfn.XLOOKUP(Orders[[#This Row],[Customer ID]],customers!$A$1:$A$1001,customers!$F$1:$F$1001,,0)</f>
        <v>Upton</v>
      </c>
      <c r="J587" t="str">
        <f>INDEX(products!$A$1:$G$49,MATCH(orders!$D587,products!$A$1:$A$49,0),MATCH(orders!J$1,products!$A$1:$G$1,0))</f>
        <v>Exc</v>
      </c>
      <c r="K587" t="str">
        <f>INDEX(products!$A$1:$G$49,MATCH(orders!$D587,products!$A$1:$A$49,0),MATCH(orders!K$1,products!$A$1:$G$1,0))</f>
        <v>M</v>
      </c>
      <c r="L587" s="4">
        <f>INDEX(products!$A$1:$G$49,MATCH(orders!$D587,products!$A$1:$A$49,0),MATCH(orders!L$1,products!$A$1:$G$1,0))</f>
        <v>0.5</v>
      </c>
      <c r="M587" s="5">
        <f>INDEX(products!$A$1:$G$49,MATCH(orders!$D587,products!$A$1:$A$49,0),MATCH(orders!M$1,products!$A$1:$G$1,0))</f>
        <v>8.25</v>
      </c>
      <c r="N587" s="5">
        <f>Orders[[#This Row],[Quantity]]*(INDEX(products!$A$1:$G$49,MATCH(orders!$D587,products!$A$1:$A$49,0),MATCH(orders!N$1,products!$A$1:$G$1,0)))</f>
        <v>1.8149999999999999</v>
      </c>
      <c r="O587" s="5">
        <f>M587*E587</f>
        <v>16.5</v>
      </c>
      <c r="P587" t="str">
        <f t="shared" si="18"/>
        <v>Excelsa</v>
      </c>
      <c r="Q587" t="str">
        <f t="shared" si="19"/>
        <v>Medium</v>
      </c>
      <c r="R587" t="str">
        <f>_xlfn.XLOOKUP(Orders[[#This Row],[Customer ID]],customers!$A$1:$A$1001,customers!$I$1:$I$1001,,0)</f>
        <v>Yes</v>
      </c>
    </row>
    <row r="588" spans="1:18" x14ac:dyDescent="0.35">
      <c r="A588" s="2" t="s">
        <v>3802</v>
      </c>
      <c r="B588" s="3">
        <v>43867</v>
      </c>
      <c r="C588" s="2" t="s">
        <v>3803</v>
      </c>
      <c r="D588" t="s">
        <v>6142</v>
      </c>
      <c r="E588" s="2">
        <v>3</v>
      </c>
      <c r="F588" s="2" t="str">
        <f>_xlfn.XLOOKUP(Orders[[#This Row],[Customer ID]],customers!$A$1:$A$1001,customers!$B$1:$B$1001,,0)</f>
        <v>Zilvia Claisse</v>
      </c>
      <c r="G588" s="2" t="str">
        <f>IF(_xlfn.XLOOKUP(C588,customers!$A$1:$A$1001,customers!C587:C1587,,0)=0,"",_xlfn.XLOOKUP(C588,customers!$A$1:$A$1001,customers!C587:C1587,,0))</f>
        <v/>
      </c>
      <c r="H588" s="2" t="str">
        <f>_xlfn.XLOOKUP(Orders[[#This Row],[Customer ID]],customers!$A$1:$A$1001,customers!$G$1:$G$1001,,0)</f>
        <v>United States</v>
      </c>
      <c r="I588" s="2" t="str">
        <f>_xlfn.XLOOKUP(Orders[[#This Row],[Customer ID]],customers!$A$1:$A$1001,customers!$F$1:$F$1001,,0)</f>
        <v>Saint Paul</v>
      </c>
      <c r="J588" t="str">
        <f>INDEX(products!$A$1:$G$49,MATCH(orders!$D588,products!$A$1:$A$49,0),MATCH(orders!J$1,products!$A$1:$G$1,0))</f>
        <v>Rob</v>
      </c>
      <c r="K588" t="str">
        <f>INDEX(products!$A$1:$G$49,MATCH(orders!$D588,products!$A$1:$A$49,0),MATCH(orders!K$1,products!$A$1:$G$1,0))</f>
        <v>L</v>
      </c>
      <c r="L588" s="4">
        <f>INDEX(products!$A$1:$G$49,MATCH(orders!$D588,products!$A$1:$A$49,0),MATCH(orders!L$1,products!$A$1:$G$1,0))</f>
        <v>2.5</v>
      </c>
      <c r="M588" s="5">
        <f>INDEX(products!$A$1:$G$49,MATCH(orders!$D588,products!$A$1:$A$49,0),MATCH(orders!M$1,products!$A$1:$G$1,0))</f>
        <v>27.484999999999996</v>
      </c>
      <c r="N588" s="5">
        <f>Orders[[#This Row],[Quantity]]*(INDEX(products!$A$1:$G$49,MATCH(orders!$D588,products!$A$1:$A$49,0),MATCH(orders!N$1,products!$A$1:$G$1,0)))</f>
        <v>4.9472999999999994</v>
      </c>
      <c r="O588" s="5">
        <f>M588*E588</f>
        <v>82.454999999999984</v>
      </c>
      <c r="P588" t="str">
        <f t="shared" si="18"/>
        <v>Robusta</v>
      </c>
      <c r="Q588" t="str">
        <f t="shared" si="19"/>
        <v>Light</v>
      </c>
      <c r="R588" t="str">
        <f>_xlfn.XLOOKUP(Orders[[#This Row],[Customer ID]],customers!$A$1:$A$1001,customers!$I$1:$I$1001,,0)</f>
        <v>No</v>
      </c>
    </row>
    <row r="589" spans="1:18" x14ac:dyDescent="0.35">
      <c r="A589" s="2" t="s">
        <v>3807</v>
      </c>
      <c r="B589" s="3">
        <v>44267</v>
      </c>
      <c r="C589" s="2" t="s">
        <v>3808</v>
      </c>
      <c r="D589" t="s">
        <v>6169</v>
      </c>
      <c r="E589" s="2">
        <v>1</v>
      </c>
      <c r="F589" s="2" t="str">
        <f>_xlfn.XLOOKUP(Orders[[#This Row],[Customer ID]],customers!$A$1:$A$1001,customers!$B$1:$B$1001,,0)</f>
        <v>Bar O' Mahony</v>
      </c>
      <c r="G589" s="2" t="str">
        <f>IF(_xlfn.XLOOKUP(C589,customers!$A$1:$A$1001,customers!C588:C1588,,0)=0,"",_xlfn.XLOOKUP(C589,customers!$A$1:$A$1001,customers!C588:C1588,,0))</f>
        <v/>
      </c>
      <c r="H589" s="2" t="str">
        <f>_xlfn.XLOOKUP(Orders[[#This Row],[Customer ID]],customers!$A$1:$A$1001,customers!$G$1:$G$1001,,0)</f>
        <v>United States</v>
      </c>
      <c r="I589" s="2" t="str">
        <f>_xlfn.XLOOKUP(Orders[[#This Row],[Customer ID]],customers!$A$1:$A$1001,customers!$F$1:$F$1001,,0)</f>
        <v>Huntsville</v>
      </c>
      <c r="J589" t="str">
        <f>INDEX(products!$A$1:$G$49,MATCH(orders!$D589,products!$A$1:$A$49,0),MATCH(orders!J$1,products!$A$1:$G$1,0))</f>
        <v>Lib</v>
      </c>
      <c r="K589" t="str">
        <f>INDEX(products!$A$1:$G$49,MATCH(orders!$D589,products!$A$1:$A$49,0),MATCH(orders!K$1,products!$A$1:$G$1,0))</f>
        <v>D</v>
      </c>
      <c r="L589" s="4">
        <f>INDEX(products!$A$1:$G$49,MATCH(orders!$D589,products!$A$1:$A$49,0),MATCH(orders!L$1,products!$A$1:$G$1,0))</f>
        <v>0.5</v>
      </c>
      <c r="M589" s="5">
        <f>INDEX(products!$A$1:$G$49,MATCH(orders!$D589,products!$A$1:$A$49,0),MATCH(orders!M$1,products!$A$1:$G$1,0))</f>
        <v>7.77</v>
      </c>
      <c r="N589" s="5">
        <f>Orders[[#This Row],[Quantity]]*(INDEX(products!$A$1:$G$49,MATCH(orders!$D589,products!$A$1:$A$49,0),MATCH(orders!N$1,products!$A$1:$G$1,0)))</f>
        <v>1.0101</v>
      </c>
      <c r="O589" s="5">
        <f>M589*E589</f>
        <v>7.77</v>
      </c>
      <c r="P589" t="str">
        <f t="shared" si="18"/>
        <v>Liberica</v>
      </c>
      <c r="Q589" t="str">
        <f t="shared" si="19"/>
        <v>Dark</v>
      </c>
      <c r="R589" t="str">
        <f>_xlfn.XLOOKUP(Orders[[#This Row],[Customer ID]],customers!$A$1:$A$1001,customers!$I$1:$I$1001,,0)</f>
        <v>Yes</v>
      </c>
    </row>
    <row r="590" spans="1:18" x14ac:dyDescent="0.35">
      <c r="A590" s="2" t="s">
        <v>3812</v>
      </c>
      <c r="B590" s="3">
        <v>44046</v>
      </c>
      <c r="C590" s="2" t="s">
        <v>3813</v>
      </c>
      <c r="D590" t="s">
        <v>6146</v>
      </c>
      <c r="E590" s="2">
        <v>2</v>
      </c>
      <c r="F590" s="2" t="str">
        <f>_xlfn.XLOOKUP(Orders[[#This Row],[Customer ID]],customers!$A$1:$A$1001,customers!$B$1:$B$1001,,0)</f>
        <v>Valenka Stansbury</v>
      </c>
      <c r="G590" s="2" t="str">
        <f>IF(_xlfn.XLOOKUP(C590,customers!$A$1:$A$1001,customers!C589:C1589,,0)=0,"",_xlfn.XLOOKUP(C590,customers!$A$1:$A$1001,customers!C589:C1589,,0))</f>
        <v/>
      </c>
      <c r="H590" s="2" t="str">
        <f>_xlfn.XLOOKUP(Orders[[#This Row],[Customer ID]],customers!$A$1:$A$1001,customers!$G$1:$G$1001,,0)</f>
        <v>United States</v>
      </c>
      <c r="I590" s="2" t="str">
        <f>_xlfn.XLOOKUP(Orders[[#This Row],[Customer ID]],customers!$A$1:$A$1001,customers!$F$1:$F$1001,,0)</f>
        <v>El Paso</v>
      </c>
      <c r="J590" t="str">
        <f>INDEX(products!$A$1:$G$49,MATCH(orders!$D590,products!$A$1:$A$49,0),MATCH(orders!J$1,products!$A$1:$G$1,0))</f>
        <v>Rob</v>
      </c>
      <c r="K590" t="str">
        <f>INDEX(products!$A$1:$G$49,MATCH(orders!$D590,products!$A$1:$A$49,0),MATCH(orders!K$1,products!$A$1:$G$1,0))</f>
        <v>M</v>
      </c>
      <c r="L590" s="4">
        <f>INDEX(products!$A$1:$G$49,MATCH(orders!$D590,products!$A$1:$A$49,0),MATCH(orders!L$1,products!$A$1:$G$1,0))</f>
        <v>0.5</v>
      </c>
      <c r="M590" s="5">
        <f>INDEX(products!$A$1:$G$49,MATCH(orders!$D590,products!$A$1:$A$49,0),MATCH(orders!M$1,products!$A$1:$G$1,0))</f>
        <v>5.97</v>
      </c>
      <c r="N590" s="5">
        <f>Orders[[#This Row],[Quantity]]*(INDEX(products!$A$1:$G$49,MATCH(orders!$D590,products!$A$1:$A$49,0),MATCH(orders!N$1,products!$A$1:$G$1,0)))</f>
        <v>0.71639999999999993</v>
      </c>
      <c r="O590" s="5">
        <f>M590*E590</f>
        <v>11.94</v>
      </c>
      <c r="P590" t="str">
        <f t="shared" si="18"/>
        <v>Robusta</v>
      </c>
      <c r="Q590" t="str">
        <f t="shared" si="19"/>
        <v>Medium</v>
      </c>
      <c r="R590" t="str">
        <f>_xlfn.XLOOKUP(Orders[[#This Row],[Customer ID]],customers!$A$1:$A$1001,customers!$I$1:$I$1001,,0)</f>
        <v>Yes</v>
      </c>
    </row>
    <row r="591" spans="1:18" x14ac:dyDescent="0.35">
      <c r="A591" s="2" t="s">
        <v>3818</v>
      </c>
      <c r="B591" s="3">
        <v>43671</v>
      </c>
      <c r="C591" s="2" t="s">
        <v>3819</v>
      </c>
      <c r="D591" t="s">
        <v>6148</v>
      </c>
      <c r="E591" s="2">
        <v>6</v>
      </c>
      <c r="F591" s="2" t="str">
        <f>_xlfn.XLOOKUP(Orders[[#This Row],[Customer ID]],customers!$A$1:$A$1001,customers!$B$1:$B$1001,,0)</f>
        <v>Daniel Heinonen</v>
      </c>
      <c r="G591" s="2" t="str">
        <f>IF(_xlfn.XLOOKUP(C591,customers!$A$1:$A$1001,customers!C590:C1590,,0)=0,"",_xlfn.XLOOKUP(C591,customers!$A$1:$A$1001,customers!C590:C1590,,0))</f>
        <v/>
      </c>
      <c r="H591" s="2" t="str">
        <f>_xlfn.XLOOKUP(Orders[[#This Row],[Customer ID]],customers!$A$1:$A$1001,customers!$G$1:$G$1001,,0)</f>
        <v>United States</v>
      </c>
      <c r="I591" s="2" t="str">
        <f>_xlfn.XLOOKUP(Orders[[#This Row],[Customer ID]],customers!$A$1:$A$1001,customers!$F$1:$F$1001,,0)</f>
        <v>Decatur</v>
      </c>
      <c r="J591" t="str">
        <f>INDEX(products!$A$1:$G$49,MATCH(orders!$D591,products!$A$1:$A$49,0),MATCH(orders!J$1,products!$A$1:$G$1,0))</f>
        <v>Exc</v>
      </c>
      <c r="K591" t="str">
        <f>INDEX(products!$A$1:$G$49,MATCH(orders!$D591,products!$A$1:$A$49,0),MATCH(orders!K$1,products!$A$1:$G$1,0))</f>
        <v>L</v>
      </c>
      <c r="L591" s="4">
        <f>INDEX(products!$A$1:$G$49,MATCH(orders!$D591,products!$A$1:$A$49,0),MATCH(orders!L$1,products!$A$1:$G$1,0))</f>
        <v>2.5</v>
      </c>
      <c r="M591" s="5">
        <f>INDEX(products!$A$1:$G$49,MATCH(orders!$D591,products!$A$1:$A$49,0),MATCH(orders!M$1,products!$A$1:$G$1,0))</f>
        <v>34.154999999999994</v>
      </c>
      <c r="N591" s="5">
        <f>Orders[[#This Row],[Quantity]]*(INDEX(products!$A$1:$G$49,MATCH(orders!$D591,products!$A$1:$A$49,0),MATCH(orders!N$1,products!$A$1:$G$1,0)))</f>
        <v>22.542299999999997</v>
      </c>
      <c r="O591" s="5">
        <f>M591*E591</f>
        <v>204.92999999999995</v>
      </c>
      <c r="P591" t="str">
        <f t="shared" si="18"/>
        <v>Excelsa</v>
      </c>
      <c r="Q591" t="str">
        <f t="shared" si="19"/>
        <v>Light</v>
      </c>
      <c r="R591" t="str">
        <f>_xlfn.XLOOKUP(Orders[[#This Row],[Customer ID]],customers!$A$1:$A$1001,customers!$I$1:$I$1001,,0)</f>
        <v>No</v>
      </c>
    </row>
    <row r="592" spans="1:18" x14ac:dyDescent="0.35">
      <c r="A592" s="2" t="s">
        <v>3823</v>
      </c>
      <c r="B592" s="3">
        <v>43950</v>
      </c>
      <c r="C592" s="2" t="s">
        <v>3824</v>
      </c>
      <c r="D592" t="s">
        <v>6166</v>
      </c>
      <c r="E592" s="2">
        <v>2</v>
      </c>
      <c r="F592" s="2" t="str">
        <f>_xlfn.XLOOKUP(Orders[[#This Row],[Customer ID]],customers!$A$1:$A$1001,customers!$B$1:$B$1001,,0)</f>
        <v>Jewelle Shenton</v>
      </c>
      <c r="G592" s="2" t="str">
        <f>IF(_xlfn.XLOOKUP(C592,customers!$A$1:$A$1001,customers!C591:C1591,,0)=0,"",_xlfn.XLOOKUP(C592,customers!$A$1:$A$1001,customers!C591:C1591,,0))</f>
        <v/>
      </c>
      <c r="H592" s="2" t="str">
        <f>_xlfn.XLOOKUP(Orders[[#This Row],[Customer ID]],customers!$A$1:$A$1001,customers!$G$1:$G$1001,,0)</f>
        <v>United States</v>
      </c>
      <c r="I592" s="2" t="str">
        <f>_xlfn.XLOOKUP(Orders[[#This Row],[Customer ID]],customers!$A$1:$A$1001,customers!$F$1:$F$1001,,0)</f>
        <v>Orange</v>
      </c>
      <c r="J592" t="str">
        <f>INDEX(products!$A$1:$G$49,MATCH(orders!$D592,products!$A$1:$A$49,0),MATCH(orders!J$1,products!$A$1:$G$1,0))</f>
        <v>Exc</v>
      </c>
      <c r="K592" t="str">
        <f>INDEX(products!$A$1:$G$49,MATCH(orders!$D592,products!$A$1:$A$49,0),MATCH(orders!K$1,products!$A$1:$G$1,0))</f>
        <v>M</v>
      </c>
      <c r="L592" s="4">
        <f>INDEX(products!$A$1:$G$49,MATCH(orders!$D592,products!$A$1:$A$49,0),MATCH(orders!L$1,products!$A$1:$G$1,0))</f>
        <v>2.5</v>
      </c>
      <c r="M592" s="5">
        <f>INDEX(products!$A$1:$G$49,MATCH(orders!$D592,products!$A$1:$A$49,0),MATCH(orders!M$1,products!$A$1:$G$1,0))</f>
        <v>31.624999999999996</v>
      </c>
      <c r="N592" s="5">
        <f>Orders[[#This Row],[Quantity]]*(INDEX(products!$A$1:$G$49,MATCH(orders!$D592,products!$A$1:$A$49,0),MATCH(orders!N$1,products!$A$1:$G$1,0)))</f>
        <v>6.9574999999999996</v>
      </c>
      <c r="O592" s="5">
        <f>M592*E592</f>
        <v>63.249999999999993</v>
      </c>
      <c r="P592" t="str">
        <f t="shared" si="18"/>
        <v>Excelsa</v>
      </c>
      <c r="Q592" t="str">
        <f t="shared" si="19"/>
        <v>Medium</v>
      </c>
      <c r="R592" t="str">
        <f>_xlfn.XLOOKUP(Orders[[#This Row],[Customer ID]],customers!$A$1:$A$1001,customers!$I$1:$I$1001,,0)</f>
        <v>Yes</v>
      </c>
    </row>
    <row r="593" spans="1:18" x14ac:dyDescent="0.35">
      <c r="A593" s="2" t="s">
        <v>3829</v>
      </c>
      <c r="B593" s="3">
        <v>43587</v>
      </c>
      <c r="C593" s="2" t="s">
        <v>3830</v>
      </c>
      <c r="D593" t="s">
        <v>6163</v>
      </c>
      <c r="E593" s="2">
        <v>3</v>
      </c>
      <c r="F593" s="2" t="str">
        <f>_xlfn.XLOOKUP(Orders[[#This Row],[Customer ID]],customers!$A$1:$A$1001,customers!$B$1:$B$1001,,0)</f>
        <v>Jennifer Wilkisson</v>
      </c>
      <c r="G593" s="2" t="str">
        <f>IF(_xlfn.XLOOKUP(C593,customers!$A$1:$A$1001,customers!C592:C1592,,0)=0,"",_xlfn.XLOOKUP(C593,customers!$A$1:$A$1001,customers!C592:C1592,,0))</f>
        <v/>
      </c>
      <c r="H593" s="2" t="str">
        <f>_xlfn.XLOOKUP(Orders[[#This Row],[Customer ID]],customers!$A$1:$A$1001,customers!$G$1:$G$1001,,0)</f>
        <v>United States</v>
      </c>
      <c r="I593" s="2" t="str">
        <f>_xlfn.XLOOKUP(Orders[[#This Row],[Customer ID]],customers!$A$1:$A$1001,customers!$F$1:$F$1001,,0)</f>
        <v>Huntington Beach</v>
      </c>
      <c r="J593" t="str">
        <f>INDEX(products!$A$1:$G$49,MATCH(orders!$D593,products!$A$1:$A$49,0),MATCH(orders!J$1,products!$A$1:$G$1,0))</f>
        <v>Rob</v>
      </c>
      <c r="K593" t="str">
        <f>INDEX(products!$A$1:$G$49,MATCH(orders!$D593,products!$A$1:$A$49,0),MATCH(orders!K$1,products!$A$1:$G$1,0))</f>
        <v>D</v>
      </c>
      <c r="L593" s="4">
        <f>INDEX(products!$A$1:$G$49,MATCH(orders!$D593,products!$A$1:$A$49,0),MATCH(orders!L$1,products!$A$1:$G$1,0))</f>
        <v>0.2</v>
      </c>
      <c r="M593" s="5">
        <f>INDEX(products!$A$1:$G$49,MATCH(orders!$D593,products!$A$1:$A$49,0),MATCH(orders!M$1,products!$A$1:$G$1,0))</f>
        <v>2.6849999999999996</v>
      </c>
      <c r="N593" s="5">
        <f>Orders[[#This Row],[Quantity]]*(INDEX(products!$A$1:$G$49,MATCH(orders!$D593,products!$A$1:$A$49,0),MATCH(orders!N$1,products!$A$1:$G$1,0)))</f>
        <v>0.4832999999999999</v>
      </c>
      <c r="O593" s="5">
        <f>M593*E593</f>
        <v>8.0549999999999997</v>
      </c>
      <c r="P593" t="str">
        <f t="shared" si="18"/>
        <v>Robusta</v>
      </c>
      <c r="Q593" t="str">
        <f t="shared" si="19"/>
        <v>Dark</v>
      </c>
      <c r="R593" t="str">
        <f>_xlfn.XLOOKUP(Orders[[#This Row],[Customer ID]],customers!$A$1:$A$1001,customers!$I$1:$I$1001,,0)</f>
        <v>Yes</v>
      </c>
    </row>
    <row r="594" spans="1:18" x14ac:dyDescent="0.35">
      <c r="A594" s="2" t="s">
        <v>3834</v>
      </c>
      <c r="B594" s="3">
        <v>44437</v>
      </c>
      <c r="C594" s="2" t="s">
        <v>3835</v>
      </c>
      <c r="D594" t="s">
        <v>6175</v>
      </c>
      <c r="E594" s="2">
        <v>2</v>
      </c>
      <c r="F594" s="2" t="str">
        <f>_xlfn.XLOOKUP(Orders[[#This Row],[Customer ID]],customers!$A$1:$A$1001,customers!$B$1:$B$1001,,0)</f>
        <v>Kylie Mowat</v>
      </c>
      <c r="G594" s="2" t="str">
        <f>IF(_xlfn.XLOOKUP(C594,customers!$A$1:$A$1001,customers!C593:C1593,,0)=0,"",_xlfn.XLOOKUP(C594,customers!$A$1:$A$1001,customers!C593:C1593,,0))</f>
        <v/>
      </c>
      <c r="H594" s="2" t="str">
        <f>_xlfn.XLOOKUP(Orders[[#This Row],[Customer ID]],customers!$A$1:$A$1001,customers!$G$1:$G$1001,,0)</f>
        <v>United States</v>
      </c>
      <c r="I594" s="2" t="str">
        <f>_xlfn.XLOOKUP(Orders[[#This Row],[Customer ID]],customers!$A$1:$A$1001,customers!$F$1:$F$1001,,0)</f>
        <v>Milwaukee</v>
      </c>
      <c r="J594" t="str">
        <f>INDEX(products!$A$1:$G$49,MATCH(orders!$D594,products!$A$1:$A$49,0),MATCH(orders!J$1,products!$A$1:$G$1,0))</f>
        <v>Ara</v>
      </c>
      <c r="K594" t="str">
        <f>INDEX(products!$A$1:$G$49,MATCH(orders!$D594,products!$A$1:$A$49,0),MATCH(orders!K$1,products!$A$1:$G$1,0))</f>
        <v>M</v>
      </c>
      <c r="L594" s="4">
        <f>INDEX(products!$A$1:$G$49,MATCH(orders!$D594,products!$A$1:$A$49,0),MATCH(orders!L$1,products!$A$1:$G$1,0))</f>
        <v>2.5</v>
      </c>
      <c r="M594" s="5">
        <f>INDEX(products!$A$1:$G$49,MATCH(orders!$D594,products!$A$1:$A$49,0),MATCH(orders!M$1,products!$A$1:$G$1,0))</f>
        <v>25.874999999999996</v>
      </c>
      <c r="N594" s="5">
        <f>Orders[[#This Row],[Quantity]]*(INDEX(products!$A$1:$G$49,MATCH(orders!$D594,products!$A$1:$A$49,0),MATCH(orders!N$1,products!$A$1:$G$1,0)))</f>
        <v>4.6574999999999989</v>
      </c>
      <c r="O594" s="5">
        <f>M594*E594</f>
        <v>51.749999999999993</v>
      </c>
      <c r="P594" t="str">
        <f t="shared" si="18"/>
        <v>Arabica</v>
      </c>
      <c r="Q594" t="str">
        <f t="shared" si="19"/>
        <v>Medium</v>
      </c>
      <c r="R594" t="str">
        <f>_xlfn.XLOOKUP(Orders[[#This Row],[Customer ID]],customers!$A$1:$A$1001,customers!$I$1:$I$1001,,0)</f>
        <v>No</v>
      </c>
    </row>
    <row r="595" spans="1:18" x14ac:dyDescent="0.35">
      <c r="A595" s="2" t="s">
        <v>3839</v>
      </c>
      <c r="B595" s="3">
        <v>43903</v>
      </c>
      <c r="C595" s="2" t="s">
        <v>3840</v>
      </c>
      <c r="D595" t="s">
        <v>6185</v>
      </c>
      <c r="E595" s="2">
        <v>1</v>
      </c>
      <c r="F595" s="2" t="str">
        <f>_xlfn.XLOOKUP(Orders[[#This Row],[Customer ID]],customers!$A$1:$A$1001,customers!$B$1:$B$1001,,0)</f>
        <v>Cody Verissimo</v>
      </c>
      <c r="G595" s="2" t="str">
        <f>IF(_xlfn.XLOOKUP(C595,customers!$A$1:$A$1001,customers!C594:C1594,,0)=0,"",_xlfn.XLOOKUP(C595,customers!$A$1:$A$1001,customers!C594:C1594,,0))</f>
        <v/>
      </c>
      <c r="H595" s="2" t="str">
        <f>_xlfn.XLOOKUP(Orders[[#This Row],[Customer ID]],customers!$A$1:$A$1001,customers!$G$1:$G$1001,,0)</f>
        <v>United Kingdom</v>
      </c>
      <c r="I595" s="2" t="str">
        <f>_xlfn.XLOOKUP(Orders[[#This Row],[Customer ID]],customers!$A$1:$A$1001,customers!$F$1:$F$1001,,0)</f>
        <v>Upton</v>
      </c>
      <c r="J595" t="str">
        <f>INDEX(products!$A$1:$G$49,MATCH(orders!$D595,products!$A$1:$A$49,0),MATCH(orders!J$1,products!$A$1:$G$1,0))</f>
        <v>Exc</v>
      </c>
      <c r="K595" t="str">
        <f>INDEX(products!$A$1:$G$49,MATCH(orders!$D595,products!$A$1:$A$49,0),MATCH(orders!K$1,products!$A$1:$G$1,0))</f>
        <v>D</v>
      </c>
      <c r="L595" s="4">
        <f>INDEX(products!$A$1:$G$49,MATCH(orders!$D595,products!$A$1:$A$49,0),MATCH(orders!L$1,products!$A$1:$G$1,0))</f>
        <v>2.5</v>
      </c>
      <c r="M595" s="5">
        <f>INDEX(products!$A$1:$G$49,MATCH(orders!$D595,products!$A$1:$A$49,0),MATCH(orders!M$1,products!$A$1:$G$1,0))</f>
        <v>27.945</v>
      </c>
      <c r="N595" s="5">
        <f>Orders[[#This Row],[Quantity]]*(INDEX(products!$A$1:$G$49,MATCH(orders!$D595,products!$A$1:$A$49,0),MATCH(orders!N$1,products!$A$1:$G$1,0)))</f>
        <v>3.07395</v>
      </c>
      <c r="O595" s="5">
        <f>M595*E595</f>
        <v>27.945</v>
      </c>
      <c r="P595" t="str">
        <f t="shared" si="18"/>
        <v>Excelsa</v>
      </c>
      <c r="Q595" t="str">
        <f t="shared" si="19"/>
        <v>Dark</v>
      </c>
      <c r="R595" t="str">
        <f>_xlfn.XLOOKUP(Orders[[#This Row],[Customer ID]],customers!$A$1:$A$1001,customers!$I$1:$I$1001,,0)</f>
        <v>Yes</v>
      </c>
    </row>
    <row r="596" spans="1:18" x14ac:dyDescent="0.35">
      <c r="A596" s="2" t="s">
        <v>3844</v>
      </c>
      <c r="B596" s="3">
        <v>43512</v>
      </c>
      <c r="C596" s="2" t="s">
        <v>3845</v>
      </c>
      <c r="D596" t="s">
        <v>6182</v>
      </c>
      <c r="E596" s="2">
        <v>2</v>
      </c>
      <c r="F596" s="2" t="str">
        <f>_xlfn.XLOOKUP(Orders[[#This Row],[Customer ID]],customers!$A$1:$A$1001,customers!$B$1:$B$1001,,0)</f>
        <v>Gabriel Starcks</v>
      </c>
      <c r="G596" s="2" t="str">
        <f>IF(_xlfn.XLOOKUP(C596,customers!$A$1:$A$1001,customers!C595:C1595,,0)=0,"",_xlfn.XLOOKUP(C596,customers!$A$1:$A$1001,customers!C595:C1595,,0))</f>
        <v/>
      </c>
      <c r="H596" s="2" t="str">
        <f>_xlfn.XLOOKUP(Orders[[#This Row],[Customer ID]],customers!$A$1:$A$1001,customers!$G$1:$G$1001,,0)</f>
        <v>United States</v>
      </c>
      <c r="I596" s="2" t="str">
        <f>_xlfn.XLOOKUP(Orders[[#This Row],[Customer ID]],customers!$A$1:$A$1001,customers!$F$1:$F$1001,,0)</f>
        <v>Chattanooga</v>
      </c>
      <c r="J596" t="str">
        <f>INDEX(products!$A$1:$G$49,MATCH(orders!$D596,products!$A$1:$A$49,0),MATCH(orders!J$1,products!$A$1:$G$1,0))</f>
        <v>Ara</v>
      </c>
      <c r="K596" t="str">
        <f>INDEX(products!$A$1:$G$49,MATCH(orders!$D596,products!$A$1:$A$49,0),MATCH(orders!K$1,products!$A$1:$G$1,0))</f>
        <v>L</v>
      </c>
      <c r="L596" s="4">
        <f>INDEX(products!$A$1:$G$49,MATCH(orders!$D596,products!$A$1:$A$49,0),MATCH(orders!L$1,products!$A$1:$G$1,0))</f>
        <v>2.5</v>
      </c>
      <c r="M596" s="5">
        <f>INDEX(products!$A$1:$G$49,MATCH(orders!$D596,products!$A$1:$A$49,0),MATCH(orders!M$1,products!$A$1:$G$1,0))</f>
        <v>29.784999999999997</v>
      </c>
      <c r="N596" s="5">
        <f>Orders[[#This Row],[Quantity]]*(INDEX(products!$A$1:$G$49,MATCH(orders!$D596,products!$A$1:$A$49,0),MATCH(orders!N$1,products!$A$1:$G$1,0)))</f>
        <v>5.3612999999999991</v>
      </c>
      <c r="O596" s="5">
        <f>M596*E596</f>
        <v>59.569999999999993</v>
      </c>
      <c r="P596" t="str">
        <f t="shared" si="18"/>
        <v>Arabica</v>
      </c>
      <c r="Q596" t="str">
        <f t="shared" si="19"/>
        <v>Light</v>
      </c>
      <c r="R596" t="str">
        <f>_xlfn.XLOOKUP(Orders[[#This Row],[Customer ID]],customers!$A$1:$A$1001,customers!$I$1:$I$1001,,0)</f>
        <v>No</v>
      </c>
    </row>
    <row r="597" spans="1:18" x14ac:dyDescent="0.35">
      <c r="A597" s="2" t="s">
        <v>3850</v>
      </c>
      <c r="B597" s="3">
        <v>44527</v>
      </c>
      <c r="C597" s="2" t="s">
        <v>3851</v>
      </c>
      <c r="D597" t="s">
        <v>6171</v>
      </c>
      <c r="E597" s="2">
        <v>1</v>
      </c>
      <c r="F597" s="2" t="str">
        <f>_xlfn.XLOOKUP(Orders[[#This Row],[Customer ID]],customers!$A$1:$A$1001,customers!$B$1:$B$1001,,0)</f>
        <v>Darby Dummer</v>
      </c>
      <c r="G597" s="2" t="str">
        <f>IF(_xlfn.XLOOKUP(C597,customers!$A$1:$A$1001,customers!C596:C1596,,0)=0,"",_xlfn.XLOOKUP(C597,customers!$A$1:$A$1001,customers!C596:C1596,,0))</f>
        <v/>
      </c>
      <c r="H597" s="2" t="str">
        <f>_xlfn.XLOOKUP(Orders[[#This Row],[Customer ID]],customers!$A$1:$A$1001,customers!$G$1:$G$1001,,0)</f>
        <v>United Kingdom</v>
      </c>
      <c r="I597" s="2" t="str">
        <f>_xlfn.XLOOKUP(Orders[[#This Row],[Customer ID]],customers!$A$1:$A$1001,customers!$F$1:$F$1001,,0)</f>
        <v>Manchester</v>
      </c>
      <c r="J597" t="str">
        <f>INDEX(products!$A$1:$G$49,MATCH(orders!$D597,products!$A$1:$A$49,0),MATCH(orders!J$1,products!$A$1:$G$1,0))</f>
        <v>Exc</v>
      </c>
      <c r="K597" t="str">
        <f>INDEX(products!$A$1:$G$49,MATCH(orders!$D597,products!$A$1:$A$49,0),MATCH(orders!K$1,products!$A$1:$G$1,0))</f>
        <v>L</v>
      </c>
      <c r="L597" s="4">
        <f>INDEX(products!$A$1:$G$49,MATCH(orders!$D597,products!$A$1:$A$49,0),MATCH(orders!L$1,products!$A$1:$G$1,0))</f>
        <v>1</v>
      </c>
      <c r="M597" s="5">
        <f>INDEX(products!$A$1:$G$49,MATCH(orders!$D597,products!$A$1:$A$49,0),MATCH(orders!M$1,products!$A$1:$G$1,0))</f>
        <v>14.85</v>
      </c>
      <c r="N597" s="5">
        <f>Orders[[#This Row],[Quantity]]*(INDEX(products!$A$1:$G$49,MATCH(orders!$D597,products!$A$1:$A$49,0),MATCH(orders!N$1,products!$A$1:$G$1,0)))</f>
        <v>1.6335</v>
      </c>
      <c r="O597" s="5">
        <f>M597*E597</f>
        <v>14.85</v>
      </c>
      <c r="P597" t="str">
        <f t="shared" si="18"/>
        <v>Excelsa</v>
      </c>
      <c r="Q597" t="str">
        <f t="shared" si="19"/>
        <v>Light</v>
      </c>
      <c r="R597" t="str">
        <f>_xlfn.XLOOKUP(Orders[[#This Row],[Customer ID]],customers!$A$1:$A$1001,customers!$I$1:$I$1001,,0)</f>
        <v>No</v>
      </c>
    </row>
    <row r="598" spans="1:18" x14ac:dyDescent="0.35">
      <c r="A598" s="2" t="s">
        <v>3854</v>
      </c>
      <c r="B598" s="3">
        <v>44523</v>
      </c>
      <c r="C598" s="2" t="s">
        <v>3855</v>
      </c>
      <c r="D598" t="s">
        <v>6157</v>
      </c>
      <c r="E598" s="2">
        <v>5</v>
      </c>
      <c r="F598" s="2" t="str">
        <f>_xlfn.XLOOKUP(Orders[[#This Row],[Customer ID]],customers!$A$1:$A$1001,customers!$B$1:$B$1001,,0)</f>
        <v>Kienan Scholard</v>
      </c>
      <c r="G598" s="2" t="str">
        <f>IF(_xlfn.XLOOKUP(C598,customers!$A$1:$A$1001,customers!C597:C1597,,0)=0,"",_xlfn.XLOOKUP(C598,customers!$A$1:$A$1001,customers!C597:C1597,,0))</f>
        <v/>
      </c>
      <c r="H598" s="2" t="str">
        <f>_xlfn.XLOOKUP(Orders[[#This Row],[Customer ID]],customers!$A$1:$A$1001,customers!$G$1:$G$1001,,0)</f>
        <v>United States</v>
      </c>
      <c r="I598" s="2" t="str">
        <f>_xlfn.XLOOKUP(Orders[[#This Row],[Customer ID]],customers!$A$1:$A$1001,customers!$F$1:$F$1001,,0)</f>
        <v>Columbus</v>
      </c>
      <c r="J598" t="str">
        <f>INDEX(products!$A$1:$G$49,MATCH(orders!$D598,products!$A$1:$A$49,0),MATCH(orders!J$1,products!$A$1:$G$1,0))</f>
        <v>Ara</v>
      </c>
      <c r="K598" t="str">
        <f>INDEX(products!$A$1:$G$49,MATCH(orders!$D598,products!$A$1:$A$49,0),MATCH(orders!K$1,products!$A$1:$G$1,0))</f>
        <v>M</v>
      </c>
      <c r="L598" s="4">
        <f>INDEX(products!$A$1:$G$49,MATCH(orders!$D598,products!$A$1:$A$49,0),MATCH(orders!L$1,products!$A$1:$G$1,0))</f>
        <v>0.5</v>
      </c>
      <c r="M598" s="5">
        <f>INDEX(products!$A$1:$G$49,MATCH(orders!$D598,products!$A$1:$A$49,0),MATCH(orders!M$1,products!$A$1:$G$1,0))</f>
        <v>6.75</v>
      </c>
      <c r="N598" s="5">
        <f>Orders[[#This Row],[Quantity]]*(INDEX(products!$A$1:$G$49,MATCH(orders!$D598,products!$A$1:$A$49,0),MATCH(orders!N$1,products!$A$1:$G$1,0)))</f>
        <v>3.0374999999999996</v>
      </c>
      <c r="O598" s="5">
        <f>M598*E598</f>
        <v>33.75</v>
      </c>
      <c r="P598" t="str">
        <f t="shared" si="18"/>
        <v>Arabica</v>
      </c>
      <c r="Q598" t="str">
        <f t="shared" si="19"/>
        <v>Medium</v>
      </c>
      <c r="R598" t="str">
        <f>_xlfn.XLOOKUP(Orders[[#This Row],[Customer ID]],customers!$A$1:$A$1001,customers!$I$1:$I$1001,,0)</f>
        <v>No</v>
      </c>
    </row>
    <row r="599" spans="1:18" x14ac:dyDescent="0.35">
      <c r="A599" s="2" t="s">
        <v>3860</v>
      </c>
      <c r="B599" s="3">
        <v>44532</v>
      </c>
      <c r="C599" s="2" t="s">
        <v>3861</v>
      </c>
      <c r="D599" t="s">
        <v>6164</v>
      </c>
      <c r="E599" s="2">
        <v>4</v>
      </c>
      <c r="F599" s="2" t="str">
        <f>_xlfn.XLOOKUP(Orders[[#This Row],[Customer ID]],customers!$A$1:$A$1001,customers!$B$1:$B$1001,,0)</f>
        <v>Bo Kindley</v>
      </c>
      <c r="G599" s="2" t="str">
        <f>IF(_xlfn.XLOOKUP(C599,customers!$A$1:$A$1001,customers!C598:C1598,,0)=0,"",_xlfn.XLOOKUP(C599,customers!$A$1:$A$1001,customers!C598:C1598,,0))</f>
        <v/>
      </c>
      <c r="H599" s="2" t="str">
        <f>_xlfn.XLOOKUP(Orders[[#This Row],[Customer ID]],customers!$A$1:$A$1001,customers!$G$1:$G$1001,,0)</f>
        <v>United States</v>
      </c>
      <c r="I599" s="2" t="str">
        <f>_xlfn.XLOOKUP(Orders[[#This Row],[Customer ID]],customers!$A$1:$A$1001,customers!$F$1:$F$1001,,0)</f>
        <v>Pasadena</v>
      </c>
      <c r="J599" t="str">
        <f>INDEX(products!$A$1:$G$49,MATCH(orders!$D599,products!$A$1:$A$49,0),MATCH(orders!J$1,products!$A$1:$G$1,0))</f>
        <v>Lib</v>
      </c>
      <c r="K599" t="str">
        <f>INDEX(products!$A$1:$G$49,MATCH(orders!$D599,products!$A$1:$A$49,0),MATCH(orders!K$1,products!$A$1:$G$1,0))</f>
        <v>L</v>
      </c>
      <c r="L599" s="4">
        <f>INDEX(products!$A$1:$G$49,MATCH(orders!$D599,products!$A$1:$A$49,0),MATCH(orders!L$1,products!$A$1:$G$1,0))</f>
        <v>2.5</v>
      </c>
      <c r="M599" s="5">
        <f>INDEX(products!$A$1:$G$49,MATCH(orders!$D599,products!$A$1:$A$49,0),MATCH(orders!M$1,products!$A$1:$G$1,0))</f>
        <v>36.454999999999998</v>
      </c>
      <c r="N599" s="5">
        <f>Orders[[#This Row],[Quantity]]*(INDEX(products!$A$1:$G$49,MATCH(orders!$D599,products!$A$1:$A$49,0),MATCH(orders!N$1,products!$A$1:$G$1,0)))</f>
        <v>18.956599999999998</v>
      </c>
      <c r="O599" s="5">
        <f>M599*E599</f>
        <v>145.82</v>
      </c>
      <c r="P599" t="str">
        <f t="shared" si="18"/>
        <v>Liberica</v>
      </c>
      <c r="Q599" t="str">
        <f t="shared" si="19"/>
        <v>Light</v>
      </c>
      <c r="R599" t="str">
        <f>_xlfn.XLOOKUP(Orders[[#This Row],[Customer ID]],customers!$A$1:$A$1001,customers!$I$1:$I$1001,,0)</f>
        <v>Yes</v>
      </c>
    </row>
    <row r="600" spans="1:18" x14ac:dyDescent="0.35">
      <c r="A600" s="2" t="s">
        <v>3866</v>
      </c>
      <c r="B600" s="3">
        <v>43471</v>
      </c>
      <c r="C600" s="2" t="s">
        <v>3867</v>
      </c>
      <c r="D600" t="s">
        <v>6174</v>
      </c>
      <c r="E600" s="2">
        <v>4</v>
      </c>
      <c r="F600" s="2" t="str">
        <f>_xlfn.XLOOKUP(Orders[[#This Row],[Customer ID]],customers!$A$1:$A$1001,customers!$B$1:$B$1001,,0)</f>
        <v>Krissie Hammett</v>
      </c>
      <c r="G600" s="2" t="str">
        <f>IF(_xlfn.XLOOKUP(C600,customers!$A$1:$A$1001,customers!C599:C1599,,0)=0,"",_xlfn.XLOOKUP(C600,customers!$A$1:$A$1001,customers!C599:C1599,,0))</f>
        <v/>
      </c>
      <c r="H600" s="2" t="str">
        <f>_xlfn.XLOOKUP(Orders[[#This Row],[Customer ID]],customers!$A$1:$A$1001,customers!$G$1:$G$1001,,0)</f>
        <v>United States</v>
      </c>
      <c r="I600" s="2" t="str">
        <f>_xlfn.XLOOKUP(Orders[[#This Row],[Customer ID]],customers!$A$1:$A$1001,customers!$F$1:$F$1001,,0)</f>
        <v>San Francisco</v>
      </c>
      <c r="J600" t="str">
        <f>INDEX(products!$A$1:$G$49,MATCH(orders!$D600,products!$A$1:$A$49,0),MATCH(orders!J$1,products!$A$1:$G$1,0))</f>
        <v>Rob</v>
      </c>
      <c r="K600" t="str">
        <f>INDEX(products!$A$1:$G$49,MATCH(orders!$D600,products!$A$1:$A$49,0),MATCH(orders!K$1,products!$A$1:$G$1,0))</f>
        <v>M</v>
      </c>
      <c r="L600" s="4">
        <f>INDEX(products!$A$1:$G$49,MATCH(orders!$D600,products!$A$1:$A$49,0),MATCH(orders!L$1,products!$A$1:$G$1,0))</f>
        <v>0.2</v>
      </c>
      <c r="M600" s="5">
        <f>INDEX(products!$A$1:$G$49,MATCH(orders!$D600,products!$A$1:$A$49,0),MATCH(orders!M$1,products!$A$1:$G$1,0))</f>
        <v>2.9849999999999999</v>
      </c>
      <c r="N600" s="5">
        <f>Orders[[#This Row],[Quantity]]*(INDEX(products!$A$1:$G$49,MATCH(orders!$D600,products!$A$1:$A$49,0),MATCH(orders!N$1,products!$A$1:$G$1,0)))</f>
        <v>0.71639999999999993</v>
      </c>
      <c r="O600" s="5">
        <f>M600*E600</f>
        <v>11.94</v>
      </c>
      <c r="P600" t="str">
        <f t="shared" si="18"/>
        <v>Robusta</v>
      </c>
      <c r="Q600" t="str">
        <f t="shared" si="19"/>
        <v>Medium</v>
      </c>
      <c r="R600" t="str">
        <f>_xlfn.XLOOKUP(Orders[[#This Row],[Customer ID]],customers!$A$1:$A$1001,customers!$I$1:$I$1001,,0)</f>
        <v>Yes</v>
      </c>
    </row>
    <row r="601" spans="1:18" x14ac:dyDescent="0.35">
      <c r="A601" s="2" t="s">
        <v>3872</v>
      </c>
      <c r="B601" s="3">
        <v>44321</v>
      </c>
      <c r="C601" s="2" t="s">
        <v>3873</v>
      </c>
      <c r="D601" t="s">
        <v>6154</v>
      </c>
      <c r="E601" s="2">
        <v>4</v>
      </c>
      <c r="F601" s="2" t="str">
        <f>_xlfn.XLOOKUP(Orders[[#This Row],[Customer ID]],customers!$A$1:$A$1001,customers!$B$1:$B$1001,,0)</f>
        <v>Alisha Hulburt</v>
      </c>
      <c r="G601" s="2" t="str">
        <f>IF(_xlfn.XLOOKUP(C601,customers!$A$1:$A$1001,customers!C600:C1600,,0)=0,"",_xlfn.XLOOKUP(C601,customers!$A$1:$A$1001,customers!C600:C1600,,0))</f>
        <v/>
      </c>
      <c r="H601" s="2" t="str">
        <f>_xlfn.XLOOKUP(Orders[[#This Row],[Customer ID]],customers!$A$1:$A$1001,customers!$G$1:$G$1001,,0)</f>
        <v>United States</v>
      </c>
      <c r="I601" s="2" t="str">
        <f>_xlfn.XLOOKUP(Orders[[#This Row],[Customer ID]],customers!$A$1:$A$1001,customers!$F$1:$F$1001,,0)</f>
        <v>Shreveport</v>
      </c>
      <c r="J601" t="str">
        <f>INDEX(products!$A$1:$G$49,MATCH(orders!$D601,products!$A$1:$A$49,0),MATCH(orders!J$1,products!$A$1:$G$1,0))</f>
        <v>Ara</v>
      </c>
      <c r="K601" t="str">
        <f>INDEX(products!$A$1:$G$49,MATCH(orders!$D601,products!$A$1:$A$49,0),MATCH(orders!K$1,products!$A$1:$G$1,0))</f>
        <v>D</v>
      </c>
      <c r="L601" s="4">
        <f>INDEX(products!$A$1:$G$49,MATCH(orders!$D601,products!$A$1:$A$49,0),MATCH(orders!L$1,products!$A$1:$G$1,0))</f>
        <v>0.2</v>
      </c>
      <c r="M601" s="5">
        <f>INDEX(products!$A$1:$G$49,MATCH(orders!$D601,products!$A$1:$A$49,0),MATCH(orders!M$1,products!$A$1:$G$1,0))</f>
        <v>2.9849999999999999</v>
      </c>
      <c r="N601" s="5">
        <f>Orders[[#This Row],[Quantity]]*(INDEX(products!$A$1:$G$49,MATCH(orders!$D601,products!$A$1:$A$49,0),MATCH(orders!N$1,products!$A$1:$G$1,0)))</f>
        <v>1.0746</v>
      </c>
      <c r="O601" s="5">
        <f>M601*E601</f>
        <v>11.94</v>
      </c>
      <c r="P601" t="str">
        <f t="shared" si="18"/>
        <v>Arabica</v>
      </c>
      <c r="Q601" t="str">
        <f t="shared" si="19"/>
        <v>Dark</v>
      </c>
      <c r="R601" t="str">
        <f>_xlfn.XLOOKUP(Orders[[#This Row],[Customer ID]],customers!$A$1:$A$1001,customers!$I$1:$I$1001,,0)</f>
        <v>Yes</v>
      </c>
    </row>
    <row r="602" spans="1:18" x14ac:dyDescent="0.35">
      <c r="A602" s="2" t="s">
        <v>3877</v>
      </c>
      <c r="B602" s="3">
        <v>44492</v>
      </c>
      <c r="C602" s="2" t="s">
        <v>3878</v>
      </c>
      <c r="D602" t="s">
        <v>6169</v>
      </c>
      <c r="E602" s="2">
        <v>1</v>
      </c>
      <c r="F602" s="2" t="str">
        <f>_xlfn.XLOOKUP(Orders[[#This Row],[Customer ID]],customers!$A$1:$A$1001,customers!$B$1:$B$1001,,0)</f>
        <v>Peyter Lauritzen</v>
      </c>
      <c r="G602" s="2" t="str">
        <f>IF(_xlfn.XLOOKUP(C602,customers!$A$1:$A$1001,customers!C601:C1601,,0)=0,"",_xlfn.XLOOKUP(C602,customers!$A$1:$A$1001,customers!C601:C1601,,0))</f>
        <v/>
      </c>
      <c r="H602" s="2" t="str">
        <f>_xlfn.XLOOKUP(Orders[[#This Row],[Customer ID]],customers!$A$1:$A$1001,customers!$G$1:$G$1001,,0)</f>
        <v>United States</v>
      </c>
      <c r="I602" s="2" t="str">
        <f>_xlfn.XLOOKUP(Orders[[#This Row],[Customer ID]],customers!$A$1:$A$1001,customers!$F$1:$F$1001,,0)</f>
        <v>Philadelphia</v>
      </c>
      <c r="J602" t="str">
        <f>INDEX(products!$A$1:$G$49,MATCH(orders!$D602,products!$A$1:$A$49,0),MATCH(orders!J$1,products!$A$1:$G$1,0))</f>
        <v>Lib</v>
      </c>
      <c r="K602" t="str">
        <f>INDEX(products!$A$1:$G$49,MATCH(orders!$D602,products!$A$1:$A$49,0),MATCH(orders!K$1,products!$A$1:$G$1,0))</f>
        <v>D</v>
      </c>
      <c r="L602" s="4">
        <f>INDEX(products!$A$1:$G$49,MATCH(orders!$D602,products!$A$1:$A$49,0),MATCH(orders!L$1,products!$A$1:$G$1,0))</f>
        <v>0.5</v>
      </c>
      <c r="M602" s="5">
        <f>INDEX(products!$A$1:$G$49,MATCH(orders!$D602,products!$A$1:$A$49,0),MATCH(orders!M$1,products!$A$1:$G$1,0))</f>
        <v>7.77</v>
      </c>
      <c r="N602" s="5">
        <f>Orders[[#This Row],[Quantity]]*(INDEX(products!$A$1:$G$49,MATCH(orders!$D602,products!$A$1:$A$49,0),MATCH(orders!N$1,products!$A$1:$G$1,0)))</f>
        <v>1.0101</v>
      </c>
      <c r="O602" s="5">
        <f>M602*E602</f>
        <v>7.77</v>
      </c>
      <c r="P602" t="str">
        <f t="shared" si="18"/>
        <v>Liberica</v>
      </c>
      <c r="Q602" t="str">
        <f t="shared" si="19"/>
        <v>Dark</v>
      </c>
      <c r="R602" t="str">
        <f>_xlfn.XLOOKUP(Orders[[#This Row],[Customer ID]],customers!$A$1:$A$1001,customers!$I$1:$I$1001,,0)</f>
        <v>No</v>
      </c>
    </row>
    <row r="603" spans="1:18" x14ac:dyDescent="0.35">
      <c r="A603" s="2" t="s">
        <v>3883</v>
      </c>
      <c r="B603" s="3">
        <v>43815</v>
      </c>
      <c r="C603" s="2" t="s">
        <v>3884</v>
      </c>
      <c r="D603" t="s">
        <v>6142</v>
      </c>
      <c r="E603" s="2">
        <v>4</v>
      </c>
      <c r="F603" s="2" t="str">
        <f>_xlfn.XLOOKUP(Orders[[#This Row],[Customer ID]],customers!$A$1:$A$1001,customers!$B$1:$B$1001,,0)</f>
        <v>Aurelia Burgwin</v>
      </c>
      <c r="G603" s="2" t="str">
        <f>IF(_xlfn.XLOOKUP(C603,customers!$A$1:$A$1001,customers!C602:C1602,,0)=0,"",_xlfn.XLOOKUP(C603,customers!$A$1:$A$1001,customers!C602:C1602,,0))</f>
        <v/>
      </c>
      <c r="H603" s="2" t="str">
        <f>_xlfn.XLOOKUP(Orders[[#This Row],[Customer ID]],customers!$A$1:$A$1001,customers!$G$1:$G$1001,,0)</f>
        <v>United States</v>
      </c>
      <c r="I603" s="2" t="str">
        <f>_xlfn.XLOOKUP(Orders[[#This Row],[Customer ID]],customers!$A$1:$A$1001,customers!$F$1:$F$1001,,0)</f>
        <v>Migrate</v>
      </c>
      <c r="J603" t="str">
        <f>INDEX(products!$A$1:$G$49,MATCH(orders!$D603,products!$A$1:$A$49,0),MATCH(orders!J$1,products!$A$1:$G$1,0))</f>
        <v>Rob</v>
      </c>
      <c r="K603" t="str">
        <f>INDEX(products!$A$1:$G$49,MATCH(orders!$D603,products!$A$1:$A$49,0),MATCH(orders!K$1,products!$A$1:$G$1,0))</f>
        <v>L</v>
      </c>
      <c r="L603" s="4">
        <f>INDEX(products!$A$1:$G$49,MATCH(orders!$D603,products!$A$1:$A$49,0),MATCH(orders!L$1,products!$A$1:$G$1,0))</f>
        <v>2.5</v>
      </c>
      <c r="M603" s="5">
        <f>INDEX(products!$A$1:$G$49,MATCH(orders!$D603,products!$A$1:$A$49,0),MATCH(orders!M$1,products!$A$1:$G$1,0))</f>
        <v>27.484999999999996</v>
      </c>
      <c r="N603" s="5">
        <f>Orders[[#This Row],[Quantity]]*(INDEX(products!$A$1:$G$49,MATCH(orders!$D603,products!$A$1:$A$49,0),MATCH(orders!N$1,products!$A$1:$G$1,0)))</f>
        <v>6.5963999999999992</v>
      </c>
      <c r="O603" s="5">
        <f>M603*E603</f>
        <v>109.93999999999998</v>
      </c>
      <c r="P603" t="str">
        <f t="shared" si="18"/>
        <v>Robusta</v>
      </c>
      <c r="Q603" t="str">
        <f t="shared" si="19"/>
        <v>Light</v>
      </c>
      <c r="R603" t="str">
        <f>_xlfn.XLOOKUP(Orders[[#This Row],[Customer ID]],customers!$A$1:$A$1001,customers!$I$1:$I$1001,,0)</f>
        <v>Yes</v>
      </c>
    </row>
    <row r="604" spans="1:18" x14ac:dyDescent="0.35">
      <c r="A604" s="2" t="s">
        <v>3889</v>
      </c>
      <c r="B604" s="3">
        <v>43603</v>
      </c>
      <c r="C604" s="2" t="s">
        <v>3890</v>
      </c>
      <c r="D604" t="s">
        <v>6184</v>
      </c>
      <c r="E604" s="2">
        <v>5</v>
      </c>
      <c r="F604" s="2" t="str">
        <f>_xlfn.XLOOKUP(Orders[[#This Row],[Customer ID]],customers!$A$1:$A$1001,customers!$B$1:$B$1001,,0)</f>
        <v>Emalee Rolin</v>
      </c>
      <c r="G604" s="2" t="str">
        <f>IF(_xlfn.XLOOKUP(C604,customers!$A$1:$A$1001,customers!C603:C1603,,0)=0,"",_xlfn.XLOOKUP(C604,customers!$A$1:$A$1001,customers!C603:C1603,,0))</f>
        <v/>
      </c>
      <c r="H604" s="2" t="str">
        <f>_xlfn.XLOOKUP(Orders[[#This Row],[Customer ID]],customers!$A$1:$A$1001,customers!$G$1:$G$1001,,0)</f>
        <v>United States</v>
      </c>
      <c r="I604" s="2" t="str">
        <f>_xlfn.XLOOKUP(Orders[[#This Row],[Customer ID]],customers!$A$1:$A$1001,customers!$F$1:$F$1001,,0)</f>
        <v>Toledo</v>
      </c>
      <c r="J604" t="str">
        <f>INDEX(products!$A$1:$G$49,MATCH(orders!$D604,products!$A$1:$A$49,0),MATCH(orders!J$1,products!$A$1:$G$1,0))</f>
        <v>Exc</v>
      </c>
      <c r="K604" t="str">
        <f>INDEX(products!$A$1:$G$49,MATCH(orders!$D604,products!$A$1:$A$49,0),MATCH(orders!K$1,products!$A$1:$G$1,0))</f>
        <v>L</v>
      </c>
      <c r="L604" s="4">
        <f>INDEX(products!$A$1:$G$49,MATCH(orders!$D604,products!$A$1:$A$49,0),MATCH(orders!L$1,products!$A$1:$G$1,0))</f>
        <v>0.2</v>
      </c>
      <c r="M604" s="5">
        <f>INDEX(products!$A$1:$G$49,MATCH(orders!$D604,products!$A$1:$A$49,0),MATCH(orders!M$1,products!$A$1:$G$1,0))</f>
        <v>4.4550000000000001</v>
      </c>
      <c r="N604" s="5">
        <f>Orders[[#This Row],[Quantity]]*(INDEX(products!$A$1:$G$49,MATCH(orders!$D604,products!$A$1:$A$49,0),MATCH(orders!N$1,products!$A$1:$G$1,0)))</f>
        <v>2.45025</v>
      </c>
      <c r="O604" s="5">
        <f>M604*E604</f>
        <v>22.274999999999999</v>
      </c>
      <c r="P604" t="str">
        <f t="shared" si="18"/>
        <v>Excelsa</v>
      </c>
      <c r="Q604" t="str">
        <f t="shared" si="19"/>
        <v>Light</v>
      </c>
      <c r="R604" t="str">
        <f>_xlfn.XLOOKUP(Orders[[#This Row],[Customer ID]],customers!$A$1:$A$1001,customers!$I$1:$I$1001,,0)</f>
        <v>Yes</v>
      </c>
    </row>
    <row r="605" spans="1:18" x14ac:dyDescent="0.35">
      <c r="A605" s="2" t="s">
        <v>3895</v>
      </c>
      <c r="B605" s="3">
        <v>43660</v>
      </c>
      <c r="C605" s="2" t="s">
        <v>3896</v>
      </c>
      <c r="D605" t="s">
        <v>6174</v>
      </c>
      <c r="E605" s="2">
        <v>3</v>
      </c>
      <c r="F605" s="2" t="str">
        <f>_xlfn.XLOOKUP(Orders[[#This Row],[Customer ID]],customers!$A$1:$A$1001,customers!$B$1:$B$1001,,0)</f>
        <v>Donavon Fowle</v>
      </c>
      <c r="G605" s="2" t="str">
        <f>IF(_xlfn.XLOOKUP(C605,customers!$A$1:$A$1001,customers!C604:C1604,,0)=0,"",_xlfn.XLOOKUP(C605,customers!$A$1:$A$1001,customers!C604:C1604,,0))</f>
        <v/>
      </c>
      <c r="H605" s="2" t="str">
        <f>_xlfn.XLOOKUP(Orders[[#This Row],[Customer ID]],customers!$A$1:$A$1001,customers!$G$1:$G$1001,,0)</f>
        <v>United States</v>
      </c>
      <c r="I605" s="2" t="str">
        <f>_xlfn.XLOOKUP(Orders[[#This Row],[Customer ID]],customers!$A$1:$A$1001,customers!$F$1:$F$1001,,0)</f>
        <v>Colorado Springs</v>
      </c>
      <c r="J605" t="str">
        <f>INDEX(products!$A$1:$G$49,MATCH(orders!$D605,products!$A$1:$A$49,0),MATCH(orders!J$1,products!$A$1:$G$1,0))</f>
        <v>Rob</v>
      </c>
      <c r="K605" t="str">
        <f>INDEX(products!$A$1:$G$49,MATCH(orders!$D605,products!$A$1:$A$49,0),MATCH(orders!K$1,products!$A$1:$G$1,0))</f>
        <v>M</v>
      </c>
      <c r="L605" s="4">
        <f>INDEX(products!$A$1:$G$49,MATCH(orders!$D605,products!$A$1:$A$49,0),MATCH(orders!L$1,products!$A$1:$G$1,0))</f>
        <v>0.2</v>
      </c>
      <c r="M605" s="5">
        <f>INDEX(products!$A$1:$G$49,MATCH(orders!$D605,products!$A$1:$A$49,0),MATCH(orders!M$1,products!$A$1:$G$1,0))</f>
        <v>2.9849999999999999</v>
      </c>
      <c r="N605" s="5">
        <f>Orders[[#This Row],[Quantity]]*(INDEX(products!$A$1:$G$49,MATCH(orders!$D605,products!$A$1:$A$49,0),MATCH(orders!N$1,products!$A$1:$G$1,0)))</f>
        <v>0.53729999999999989</v>
      </c>
      <c r="O605" s="5">
        <f>M605*E605</f>
        <v>8.9550000000000001</v>
      </c>
      <c r="P605" t="str">
        <f t="shared" si="18"/>
        <v>Robusta</v>
      </c>
      <c r="Q605" t="str">
        <f t="shared" si="19"/>
        <v>Medium</v>
      </c>
      <c r="R605" t="str">
        <f>_xlfn.XLOOKUP(Orders[[#This Row],[Customer ID]],customers!$A$1:$A$1001,customers!$I$1:$I$1001,,0)</f>
        <v>No</v>
      </c>
    </row>
    <row r="606" spans="1:18" x14ac:dyDescent="0.35">
      <c r="A606" s="2" t="s">
        <v>3900</v>
      </c>
      <c r="B606" s="3">
        <v>44148</v>
      </c>
      <c r="C606" s="2" t="s">
        <v>3901</v>
      </c>
      <c r="D606" t="s">
        <v>6165</v>
      </c>
      <c r="E606" s="2">
        <v>4</v>
      </c>
      <c r="F606" s="2" t="str">
        <f>_xlfn.XLOOKUP(Orders[[#This Row],[Customer ID]],customers!$A$1:$A$1001,customers!$B$1:$B$1001,,0)</f>
        <v>Jorge Bettison</v>
      </c>
      <c r="G606" s="2" t="str">
        <f>IF(_xlfn.XLOOKUP(C606,customers!$A$1:$A$1001,customers!C605:C1605,,0)=0,"",_xlfn.XLOOKUP(C606,customers!$A$1:$A$1001,customers!C605:C1605,,0))</f>
        <v/>
      </c>
      <c r="H606" s="2" t="str">
        <f>_xlfn.XLOOKUP(Orders[[#This Row],[Customer ID]],customers!$A$1:$A$1001,customers!$G$1:$G$1001,,0)</f>
        <v>Ireland</v>
      </c>
      <c r="I606" s="2" t="str">
        <f>_xlfn.XLOOKUP(Orders[[#This Row],[Customer ID]],customers!$A$1:$A$1001,customers!$F$1:$F$1001,,0)</f>
        <v>Longwood</v>
      </c>
      <c r="J606" t="str">
        <f>INDEX(products!$A$1:$G$49,MATCH(orders!$D606,products!$A$1:$A$49,0),MATCH(orders!J$1,products!$A$1:$G$1,0))</f>
        <v>Lib</v>
      </c>
      <c r="K606" t="str">
        <f>INDEX(products!$A$1:$G$49,MATCH(orders!$D606,products!$A$1:$A$49,0),MATCH(orders!K$1,products!$A$1:$G$1,0))</f>
        <v>D</v>
      </c>
      <c r="L606" s="4">
        <f>INDEX(products!$A$1:$G$49,MATCH(orders!$D606,products!$A$1:$A$49,0),MATCH(orders!L$1,products!$A$1:$G$1,0))</f>
        <v>2.5</v>
      </c>
      <c r="M606" s="5">
        <f>INDEX(products!$A$1:$G$49,MATCH(orders!$D606,products!$A$1:$A$49,0),MATCH(orders!M$1,products!$A$1:$G$1,0))</f>
        <v>29.784999999999997</v>
      </c>
      <c r="N606" s="5">
        <f>Orders[[#This Row],[Quantity]]*(INDEX(products!$A$1:$G$49,MATCH(orders!$D606,products!$A$1:$A$49,0),MATCH(orders!N$1,products!$A$1:$G$1,0)))</f>
        <v>15.488199999999999</v>
      </c>
      <c r="O606" s="5">
        <f>M606*E606</f>
        <v>119.13999999999999</v>
      </c>
      <c r="P606" t="str">
        <f t="shared" si="18"/>
        <v>Liberica</v>
      </c>
      <c r="Q606" t="str">
        <f t="shared" si="19"/>
        <v>Dark</v>
      </c>
      <c r="R606" t="str">
        <f>_xlfn.XLOOKUP(Orders[[#This Row],[Customer ID]],customers!$A$1:$A$1001,customers!$I$1:$I$1001,,0)</f>
        <v>No</v>
      </c>
    </row>
    <row r="607" spans="1:18" x14ac:dyDescent="0.35">
      <c r="A607" s="2" t="s">
        <v>3905</v>
      </c>
      <c r="B607" s="3">
        <v>44028</v>
      </c>
      <c r="C607" s="2" t="s">
        <v>3906</v>
      </c>
      <c r="D607" t="s">
        <v>6182</v>
      </c>
      <c r="E607" s="2">
        <v>5</v>
      </c>
      <c r="F607" s="2" t="str">
        <f>_xlfn.XLOOKUP(Orders[[#This Row],[Customer ID]],customers!$A$1:$A$1001,customers!$B$1:$B$1001,,0)</f>
        <v>Wang Powlesland</v>
      </c>
      <c r="G607" s="2" t="str">
        <f>IF(_xlfn.XLOOKUP(C607,customers!$A$1:$A$1001,customers!C606:C1606,,0)=0,"",_xlfn.XLOOKUP(C607,customers!$A$1:$A$1001,customers!C606:C1606,,0))</f>
        <v/>
      </c>
      <c r="H607" s="2" t="str">
        <f>_xlfn.XLOOKUP(Orders[[#This Row],[Customer ID]],customers!$A$1:$A$1001,customers!$G$1:$G$1001,,0)</f>
        <v>United States</v>
      </c>
      <c r="I607" s="2" t="str">
        <f>_xlfn.XLOOKUP(Orders[[#This Row],[Customer ID]],customers!$A$1:$A$1001,customers!$F$1:$F$1001,,0)</f>
        <v>Pittsburgh</v>
      </c>
      <c r="J607" t="str">
        <f>INDEX(products!$A$1:$G$49,MATCH(orders!$D607,products!$A$1:$A$49,0),MATCH(orders!J$1,products!$A$1:$G$1,0))</f>
        <v>Ara</v>
      </c>
      <c r="K607" t="str">
        <f>INDEX(products!$A$1:$G$49,MATCH(orders!$D607,products!$A$1:$A$49,0),MATCH(orders!K$1,products!$A$1:$G$1,0))</f>
        <v>L</v>
      </c>
      <c r="L607" s="4">
        <f>INDEX(products!$A$1:$G$49,MATCH(orders!$D607,products!$A$1:$A$49,0),MATCH(orders!L$1,products!$A$1:$G$1,0))</f>
        <v>2.5</v>
      </c>
      <c r="M607" s="5">
        <f>INDEX(products!$A$1:$G$49,MATCH(orders!$D607,products!$A$1:$A$49,0),MATCH(orders!M$1,products!$A$1:$G$1,0))</f>
        <v>29.784999999999997</v>
      </c>
      <c r="N607" s="5">
        <f>Orders[[#This Row],[Quantity]]*(INDEX(products!$A$1:$G$49,MATCH(orders!$D607,products!$A$1:$A$49,0),MATCH(orders!N$1,products!$A$1:$G$1,0)))</f>
        <v>13.403249999999998</v>
      </c>
      <c r="O607" s="5">
        <f>M607*E607</f>
        <v>148.92499999999998</v>
      </c>
      <c r="P607" t="str">
        <f t="shared" si="18"/>
        <v>Arabica</v>
      </c>
      <c r="Q607" t="str">
        <f t="shared" si="19"/>
        <v>Light</v>
      </c>
      <c r="R607" t="str">
        <f>_xlfn.XLOOKUP(Orders[[#This Row],[Customer ID]],customers!$A$1:$A$1001,customers!$I$1:$I$1001,,0)</f>
        <v>Yes</v>
      </c>
    </row>
    <row r="608" spans="1:18" x14ac:dyDescent="0.35">
      <c r="A608" s="2" t="s">
        <v>3911</v>
      </c>
      <c r="B608" s="3">
        <v>44138</v>
      </c>
      <c r="C608" s="2" t="s">
        <v>3840</v>
      </c>
      <c r="D608" t="s">
        <v>6164</v>
      </c>
      <c r="E608" s="2">
        <v>3</v>
      </c>
      <c r="F608" s="2" t="str">
        <f>_xlfn.XLOOKUP(Orders[[#This Row],[Customer ID]],customers!$A$1:$A$1001,customers!$B$1:$B$1001,,0)</f>
        <v>Cody Verissimo</v>
      </c>
      <c r="G608" s="2" t="str">
        <f>IF(_xlfn.XLOOKUP(C608,customers!$A$1:$A$1001,customers!C607:C1607,,0)=0,"",_xlfn.XLOOKUP(C608,customers!$A$1:$A$1001,customers!C607:C1607,,0))</f>
        <v/>
      </c>
      <c r="H608" s="2" t="str">
        <f>_xlfn.XLOOKUP(Orders[[#This Row],[Customer ID]],customers!$A$1:$A$1001,customers!$G$1:$G$1001,,0)</f>
        <v>United Kingdom</v>
      </c>
      <c r="I608" s="2" t="str">
        <f>_xlfn.XLOOKUP(Orders[[#This Row],[Customer ID]],customers!$A$1:$A$1001,customers!$F$1:$F$1001,,0)</f>
        <v>Upton</v>
      </c>
      <c r="J608" t="str">
        <f>INDEX(products!$A$1:$G$49,MATCH(orders!$D608,products!$A$1:$A$49,0),MATCH(orders!J$1,products!$A$1:$G$1,0))</f>
        <v>Lib</v>
      </c>
      <c r="K608" t="str">
        <f>INDEX(products!$A$1:$G$49,MATCH(orders!$D608,products!$A$1:$A$49,0),MATCH(orders!K$1,products!$A$1:$G$1,0))</f>
        <v>L</v>
      </c>
      <c r="L608" s="4">
        <f>INDEX(products!$A$1:$G$49,MATCH(orders!$D608,products!$A$1:$A$49,0),MATCH(orders!L$1,products!$A$1:$G$1,0))</f>
        <v>2.5</v>
      </c>
      <c r="M608" s="5">
        <f>INDEX(products!$A$1:$G$49,MATCH(orders!$D608,products!$A$1:$A$49,0),MATCH(orders!M$1,products!$A$1:$G$1,0))</f>
        <v>36.454999999999998</v>
      </c>
      <c r="N608" s="5">
        <f>Orders[[#This Row],[Quantity]]*(INDEX(products!$A$1:$G$49,MATCH(orders!$D608,products!$A$1:$A$49,0),MATCH(orders!N$1,products!$A$1:$G$1,0)))</f>
        <v>14.217449999999999</v>
      </c>
      <c r="O608" s="5">
        <f>M608*E608</f>
        <v>109.36499999999999</v>
      </c>
      <c r="P608" t="str">
        <f t="shared" si="18"/>
        <v>Liberica</v>
      </c>
      <c r="Q608" t="str">
        <f t="shared" si="19"/>
        <v>Light</v>
      </c>
      <c r="R608" t="str">
        <f>_xlfn.XLOOKUP(Orders[[#This Row],[Customer ID]],customers!$A$1:$A$1001,customers!$I$1:$I$1001,,0)</f>
        <v>Yes</v>
      </c>
    </row>
    <row r="609" spans="1:18" x14ac:dyDescent="0.35">
      <c r="A609" s="2" t="s">
        <v>3917</v>
      </c>
      <c r="B609" s="3">
        <v>44640</v>
      </c>
      <c r="C609" s="2" t="s">
        <v>3918</v>
      </c>
      <c r="D609" t="s">
        <v>6153</v>
      </c>
      <c r="E609" s="2">
        <v>1</v>
      </c>
      <c r="F609" s="2" t="str">
        <f>_xlfn.XLOOKUP(Orders[[#This Row],[Customer ID]],customers!$A$1:$A$1001,customers!$B$1:$B$1001,,0)</f>
        <v>Laurence Ellingham</v>
      </c>
      <c r="G609" s="2" t="str">
        <f>IF(_xlfn.XLOOKUP(C609,customers!$A$1:$A$1001,customers!C608:C1608,,0)=0,"",_xlfn.XLOOKUP(C609,customers!$A$1:$A$1001,customers!C608:C1608,,0))</f>
        <v/>
      </c>
      <c r="H609" s="2" t="str">
        <f>_xlfn.XLOOKUP(Orders[[#This Row],[Customer ID]],customers!$A$1:$A$1001,customers!$G$1:$G$1001,,0)</f>
        <v>United States</v>
      </c>
      <c r="I609" s="2" t="str">
        <f>_xlfn.XLOOKUP(Orders[[#This Row],[Customer ID]],customers!$A$1:$A$1001,customers!$F$1:$F$1001,,0)</f>
        <v>Shreveport</v>
      </c>
      <c r="J609" t="str">
        <f>INDEX(products!$A$1:$G$49,MATCH(orders!$D609,products!$A$1:$A$49,0),MATCH(orders!J$1,products!$A$1:$G$1,0))</f>
        <v>Exc</v>
      </c>
      <c r="K609" t="str">
        <f>INDEX(products!$A$1:$G$49,MATCH(orders!$D609,products!$A$1:$A$49,0),MATCH(orders!K$1,products!$A$1:$G$1,0))</f>
        <v>D</v>
      </c>
      <c r="L609" s="4">
        <f>INDEX(products!$A$1:$G$49,MATCH(orders!$D609,products!$A$1:$A$49,0),MATCH(orders!L$1,products!$A$1:$G$1,0))</f>
        <v>0.2</v>
      </c>
      <c r="M609" s="5">
        <f>INDEX(products!$A$1:$G$49,MATCH(orders!$D609,products!$A$1:$A$49,0),MATCH(orders!M$1,products!$A$1:$G$1,0))</f>
        <v>3.645</v>
      </c>
      <c r="N609" s="5">
        <f>Orders[[#This Row],[Quantity]]*(INDEX(products!$A$1:$G$49,MATCH(orders!$D609,products!$A$1:$A$49,0),MATCH(orders!N$1,products!$A$1:$G$1,0)))</f>
        <v>0.40095000000000003</v>
      </c>
      <c r="O609" s="5">
        <f>M609*E609</f>
        <v>3.645</v>
      </c>
      <c r="P609" t="str">
        <f t="shared" si="18"/>
        <v>Excelsa</v>
      </c>
      <c r="Q609" t="str">
        <f t="shared" si="19"/>
        <v>Dark</v>
      </c>
      <c r="R609" t="str">
        <f>_xlfn.XLOOKUP(Orders[[#This Row],[Customer ID]],customers!$A$1:$A$1001,customers!$I$1:$I$1001,,0)</f>
        <v>Yes</v>
      </c>
    </row>
    <row r="610" spans="1:18" x14ac:dyDescent="0.35">
      <c r="A610" s="2" t="s">
        <v>3923</v>
      </c>
      <c r="B610" s="3">
        <v>44608</v>
      </c>
      <c r="C610" s="2" t="s">
        <v>3924</v>
      </c>
      <c r="D610" t="s">
        <v>6185</v>
      </c>
      <c r="E610" s="2">
        <v>2</v>
      </c>
      <c r="F610" s="2" t="str">
        <f>_xlfn.XLOOKUP(Orders[[#This Row],[Customer ID]],customers!$A$1:$A$1001,customers!$B$1:$B$1001,,0)</f>
        <v>Billy Neiland</v>
      </c>
      <c r="G610" s="2" t="str">
        <f>IF(_xlfn.XLOOKUP(C610,customers!$A$1:$A$1001,customers!C609:C1609,,0)=0,"",_xlfn.XLOOKUP(C610,customers!$A$1:$A$1001,customers!C609:C1609,,0))</f>
        <v/>
      </c>
      <c r="H610" s="2" t="str">
        <f>_xlfn.XLOOKUP(Orders[[#This Row],[Customer ID]],customers!$A$1:$A$1001,customers!$G$1:$G$1001,,0)</f>
        <v>United States</v>
      </c>
      <c r="I610" s="2" t="str">
        <f>_xlfn.XLOOKUP(Orders[[#This Row],[Customer ID]],customers!$A$1:$A$1001,customers!$F$1:$F$1001,,0)</f>
        <v>Cleveland</v>
      </c>
      <c r="J610" t="str">
        <f>INDEX(products!$A$1:$G$49,MATCH(orders!$D610,products!$A$1:$A$49,0),MATCH(orders!J$1,products!$A$1:$G$1,0))</f>
        <v>Exc</v>
      </c>
      <c r="K610" t="str">
        <f>INDEX(products!$A$1:$G$49,MATCH(orders!$D610,products!$A$1:$A$49,0),MATCH(orders!K$1,products!$A$1:$G$1,0))</f>
        <v>D</v>
      </c>
      <c r="L610" s="4">
        <f>INDEX(products!$A$1:$G$49,MATCH(orders!$D610,products!$A$1:$A$49,0),MATCH(orders!L$1,products!$A$1:$G$1,0))</f>
        <v>2.5</v>
      </c>
      <c r="M610" s="5">
        <f>INDEX(products!$A$1:$G$49,MATCH(orders!$D610,products!$A$1:$A$49,0),MATCH(orders!M$1,products!$A$1:$G$1,0))</f>
        <v>27.945</v>
      </c>
      <c r="N610" s="5">
        <f>Orders[[#This Row],[Quantity]]*(INDEX(products!$A$1:$G$49,MATCH(orders!$D610,products!$A$1:$A$49,0),MATCH(orders!N$1,products!$A$1:$G$1,0)))</f>
        <v>6.1478999999999999</v>
      </c>
      <c r="O610" s="5">
        <f>M610*E610</f>
        <v>55.89</v>
      </c>
      <c r="P610" t="str">
        <f t="shared" si="18"/>
        <v>Excelsa</v>
      </c>
      <c r="Q610" t="str">
        <f t="shared" si="19"/>
        <v>Dark</v>
      </c>
      <c r="R610" t="str">
        <f>_xlfn.XLOOKUP(Orders[[#This Row],[Customer ID]],customers!$A$1:$A$1001,customers!$I$1:$I$1001,,0)</f>
        <v>No</v>
      </c>
    </row>
    <row r="611" spans="1:18" x14ac:dyDescent="0.35">
      <c r="A611" s="2" t="s">
        <v>3927</v>
      </c>
      <c r="B611" s="3">
        <v>44147</v>
      </c>
      <c r="C611" s="2" t="s">
        <v>3928</v>
      </c>
      <c r="D611" t="s">
        <v>6159</v>
      </c>
      <c r="E611" s="2">
        <v>6</v>
      </c>
      <c r="F611" s="2" t="str">
        <f>_xlfn.XLOOKUP(Orders[[#This Row],[Customer ID]],customers!$A$1:$A$1001,customers!$B$1:$B$1001,,0)</f>
        <v>Ancell Fendt</v>
      </c>
      <c r="G611" s="2" t="str">
        <f>IF(_xlfn.XLOOKUP(C611,customers!$A$1:$A$1001,customers!C610:C1610,,0)=0,"",_xlfn.XLOOKUP(C611,customers!$A$1:$A$1001,customers!C610:C1610,,0))</f>
        <v/>
      </c>
      <c r="H611" s="2" t="str">
        <f>_xlfn.XLOOKUP(Orders[[#This Row],[Customer ID]],customers!$A$1:$A$1001,customers!$G$1:$G$1001,,0)</f>
        <v>United States</v>
      </c>
      <c r="I611" s="2" t="str">
        <f>_xlfn.XLOOKUP(Orders[[#This Row],[Customer ID]],customers!$A$1:$A$1001,customers!$F$1:$F$1001,,0)</f>
        <v>Milwaukee</v>
      </c>
      <c r="J611" t="str">
        <f>INDEX(products!$A$1:$G$49,MATCH(orders!$D611,products!$A$1:$A$49,0),MATCH(orders!J$1,products!$A$1:$G$1,0))</f>
        <v>Lib</v>
      </c>
      <c r="K611" t="str">
        <f>INDEX(products!$A$1:$G$49,MATCH(orders!$D611,products!$A$1:$A$49,0),MATCH(orders!K$1,products!$A$1:$G$1,0))</f>
        <v>M</v>
      </c>
      <c r="L611" s="4">
        <f>INDEX(products!$A$1:$G$49,MATCH(orders!$D611,products!$A$1:$A$49,0),MATCH(orders!L$1,products!$A$1:$G$1,0))</f>
        <v>0.2</v>
      </c>
      <c r="M611" s="5">
        <f>INDEX(products!$A$1:$G$49,MATCH(orders!$D611,products!$A$1:$A$49,0),MATCH(orders!M$1,products!$A$1:$G$1,0))</f>
        <v>4.3650000000000002</v>
      </c>
      <c r="N611" s="5">
        <f>Orders[[#This Row],[Quantity]]*(INDEX(products!$A$1:$G$49,MATCH(orders!$D611,products!$A$1:$A$49,0),MATCH(orders!N$1,products!$A$1:$G$1,0)))</f>
        <v>3.4047000000000001</v>
      </c>
      <c r="O611" s="5">
        <f>M611*E611</f>
        <v>26.19</v>
      </c>
      <c r="P611" t="str">
        <f t="shared" si="18"/>
        <v>Liberica</v>
      </c>
      <c r="Q611" t="str">
        <f t="shared" si="19"/>
        <v>Medium</v>
      </c>
      <c r="R611" t="str">
        <f>_xlfn.XLOOKUP(Orders[[#This Row],[Customer ID]],customers!$A$1:$A$1001,customers!$I$1:$I$1001,,0)</f>
        <v>Yes</v>
      </c>
    </row>
    <row r="612" spans="1:18" x14ac:dyDescent="0.35">
      <c r="A612" s="2" t="s">
        <v>3933</v>
      </c>
      <c r="B612" s="3">
        <v>43743</v>
      </c>
      <c r="C612" s="2" t="s">
        <v>3934</v>
      </c>
      <c r="D612" t="s">
        <v>6138</v>
      </c>
      <c r="E612" s="2">
        <v>4</v>
      </c>
      <c r="F612" s="2" t="str">
        <f>_xlfn.XLOOKUP(Orders[[#This Row],[Customer ID]],customers!$A$1:$A$1001,customers!$B$1:$B$1001,,0)</f>
        <v>Angelia Cleyburn</v>
      </c>
      <c r="G612" s="2" t="str">
        <f>IF(_xlfn.XLOOKUP(C612,customers!$A$1:$A$1001,customers!C611:C1611,,0)=0,"",_xlfn.XLOOKUP(C612,customers!$A$1:$A$1001,customers!C611:C1611,,0))</f>
        <v/>
      </c>
      <c r="H612" s="2" t="str">
        <f>_xlfn.XLOOKUP(Orders[[#This Row],[Customer ID]],customers!$A$1:$A$1001,customers!$G$1:$G$1001,,0)</f>
        <v>United States</v>
      </c>
      <c r="I612" s="2" t="str">
        <f>_xlfn.XLOOKUP(Orders[[#This Row],[Customer ID]],customers!$A$1:$A$1001,customers!$F$1:$F$1001,,0)</f>
        <v>Fort Lauderdale</v>
      </c>
      <c r="J612" t="str">
        <f>INDEX(products!$A$1:$G$49,MATCH(orders!$D612,products!$A$1:$A$49,0),MATCH(orders!J$1,products!$A$1:$G$1,0))</f>
        <v>Rob</v>
      </c>
      <c r="K612" t="str">
        <f>INDEX(products!$A$1:$G$49,MATCH(orders!$D612,products!$A$1:$A$49,0),MATCH(orders!K$1,products!$A$1:$G$1,0))</f>
        <v>M</v>
      </c>
      <c r="L612" s="4">
        <f>INDEX(products!$A$1:$G$49,MATCH(orders!$D612,products!$A$1:$A$49,0),MATCH(orders!L$1,products!$A$1:$G$1,0))</f>
        <v>1</v>
      </c>
      <c r="M612" s="5">
        <f>INDEX(products!$A$1:$G$49,MATCH(orders!$D612,products!$A$1:$A$49,0),MATCH(orders!M$1,products!$A$1:$G$1,0))</f>
        <v>9.9499999999999993</v>
      </c>
      <c r="N612" s="5">
        <f>Orders[[#This Row],[Quantity]]*(INDEX(products!$A$1:$G$49,MATCH(orders!$D612,products!$A$1:$A$49,0),MATCH(orders!N$1,products!$A$1:$G$1,0)))</f>
        <v>2.3879999999999999</v>
      </c>
      <c r="O612" s="5">
        <f>M612*E612</f>
        <v>39.799999999999997</v>
      </c>
      <c r="P612" t="str">
        <f t="shared" si="18"/>
        <v>Robusta</v>
      </c>
      <c r="Q612" t="str">
        <f t="shared" si="19"/>
        <v>Medium</v>
      </c>
      <c r="R612" t="str">
        <f>_xlfn.XLOOKUP(Orders[[#This Row],[Customer ID]],customers!$A$1:$A$1001,customers!$I$1:$I$1001,,0)</f>
        <v>No</v>
      </c>
    </row>
    <row r="613" spans="1:18" x14ac:dyDescent="0.35">
      <c r="A613" s="2" t="s">
        <v>3939</v>
      </c>
      <c r="B613" s="3">
        <v>43739</v>
      </c>
      <c r="C613" s="2" t="s">
        <v>3940</v>
      </c>
      <c r="D613" t="s">
        <v>6148</v>
      </c>
      <c r="E613" s="2">
        <v>2</v>
      </c>
      <c r="F613" s="2" t="str">
        <f>_xlfn.XLOOKUP(Orders[[#This Row],[Customer ID]],customers!$A$1:$A$1001,customers!$B$1:$B$1001,,0)</f>
        <v>Temple Castiglione</v>
      </c>
      <c r="G613" s="2" t="str">
        <f>IF(_xlfn.XLOOKUP(C613,customers!$A$1:$A$1001,customers!C612:C1612,,0)=0,"",_xlfn.XLOOKUP(C613,customers!$A$1:$A$1001,customers!C612:C1612,,0))</f>
        <v/>
      </c>
      <c r="H613" s="2" t="str">
        <f>_xlfn.XLOOKUP(Orders[[#This Row],[Customer ID]],customers!$A$1:$A$1001,customers!$G$1:$G$1001,,0)</f>
        <v>United States</v>
      </c>
      <c r="I613" s="2" t="str">
        <f>_xlfn.XLOOKUP(Orders[[#This Row],[Customer ID]],customers!$A$1:$A$1001,customers!$F$1:$F$1001,,0)</f>
        <v>Shreveport</v>
      </c>
      <c r="J613" t="str">
        <f>INDEX(products!$A$1:$G$49,MATCH(orders!$D613,products!$A$1:$A$49,0),MATCH(orders!J$1,products!$A$1:$G$1,0))</f>
        <v>Exc</v>
      </c>
      <c r="K613" t="str">
        <f>INDEX(products!$A$1:$G$49,MATCH(orders!$D613,products!$A$1:$A$49,0),MATCH(orders!K$1,products!$A$1:$G$1,0))</f>
        <v>L</v>
      </c>
      <c r="L613" s="4">
        <f>INDEX(products!$A$1:$G$49,MATCH(orders!$D613,products!$A$1:$A$49,0),MATCH(orders!L$1,products!$A$1:$G$1,0))</f>
        <v>2.5</v>
      </c>
      <c r="M613" s="5">
        <f>INDEX(products!$A$1:$G$49,MATCH(orders!$D613,products!$A$1:$A$49,0),MATCH(orders!M$1,products!$A$1:$G$1,0))</f>
        <v>34.154999999999994</v>
      </c>
      <c r="N613" s="5">
        <f>Orders[[#This Row],[Quantity]]*(INDEX(products!$A$1:$G$49,MATCH(orders!$D613,products!$A$1:$A$49,0),MATCH(orders!N$1,products!$A$1:$G$1,0)))</f>
        <v>7.5140999999999991</v>
      </c>
      <c r="O613" s="5">
        <f>M613*E613</f>
        <v>68.309999999999988</v>
      </c>
      <c r="P613" t="str">
        <f t="shared" si="18"/>
        <v>Excelsa</v>
      </c>
      <c r="Q613" t="str">
        <f t="shared" si="19"/>
        <v>Light</v>
      </c>
      <c r="R613" t="str">
        <f>_xlfn.XLOOKUP(Orders[[#This Row],[Customer ID]],customers!$A$1:$A$1001,customers!$I$1:$I$1001,,0)</f>
        <v>No</v>
      </c>
    </row>
    <row r="614" spans="1:18" x14ac:dyDescent="0.35">
      <c r="A614" s="2" t="s">
        <v>3945</v>
      </c>
      <c r="B614" s="3">
        <v>43896</v>
      </c>
      <c r="C614" s="2" t="s">
        <v>3946</v>
      </c>
      <c r="D614" t="s">
        <v>6152</v>
      </c>
      <c r="E614" s="2">
        <v>4</v>
      </c>
      <c r="F614" s="2" t="str">
        <f>_xlfn.XLOOKUP(Orders[[#This Row],[Customer ID]],customers!$A$1:$A$1001,customers!$B$1:$B$1001,,0)</f>
        <v>Betti Lacasa</v>
      </c>
      <c r="G614" s="2" t="str">
        <f>IF(_xlfn.XLOOKUP(C614,customers!$A$1:$A$1001,customers!C613:C1613,,0)=0,"",_xlfn.XLOOKUP(C614,customers!$A$1:$A$1001,customers!C613:C1613,,0))</f>
        <v/>
      </c>
      <c r="H614" s="2" t="str">
        <f>_xlfn.XLOOKUP(Orders[[#This Row],[Customer ID]],customers!$A$1:$A$1001,customers!$G$1:$G$1001,,0)</f>
        <v>Ireland</v>
      </c>
      <c r="I614" s="2" t="str">
        <f>_xlfn.XLOOKUP(Orders[[#This Row],[Customer ID]],customers!$A$1:$A$1001,customers!$F$1:$F$1001,,0)</f>
        <v>Beaumont</v>
      </c>
      <c r="J614" t="str">
        <f>INDEX(products!$A$1:$G$49,MATCH(orders!$D614,products!$A$1:$A$49,0),MATCH(orders!J$1,products!$A$1:$G$1,0))</f>
        <v>Ara</v>
      </c>
      <c r="K614" t="str">
        <f>INDEX(products!$A$1:$G$49,MATCH(orders!$D614,products!$A$1:$A$49,0),MATCH(orders!K$1,products!$A$1:$G$1,0))</f>
        <v>M</v>
      </c>
      <c r="L614" s="4">
        <f>INDEX(products!$A$1:$G$49,MATCH(orders!$D614,products!$A$1:$A$49,0),MATCH(orders!L$1,products!$A$1:$G$1,0))</f>
        <v>0.2</v>
      </c>
      <c r="M614" s="5">
        <f>INDEX(products!$A$1:$G$49,MATCH(orders!$D614,products!$A$1:$A$49,0),MATCH(orders!M$1,products!$A$1:$G$1,0))</f>
        <v>3.375</v>
      </c>
      <c r="N614" s="5">
        <f>Orders[[#This Row],[Quantity]]*(INDEX(products!$A$1:$G$49,MATCH(orders!$D614,products!$A$1:$A$49,0),MATCH(orders!N$1,products!$A$1:$G$1,0)))</f>
        <v>1.2149999999999999</v>
      </c>
      <c r="O614" s="5">
        <f>M614*E614</f>
        <v>13.5</v>
      </c>
      <c r="P614" t="str">
        <f t="shared" si="18"/>
        <v>Arabica</v>
      </c>
      <c r="Q614" t="str">
        <f t="shared" si="19"/>
        <v>Medium</v>
      </c>
      <c r="R614" t="str">
        <f>_xlfn.XLOOKUP(Orders[[#This Row],[Customer ID]],customers!$A$1:$A$1001,customers!$I$1:$I$1001,,0)</f>
        <v>No</v>
      </c>
    </row>
    <row r="615" spans="1:18" x14ac:dyDescent="0.35">
      <c r="A615" s="2" t="s">
        <v>3950</v>
      </c>
      <c r="B615" s="3">
        <v>43761</v>
      </c>
      <c r="C615" s="2" t="s">
        <v>3951</v>
      </c>
      <c r="D615" t="s">
        <v>6146</v>
      </c>
      <c r="E615" s="2">
        <v>1</v>
      </c>
      <c r="F615" s="2" t="str">
        <f>_xlfn.XLOOKUP(Orders[[#This Row],[Customer ID]],customers!$A$1:$A$1001,customers!$B$1:$B$1001,,0)</f>
        <v>Gunilla Lynch</v>
      </c>
      <c r="G615" s="2" t="str">
        <f>IF(_xlfn.XLOOKUP(C615,customers!$A$1:$A$1001,customers!C614:C1614,,0)=0,"",_xlfn.XLOOKUP(C615,customers!$A$1:$A$1001,customers!C614:C1614,,0))</f>
        <v/>
      </c>
      <c r="H615" s="2" t="str">
        <f>_xlfn.XLOOKUP(Orders[[#This Row],[Customer ID]],customers!$A$1:$A$1001,customers!$G$1:$G$1001,,0)</f>
        <v>United States</v>
      </c>
      <c r="I615" s="2" t="str">
        <f>_xlfn.XLOOKUP(Orders[[#This Row],[Customer ID]],customers!$A$1:$A$1001,customers!$F$1:$F$1001,,0)</f>
        <v>Sacramento</v>
      </c>
      <c r="J615" t="str">
        <f>INDEX(products!$A$1:$G$49,MATCH(orders!$D615,products!$A$1:$A$49,0),MATCH(orders!J$1,products!$A$1:$G$1,0))</f>
        <v>Rob</v>
      </c>
      <c r="K615" t="str">
        <f>INDEX(products!$A$1:$G$49,MATCH(orders!$D615,products!$A$1:$A$49,0),MATCH(orders!K$1,products!$A$1:$G$1,0))</f>
        <v>M</v>
      </c>
      <c r="L615" s="4">
        <f>INDEX(products!$A$1:$G$49,MATCH(orders!$D615,products!$A$1:$A$49,0),MATCH(orders!L$1,products!$A$1:$G$1,0))</f>
        <v>0.5</v>
      </c>
      <c r="M615" s="5">
        <f>INDEX(products!$A$1:$G$49,MATCH(orders!$D615,products!$A$1:$A$49,0),MATCH(orders!M$1,products!$A$1:$G$1,0))</f>
        <v>5.97</v>
      </c>
      <c r="N615" s="5">
        <f>Orders[[#This Row],[Quantity]]*(INDEX(products!$A$1:$G$49,MATCH(orders!$D615,products!$A$1:$A$49,0),MATCH(orders!N$1,products!$A$1:$G$1,0)))</f>
        <v>0.35819999999999996</v>
      </c>
      <c r="O615" s="5">
        <f>M615*E615</f>
        <v>5.97</v>
      </c>
      <c r="P615" t="str">
        <f t="shared" si="18"/>
        <v>Robusta</v>
      </c>
      <c r="Q615" t="str">
        <f t="shared" si="19"/>
        <v>Medium</v>
      </c>
      <c r="R615" t="str">
        <f>_xlfn.XLOOKUP(Orders[[#This Row],[Customer ID]],customers!$A$1:$A$1001,customers!$I$1:$I$1001,,0)</f>
        <v>No</v>
      </c>
    </row>
    <row r="616" spans="1:18" x14ac:dyDescent="0.35">
      <c r="A616" s="2" t="s">
        <v>3955</v>
      </c>
      <c r="B616" s="3">
        <v>43944</v>
      </c>
      <c r="C616" s="2" t="s">
        <v>3840</v>
      </c>
      <c r="D616" t="s">
        <v>6146</v>
      </c>
      <c r="E616" s="2">
        <v>5</v>
      </c>
      <c r="F616" s="2" t="str">
        <f>_xlfn.XLOOKUP(Orders[[#This Row],[Customer ID]],customers!$A$1:$A$1001,customers!$B$1:$B$1001,,0)</f>
        <v>Cody Verissimo</v>
      </c>
      <c r="G616" s="2" t="str">
        <f>IF(_xlfn.XLOOKUP(C616,customers!$A$1:$A$1001,customers!C615:C1615,,0)=0,"",_xlfn.XLOOKUP(C616,customers!$A$1:$A$1001,customers!C615:C1615,,0))</f>
        <v/>
      </c>
      <c r="H616" s="2" t="str">
        <f>_xlfn.XLOOKUP(Orders[[#This Row],[Customer ID]],customers!$A$1:$A$1001,customers!$G$1:$G$1001,,0)</f>
        <v>United Kingdom</v>
      </c>
      <c r="I616" s="2" t="str">
        <f>_xlfn.XLOOKUP(Orders[[#This Row],[Customer ID]],customers!$A$1:$A$1001,customers!$F$1:$F$1001,,0)</f>
        <v>Upton</v>
      </c>
      <c r="J616" t="str">
        <f>INDEX(products!$A$1:$G$49,MATCH(orders!$D616,products!$A$1:$A$49,0),MATCH(orders!J$1,products!$A$1:$G$1,0))</f>
        <v>Rob</v>
      </c>
      <c r="K616" t="str">
        <f>INDEX(products!$A$1:$G$49,MATCH(orders!$D616,products!$A$1:$A$49,0),MATCH(orders!K$1,products!$A$1:$G$1,0))</f>
        <v>M</v>
      </c>
      <c r="L616" s="4">
        <f>INDEX(products!$A$1:$G$49,MATCH(orders!$D616,products!$A$1:$A$49,0),MATCH(orders!L$1,products!$A$1:$G$1,0))</f>
        <v>0.5</v>
      </c>
      <c r="M616" s="5">
        <f>INDEX(products!$A$1:$G$49,MATCH(orders!$D616,products!$A$1:$A$49,0),MATCH(orders!M$1,products!$A$1:$G$1,0))</f>
        <v>5.97</v>
      </c>
      <c r="N616" s="5">
        <f>Orders[[#This Row],[Quantity]]*(INDEX(products!$A$1:$G$49,MATCH(orders!$D616,products!$A$1:$A$49,0),MATCH(orders!N$1,products!$A$1:$G$1,0)))</f>
        <v>1.7909999999999999</v>
      </c>
      <c r="O616" s="5">
        <f>M616*E616</f>
        <v>29.849999999999998</v>
      </c>
      <c r="P616" t="str">
        <f t="shared" si="18"/>
        <v>Robusta</v>
      </c>
      <c r="Q616" t="str">
        <f t="shared" si="19"/>
        <v>Medium</v>
      </c>
      <c r="R616" t="str">
        <f>_xlfn.XLOOKUP(Orders[[#This Row],[Customer ID]],customers!$A$1:$A$1001,customers!$I$1:$I$1001,,0)</f>
        <v>Yes</v>
      </c>
    </row>
    <row r="617" spans="1:18" x14ac:dyDescent="0.35">
      <c r="A617" s="2" t="s">
        <v>3960</v>
      </c>
      <c r="B617" s="3">
        <v>44006</v>
      </c>
      <c r="C617" s="2" t="s">
        <v>3961</v>
      </c>
      <c r="D617" t="s">
        <v>6164</v>
      </c>
      <c r="E617" s="2">
        <v>2</v>
      </c>
      <c r="F617" s="2" t="str">
        <f>_xlfn.XLOOKUP(Orders[[#This Row],[Customer ID]],customers!$A$1:$A$1001,customers!$B$1:$B$1001,,0)</f>
        <v>Shay Couronne</v>
      </c>
      <c r="G617" s="2" t="str">
        <f>IF(_xlfn.XLOOKUP(C617,customers!$A$1:$A$1001,customers!C616:C1616,,0)=0,"",_xlfn.XLOOKUP(C617,customers!$A$1:$A$1001,customers!C616:C1616,,0))</f>
        <v/>
      </c>
      <c r="H617" s="2" t="str">
        <f>_xlfn.XLOOKUP(Orders[[#This Row],[Customer ID]],customers!$A$1:$A$1001,customers!$G$1:$G$1001,,0)</f>
        <v>United States</v>
      </c>
      <c r="I617" s="2" t="str">
        <f>_xlfn.XLOOKUP(Orders[[#This Row],[Customer ID]],customers!$A$1:$A$1001,customers!$F$1:$F$1001,,0)</f>
        <v>Fargo</v>
      </c>
      <c r="J617" t="str">
        <f>INDEX(products!$A$1:$G$49,MATCH(orders!$D617,products!$A$1:$A$49,0),MATCH(orders!J$1,products!$A$1:$G$1,0))</f>
        <v>Lib</v>
      </c>
      <c r="K617" t="str">
        <f>INDEX(products!$A$1:$G$49,MATCH(orders!$D617,products!$A$1:$A$49,0),MATCH(orders!K$1,products!$A$1:$G$1,0))</f>
        <v>L</v>
      </c>
      <c r="L617" s="4">
        <f>INDEX(products!$A$1:$G$49,MATCH(orders!$D617,products!$A$1:$A$49,0),MATCH(orders!L$1,products!$A$1:$G$1,0))</f>
        <v>2.5</v>
      </c>
      <c r="M617" s="5">
        <f>INDEX(products!$A$1:$G$49,MATCH(orders!$D617,products!$A$1:$A$49,0),MATCH(orders!M$1,products!$A$1:$G$1,0))</f>
        <v>36.454999999999998</v>
      </c>
      <c r="N617" s="5">
        <f>Orders[[#This Row],[Quantity]]*(INDEX(products!$A$1:$G$49,MATCH(orders!$D617,products!$A$1:$A$49,0),MATCH(orders!N$1,products!$A$1:$G$1,0)))</f>
        <v>9.4782999999999991</v>
      </c>
      <c r="O617" s="5">
        <f>M617*E617</f>
        <v>72.91</v>
      </c>
      <c r="P617" t="str">
        <f t="shared" si="18"/>
        <v>Liberica</v>
      </c>
      <c r="Q617" t="str">
        <f t="shared" si="19"/>
        <v>Light</v>
      </c>
      <c r="R617" t="str">
        <f>_xlfn.XLOOKUP(Orders[[#This Row],[Customer ID]],customers!$A$1:$A$1001,customers!$I$1:$I$1001,,0)</f>
        <v>Yes</v>
      </c>
    </row>
    <row r="618" spans="1:18" x14ac:dyDescent="0.35">
      <c r="A618" s="2" t="s">
        <v>3966</v>
      </c>
      <c r="B618" s="3">
        <v>44271</v>
      </c>
      <c r="C618" s="2" t="s">
        <v>3967</v>
      </c>
      <c r="D618" t="s">
        <v>6166</v>
      </c>
      <c r="E618" s="2">
        <v>4</v>
      </c>
      <c r="F618" s="2" t="str">
        <f>_xlfn.XLOOKUP(Orders[[#This Row],[Customer ID]],customers!$A$1:$A$1001,customers!$B$1:$B$1001,,0)</f>
        <v>Linus Flippelli</v>
      </c>
      <c r="G618" s="2" t="str">
        <f>IF(_xlfn.XLOOKUP(C618,customers!$A$1:$A$1001,customers!C617:C1617,,0)=0,"",_xlfn.XLOOKUP(C618,customers!$A$1:$A$1001,customers!C617:C1617,,0))</f>
        <v/>
      </c>
      <c r="H618" s="2" t="str">
        <f>_xlfn.XLOOKUP(Orders[[#This Row],[Customer ID]],customers!$A$1:$A$1001,customers!$G$1:$G$1001,,0)</f>
        <v>United Kingdom</v>
      </c>
      <c r="I618" s="2" t="str">
        <f>_xlfn.XLOOKUP(Orders[[#This Row],[Customer ID]],customers!$A$1:$A$1001,customers!$F$1:$F$1001,,0)</f>
        <v>Middleton</v>
      </c>
      <c r="J618" t="str">
        <f>INDEX(products!$A$1:$G$49,MATCH(orders!$D618,products!$A$1:$A$49,0),MATCH(orders!J$1,products!$A$1:$G$1,0))</f>
        <v>Exc</v>
      </c>
      <c r="K618" t="str">
        <f>INDEX(products!$A$1:$G$49,MATCH(orders!$D618,products!$A$1:$A$49,0),MATCH(orders!K$1,products!$A$1:$G$1,0))</f>
        <v>M</v>
      </c>
      <c r="L618" s="4">
        <f>INDEX(products!$A$1:$G$49,MATCH(orders!$D618,products!$A$1:$A$49,0),MATCH(orders!L$1,products!$A$1:$G$1,0))</f>
        <v>2.5</v>
      </c>
      <c r="M618" s="5">
        <f>INDEX(products!$A$1:$G$49,MATCH(orders!$D618,products!$A$1:$A$49,0),MATCH(orders!M$1,products!$A$1:$G$1,0))</f>
        <v>31.624999999999996</v>
      </c>
      <c r="N618" s="5">
        <f>Orders[[#This Row],[Quantity]]*(INDEX(products!$A$1:$G$49,MATCH(orders!$D618,products!$A$1:$A$49,0),MATCH(orders!N$1,products!$A$1:$G$1,0)))</f>
        <v>13.914999999999999</v>
      </c>
      <c r="O618" s="5">
        <f>M618*E618</f>
        <v>126.49999999999999</v>
      </c>
      <c r="P618" t="str">
        <f t="shared" si="18"/>
        <v>Excelsa</v>
      </c>
      <c r="Q618" t="str">
        <f t="shared" si="19"/>
        <v>Medium</v>
      </c>
      <c r="R618" t="str">
        <f>_xlfn.XLOOKUP(Orders[[#This Row],[Customer ID]],customers!$A$1:$A$1001,customers!$I$1:$I$1001,,0)</f>
        <v>No</v>
      </c>
    </row>
    <row r="619" spans="1:18" x14ac:dyDescent="0.35">
      <c r="A619" s="2" t="s">
        <v>3972</v>
      </c>
      <c r="B619" s="3">
        <v>43928</v>
      </c>
      <c r="C619" s="2" t="s">
        <v>3973</v>
      </c>
      <c r="D619" t="s">
        <v>6181</v>
      </c>
      <c r="E619" s="2">
        <v>1</v>
      </c>
      <c r="F619" s="2" t="str">
        <f>_xlfn.XLOOKUP(Orders[[#This Row],[Customer ID]],customers!$A$1:$A$1001,customers!$B$1:$B$1001,,0)</f>
        <v>Rachelle Elizabeth</v>
      </c>
      <c r="G619" s="2" t="str">
        <f>IF(_xlfn.XLOOKUP(C619,customers!$A$1:$A$1001,customers!C618:C1618,,0)=0,"",_xlfn.XLOOKUP(C619,customers!$A$1:$A$1001,customers!C618:C1618,,0))</f>
        <v/>
      </c>
      <c r="H619" s="2" t="str">
        <f>_xlfn.XLOOKUP(Orders[[#This Row],[Customer ID]],customers!$A$1:$A$1001,customers!$G$1:$G$1001,,0)</f>
        <v>United States</v>
      </c>
      <c r="I619" s="2" t="str">
        <f>_xlfn.XLOOKUP(Orders[[#This Row],[Customer ID]],customers!$A$1:$A$1001,customers!$F$1:$F$1001,,0)</f>
        <v>Tulsa</v>
      </c>
      <c r="J619" t="str">
        <f>INDEX(products!$A$1:$G$49,MATCH(orders!$D619,products!$A$1:$A$49,0),MATCH(orders!J$1,products!$A$1:$G$1,0))</f>
        <v>Lib</v>
      </c>
      <c r="K619" t="str">
        <f>INDEX(products!$A$1:$G$49,MATCH(orders!$D619,products!$A$1:$A$49,0),MATCH(orders!K$1,products!$A$1:$G$1,0))</f>
        <v>M</v>
      </c>
      <c r="L619" s="4">
        <f>INDEX(products!$A$1:$G$49,MATCH(orders!$D619,products!$A$1:$A$49,0),MATCH(orders!L$1,products!$A$1:$G$1,0))</f>
        <v>2.5</v>
      </c>
      <c r="M619" s="5">
        <f>INDEX(products!$A$1:$G$49,MATCH(orders!$D619,products!$A$1:$A$49,0),MATCH(orders!M$1,products!$A$1:$G$1,0))</f>
        <v>33.464999999999996</v>
      </c>
      <c r="N619" s="5">
        <f>Orders[[#This Row],[Quantity]]*(INDEX(products!$A$1:$G$49,MATCH(orders!$D619,products!$A$1:$A$49,0),MATCH(orders!N$1,products!$A$1:$G$1,0)))</f>
        <v>4.3504499999999995</v>
      </c>
      <c r="O619" s="5">
        <f>M619*E619</f>
        <v>33.464999999999996</v>
      </c>
      <c r="P619" t="str">
        <f t="shared" si="18"/>
        <v>Liberica</v>
      </c>
      <c r="Q619" t="str">
        <f t="shared" si="19"/>
        <v>Medium</v>
      </c>
      <c r="R619" t="str">
        <f>_xlfn.XLOOKUP(Orders[[#This Row],[Customer ID]],customers!$A$1:$A$1001,customers!$I$1:$I$1001,,0)</f>
        <v>No</v>
      </c>
    </row>
    <row r="620" spans="1:18" x14ac:dyDescent="0.35">
      <c r="A620" s="2" t="s">
        <v>3978</v>
      </c>
      <c r="B620" s="3">
        <v>44469</v>
      </c>
      <c r="C620" s="2" t="s">
        <v>3979</v>
      </c>
      <c r="D620" t="s">
        <v>6183</v>
      </c>
      <c r="E620" s="2">
        <v>6</v>
      </c>
      <c r="F620" s="2" t="str">
        <f>_xlfn.XLOOKUP(Orders[[#This Row],[Customer ID]],customers!$A$1:$A$1001,customers!$B$1:$B$1001,,0)</f>
        <v>Innis Renhard</v>
      </c>
      <c r="G620" s="2" t="str">
        <f>IF(_xlfn.XLOOKUP(C620,customers!$A$1:$A$1001,customers!C619:C1619,,0)=0,"",_xlfn.XLOOKUP(C620,customers!$A$1:$A$1001,customers!C619:C1619,,0))</f>
        <v/>
      </c>
      <c r="H620" s="2" t="str">
        <f>_xlfn.XLOOKUP(Orders[[#This Row],[Customer ID]],customers!$A$1:$A$1001,customers!$G$1:$G$1001,,0)</f>
        <v>United States</v>
      </c>
      <c r="I620" s="2" t="str">
        <f>_xlfn.XLOOKUP(Orders[[#This Row],[Customer ID]],customers!$A$1:$A$1001,customers!$F$1:$F$1001,,0)</f>
        <v>New York City</v>
      </c>
      <c r="J620" t="str">
        <f>INDEX(products!$A$1:$G$49,MATCH(orders!$D620,products!$A$1:$A$49,0),MATCH(orders!J$1,products!$A$1:$G$1,0))</f>
        <v>Exc</v>
      </c>
      <c r="K620" t="str">
        <f>INDEX(products!$A$1:$G$49,MATCH(orders!$D620,products!$A$1:$A$49,0),MATCH(orders!K$1,products!$A$1:$G$1,0))</f>
        <v>D</v>
      </c>
      <c r="L620" s="4">
        <f>INDEX(products!$A$1:$G$49,MATCH(orders!$D620,products!$A$1:$A$49,0),MATCH(orders!L$1,products!$A$1:$G$1,0))</f>
        <v>1</v>
      </c>
      <c r="M620" s="5">
        <f>INDEX(products!$A$1:$G$49,MATCH(orders!$D620,products!$A$1:$A$49,0),MATCH(orders!M$1,products!$A$1:$G$1,0))</f>
        <v>12.15</v>
      </c>
      <c r="N620" s="5">
        <f>Orders[[#This Row],[Quantity]]*(INDEX(products!$A$1:$G$49,MATCH(orders!$D620,products!$A$1:$A$49,0),MATCH(orders!N$1,products!$A$1:$G$1,0)))</f>
        <v>8.0190000000000001</v>
      </c>
      <c r="O620" s="5">
        <f>M620*E620</f>
        <v>72.900000000000006</v>
      </c>
      <c r="P620" t="str">
        <f t="shared" si="18"/>
        <v>Excelsa</v>
      </c>
      <c r="Q620" t="str">
        <f t="shared" si="19"/>
        <v>Dark</v>
      </c>
      <c r="R620" t="str">
        <f>_xlfn.XLOOKUP(Orders[[#This Row],[Customer ID]],customers!$A$1:$A$1001,customers!$I$1:$I$1001,,0)</f>
        <v>Yes</v>
      </c>
    </row>
    <row r="621" spans="1:18" x14ac:dyDescent="0.35">
      <c r="A621" s="2" t="s">
        <v>3984</v>
      </c>
      <c r="B621" s="3">
        <v>44682</v>
      </c>
      <c r="C621" s="2" t="s">
        <v>3985</v>
      </c>
      <c r="D621" t="s">
        <v>6169</v>
      </c>
      <c r="E621" s="2">
        <v>2</v>
      </c>
      <c r="F621" s="2" t="str">
        <f>_xlfn.XLOOKUP(Orders[[#This Row],[Customer ID]],customers!$A$1:$A$1001,customers!$B$1:$B$1001,,0)</f>
        <v>Winne Roche</v>
      </c>
      <c r="G621" s="2" t="str">
        <f>IF(_xlfn.XLOOKUP(C621,customers!$A$1:$A$1001,customers!C620:C1620,,0)=0,"",_xlfn.XLOOKUP(C621,customers!$A$1:$A$1001,customers!C620:C1620,,0))</f>
        <v/>
      </c>
      <c r="H621" s="2" t="str">
        <f>_xlfn.XLOOKUP(Orders[[#This Row],[Customer ID]],customers!$A$1:$A$1001,customers!$G$1:$G$1001,,0)</f>
        <v>United States</v>
      </c>
      <c r="I621" s="2" t="str">
        <f>_xlfn.XLOOKUP(Orders[[#This Row],[Customer ID]],customers!$A$1:$A$1001,customers!$F$1:$F$1001,,0)</f>
        <v>Seminole</v>
      </c>
      <c r="J621" t="str">
        <f>INDEX(products!$A$1:$G$49,MATCH(orders!$D621,products!$A$1:$A$49,0),MATCH(orders!J$1,products!$A$1:$G$1,0))</f>
        <v>Lib</v>
      </c>
      <c r="K621" t="str">
        <f>INDEX(products!$A$1:$G$49,MATCH(orders!$D621,products!$A$1:$A$49,0),MATCH(orders!K$1,products!$A$1:$G$1,0))</f>
        <v>D</v>
      </c>
      <c r="L621" s="4">
        <f>INDEX(products!$A$1:$G$49,MATCH(orders!$D621,products!$A$1:$A$49,0),MATCH(orders!L$1,products!$A$1:$G$1,0))</f>
        <v>0.5</v>
      </c>
      <c r="M621" s="5">
        <f>INDEX(products!$A$1:$G$49,MATCH(orders!$D621,products!$A$1:$A$49,0),MATCH(orders!M$1,products!$A$1:$G$1,0))</f>
        <v>7.77</v>
      </c>
      <c r="N621" s="5">
        <f>Orders[[#This Row],[Quantity]]*(INDEX(products!$A$1:$G$49,MATCH(orders!$D621,products!$A$1:$A$49,0),MATCH(orders!N$1,products!$A$1:$G$1,0)))</f>
        <v>2.0202</v>
      </c>
      <c r="O621" s="5">
        <f>M621*E621</f>
        <v>15.54</v>
      </c>
      <c r="P621" t="str">
        <f t="shared" si="18"/>
        <v>Liberica</v>
      </c>
      <c r="Q621" t="str">
        <f t="shared" si="19"/>
        <v>Dark</v>
      </c>
      <c r="R621" t="str">
        <f>_xlfn.XLOOKUP(Orders[[#This Row],[Customer ID]],customers!$A$1:$A$1001,customers!$I$1:$I$1001,,0)</f>
        <v>Yes</v>
      </c>
    </row>
    <row r="622" spans="1:18" x14ac:dyDescent="0.35">
      <c r="A622" s="2" t="s">
        <v>3990</v>
      </c>
      <c r="B622" s="3">
        <v>44217</v>
      </c>
      <c r="C622" s="2" t="s">
        <v>4042</v>
      </c>
      <c r="D622" t="s">
        <v>6152</v>
      </c>
      <c r="E622" s="2">
        <v>6</v>
      </c>
      <c r="F622" s="2" t="str">
        <f>_xlfn.XLOOKUP(Orders[[#This Row],[Customer ID]],customers!$A$1:$A$1001,customers!$B$1:$B$1001,,0)</f>
        <v>Linn Alaway</v>
      </c>
      <c r="G622" s="2" t="str">
        <f>IF(_xlfn.XLOOKUP(C622,customers!$A$1:$A$1001,customers!C621:C1621,,0)=0,"",_xlfn.XLOOKUP(C622,customers!$A$1:$A$1001,customers!C621:C1621,,0))</f>
        <v/>
      </c>
      <c r="H622" s="2" t="str">
        <f>_xlfn.XLOOKUP(Orders[[#This Row],[Customer ID]],customers!$A$1:$A$1001,customers!$G$1:$G$1001,,0)</f>
        <v>United States</v>
      </c>
      <c r="I622" s="2" t="str">
        <f>_xlfn.XLOOKUP(Orders[[#This Row],[Customer ID]],customers!$A$1:$A$1001,customers!$F$1:$F$1001,,0)</f>
        <v>Fort Lauderdale</v>
      </c>
      <c r="J622" t="str">
        <f>INDEX(products!$A$1:$G$49,MATCH(orders!$D622,products!$A$1:$A$49,0),MATCH(orders!J$1,products!$A$1:$G$1,0))</f>
        <v>Ara</v>
      </c>
      <c r="K622" t="str">
        <f>INDEX(products!$A$1:$G$49,MATCH(orders!$D622,products!$A$1:$A$49,0),MATCH(orders!K$1,products!$A$1:$G$1,0))</f>
        <v>M</v>
      </c>
      <c r="L622" s="4">
        <f>INDEX(products!$A$1:$G$49,MATCH(orders!$D622,products!$A$1:$A$49,0),MATCH(orders!L$1,products!$A$1:$G$1,0))</f>
        <v>0.2</v>
      </c>
      <c r="M622" s="5">
        <f>INDEX(products!$A$1:$G$49,MATCH(orders!$D622,products!$A$1:$A$49,0),MATCH(orders!M$1,products!$A$1:$G$1,0))</f>
        <v>3.375</v>
      </c>
      <c r="N622" s="5">
        <f>Orders[[#This Row],[Quantity]]*(INDEX(products!$A$1:$G$49,MATCH(orders!$D622,products!$A$1:$A$49,0),MATCH(orders!N$1,products!$A$1:$G$1,0)))</f>
        <v>1.8224999999999998</v>
      </c>
      <c r="O622" s="5">
        <f>M622*E622</f>
        <v>20.25</v>
      </c>
      <c r="P622" t="str">
        <f t="shared" si="18"/>
        <v>Arabica</v>
      </c>
      <c r="Q622" t="str">
        <f t="shared" si="19"/>
        <v>Medium</v>
      </c>
      <c r="R622" t="str">
        <f>_xlfn.XLOOKUP(Orders[[#This Row],[Customer ID]],customers!$A$1:$A$1001,customers!$I$1:$I$1001,,0)</f>
        <v>No</v>
      </c>
    </row>
    <row r="623" spans="1:18" x14ac:dyDescent="0.35">
      <c r="A623" s="2" t="s">
        <v>3996</v>
      </c>
      <c r="B623" s="3">
        <v>44006</v>
      </c>
      <c r="C623" s="2" t="s">
        <v>3997</v>
      </c>
      <c r="D623" t="s">
        <v>6140</v>
      </c>
      <c r="E623" s="2">
        <v>6</v>
      </c>
      <c r="F623" s="2" t="str">
        <f>_xlfn.XLOOKUP(Orders[[#This Row],[Customer ID]],customers!$A$1:$A$1001,customers!$B$1:$B$1001,,0)</f>
        <v>Cordy Odgaard</v>
      </c>
      <c r="G623" s="2" t="str">
        <f>IF(_xlfn.XLOOKUP(C623,customers!$A$1:$A$1001,customers!C622:C1622,,0)=0,"",_xlfn.XLOOKUP(C623,customers!$A$1:$A$1001,customers!C622:C1622,,0))</f>
        <v/>
      </c>
      <c r="H623" s="2" t="str">
        <f>_xlfn.XLOOKUP(Orders[[#This Row],[Customer ID]],customers!$A$1:$A$1001,customers!$G$1:$G$1001,,0)</f>
        <v>United States</v>
      </c>
      <c r="I623" s="2" t="str">
        <f>_xlfn.XLOOKUP(Orders[[#This Row],[Customer ID]],customers!$A$1:$A$1001,customers!$F$1:$F$1001,,0)</f>
        <v>Portland</v>
      </c>
      <c r="J623" t="str">
        <f>INDEX(products!$A$1:$G$49,MATCH(orders!$D623,products!$A$1:$A$49,0),MATCH(orders!J$1,products!$A$1:$G$1,0))</f>
        <v>Ara</v>
      </c>
      <c r="K623" t="str">
        <f>INDEX(products!$A$1:$G$49,MATCH(orders!$D623,products!$A$1:$A$49,0),MATCH(orders!K$1,products!$A$1:$G$1,0))</f>
        <v>L</v>
      </c>
      <c r="L623" s="4">
        <f>INDEX(products!$A$1:$G$49,MATCH(orders!$D623,products!$A$1:$A$49,0),MATCH(orders!L$1,products!$A$1:$G$1,0))</f>
        <v>1</v>
      </c>
      <c r="M623" s="5">
        <f>INDEX(products!$A$1:$G$49,MATCH(orders!$D623,products!$A$1:$A$49,0),MATCH(orders!M$1,products!$A$1:$G$1,0))</f>
        <v>12.95</v>
      </c>
      <c r="N623" s="5">
        <f>Orders[[#This Row],[Quantity]]*(INDEX(products!$A$1:$G$49,MATCH(orders!$D623,products!$A$1:$A$49,0),MATCH(orders!N$1,products!$A$1:$G$1,0)))</f>
        <v>6.9930000000000003</v>
      </c>
      <c r="O623" s="5">
        <f>M623*E623</f>
        <v>77.699999999999989</v>
      </c>
      <c r="P623" t="str">
        <f t="shared" si="18"/>
        <v>Arabica</v>
      </c>
      <c r="Q623" t="str">
        <f t="shared" si="19"/>
        <v>Light</v>
      </c>
      <c r="R623" t="str">
        <f>_xlfn.XLOOKUP(Orders[[#This Row],[Customer ID]],customers!$A$1:$A$1001,customers!$I$1:$I$1001,,0)</f>
        <v>No</v>
      </c>
    </row>
    <row r="624" spans="1:18" x14ac:dyDescent="0.35">
      <c r="A624" s="2" t="s">
        <v>4002</v>
      </c>
      <c r="B624" s="3">
        <v>43527</v>
      </c>
      <c r="C624" s="2" t="s">
        <v>4003</v>
      </c>
      <c r="D624" t="s">
        <v>6181</v>
      </c>
      <c r="E624" s="2">
        <v>4</v>
      </c>
      <c r="F624" s="2" t="str">
        <f>_xlfn.XLOOKUP(Orders[[#This Row],[Customer ID]],customers!$A$1:$A$1001,customers!$B$1:$B$1001,,0)</f>
        <v>Bertine Byrd</v>
      </c>
      <c r="G624" s="2" t="str">
        <f>IF(_xlfn.XLOOKUP(C624,customers!$A$1:$A$1001,customers!C623:C1623,,0)=0,"",_xlfn.XLOOKUP(C624,customers!$A$1:$A$1001,customers!C623:C1623,,0))</f>
        <v/>
      </c>
      <c r="H624" s="2" t="str">
        <f>_xlfn.XLOOKUP(Orders[[#This Row],[Customer ID]],customers!$A$1:$A$1001,customers!$G$1:$G$1001,,0)</f>
        <v>United States</v>
      </c>
      <c r="I624" s="2" t="str">
        <f>_xlfn.XLOOKUP(Orders[[#This Row],[Customer ID]],customers!$A$1:$A$1001,customers!$F$1:$F$1001,,0)</f>
        <v>Las Vegas</v>
      </c>
      <c r="J624" t="str">
        <f>INDEX(products!$A$1:$G$49,MATCH(orders!$D624,products!$A$1:$A$49,0),MATCH(orders!J$1,products!$A$1:$G$1,0))</f>
        <v>Lib</v>
      </c>
      <c r="K624" t="str">
        <f>INDEX(products!$A$1:$G$49,MATCH(orders!$D624,products!$A$1:$A$49,0),MATCH(orders!K$1,products!$A$1:$G$1,0))</f>
        <v>M</v>
      </c>
      <c r="L624" s="4">
        <f>INDEX(products!$A$1:$G$49,MATCH(orders!$D624,products!$A$1:$A$49,0),MATCH(orders!L$1,products!$A$1:$G$1,0))</f>
        <v>2.5</v>
      </c>
      <c r="M624" s="5">
        <f>INDEX(products!$A$1:$G$49,MATCH(orders!$D624,products!$A$1:$A$49,0),MATCH(orders!M$1,products!$A$1:$G$1,0))</f>
        <v>33.464999999999996</v>
      </c>
      <c r="N624" s="5">
        <f>Orders[[#This Row],[Quantity]]*(INDEX(products!$A$1:$G$49,MATCH(orders!$D624,products!$A$1:$A$49,0),MATCH(orders!N$1,products!$A$1:$G$1,0)))</f>
        <v>17.401799999999998</v>
      </c>
      <c r="O624" s="5">
        <f>M624*E624</f>
        <v>133.85999999999999</v>
      </c>
      <c r="P624" t="str">
        <f t="shared" si="18"/>
        <v>Liberica</v>
      </c>
      <c r="Q624" t="str">
        <f t="shared" si="19"/>
        <v>Medium</v>
      </c>
      <c r="R624" t="str">
        <f>_xlfn.XLOOKUP(Orders[[#This Row],[Customer ID]],customers!$A$1:$A$1001,customers!$I$1:$I$1001,,0)</f>
        <v>No</v>
      </c>
    </row>
    <row r="625" spans="1:18" x14ac:dyDescent="0.35">
      <c r="A625" s="2" t="s">
        <v>4007</v>
      </c>
      <c r="B625" s="3">
        <v>44224</v>
      </c>
      <c r="C625" s="2" t="s">
        <v>4008</v>
      </c>
      <c r="D625" t="s">
        <v>6183</v>
      </c>
      <c r="E625" s="2">
        <v>1</v>
      </c>
      <c r="F625" s="2" t="str">
        <f>_xlfn.XLOOKUP(Orders[[#This Row],[Customer ID]],customers!$A$1:$A$1001,customers!$B$1:$B$1001,,0)</f>
        <v>Nelie Garnson</v>
      </c>
      <c r="G625" s="2" t="str">
        <f>IF(_xlfn.XLOOKUP(C625,customers!$A$1:$A$1001,customers!C624:C1624,,0)=0,"",_xlfn.XLOOKUP(C625,customers!$A$1:$A$1001,customers!C624:C1624,,0))</f>
        <v/>
      </c>
      <c r="H625" s="2" t="str">
        <f>_xlfn.XLOOKUP(Orders[[#This Row],[Customer ID]],customers!$A$1:$A$1001,customers!$G$1:$G$1001,,0)</f>
        <v>United Kingdom</v>
      </c>
      <c r="I625" s="2" t="str">
        <f>_xlfn.XLOOKUP(Orders[[#This Row],[Customer ID]],customers!$A$1:$A$1001,customers!$F$1:$F$1001,,0)</f>
        <v>Merton</v>
      </c>
      <c r="J625" t="str">
        <f>INDEX(products!$A$1:$G$49,MATCH(orders!$D625,products!$A$1:$A$49,0),MATCH(orders!J$1,products!$A$1:$G$1,0))</f>
        <v>Exc</v>
      </c>
      <c r="K625" t="str">
        <f>INDEX(products!$A$1:$G$49,MATCH(orders!$D625,products!$A$1:$A$49,0),MATCH(orders!K$1,products!$A$1:$G$1,0))</f>
        <v>D</v>
      </c>
      <c r="L625" s="4">
        <f>INDEX(products!$A$1:$G$49,MATCH(orders!$D625,products!$A$1:$A$49,0),MATCH(orders!L$1,products!$A$1:$G$1,0))</f>
        <v>1</v>
      </c>
      <c r="M625" s="5">
        <f>INDEX(products!$A$1:$G$49,MATCH(orders!$D625,products!$A$1:$A$49,0),MATCH(orders!M$1,products!$A$1:$G$1,0))</f>
        <v>12.15</v>
      </c>
      <c r="N625" s="5">
        <f>Orders[[#This Row],[Quantity]]*(INDEX(products!$A$1:$G$49,MATCH(orders!$D625,products!$A$1:$A$49,0),MATCH(orders!N$1,products!$A$1:$G$1,0)))</f>
        <v>1.3365</v>
      </c>
      <c r="O625" s="5">
        <f>M625*E625</f>
        <v>12.15</v>
      </c>
      <c r="P625" t="str">
        <f t="shared" si="18"/>
        <v>Excelsa</v>
      </c>
      <c r="Q625" t="str">
        <f t="shared" si="19"/>
        <v>Dark</v>
      </c>
      <c r="R625" t="str">
        <f>_xlfn.XLOOKUP(Orders[[#This Row],[Customer ID]],customers!$A$1:$A$1001,customers!$I$1:$I$1001,,0)</f>
        <v>No</v>
      </c>
    </row>
    <row r="626" spans="1:18" x14ac:dyDescent="0.35">
      <c r="A626" s="2" t="s">
        <v>4012</v>
      </c>
      <c r="B626" s="3">
        <v>44010</v>
      </c>
      <c r="C626" s="2" t="s">
        <v>4013</v>
      </c>
      <c r="D626" t="s">
        <v>6166</v>
      </c>
      <c r="E626" s="2">
        <v>2</v>
      </c>
      <c r="F626" s="2" t="str">
        <f>_xlfn.XLOOKUP(Orders[[#This Row],[Customer ID]],customers!$A$1:$A$1001,customers!$B$1:$B$1001,,0)</f>
        <v>Dianne Chardin</v>
      </c>
      <c r="G626" s="2" t="str">
        <f>IF(_xlfn.XLOOKUP(C626,customers!$A$1:$A$1001,customers!C625:C1625,,0)=0,"",_xlfn.XLOOKUP(C626,customers!$A$1:$A$1001,customers!C625:C1625,,0))</f>
        <v/>
      </c>
      <c r="H626" s="2" t="str">
        <f>_xlfn.XLOOKUP(Orders[[#This Row],[Customer ID]],customers!$A$1:$A$1001,customers!$G$1:$G$1001,,0)</f>
        <v>Ireland</v>
      </c>
      <c r="I626" s="2" t="str">
        <f>_xlfn.XLOOKUP(Orders[[#This Row],[Customer ID]],customers!$A$1:$A$1001,customers!$F$1:$F$1001,,0)</f>
        <v>Ballybofey</v>
      </c>
      <c r="J626" t="str">
        <f>INDEX(products!$A$1:$G$49,MATCH(orders!$D626,products!$A$1:$A$49,0),MATCH(orders!J$1,products!$A$1:$G$1,0))</f>
        <v>Exc</v>
      </c>
      <c r="K626" t="str">
        <f>INDEX(products!$A$1:$G$49,MATCH(orders!$D626,products!$A$1:$A$49,0),MATCH(orders!K$1,products!$A$1:$G$1,0))</f>
        <v>M</v>
      </c>
      <c r="L626" s="4">
        <f>INDEX(products!$A$1:$G$49,MATCH(orders!$D626,products!$A$1:$A$49,0),MATCH(orders!L$1,products!$A$1:$G$1,0))</f>
        <v>2.5</v>
      </c>
      <c r="M626" s="5">
        <f>INDEX(products!$A$1:$G$49,MATCH(orders!$D626,products!$A$1:$A$49,0),MATCH(orders!M$1,products!$A$1:$G$1,0))</f>
        <v>31.624999999999996</v>
      </c>
      <c r="N626" s="5">
        <f>Orders[[#This Row],[Quantity]]*(INDEX(products!$A$1:$G$49,MATCH(orders!$D626,products!$A$1:$A$49,0),MATCH(orders!N$1,products!$A$1:$G$1,0)))</f>
        <v>6.9574999999999996</v>
      </c>
      <c r="O626" s="5">
        <f>M626*E626</f>
        <v>63.249999999999993</v>
      </c>
      <c r="P626" t="str">
        <f t="shared" si="18"/>
        <v>Excelsa</v>
      </c>
      <c r="Q626" t="str">
        <f t="shared" si="19"/>
        <v>Medium</v>
      </c>
      <c r="R626" t="str">
        <f>_xlfn.XLOOKUP(Orders[[#This Row],[Customer ID]],customers!$A$1:$A$1001,customers!$I$1:$I$1001,,0)</f>
        <v>Yes</v>
      </c>
    </row>
    <row r="627" spans="1:18" x14ac:dyDescent="0.35">
      <c r="A627" s="2" t="s">
        <v>4017</v>
      </c>
      <c r="B627" s="3">
        <v>44017</v>
      </c>
      <c r="C627" s="2" t="s">
        <v>4018</v>
      </c>
      <c r="D627" t="s">
        <v>6173</v>
      </c>
      <c r="E627" s="2">
        <v>5</v>
      </c>
      <c r="F627" s="2" t="str">
        <f>_xlfn.XLOOKUP(Orders[[#This Row],[Customer ID]],customers!$A$1:$A$1001,customers!$B$1:$B$1001,,0)</f>
        <v>Hailee Radbone</v>
      </c>
      <c r="G627" s="2" t="str">
        <f>IF(_xlfn.XLOOKUP(C627,customers!$A$1:$A$1001,customers!C626:C1626,,0)=0,"",_xlfn.XLOOKUP(C627,customers!$A$1:$A$1001,customers!C626:C1626,,0))</f>
        <v/>
      </c>
      <c r="H627" s="2" t="str">
        <f>_xlfn.XLOOKUP(Orders[[#This Row],[Customer ID]],customers!$A$1:$A$1001,customers!$G$1:$G$1001,,0)</f>
        <v>United States</v>
      </c>
      <c r="I627" s="2" t="str">
        <f>_xlfn.XLOOKUP(Orders[[#This Row],[Customer ID]],customers!$A$1:$A$1001,customers!$F$1:$F$1001,,0)</f>
        <v>San Francisco</v>
      </c>
      <c r="J627" t="str">
        <f>INDEX(products!$A$1:$G$49,MATCH(orders!$D627,products!$A$1:$A$49,0),MATCH(orders!J$1,products!$A$1:$G$1,0))</f>
        <v>Rob</v>
      </c>
      <c r="K627" t="str">
        <f>INDEX(products!$A$1:$G$49,MATCH(orders!$D627,products!$A$1:$A$49,0),MATCH(orders!K$1,products!$A$1:$G$1,0))</f>
        <v>L</v>
      </c>
      <c r="L627" s="4">
        <f>INDEX(products!$A$1:$G$49,MATCH(orders!$D627,products!$A$1:$A$49,0),MATCH(orders!L$1,products!$A$1:$G$1,0))</f>
        <v>0.5</v>
      </c>
      <c r="M627" s="5">
        <f>INDEX(products!$A$1:$G$49,MATCH(orders!$D627,products!$A$1:$A$49,0),MATCH(orders!M$1,products!$A$1:$G$1,0))</f>
        <v>7.169999999999999</v>
      </c>
      <c r="N627" s="5">
        <f>Orders[[#This Row],[Quantity]]*(INDEX(products!$A$1:$G$49,MATCH(orders!$D627,products!$A$1:$A$49,0),MATCH(orders!N$1,products!$A$1:$G$1,0)))</f>
        <v>2.1509999999999998</v>
      </c>
      <c r="O627" s="5">
        <f>M627*E627</f>
        <v>35.849999999999994</v>
      </c>
      <c r="P627" t="str">
        <f t="shared" si="18"/>
        <v>Robusta</v>
      </c>
      <c r="Q627" t="str">
        <f t="shared" si="19"/>
        <v>Light</v>
      </c>
      <c r="R627" t="str">
        <f>_xlfn.XLOOKUP(Orders[[#This Row],[Customer ID]],customers!$A$1:$A$1001,customers!$I$1:$I$1001,,0)</f>
        <v>No</v>
      </c>
    </row>
    <row r="628" spans="1:18" x14ac:dyDescent="0.35">
      <c r="A628" s="2" t="s">
        <v>4023</v>
      </c>
      <c r="B628" s="3">
        <v>43526</v>
      </c>
      <c r="C628" s="2" t="s">
        <v>4024</v>
      </c>
      <c r="D628" t="s">
        <v>6175</v>
      </c>
      <c r="E628" s="2">
        <v>3</v>
      </c>
      <c r="F628" s="2" t="str">
        <f>_xlfn.XLOOKUP(Orders[[#This Row],[Customer ID]],customers!$A$1:$A$1001,customers!$B$1:$B$1001,,0)</f>
        <v>Wallis Bernth</v>
      </c>
      <c r="G628" s="2" t="str">
        <f>IF(_xlfn.XLOOKUP(C628,customers!$A$1:$A$1001,customers!C627:C1627,,0)=0,"",_xlfn.XLOOKUP(C628,customers!$A$1:$A$1001,customers!C627:C1627,,0))</f>
        <v/>
      </c>
      <c r="H628" s="2" t="str">
        <f>_xlfn.XLOOKUP(Orders[[#This Row],[Customer ID]],customers!$A$1:$A$1001,customers!$G$1:$G$1001,,0)</f>
        <v>United States</v>
      </c>
      <c r="I628" s="2" t="str">
        <f>_xlfn.XLOOKUP(Orders[[#This Row],[Customer ID]],customers!$A$1:$A$1001,customers!$F$1:$F$1001,,0)</f>
        <v>Pittsburgh</v>
      </c>
      <c r="J628" t="str">
        <f>INDEX(products!$A$1:$G$49,MATCH(orders!$D628,products!$A$1:$A$49,0),MATCH(orders!J$1,products!$A$1:$G$1,0))</f>
        <v>Ara</v>
      </c>
      <c r="K628" t="str">
        <f>INDEX(products!$A$1:$G$49,MATCH(orders!$D628,products!$A$1:$A$49,0),MATCH(orders!K$1,products!$A$1:$G$1,0))</f>
        <v>M</v>
      </c>
      <c r="L628" s="4">
        <f>INDEX(products!$A$1:$G$49,MATCH(orders!$D628,products!$A$1:$A$49,0),MATCH(orders!L$1,products!$A$1:$G$1,0))</f>
        <v>2.5</v>
      </c>
      <c r="M628" s="5">
        <f>INDEX(products!$A$1:$G$49,MATCH(orders!$D628,products!$A$1:$A$49,0),MATCH(orders!M$1,products!$A$1:$G$1,0))</f>
        <v>25.874999999999996</v>
      </c>
      <c r="N628" s="5">
        <f>Orders[[#This Row],[Quantity]]*(INDEX(products!$A$1:$G$49,MATCH(orders!$D628,products!$A$1:$A$49,0),MATCH(orders!N$1,products!$A$1:$G$1,0)))</f>
        <v>6.9862499999999983</v>
      </c>
      <c r="O628" s="5">
        <f>M628*E628</f>
        <v>77.624999999999986</v>
      </c>
      <c r="P628" t="str">
        <f t="shared" si="18"/>
        <v>Arabica</v>
      </c>
      <c r="Q628" t="str">
        <f t="shared" si="19"/>
        <v>Medium</v>
      </c>
      <c r="R628" t="str">
        <f>_xlfn.XLOOKUP(Orders[[#This Row],[Customer ID]],customers!$A$1:$A$1001,customers!$I$1:$I$1001,,0)</f>
        <v>No</v>
      </c>
    </row>
    <row r="629" spans="1:18" x14ac:dyDescent="0.35">
      <c r="A629" s="2" t="s">
        <v>4029</v>
      </c>
      <c r="B629" s="3">
        <v>44682</v>
      </c>
      <c r="C629" s="2" t="s">
        <v>4030</v>
      </c>
      <c r="D629" t="s">
        <v>6166</v>
      </c>
      <c r="E629" s="2">
        <v>2</v>
      </c>
      <c r="F629" s="2" t="str">
        <f>_xlfn.XLOOKUP(Orders[[#This Row],[Customer ID]],customers!$A$1:$A$1001,customers!$B$1:$B$1001,,0)</f>
        <v>Byron Acarson</v>
      </c>
      <c r="G629" s="2" t="str">
        <f>IF(_xlfn.XLOOKUP(C629,customers!$A$1:$A$1001,customers!C628:C1628,,0)=0,"",_xlfn.XLOOKUP(C629,customers!$A$1:$A$1001,customers!C628:C1628,,0))</f>
        <v/>
      </c>
      <c r="H629" s="2" t="str">
        <f>_xlfn.XLOOKUP(Orders[[#This Row],[Customer ID]],customers!$A$1:$A$1001,customers!$G$1:$G$1001,,0)</f>
        <v>United States</v>
      </c>
      <c r="I629" s="2" t="str">
        <f>_xlfn.XLOOKUP(Orders[[#This Row],[Customer ID]],customers!$A$1:$A$1001,customers!$F$1:$F$1001,,0)</f>
        <v>Houston</v>
      </c>
      <c r="J629" t="str">
        <f>INDEX(products!$A$1:$G$49,MATCH(orders!$D629,products!$A$1:$A$49,0),MATCH(orders!J$1,products!$A$1:$G$1,0))</f>
        <v>Exc</v>
      </c>
      <c r="K629" t="str">
        <f>INDEX(products!$A$1:$G$49,MATCH(orders!$D629,products!$A$1:$A$49,0),MATCH(orders!K$1,products!$A$1:$G$1,0))</f>
        <v>M</v>
      </c>
      <c r="L629" s="4">
        <f>INDEX(products!$A$1:$G$49,MATCH(orders!$D629,products!$A$1:$A$49,0),MATCH(orders!L$1,products!$A$1:$G$1,0))</f>
        <v>2.5</v>
      </c>
      <c r="M629" s="5">
        <f>INDEX(products!$A$1:$G$49,MATCH(orders!$D629,products!$A$1:$A$49,0),MATCH(orders!M$1,products!$A$1:$G$1,0))</f>
        <v>31.624999999999996</v>
      </c>
      <c r="N629" s="5">
        <f>Orders[[#This Row],[Quantity]]*(INDEX(products!$A$1:$G$49,MATCH(orders!$D629,products!$A$1:$A$49,0),MATCH(orders!N$1,products!$A$1:$G$1,0)))</f>
        <v>6.9574999999999996</v>
      </c>
      <c r="O629" s="5">
        <f>M629*E629</f>
        <v>63.249999999999993</v>
      </c>
      <c r="P629" t="str">
        <f t="shared" si="18"/>
        <v>Excelsa</v>
      </c>
      <c r="Q629" t="str">
        <f t="shared" si="19"/>
        <v>Medium</v>
      </c>
      <c r="R629" t="str">
        <f>_xlfn.XLOOKUP(Orders[[#This Row],[Customer ID]],customers!$A$1:$A$1001,customers!$I$1:$I$1001,,0)</f>
        <v>Yes</v>
      </c>
    </row>
    <row r="630" spans="1:18" x14ac:dyDescent="0.35">
      <c r="A630" s="2" t="s">
        <v>4035</v>
      </c>
      <c r="B630" s="3">
        <v>44680</v>
      </c>
      <c r="C630" s="2" t="s">
        <v>4036</v>
      </c>
      <c r="D630" t="s">
        <v>6184</v>
      </c>
      <c r="E630" s="2">
        <v>6</v>
      </c>
      <c r="F630" s="2" t="str">
        <f>_xlfn.XLOOKUP(Orders[[#This Row],[Customer ID]],customers!$A$1:$A$1001,customers!$B$1:$B$1001,,0)</f>
        <v>Faunie Brigham</v>
      </c>
      <c r="G630" s="2" t="str">
        <f>IF(_xlfn.XLOOKUP(C630,customers!$A$1:$A$1001,customers!C629:C1629,,0)=0,"",_xlfn.XLOOKUP(C630,customers!$A$1:$A$1001,customers!C629:C1629,,0))</f>
        <v/>
      </c>
      <c r="H630" s="2" t="str">
        <f>_xlfn.XLOOKUP(Orders[[#This Row],[Customer ID]],customers!$A$1:$A$1001,customers!$G$1:$G$1001,,0)</f>
        <v>Ireland</v>
      </c>
      <c r="I630" s="2" t="str">
        <f>_xlfn.XLOOKUP(Orders[[#This Row],[Customer ID]],customers!$A$1:$A$1001,customers!$F$1:$F$1001,,0)</f>
        <v>Castlerea</v>
      </c>
      <c r="J630" t="str">
        <f>INDEX(products!$A$1:$G$49,MATCH(orders!$D630,products!$A$1:$A$49,0),MATCH(orders!J$1,products!$A$1:$G$1,0))</f>
        <v>Exc</v>
      </c>
      <c r="K630" t="str">
        <f>INDEX(products!$A$1:$G$49,MATCH(orders!$D630,products!$A$1:$A$49,0),MATCH(orders!K$1,products!$A$1:$G$1,0))</f>
        <v>L</v>
      </c>
      <c r="L630" s="4">
        <f>INDEX(products!$A$1:$G$49,MATCH(orders!$D630,products!$A$1:$A$49,0),MATCH(orders!L$1,products!$A$1:$G$1,0))</f>
        <v>0.2</v>
      </c>
      <c r="M630" s="5">
        <f>INDEX(products!$A$1:$G$49,MATCH(orders!$D630,products!$A$1:$A$49,0),MATCH(orders!M$1,products!$A$1:$G$1,0))</f>
        <v>4.4550000000000001</v>
      </c>
      <c r="N630" s="5">
        <f>Orders[[#This Row],[Quantity]]*(INDEX(products!$A$1:$G$49,MATCH(orders!$D630,products!$A$1:$A$49,0),MATCH(orders!N$1,products!$A$1:$G$1,0)))</f>
        <v>2.9402999999999997</v>
      </c>
      <c r="O630" s="5">
        <f>M630*E630</f>
        <v>26.73</v>
      </c>
      <c r="P630" t="str">
        <f t="shared" si="18"/>
        <v>Excelsa</v>
      </c>
      <c r="Q630" t="str">
        <f t="shared" si="19"/>
        <v>Light</v>
      </c>
      <c r="R630" t="str">
        <f>_xlfn.XLOOKUP(Orders[[#This Row],[Customer ID]],customers!$A$1:$A$1001,customers!$I$1:$I$1001,,0)</f>
        <v>Yes</v>
      </c>
    </row>
    <row r="631" spans="1:18" x14ac:dyDescent="0.35">
      <c r="A631" s="2" t="s">
        <v>4035</v>
      </c>
      <c r="B631" s="3">
        <v>44680</v>
      </c>
      <c r="C631" s="2" t="s">
        <v>4036</v>
      </c>
      <c r="D631" t="s">
        <v>6169</v>
      </c>
      <c r="E631" s="2">
        <v>4</v>
      </c>
      <c r="F631" s="2" t="str">
        <f>_xlfn.XLOOKUP(Orders[[#This Row],[Customer ID]],customers!$A$1:$A$1001,customers!$B$1:$B$1001,,0)</f>
        <v>Faunie Brigham</v>
      </c>
      <c r="G631" s="2" t="str">
        <f>IF(_xlfn.XLOOKUP(C631,customers!$A$1:$A$1001,customers!C630:C1630,,0)=0,"",_xlfn.XLOOKUP(C631,customers!$A$1:$A$1001,customers!C630:C1630,,0))</f>
        <v/>
      </c>
      <c r="H631" s="2" t="str">
        <f>_xlfn.XLOOKUP(Orders[[#This Row],[Customer ID]],customers!$A$1:$A$1001,customers!$G$1:$G$1001,,0)</f>
        <v>Ireland</v>
      </c>
      <c r="I631" s="2" t="str">
        <f>_xlfn.XLOOKUP(Orders[[#This Row],[Customer ID]],customers!$A$1:$A$1001,customers!$F$1:$F$1001,,0)</f>
        <v>Castlerea</v>
      </c>
      <c r="J631" t="str">
        <f>INDEX(products!$A$1:$G$49,MATCH(orders!$D631,products!$A$1:$A$49,0),MATCH(orders!J$1,products!$A$1:$G$1,0))</f>
        <v>Lib</v>
      </c>
      <c r="K631" t="str">
        <f>INDEX(products!$A$1:$G$49,MATCH(orders!$D631,products!$A$1:$A$49,0),MATCH(orders!K$1,products!$A$1:$G$1,0))</f>
        <v>D</v>
      </c>
      <c r="L631" s="4">
        <f>INDEX(products!$A$1:$G$49,MATCH(orders!$D631,products!$A$1:$A$49,0),MATCH(orders!L$1,products!$A$1:$G$1,0))</f>
        <v>0.5</v>
      </c>
      <c r="M631" s="5">
        <f>INDEX(products!$A$1:$G$49,MATCH(orders!$D631,products!$A$1:$A$49,0),MATCH(orders!M$1,products!$A$1:$G$1,0))</f>
        <v>7.77</v>
      </c>
      <c r="N631" s="5">
        <f>Orders[[#This Row],[Quantity]]*(INDEX(products!$A$1:$G$49,MATCH(orders!$D631,products!$A$1:$A$49,0),MATCH(orders!N$1,products!$A$1:$G$1,0)))</f>
        <v>4.0404</v>
      </c>
      <c r="O631" s="5">
        <f>M631*E631</f>
        <v>31.08</v>
      </c>
      <c r="P631" t="str">
        <f t="shared" si="18"/>
        <v>Liberica</v>
      </c>
      <c r="Q631" t="str">
        <f t="shared" si="19"/>
        <v>Dark</v>
      </c>
      <c r="R631" t="str">
        <f>_xlfn.XLOOKUP(Orders[[#This Row],[Customer ID]],customers!$A$1:$A$1001,customers!$I$1:$I$1001,,0)</f>
        <v>Yes</v>
      </c>
    </row>
    <row r="632" spans="1:18" x14ac:dyDescent="0.35">
      <c r="A632" s="2" t="s">
        <v>4035</v>
      </c>
      <c r="B632" s="3">
        <v>44680</v>
      </c>
      <c r="C632" s="2" t="s">
        <v>4036</v>
      </c>
      <c r="D632" t="s">
        <v>6154</v>
      </c>
      <c r="E632" s="2">
        <v>1</v>
      </c>
      <c r="F632" s="2" t="str">
        <f>_xlfn.XLOOKUP(Orders[[#This Row],[Customer ID]],customers!$A$1:$A$1001,customers!$B$1:$B$1001,,0)</f>
        <v>Faunie Brigham</v>
      </c>
      <c r="G632" s="2" t="str">
        <f>IF(_xlfn.XLOOKUP(C632,customers!$A$1:$A$1001,customers!C631:C1631,,0)=0,"",_xlfn.XLOOKUP(C632,customers!$A$1:$A$1001,customers!C631:C1631,,0))</f>
        <v/>
      </c>
      <c r="H632" s="2" t="str">
        <f>_xlfn.XLOOKUP(Orders[[#This Row],[Customer ID]],customers!$A$1:$A$1001,customers!$G$1:$G$1001,,0)</f>
        <v>Ireland</v>
      </c>
      <c r="I632" s="2" t="str">
        <f>_xlfn.XLOOKUP(Orders[[#This Row],[Customer ID]],customers!$A$1:$A$1001,customers!$F$1:$F$1001,,0)</f>
        <v>Castlerea</v>
      </c>
      <c r="J632" t="str">
        <f>INDEX(products!$A$1:$G$49,MATCH(orders!$D632,products!$A$1:$A$49,0),MATCH(orders!J$1,products!$A$1:$G$1,0))</f>
        <v>Ara</v>
      </c>
      <c r="K632" t="str">
        <f>INDEX(products!$A$1:$G$49,MATCH(orders!$D632,products!$A$1:$A$49,0),MATCH(orders!K$1,products!$A$1:$G$1,0))</f>
        <v>D</v>
      </c>
      <c r="L632" s="4">
        <f>INDEX(products!$A$1:$G$49,MATCH(orders!$D632,products!$A$1:$A$49,0),MATCH(orders!L$1,products!$A$1:$G$1,0))</f>
        <v>0.2</v>
      </c>
      <c r="M632" s="5">
        <f>INDEX(products!$A$1:$G$49,MATCH(orders!$D632,products!$A$1:$A$49,0),MATCH(orders!M$1,products!$A$1:$G$1,0))</f>
        <v>2.9849999999999999</v>
      </c>
      <c r="N632" s="5">
        <f>Orders[[#This Row],[Quantity]]*(INDEX(products!$A$1:$G$49,MATCH(orders!$D632,products!$A$1:$A$49,0),MATCH(orders!N$1,products!$A$1:$G$1,0)))</f>
        <v>0.26865</v>
      </c>
      <c r="O632" s="5">
        <f>M632*E632</f>
        <v>2.9849999999999999</v>
      </c>
      <c r="P632" t="str">
        <f t="shared" si="18"/>
        <v>Arabica</v>
      </c>
      <c r="Q632" t="str">
        <f t="shared" si="19"/>
        <v>Dark</v>
      </c>
      <c r="R632" t="str">
        <f>_xlfn.XLOOKUP(Orders[[#This Row],[Customer ID]],customers!$A$1:$A$1001,customers!$I$1:$I$1001,,0)</f>
        <v>Yes</v>
      </c>
    </row>
    <row r="633" spans="1:18" x14ac:dyDescent="0.35">
      <c r="A633" s="2" t="s">
        <v>4035</v>
      </c>
      <c r="B633" s="3">
        <v>44680</v>
      </c>
      <c r="C633" s="2" t="s">
        <v>4036</v>
      </c>
      <c r="D633" t="s">
        <v>6149</v>
      </c>
      <c r="E633" s="2">
        <v>5</v>
      </c>
      <c r="F633" s="2" t="str">
        <f>_xlfn.XLOOKUP(Orders[[#This Row],[Customer ID]],customers!$A$1:$A$1001,customers!$B$1:$B$1001,,0)</f>
        <v>Faunie Brigham</v>
      </c>
      <c r="G633" s="2" t="str">
        <f>IF(_xlfn.XLOOKUP(C633,customers!$A$1:$A$1001,customers!C632:C1632,,0)=0,"",_xlfn.XLOOKUP(C633,customers!$A$1:$A$1001,customers!C632:C1632,,0))</f>
        <v/>
      </c>
      <c r="H633" s="2" t="str">
        <f>_xlfn.XLOOKUP(Orders[[#This Row],[Customer ID]],customers!$A$1:$A$1001,customers!$G$1:$G$1001,,0)</f>
        <v>Ireland</v>
      </c>
      <c r="I633" s="2" t="str">
        <f>_xlfn.XLOOKUP(Orders[[#This Row],[Customer ID]],customers!$A$1:$A$1001,customers!$F$1:$F$1001,,0)</f>
        <v>Castlerea</v>
      </c>
      <c r="J633" t="str">
        <f>INDEX(products!$A$1:$G$49,MATCH(orders!$D633,products!$A$1:$A$49,0),MATCH(orders!J$1,products!$A$1:$G$1,0))</f>
        <v>Rob</v>
      </c>
      <c r="K633" t="str">
        <f>INDEX(products!$A$1:$G$49,MATCH(orders!$D633,products!$A$1:$A$49,0),MATCH(orders!K$1,products!$A$1:$G$1,0))</f>
        <v>D</v>
      </c>
      <c r="L633" s="4">
        <f>INDEX(products!$A$1:$G$49,MATCH(orders!$D633,products!$A$1:$A$49,0),MATCH(orders!L$1,products!$A$1:$G$1,0))</f>
        <v>2.5</v>
      </c>
      <c r="M633" s="5">
        <f>INDEX(products!$A$1:$G$49,MATCH(orders!$D633,products!$A$1:$A$49,0),MATCH(orders!M$1,products!$A$1:$G$1,0))</f>
        <v>20.584999999999997</v>
      </c>
      <c r="N633" s="5">
        <f>Orders[[#This Row],[Quantity]]*(INDEX(products!$A$1:$G$49,MATCH(orders!$D633,products!$A$1:$A$49,0),MATCH(orders!N$1,products!$A$1:$G$1,0)))</f>
        <v>6.1754999999999995</v>
      </c>
      <c r="O633" s="5">
        <f>M633*E633</f>
        <v>102.92499999999998</v>
      </c>
      <c r="P633" t="str">
        <f t="shared" si="18"/>
        <v>Robusta</v>
      </c>
      <c r="Q633" t="str">
        <f t="shared" si="19"/>
        <v>Dark</v>
      </c>
      <c r="R633" t="str">
        <f>_xlfn.XLOOKUP(Orders[[#This Row],[Customer ID]],customers!$A$1:$A$1001,customers!$I$1:$I$1001,,0)</f>
        <v>Yes</v>
      </c>
    </row>
    <row r="634" spans="1:18" x14ac:dyDescent="0.35">
      <c r="A634" s="2" t="s">
        <v>4056</v>
      </c>
      <c r="B634" s="3">
        <v>44049</v>
      </c>
      <c r="C634" s="2" t="s">
        <v>4057</v>
      </c>
      <c r="D634" t="s">
        <v>6176</v>
      </c>
      <c r="E634" s="2">
        <v>4</v>
      </c>
      <c r="F634" s="2" t="str">
        <f>_xlfn.XLOOKUP(Orders[[#This Row],[Customer ID]],customers!$A$1:$A$1001,customers!$B$1:$B$1001,,0)</f>
        <v>Marjorie Yoxen</v>
      </c>
      <c r="G634" s="2" t="str">
        <f>IF(_xlfn.XLOOKUP(C634,customers!$A$1:$A$1001,customers!C633:C1633,,0)=0,"",_xlfn.XLOOKUP(C634,customers!$A$1:$A$1001,customers!C633:C1633,,0))</f>
        <v/>
      </c>
      <c r="H634" s="2" t="str">
        <f>_xlfn.XLOOKUP(Orders[[#This Row],[Customer ID]],customers!$A$1:$A$1001,customers!$G$1:$G$1001,,0)</f>
        <v>United States</v>
      </c>
      <c r="I634" s="2" t="str">
        <f>_xlfn.XLOOKUP(Orders[[#This Row],[Customer ID]],customers!$A$1:$A$1001,customers!$F$1:$F$1001,,0)</f>
        <v>Los Angeles</v>
      </c>
      <c r="J634" t="str">
        <f>INDEX(products!$A$1:$G$49,MATCH(orders!$D634,products!$A$1:$A$49,0),MATCH(orders!J$1,products!$A$1:$G$1,0))</f>
        <v>Exc</v>
      </c>
      <c r="K634" t="str">
        <f>INDEX(products!$A$1:$G$49,MATCH(orders!$D634,products!$A$1:$A$49,0),MATCH(orders!K$1,products!$A$1:$G$1,0))</f>
        <v>L</v>
      </c>
      <c r="L634" s="4">
        <f>INDEX(products!$A$1:$G$49,MATCH(orders!$D634,products!$A$1:$A$49,0),MATCH(orders!L$1,products!$A$1:$G$1,0))</f>
        <v>0.5</v>
      </c>
      <c r="M634" s="5">
        <f>INDEX(products!$A$1:$G$49,MATCH(orders!$D634,products!$A$1:$A$49,0),MATCH(orders!M$1,products!$A$1:$G$1,0))</f>
        <v>8.91</v>
      </c>
      <c r="N634" s="5">
        <f>Orders[[#This Row],[Quantity]]*(INDEX(products!$A$1:$G$49,MATCH(orders!$D634,products!$A$1:$A$49,0),MATCH(orders!N$1,products!$A$1:$G$1,0)))</f>
        <v>3.9203999999999999</v>
      </c>
      <c r="O634" s="5">
        <f>M634*E634</f>
        <v>35.64</v>
      </c>
      <c r="P634" t="str">
        <f t="shared" si="18"/>
        <v>Excelsa</v>
      </c>
      <c r="Q634" t="str">
        <f t="shared" si="19"/>
        <v>Light</v>
      </c>
      <c r="R634" t="str">
        <f>_xlfn.XLOOKUP(Orders[[#This Row],[Customer ID]],customers!$A$1:$A$1001,customers!$I$1:$I$1001,,0)</f>
        <v>No</v>
      </c>
    </row>
    <row r="635" spans="1:18" x14ac:dyDescent="0.35">
      <c r="A635" s="2" t="s">
        <v>4062</v>
      </c>
      <c r="B635" s="3">
        <v>43820</v>
      </c>
      <c r="C635" s="2" t="s">
        <v>4063</v>
      </c>
      <c r="D635" t="s">
        <v>6179</v>
      </c>
      <c r="E635" s="2">
        <v>4</v>
      </c>
      <c r="F635" s="2" t="str">
        <f>_xlfn.XLOOKUP(Orders[[#This Row],[Customer ID]],customers!$A$1:$A$1001,customers!$B$1:$B$1001,,0)</f>
        <v>Gaspar McGavin</v>
      </c>
      <c r="G635" s="2" t="str">
        <f>IF(_xlfn.XLOOKUP(C635,customers!$A$1:$A$1001,customers!C634:C1634,,0)=0,"",_xlfn.XLOOKUP(C635,customers!$A$1:$A$1001,customers!C634:C1634,,0))</f>
        <v/>
      </c>
      <c r="H635" s="2" t="str">
        <f>_xlfn.XLOOKUP(Orders[[#This Row],[Customer ID]],customers!$A$1:$A$1001,customers!$G$1:$G$1001,,0)</f>
        <v>United States</v>
      </c>
      <c r="I635" s="2" t="str">
        <f>_xlfn.XLOOKUP(Orders[[#This Row],[Customer ID]],customers!$A$1:$A$1001,customers!$F$1:$F$1001,,0)</f>
        <v>Wilkes Barre</v>
      </c>
      <c r="J635" t="str">
        <f>INDEX(products!$A$1:$G$49,MATCH(orders!$D635,products!$A$1:$A$49,0),MATCH(orders!J$1,products!$A$1:$G$1,0))</f>
        <v>Rob</v>
      </c>
      <c r="K635" t="str">
        <f>INDEX(products!$A$1:$G$49,MATCH(orders!$D635,products!$A$1:$A$49,0),MATCH(orders!K$1,products!$A$1:$G$1,0))</f>
        <v>L</v>
      </c>
      <c r="L635" s="4">
        <f>INDEX(products!$A$1:$G$49,MATCH(orders!$D635,products!$A$1:$A$49,0),MATCH(orders!L$1,products!$A$1:$G$1,0))</f>
        <v>1</v>
      </c>
      <c r="M635" s="5">
        <f>INDEX(products!$A$1:$G$49,MATCH(orders!$D635,products!$A$1:$A$49,0),MATCH(orders!M$1,products!$A$1:$G$1,0))</f>
        <v>11.95</v>
      </c>
      <c r="N635" s="5">
        <f>Orders[[#This Row],[Quantity]]*(INDEX(products!$A$1:$G$49,MATCH(orders!$D635,products!$A$1:$A$49,0),MATCH(orders!N$1,products!$A$1:$G$1,0)))</f>
        <v>2.8679999999999999</v>
      </c>
      <c r="O635" s="5">
        <f>M635*E635</f>
        <v>47.8</v>
      </c>
      <c r="P635" t="str">
        <f t="shared" si="18"/>
        <v>Robusta</v>
      </c>
      <c r="Q635" t="str">
        <f t="shared" si="19"/>
        <v>Light</v>
      </c>
      <c r="R635" t="str">
        <f>_xlfn.XLOOKUP(Orders[[#This Row],[Customer ID]],customers!$A$1:$A$1001,customers!$I$1:$I$1001,,0)</f>
        <v>No</v>
      </c>
    </row>
    <row r="636" spans="1:18" x14ac:dyDescent="0.35">
      <c r="A636" s="2" t="s">
        <v>4068</v>
      </c>
      <c r="B636" s="3">
        <v>43940</v>
      </c>
      <c r="C636" s="2" t="s">
        <v>4069</v>
      </c>
      <c r="D636" t="s">
        <v>6162</v>
      </c>
      <c r="E636" s="2">
        <v>3</v>
      </c>
      <c r="F636" s="2" t="str">
        <f>_xlfn.XLOOKUP(Orders[[#This Row],[Customer ID]],customers!$A$1:$A$1001,customers!$B$1:$B$1001,,0)</f>
        <v>Lindy Uttermare</v>
      </c>
      <c r="G636" s="2" t="str">
        <f>IF(_xlfn.XLOOKUP(C636,customers!$A$1:$A$1001,customers!C635:C1635,,0)=0,"",_xlfn.XLOOKUP(C636,customers!$A$1:$A$1001,customers!C635:C1635,,0))</f>
        <v/>
      </c>
      <c r="H636" s="2" t="str">
        <f>_xlfn.XLOOKUP(Orders[[#This Row],[Customer ID]],customers!$A$1:$A$1001,customers!$G$1:$G$1001,,0)</f>
        <v>United States</v>
      </c>
      <c r="I636" s="2" t="str">
        <f>_xlfn.XLOOKUP(Orders[[#This Row],[Customer ID]],customers!$A$1:$A$1001,customers!$F$1:$F$1001,,0)</f>
        <v>Denton</v>
      </c>
      <c r="J636" t="str">
        <f>INDEX(products!$A$1:$G$49,MATCH(orders!$D636,products!$A$1:$A$49,0),MATCH(orders!J$1,products!$A$1:$G$1,0))</f>
        <v>Lib</v>
      </c>
      <c r="K636" t="str">
        <f>INDEX(products!$A$1:$G$49,MATCH(orders!$D636,products!$A$1:$A$49,0),MATCH(orders!K$1,products!$A$1:$G$1,0))</f>
        <v>M</v>
      </c>
      <c r="L636" s="4">
        <f>INDEX(products!$A$1:$G$49,MATCH(orders!$D636,products!$A$1:$A$49,0),MATCH(orders!L$1,products!$A$1:$G$1,0))</f>
        <v>1</v>
      </c>
      <c r="M636" s="5">
        <f>INDEX(products!$A$1:$G$49,MATCH(orders!$D636,products!$A$1:$A$49,0),MATCH(orders!M$1,products!$A$1:$G$1,0))</f>
        <v>14.55</v>
      </c>
      <c r="N636" s="5">
        <f>Orders[[#This Row],[Quantity]]*(INDEX(products!$A$1:$G$49,MATCH(orders!$D636,products!$A$1:$A$49,0),MATCH(orders!N$1,products!$A$1:$G$1,0)))</f>
        <v>5.6745000000000001</v>
      </c>
      <c r="O636" s="5">
        <f>M636*E636</f>
        <v>43.650000000000006</v>
      </c>
      <c r="P636" t="str">
        <f t="shared" si="18"/>
        <v>Liberica</v>
      </c>
      <c r="Q636" t="str">
        <f t="shared" si="19"/>
        <v>Medium</v>
      </c>
      <c r="R636" t="str">
        <f>_xlfn.XLOOKUP(Orders[[#This Row],[Customer ID]],customers!$A$1:$A$1001,customers!$I$1:$I$1001,,0)</f>
        <v>No</v>
      </c>
    </row>
    <row r="637" spans="1:18" x14ac:dyDescent="0.35">
      <c r="A637" s="2" t="s">
        <v>4074</v>
      </c>
      <c r="B637" s="3">
        <v>44578</v>
      </c>
      <c r="C637" s="2" t="s">
        <v>4075</v>
      </c>
      <c r="D637" t="s">
        <v>6176</v>
      </c>
      <c r="E637" s="2">
        <v>4</v>
      </c>
      <c r="F637" s="2" t="str">
        <f>_xlfn.XLOOKUP(Orders[[#This Row],[Customer ID]],customers!$A$1:$A$1001,customers!$B$1:$B$1001,,0)</f>
        <v>Eal D'Ambrogio</v>
      </c>
      <c r="G637" s="2" t="str">
        <f>IF(_xlfn.XLOOKUP(C637,customers!$A$1:$A$1001,customers!C636:C1636,,0)=0,"",_xlfn.XLOOKUP(C637,customers!$A$1:$A$1001,customers!C636:C1636,,0))</f>
        <v/>
      </c>
      <c r="H637" s="2" t="str">
        <f>_xlfn.XLOOKUP(Orders[[#This Row],[Customer ID]],customers!$A$1:$A$1001,customers!$G$1:$G$1001,,0)</f>
        <v>United States</v>
      </c>
      <c r="I637" s="2" t="str">
        <f>_xlfn.XLOOKUP(Orders[[#This Row],[Customer ID]],customers!$A$1:$A$1001,customers!$F$1:$F$1001,,0)</f>
        <v>Lees Summit</v>
      </c>
      <c r="J637" t="str">
        <f>INDEX(products!$A$1:$G$49,MATCH(orders!$D637,products!$A$1:$A$49,0),MATCH(orders!J$1,products!$A$1:$G$1,0))</f>
        <v>Exc</v>
      </c>
      <c r="K637" t="str">
        <f>INDEX(products!$A$1:$G$49,MATCH(orders!$D637,products!$A$1:$A$49,0),MATCH(orders!K$1,products!$A$1:$G$1,0))</f>
        <v>L</v>
      </c>
      <c r="L637" s="4">
        <f>INDEX(products!$A$1:$G$49,MATCH(orders!$D637,products!$A$1:$A$49,0),MATCH(orders!L$1,products!$A$1:$G$1,0))</f>
        <v>0.5</v>
      </c>
      <c r="M637" s="5">
        <f>INDEX(products!$A$1:$G$49,MATCH(orders!$D637,products!$A$1:$A$49,0),MATCH(orders!M$1,products!$A$1:$G$1,0))</f>
        <v>8.91</v>
      </c>
      <c r="N637" s="5">
        <f>Orders[[#This Row],[Quantity]]*(INDEX(products!$A$1:$G$49,MATCH(orders!$D637,products!$A$1:$A$49,0),MATCH(orders!N$1,products!$A$1:$G$1,0)))</f>
        <v>3.9203999999999999</v>
      </c>
      <c r="O637" s="5">
        <f>M637*E637</f>
        <v>35.64</v>
      </c>
      <c r="P637" t="str">
        <f t="shared" si="18"/>
        <v>Excelsa</v>
      </c>
      <c r="Q637" t="str">
        <f t="shared" si="19"/>
        <v>Light</v>
      </c>
      <c r="R637" t="str">
        <f>_xlfn.XLOOKUP(Orders[[#This Row],[Customer ID]],customers!$A$1:$A$1001,customers!$I$1:$I$1001,,0)</f>
        <v>Yes</v>
      </c>
    </row>
    <row r="638" spans="1:18" x14ac:dyDescent="0.35">
      <c r="A638" s="2" t="s">
        <v>4080</v>
      </c>
      <c r="B638" s="3">
        <v>43487</v>
      </c>
      <c r="C638" s="2" t="s">
        <v>4081</v>
      </c>
      <c r="D638" t="s">
        <v>6170</v>
      </c>
      <c r="E638" s="2">
        <v>6</v>
      </c>
      <c r="F638" s="2" t="str">
        <f>_xlfn.XLOOKUP(Orders[[#This Row],[Customer ID]],customers!$A$1:$A$1001,customers!$B$1:$B$1001,,0)</f>
        <v>Carolee Winchcombe</v>
      </c>
      <c r="G638" s="2" t="str">
        <f>IF(_xlfn.XLOOKUP(C638,customers!$A$1:$A$1001,customers!C637:C1637,,0)=0,"",_xlfn.XLOOKUP(C638,customers!$A$1:$A$1001,customers!C637:C1637,,0))</f>
        <v/>
      </c>
      <c r="H638" s="2" t="str">
        <f>_xlfn.XLOOKUP(Orders[[#This Row],[Customer ID]],customers!$A$1:$A$1001,customers!$G$1:$G$1001,,0)</f>
        <v>United States</v>
      </c>
      <c r="I638" s="2" t="str">
        <f>_xlfn.XLOOKUP(Orders[[#This Row],[Customer ID]],customers!$A$1:$A$1001,customers!$F$1:$F$1001,,0)</f>
        <v>Little Rock</v>
      </c>
      <c r="J638" t="str">
        <f>INDEX(products!$A$1:$G$49,MATCH(orders!$D638,products!$A$1:$A$49,0),MATCH(orders!J$1,products!$A$1:$G$1,0))</f>
        <v>Lib</v>
      </c>
      <c r="K638" t="str">
        <f>INDEX(products!$A$1:$G$49,MATCH(orders!$D638,products!$A$1:$A$49,0),MATCH(orders!K$1,products!$A$1:$G$1,0))</f>
        <v>L</v>
      </c>
      <c r="L638" s="4">
        <f>INDEX(products!$A$1:$G$49,MATCH(orders!$D638,products!$A$1:$A$49,0),MATCH(orders!L$1,products!$A$1:$G$1,0))</f>
        <v>1</v>
      </c>
      <c r="M638" s="5">
        <f>INDEX(products!$A$1:$G$49,MATCH(orders!$D638,products!$A$1:$A$49,0),MATCH(orders!M$1,products!$A$1:$G$1,0))</f>
        <v>15.85</v>
      </c>
      <c r="N638" s="5">
        <f>Orders[[#This Row],[Quantity]]*(INDEX(products!$A$1:$G$49,MATCH(orders!$D638,products!$A$1:$A$49,0),MATCH(orders!N$1,products!$A$1:$G$1,0)))</f>
        <v>12.363000000000001</v>
      </c>
      <c r="O638" s="5">
        <f>M638*E638</f>
        <v>95.1</v>
      </c>
      <c r="P638" t="str">
        <f t="shared" si="18"/>
        <v>Liberica</v>
      </c>
      <c r="Q638" t="str">
        <f t="shared" si="19"/>
        <v>Light</v>
      </c>
      <c r="R638" t="str">
        <f>_xlfn.XLOOKUP(Orders[[#This Row],[Customer ID]],customers!$A$1:$A$1001,customers!$I$1:$I$1001,,0)</f>
        <v>Yes</v>
      </c>
    </row>
    <row r="639" spans="1:18" x14ac:dyDescent="0.35">
      <c r="A639" s="2" t="s">
        <v>4086</v>
      </c>
      <c r="B639" s="3">
        <v>43889</v>
      </c>
      <c r="C639" s="2" t="s">
        <v>4087</v>
      </c>
      <c r="D639" t="s">
        <v>6166</v>
      </c>
      <c r="E639" s="2">
        <v>1</v>
      </c>
      <c r="F639" s="2" t="str">
        <f>_xlfn.XLOOKUP(Orders[[#This Row],[Customer ID]],customers!$A$1:$A$1001,customers!$B$1:$B$1001,,0)</f>
        <v>Benedikta Paumier</v>
      </c>
      <c r="G639" s="2" t="str">
        <f>IF(_xlfn.XLOOKUP(C639,customers!$A$1:$A$1001,customers!C638:C1638,,0)=0,"",_xlfn.XLOOKUP(C639,customers!$A$1:$A$1001,customers!C638:C1638,,0))</f>
        <v/>
      </c>
      <c r="H639" s="2" t="str">
        <f>_xlfn.XLOOKUP(Orders[[#This Row],[Customer ID]],customers!$A$1:$A$1001,customers!$G$1:$G$1001,,0)</f>
        <v>Ireland</v>
      </c>
      <c r="I639" s="2" t="str">
        <f>_xlfn.XLOOKUP(Orders[[#This Row],[Customer ID]],customers!$A$1:$A$1001,customers!$F$1:$F$1001,,0)</f>
        <v>Ballisodare</v>
      </c>
      <c r="J639" t="str">
        <f>INDEX(products!$A$1:$G$49,MATCH(orders!$D639,products!$A$1:$A$49,0),MATCH(orders!J$1,products!$A$1:$G$1,0))</f>
        <v>Exc</v>
      </c>
      <c r="K639" t="str">
        <f>INDEX(products!$A$1:$G$49,MATCH(orders!$D639,products!$A$1:$A$49,0),MATCH(orders!K$1,products!$A$1:$G$1,0))</f>
        <v>M</v>
      </c>
      <c r="L639" s="4">
        <f>INDEX(products!$A$1:$G$49,MATCH(orders!$D639,products!$A$1:$A$49,0),MATCH(orders!L$1,products!$A$1:$G$1,0))</f>
        <v>2.5</v>
      </c>
      <c r="M639" s="5">
        <f>INDEX(products!$A$1:$G$49,MATCH(orders!$D639,products!$A$1:$A$49,0),MATCH(orders!M$1,products!$A$1:$G$1,0))</f>
        <v>31.624999999999996</v>
      </c>
      <c r="N639" s="5">
        <f>Orders[[#This Row],[Quantity]]*(INDEX(products!$A$1:$G$49,MATCH(orders!$D639,products!$A$1:$A$49,0),MATCH(orders!N$1,products!$A$1:$G$1,0)))</f>
        <v>3.4787499999999998</v>
      </c>
      <c r="O639" s="5">
        <f>M639*E639</f>
        <v>31.624999999999996</v>
      </c>
      <c r="P639" t="str">
        <f t="shared" si="18"/>
        <v>Excelsa</v>
      </c>
      <c r="Q639" t="str">
        <f t="shared" si="19"/>
        <v>Medium</v>
      </c>
      <c r="R639" t="str">
        <f>_xlfn.XLOOKUP(Orders[[#This Row],[Customer ID]],customers!$A$1:$A$1001,customers!$I$1:$I$1001,,0)</f>
        <v>Yes</v>
      </c>
    </row>
    <row r="640" spans="1:18" x14ac:dyDescent="0.35">
      <c r="A640" s="2" t="s">
        <v>4093</v>
      </c>
      <c r="B640" s="3">
        <v>43684</v>
      </c>
      <c r="C640" s="2" t="s">
        <v>4094</v>
      </c>
      <c r="D640" t="s">
        <v>6175</v>
      </c>
      <c r="E640" s="2">
        <v>3</v>
      </c>
      <c r="F640" s="2" t="str">
        <f>_xlfn.XLOOKUP(Orders[[#This Row],[Customer ID]],customers!$A$1:$A$1001,customers!$B$1:$B$1001,,0)</f>
        <v>Neville Piatto</v>
      </c>
      <c r="G640" s="2" t="str">
        <f>IF(_xlfn.XLOOKUP(C640,customers!$A$1:$A$1001,customers!C639:C1639,,0)=0,"",_xlfn.XLOOKUP(C640,customers!$A$1:$A$1001,customers!C639:C1639,,0))</f>
        <v/>
      </c>
      <c r="H640" s="2" t="str">
        <f>_xlfn.XLOOKUP(Orders[[#This Row],[Customer ID]],customers!$A$1:$A$1001,customers!$G$1:$G$1001,,0)</f>
        <v>Ireland</v>
      </c>
      <c r="I640" s="2" t="str">
        <f>_xlfn.XLOOKUP(Orders[[#This Row],[Customer ID]],customers!$A$1:$A$1001,customers!$F$1:$F$1001,,0)</f>
        <v>Daingean</v>
      </c>
      <c r="J640" t="str">
        <f>INDEX(products!$A$1:$G$49,MATCH(orders!$D640,products!$A$1:$A$49,0),MATCH(orders!J$1,products!$A$1:$G$1,0))</f>
        <v>Ara</v>
      </c>
      <c r="K640" t="str">
        <f>INDEX(products!$A$1:$G$49,MATCH(orders!$D640,products!$A$1:$A$49,0),MATCH(orders!K$1,products!$A$1:$G$1,0))</f>
        <v>M</v>
      </c>
      <c r="L640" s="4">
        <f>INDEX(products!$A$1:$G$49,MATCH(orders!$D640,products!$A$1:$A$49,0),MATCH(orders!L$1,products!$A$1:$G$1,0))</f>
        <v>2.5</v>
      </c>
      <c r="M640" s="5">
        <f>INDEX(products!$A$1:$G$49,MATCH(orders!$D640,products!$A$1:$A$49,0),MATCH(orders!M$1,products!$A$1:$G$1,0))</f>
        <v>25.874999999999996</v>
      </c>
      <c r="N640" s="5">
        <f>Orders[[#This Row],[Quantity]]*(INDEX(products!$A$1:$G$49,MATCH(orders!$D640,products!$A$1:$A$49,0),MATCH(orders!N$1,products!$A$1:$G$1,0)))</f>
        <v>6.9862499999999983</v>
      </c>
      <c r="O640" s="5">
        <f>M640*E640</f>
        <v>77.624999999999986</v>
      </c>
      <c r="P640" t="str">
        <f t="shared" si="18"/>
        <v>Arabica</v>
      </c>
      <c r="Q640" t="str">
        <f t="shared" si="19"/>
        <v>Medium</v>
      </c>
      <c r="R640" t="str">
        <f>_xlfn.XLOOKUP(Orders[[#This Row],[Customer ID]],customers!$A$1:$A$1001,customers!$I$1:$I$1001,,0)</f>
        <v>Yes</v>
      </c>
    </row>
    <row r="641" spans="1:18" x14ac:dyDescent="0.35">
      <c r="A641" s="2" t="s">
        <v>4098</v>
      </c>
      <c r="B641" s="3">
        <v>44331</v>
      </c>
      <c r="C641" s="2" t="s">
        <v>4099</v>
      </c>
      <c r="D641" t="s">
        <v>6150</v>
      </c>
      <c r="E641" s="2">
        <v>1</v>
      </c>
      <c r="F641" s="2" t="str">
        <f>_xlfn.XLOOKUP(Orders[[#This Row],[Customer ID]],customers!$A$1:$A$1001,customers!$B$1:$B$1001,,0)</f>
        <v>Jeno Capey</v>
      </c>
      <c r="G641" s="2" t="str">
        <f>IF(_xlfn.XLOOKUP(C641,customers!$A$1:$A$1001,customers!C640:C1640,,0)=0,"",_xlfn.XLOOKUP(C641,customers!$A$1:$A$1001,customers!C640:C1640,,0))</f>
        <v/>
      </c>
      <c r="H641" s="2" t="str">
        <f>_xlfn.XLOOKUP(Orders[[#This Row],[Customer ID]],customers!$A$1:$A$1001,customers!$G$1:$G$1001,,0)</f>
        <v>United States</v>
      </c>
      <c r="I641" s="2" t="str">
        <f>_xlfn.XLOOKUP(Orders[[#This Row],[Customer ID]],customers!$A$1:$A$1001,customers!$F$1:$F$1001,,0)</f>
        <v>Erie</v>
      </c>
      <c r="J641" t="str">
        <f>INDEX(products!$A$1:$G$49,MATCH(orders!$D641,products!$A$1:$A$49,0),MATCH(orders!J$1,products!$A$1:$G$1,0))</f>
        <v>Lib</v>
      </c>
      <c r="K641" t="str">
        <f>INDEX(products!$A$1:$G$49,MATCH(orders!$D641,products!$A$1:$A$49,0),MATCH(orders!K$1,products!$A$1:$G$1,0))</f>
        <v>D</v>
      </c>
      <c r="L641" s="4">
        <f>INDEX(products!$A$1:$G$49,MATCH(orders!$D641,products!$A$1:$A$49,0),MATCH(orders!L$1,products!$A$1:$G$1,0))</f>
        <v>0.2</v>
      </c>
      <c r="M641" s="5">
        <f>INDEX(products!$A$1:$G$49,MATCH(orders!$D641,products!$A$1:$A$49,0),MATCH(orders!M$1,products!$A$1:$G$1,0))</f>
        <v>3.8849999999999998</v>
      </c>
      <c r="N641" s="5">
        <f>Orders[[#This Row],[Quantity]]*(INDEX(products!$A$1:$G$49,MATCH(orders!$D641,products!$A$1:$A$49,0),MATCH(orders!N$1,products!$A$1:$G$1,0)))</f>
        <v>0.50505</v>
      </c>
      <c r="O641" s="5">
        <f>M641*E641</f>
        <v>3.8849999999999998</v>
      </c>
      <c r="P641" t="str">
        <f t="shared" si="18"/>
        <v>Liberica</v>
      </c>
      <c r="Q641" t="str">
        <f t="shared" si="19"/>
        <v>Dark</v>
      </c>
      <c r="R641" t="str">
        <f>_xlfn.XLOOKUP(Orders[[#This Row],[Customer ID]],customers!$A$1:$A$1001,customers!$I$1:$I$1001,,0)</f>
        <v>Yes</v>
      </c>
    </row>
    <row r="642" spans="1:18" x14ac:dyDescent="0.35">
      <c r="A642" s="2" t="s">
        <v>4104</v>
      </c>
      <c r="B642" s="3">
        <v>44547</v>
      </c>
      <c r="C642" s="2" t="s">
        <v>4152</v>
      </c>
      <c r="D642" t="s">
        <v>6142</v>
      </c>
      <c r="E642" s="2">
        <v>5</v>
      </c>
      <c r="F642" s="2" t="str">
        <f>_xlfn.XLOOKUP(Orders[[#This Row],[Customer ID]],customers!$A$1:$A$1001,customers!$B$1:$B$1001,,0)</f>
        <v>Tuckie Mathonnet</v>
      </c>
      <c r="G642" s="2" t="str">
        <f>IF(_xlfn.XLOOKUP(C642,customers!$A$1:$A$1001,customers!C641:C1641,,0)=0,"",_xlfn.XLOOKUP(C642,customers!$A$1:$A$1001,customers!C641:C1641,,0))</f>
        <v/>
      </c>
      <c r="H642" s="2" t="str">
        <f>_xlfn.XLOOKUP(Orders[[#This Row],[Customer ID]],customers!$A$1:$A$1001,customers!$G$1:$G$1001,,0)</f>
        <v>United States</v>
      </c>
      <c r="I642" s="2" t="str">
        <f>_xlfn.XLOOKUP(Orders[[#This Row],[Customer ID]],customers!$A$1:$A$1001,customers!$F$1:$F$1001,,0)</f>
        <v>Columbus</v>
      </c>
      <c r="J642" t="str">
        <f>INDEX(products!$A$1:$G$49,MATCH(orders!$D642,products!$A$1:$A$49,0),MATCH(orders!J$1,products!$A$1:$G$1,0))</f>
        <v>Rob</v>
      </c>
      <c r="K642" t="str">
        <f>INDEX(products!$A$1:$G$49,MATCH(orders!$D642,products!$A$1:$A$49,0),MATCH(orders!K$1,products!$A$1:$G$1,0))</f>
        <v>L</v>
      </c>
      <c r="L642" s="4">
        <f>INDEX(products!$A$1:$G$49,MATCH(orders!$D642,products!$A$1:$A$49,0),MATCH(orders!L$1,products!$A$1:$G$1,0))</f>
        <v>2.5</v>
      </c>
      <c r="M642" s="5">
        <f>INDEX(products!$A$1:$G$49,MATCH(orders!$D642,products!$A$1:$A$49,0),MATCH(orders!M$1,products!$A$1:$G$1,0))</f>
        <v>27.484999999999996</v>
      </c>
      <c r="N642" s="5">
        <f>Orders[[#This Row],[Quantity]]*(INDEX(products!$A$1:$G$49,MATCH(orders!$D642,products!$A$1:$A$49,0),MATCH(orders!N$1,products!$A$1:$G$1,0)))</f>
        <v>8.2454999999999998</v>
      </c>
      <c r="O642" s="5">
        <f>M642*E642</f>
        <v>137.42499999999998</v>
      </c>
      <c r="P642" t="str">
        <f t="shared" si="18"/>
        <v>Robusta</v>
      </c>
      <c r="Q642" t="str">
        <f t="shared" si="19"/>
        <v>Light</v>
      </c>
      <c r="R642" t="str">
        <f>_xlfn.XLOOKUP(Orders[[#This Row],[Customer ID]],customers!$A$1:$A$1001,customers!$I$1:$I$1001,,0)</f>
        <v>No</v>
      </c>
    </row>
    <row r="643" spans="1:18" x14ac:dyDescent="0.35">
      <c r="A643" s="2" t="s">
        <v>4109</v>
      </c>
      <c r="B643" s="3">
        <v>44448</v>
      </c>
      <c r="C643" s="2" t="s">
        <v>4110</v>
      </c>
      <c r="D643" t="s">
        <v>6179</v>
      </c>
      <c r="E643" s="2">
        <v>3</v>
      </c>
      <c r="F643" s="2" t="str">
        <f>_xlfn.XLOOKUP(Orders[[#This Row],[Customer ID]],customers!$A$1:$A$1001,customers!$B$1:$B$1001,,0)</f>
        <v>Yardley Basill</v>
      </c>
      <c r="G643" s="2" t="str">
        <f>IF(_xlfn.XLOOKUP(C643,customers!$A$1:$A$1001,customers!C642:C1642,,0)=0,"",_xlfn.XLOOKUP(C643,customers!$A$1:$A$1001,customers!C642:C1642,,0))</f>
        <v/>
      </c>
      <c r="H643" s="2" t="str">
        <f>_xlfn.XLOOKUP(Orders[[#This Row],[Customer ID]],customers!$A$1:$A$1001,customers!$G$1:$G$1001,,0)</f>
        <v>United States</v>
      </c>
      <c r="I643" s="2" t="str">
        <f>_xlfn.XLOOKUP(Orders[[#This Row],[Customer ID]],customers!$A$1:$A$1001,customers!$F$1:$F$1001,,0)</f>
        <v>Pittsburgh</v>
      </c>
      <c r="J643" t="str">
        <f>INDEX(products!$A$1:$G$49,MATCH(orders!$D643,products!$A$1:$A$49,0),MATCH(orders!J$1,products!$A$1:$G$1,0))</f>
        <v>Rob</v>
      </c>
      <c r="K643" t="str">
        <f>INDEX(products!$A$1:$G$49,MATCH(orders!$D643,products!$A$1:$A$49,0),MATCH(orders!K$1,products!$A$1:$G$1,0))</f>
        <v>L</v>
      </c>
      <c r="L643" s="4">
        <f>INDEX(products!$A$1:$G$49,MATCH(orders!$D643,products!$A$1:$A$49,0),MATCH(orders!L$1,products!$A$1:$G$1,0))</f>
        <v>1</v>
      </c>
      <c r="M643" s="5">
        <f>INDEX(products!$A$1:$G$49,MATCH(orders!$D643,products!$A$1:$A$49,0),MATCH(orders!M$1,products!$A$1:$G$1,0))</f>
        <v>11.95</v>
      </c>
      <c r="N643" s="5">
        <f>Orders[[#This Row],[Quantity]]*(INDEX(products!$A$1:$G$49,MATCH(orders!$D643,products!$A$1:$A$49,0),MATCH(orders!N$1,products!$A$1:$G$1,0)))</f>
        <v>2.1509999999999998</v>
      </c>
      <c r="O643" s="5">
        <f>M643*E643</f>
        <v>35.849999999999994</v>
      </c>
      <c r="P643" t="str">
        <f t="shared" ref="P643:P706" si="20">IF(J643="Rob","Robusta",IF(J643="Exc","Excelsa",IF(J643="Ara","Arabica",IF(J643="Lib","Liberica",""))))</f>
        <v>Robusta</v>
      </c>
      <c r="Q643" t="str">
        <f t="shared" ref="Q643:Q706" si="21">IF(K643="M", "Medium", IF(K643="L", "Light", IF(K643="D", "Dark", "")))</f>
        <v>Light</v>
      </c>
      <c r="R643" t="str">
        <f>_xlfn.XLOOKUP(Orders[[#This Row],[Customer ID]],customers!$A$1:$A$1001,customers!$I$1:$I$1001,,0)</f>
        <v>Yes</v>
      </c>
    </row>
    <row r="644" spans="1:18" x14ac:dyDescent="0.35">
      <c r="A644" s="2" t="s">
        <v>4115</v>
      </c>
      <c r="B644" s="3">
        <v>43880</v>
      </c>
      <c r="C644" s="2" t="s">
        <v>4116</v>
      </c>
      <c r="D644" t="s">
        <v>6156</v>
      </c>
      <c r="E644" s="2">
        <v>2</v>
      </c>
      <c r="F644" s="2" t="str">
        <f>_xlfn.XLOOKUP(Orders[[#This Row],[Customer ID]],customers!$A$1:$A$1001,customers!$B$1:$B$1001,,0)</f>
        <v>Maggy Baistow</v>
      </c>
      <c r="G644" s="2" t="str">
        <f>IF(_xlfn.XLOOKUP(C644,customers!$A$1:$A$1001,customers!C643:C1643,,0)=0,"",_xlfn.XLOOKUP(C644,customers!$A$1:$A$1001,customers!C643:C1643,,0))</f>
        <v/>
      </c>
      <c r="H644" s="2" t="str">
        <f>_xlfn.XLOOKUP(Orders[[#This Row],[Customer ID]],customers!$A$1:$A$1001,customers!$G$1:$G$1001,,0)</f>
        <v>United Kingdom</v>
      </c>
      <c r="I644" s="2" t="str">
        <f>_xlfn.XLOOKUP(Orders[[#This Row],[Customer ID]],customers!$A$1:$A$1001,customers!$F$1:$F$1001,,0)</f>
        <v>Ford</v>
      </c>
      <c r="J644" t="str">
        <f>INDEX(products!$A$1:$G$49,MATCH(orders!$D644,products!$A$1:$A$49,0),MATCH(orders!J$1,products!$A$1:$G$1,0))</f>
        <v>Exc</v>
      </c>
      <c r="K644" t="str">
        <f>INDEX(products!$A$1:$G$49,MATCH(orders!$D644,products!$A$1:$A$49,0),MATCH(orders!K$1,products!$A$1:$G$1,0))</f>
        <v>M</v>
      </c>
      <c r="L644" s="4">
        <f>INDEX(products!$A$1:$G$49,MATCH(orders!$D644,products!$A$1:$A$49,0),MATCH(orders!L$1,products!$A$1:$G$1,0))</f>
        <v>0.2</v>
      </c>
      <c r="M644" s="5">
        <f>INDEX(products!$A$1:$G$49,MATCH(orders!$D644,products!$A$1:$A$49,0),MATCH(orders!M$1,products!$A$1:$G$1,0))</f>
        <v>4.125</v>
      </c>
      <c r="N644" s="5">
        <f>Orders[[#This Row],[Quantity]]*(INDEX(products!$A$1:$G$49,MATCH(orders!$D644,products!$A$1:$A$49,0),MATCH(orders!N$1,products!$A$1:$G$1,0)))</f>
        <v>0.90749999999999997</v>
      </c>
      <c r="O644" s="5">
        <f>M644*E644</f>
        <v>8.25</v>
      </c>
      <c r="P644" t="str">
        <f t="shared" si="20"/>
        <v>Excelsa</v>
      </c>
      <c r="Q644" t="str">
        <f t="shared" si="21"/>
        <v>Medium</v>
      </c>
      <c r="R644" t="str">
        <f>_xlfn.XLOOKUP(Orders[[#This Row],[Customer ID]],customers!$A$1:$A$1001,customers!$I$1:$I$1001,,0)</f>
        <v>Yes</v>
      </c>
    </row>
    <row r="645" spans="1:18" x14ac:dyDescent="0.35">
      <c r="A645" s="2" t="s">
        <v>4123</v>
      </c>
      <c r="B645" s="3">
        <v>44011</v>
      </c>
      <c r="C645" s="2" t="s">
        <v>4124</v>
      </c>
      <c r="D645" t="s">
        <v>6148</v>
      </c>
      <c r="E645" s="2">
        <v>3</v>
      </c>
      <c r="F645" s="2" t="str">
        <f>_xlfn.XLOOKUP(Orders[[#This Row],[Customer ID]],customers!$A$1:$A$1001,customers!$B$1:$B$1001,,0)</f>
        <v>Courtney Pallant</v>
      </c>
      <c r="G645" s="2" t="str">
        <f>IF(_xlfn.XLOOKUP(C645,customers!$A$1:$A$1001,customers!C644:C1644,,0)=0,"",_xlfn.XLOOKUP(C645,customers!$A$1:$A$1001,customers!C644:C1644,,0))</f>
        <v/>
      </c>
      <c r="H645" s="2" t="str">
        <f>_xlfn.XLOOKUP(Orders[[#This Row],[Customer ID]],customers!$A$1:$A$1001,customers!$G$1:$G$1001,,0)</f>
        <v>United States</v>
      </c>
      <c r="I645" s="2" t="str">
        <f>_xlfn.XLOOKUP(Orders[[#This Row],[Customer ID]],customers!$A$1:$A$1001,customers!$F$1:$F$1001,,0)</f>
        <v>Dallas</v>
      </c>
      <c r="J645" t="str">
        <f>INDEX(products!$A$1:$G$49,MATCH(orders!$D645,products!$A$1:$A$49,0),MATCH(orders!J$1,products!$A$1:$G$1,0))</f>
        <v>Exc</v>
      </c>
      <c r="K645" t="str">
        <f>INDEX(products!$A$1:$G$49,MATCH(orders!$D645,products!$A$1:$A$49,0),MATCH(orders!K$1,products!$A$1:$G$1,0))</f>
        <v>L</v>
      </c>
      <c r="L645" s="4">
        <f>INDEX(products!$A$1:$G$49,MATCH(orders!$D645,products!$A$1:$A$49,0),MATCH(orders!L$1,products!$A$1:$G$1,0))</f>
        <v>2.5</v>
      </c>
      <c r="M645" s="5">
        <f>INDEX(products!$A$1:$G$49,MATCH(orders!$D645,products!$A$1:$A$49,0),MATCH(orders!M$1,products!$A$1:$G$1,0))</f>
        <v>34.154999999999994</v>
      </c>
      <c r="N645" s="5">
        <f>Orders[[#This Row],[Quantity]]*(INDEX(products!$A$1:$G$49,MATCH(orders!$D645,products!$A$1:$A$49,0),MATCH(orders!N$1,products!$A$1:$G$1,0)))</f>
        <v>11.271149999999999</v>
      </c>
      <c r="O645" s="5">
        <f>M645*E645</f>
        <v>102.46499999999997</v>
      </c>
      <c r="P645" t="str">
        <f t="shared" si="20"/>
        <v>Excelsa</v>
      </c>
      <c r="Q645" t="str">
        <f t="shared" si="21"/>
        <v>Light</v>
      </c>
      <c r="R645" t="str">
        <f>_xlfn.XLOOKUP(Orders[[#This Row],[Customer ID]],customers!$A$1:$A$1001,customers!$I$1:$I$1001,,0)</f>
        <v>Yes</v>
      </c>
    </row>
    <row r="646" spans="1:18" x14ac:dyDescent="0.35">
      <c r="A646" s="2" t="s">
        <v>4128</v>
      </c>
      <c r="B646" s="3">
        <v>44694</v>
      </c>
      <c r="C646" s="2" t="s">
        <v>4129</v>
      </c>
      <c r="D646" t="s">
        <v>6149</v>
      </c>
      <c r="E646" s="2">
        <v>2</v>
      </c>
      <c r="F646" s="2" t="str">
        <f>_xlfn.XLOOKUP(Orders[[#This Row],[Customer ID]],customers!$A$1:$A$1001,customers!$B$1:$B$1001,,0)</f>
        <v>Marne Mingey</v>
      </c>
      <c r="G646" s="2" t="str">
        <f>IF(_xlfn.XLOOKUP(C646,customers!$A$1:$A$1001,customers!C645:C1645,,0)=0,"",_xlfn.XLOOKUP(C646,customers!$A$1:$A$1001,customers!C645:C1645,,0))</f>
        <v/>
      </c>
      <c r="H646" s="2" t="str">
        <f>_xlfn.XLOOKUP(Orders[[#This Row],[Customer ID]],customers!$A$1:$A$1001,customers!$G$1:$G$1001,,0)</f>
        <v>United States</v>
      </c>
      <c r="I646" s="2" t="str">
        <f>_xlfn.XLOOKUP(Orders[[#This Row],[Customer ID]],customers!$A$1:$A$1001,customers!$F$1:$F$1001,,0)</f>
        <v>Miami</v>
      </c>
      <c r="J646" t="str">
        <f>INDEX(products!$A$1:$G$49,MATCH(orders!$D646,products!$A$1:$A$49,0),MATCH(orders!J$1,products!$A$1:$G$1,0))</f>
        <v>Rob</v>
      </c>
      <c r="K646" t="str">
        <f>INDEX(products!$A$1:$G$49,MATCH(orders!$D646,products!$A$1:$A$49,0),MATCH(orders!K$1,products!$A$1:$G$1,0))</f>
        <v>D</v>
      </c>
      <c r="L646" s="4">
        <f>INDEX(products!$A$1:$G$49,MATCH(orders!$D646,products!$A$1:$A$49,0),MATCH(orders!L$1,products!$A$1:$G$1,0))</f>
        <v>2.5</v>
      </c>
      <c r="M646" s="5">
        <f>INDEX(products!$A$1:$G$49,MATCH(orders!$D646,products!$A$1:$A$49,0),MATCH(orders!M$1,products!$A$1:$G$1,0))</f>
        <v>20.584999999999997</v>
      </c>
      <c r="N646" s="5">
        <f>Orders[[#This Row],[Quantity]]*(INDEX(products!$A$1:$G$49,MATCH(orders!$D646,products!$A$1:$A$49,0),MATCH(orders!N$1,products!$A$1:$G$1,0)))</f>
        <v>2.4701999999999997</v>
      </c>
      <c r="O646" s="5">
        <f>M646*E646</f>
        <v>41.169999999999995</v>
      </c>
      <c r="P646" t="str">
        <f t="shared" si="20"/>
        <v>Robusta</v>
      </c>
      <c r="Q646" t="str">
        <f t="shared" si="21"/>
        <v>Dark</v>
      </c>
      <c r="R646" t="str">
        <f>_xlfn.XLOOKUP(Orders[[#This Row],[Customer ID]],customers!$A$1:$A$1001,customers!$I$1:$I$1001,,0)</f>
        <v>No</v>
      </c>
    </row>
    <row r="647" spans="1:18" x14ac:dyDescent="0.35">
      <c r="A647" s="2" t="s">
        <v>4133</v>
      </c>
      <c r="B647" s="3">
        <v>44106</v>
      </c>
      <c r="C647" s="2" t="s">
        <v>4134</v>
      </c>
      <c r="D647" t="s">
        <v>6168</v>
      </c>
      <c r="E647" s="2">
        <v>3</v>
      </c>
      <c r="F647" s="2" t="str">
        <f>_xlfn.XLOOKUP(Orders[[#This Row],[Customer ID]],customers!$A$1:$A$1001,customers!$B$1:$B$1001,,0)</f>
        <v>Denny O' Ronan</v>
      </c>
      <c r="G647" s="2" t="str">
        <f>IF(_xlfn.XLOOKUP(C647,customers!$A$1:$A$1001,customers!C646:C1646,,0)=0,"",_xlfn.XLOOKUP(C647,customers!$A$1:$A$1001,customers!C646:C1646,,0))</f>
        <v/>
      </c>
      <c r="H647" s="2" t="str">
        <f>_xlfn.XLOOKUP(Orders[[#This Row],[Customer ID]],customers!$A$1:$A$1001,customers!$G$1:$G$1001,,0)</f>
        <v>United States</v>
      </c>
      <c r="I647" s="2" t="str">
        <f>_xlfn.XLOOKUP(Orders[[#This Row],[Customer ID]],customers!$A$1:$A$1001,customers!$F$1:$F$1001,,0)</f>
        <v>San Angelo</v>
      </c>
      <c r="J647" t="str">
        <f>INDEX(products!$A$1:$G$49,MATCH(orders!$D647,products!$A$1:$A$49,0),MATCH(orders!J$1,products!$A$1:$G$1,0))</f>
        <v>Ara</v>
      </c>
      <c r="K647" t="str">
        <f>INDEX(products!$A$1:$G$49,MATCH(orders!$D647,products!$A$1:$A$49,0),MATCH(orders!K$1,products!$A$1:$G$1,0))</f>
        <v>D</v>
      </c>
      <c r="L647" s="4">
        <f>INDEX(products!$A$1:$G$49,MATCH(orders!$D647,products!$A$1:$A$49,0),MATCH(orders!L$1,products!$A$1:$G$1,0))</f>
        <v>2.5</v>
      </c>
      <c r="M647" s="5">
        <f>INDEX(products!$A$1:$G$49,MATCH(orders!$D647,products!$A$1:$A$49,0),MATCH(orders!M$1,products!$A$1:$G$1,0))</f>
        <v>22.884999999999998</v>
      </c>
      <c r="N647" s="5">
        <f>Orders[[#This Row],[Quantity]]*(INDEX(products!$A$1:$G$49,MATCH(orders!$D647,products!$A$1:$A$49,0),MATCH(orders!N$1,products!$A$1:$G$1,0)))</f>
        <v>6.1789499999999986</v>
      </c>
      <c r="O647" s="5">
        <f>M647*E647</f>
        <v>68.655000000000001</v>
      </c>
      <c r="P647" t="str">
        <f t="shared" si="20"/>
        <v>Arabica</v>
      </c>
      <c r="Q647" t="str">
        <f t="shared" si="21"/>
        <v>Dark</v>
      </c>
      <c r="R647" t="str">
        <f>_xlfn.XLOOKUP(Orders[[#This Row],[Customer ID]],customers!$A$1:$A$1001,customers!$I$1:$I$1001,,0)</f>
        <v>Yes</v>
      </c>
    </row>
    <row r="648" spans="1:18" x14ac:dyDescent="0.35">
      <c r="A648" s="2" t="s">
        <v>4139</v>
      </c>
      <c r="B648" s="3">
        <v>44532</v>
      </c>
      <c r="C648" s="2" t="s">
        <v>4140</v>
      </c>
      <c r="D648" t="s">
        <v>6147</v>
      </c>
      <c r="E648" s="2">
        <v>1</v>
      </c>
      <c r="F648" s="2" t="str">
        <f>_xlfn.XLOOKUP(Orders[[#This Row],[Customer ID]],customers!$A$1:$A$1001,customers!$B$1:$B$1001,,0)</f>
        <v>Dottie Rallin</v>
      </c>
      <c r="G648" s="2" t="str">
        <f>IF(_xlfn.XLOOKUP(C648,customers!$A$1:$A$1001,customers!C647:C1647,,0)=0,"",_xlfn.XLOOKUP(C648,customers!$A$1:$A$1001,customers!C647:C1647,,0))</f>
        <v/>
      </c>
      <c r="H648" s="2" t="str">
        <f>_xlfn.XLOOKUP(Orders[[#This Row],[Customer ID]],customers!$A$1:$A$1001,customers!$G$1:$G$1001,,0)</f>
        <v>United States</v>
      </c>
      <c r="I648" s="2" t="str">
        <f>_xlfn.XLOOKUP(Orders[[#This Row],[Customer ID]],customers!$A$1:$A$1001,customers!$F$1:$F$1001,,0)</f>
        <v>Albany</v>
      </c>
      <c r="J648" t="str">
        <f>INDEX(products!$A$1:$G$49,MATCH(orders!$D648,products!$A$1:$A$49,0),MATCH(orders!J$1,products!$A$1:$G$1,0))</f>
        <v>Ara</v>
      </c>
      <c r="K648" t="str">
        <f>INDEX(products!$A$1:$G$49,MATCH(orders!$D648,products!$A$1:$A$49,0),MATCH(orders!K$1,products!$A$1:$G$1,0))</f>
        <v>D</v>
      </c>
      <c r="L648" s="4">
        <f>INDEX(products!$A$1:$G$49,MATCH(orders!$D648,products!$A$1:$A$49,0),MATCH(orders!L$1,products!$A$1:$G$1,0))</f>
        <v>1</v>
      </c>
      <c r="M648" s="5">
        <f>INDEX(products!$A$1:$G$49,MATCH(orders!$D648,products!$A$1:$A$49,0),MATCH(orders!M$1,products!$A$1:$G$1,0))</f>
        <v>9.9499999999999993</v>
      </c>
      <c r="N648" s="5">
        <f>Orders[[#This Row],[Quantity]]*(INDEX(products!$A$1:$G$49,MATCH(orders!$D648,products!$A$1:$A$49,0),MATCH(orders!N$1,products!$A$1:$G$1,0)))</f>
        <v>0.89549999999999985</v>
      </c>
      <c r="O648" s="5">
        <f>M648*E648</f>
        <v>9.9499999999999993</v>
      </c>
      <c r="P648" t="str">
        <f t="shared" si="20"/>
        <v>Arabica</v>
      </c>
      <c r="Q648" t="str">
        <f t="shared" si="21"/>
        <v>Dark</v>
      </c>
      <c r="R648" t="str">
        <f>_xlfn.XLOOKUP(Orders[[#This Row],[Customer ID]],customers!$A$1:$A$1001,customers!$I$1:$I$1001,,0)</f>
        <v>Yes</v>
      </c>
    </row>
    <row r="649" spans="1:18" x14ac:dyDescent="0.35">
      <c r="A649" s="2" t="s">
        <v>4145</v>
      </c>
      <c r="B649" s="3">
        <v>44502</v>
      </c>
      <c r="C649" s="2" t="s">
        <v>4146</v>
      </c>
      <c r="D649" t="s">
        <v>6161</v>
      </c>
      <c r="E649" s="2">
        <v>3</v>
      </c>
      <c r="F649" s="2" t="str">
        <f>_xlfn.XLOOKUP(Orders[[#This Row],[Customer ID]],customers!$A$1:$A$1001,customers!$B$1:$B$1001,,0)</f>
        <v>Ardith Chill</v>
      </c>
      <c r="G649" s="2" t="str">
        <f>IF(_xlfn.XLOOKUP(C649,customers!$A$1:$A$1001,customers!C648:C1648,,0)=0,"",_xlfn.XLOOKUP(C649,customers!$A$1:$A$1001,customers!C648:C1648,,0))</f>
        <v/>
      </c>
      <c r="H649" s="2" t="str">
        <f>_xlfn.XLOOKUP(Orders[[#This Row],[Customer ID]],customers!$A$1:$A$1001,customers!$G$1:$G$1001,,0)</f>
        <v>United Kingdom</v>
      </c>
      <c r="I649" s="2" t="str">
        <f>_xlfn.XLOOKUP(Orders[[#This Row],[Customer ID]],customers!$A$1:$A$1001,customers!$F$1:$F$1001,,0)</f>
        <v>Thorpe</v>
      </c>
      <c r="J649" t="str">
        <f>INDEX(products!$A$1:$G$49,MATCH(orders!$D649,products!$A$1:$A$49,0),MATCH(orders!J$1,products!$A$1:$G$1,0))</f>
        <v>Lib</v>
      </c>
      <c r="K649" t="str">
        <f>INDEX(products!$A$1:$G$49,MATCH(orders!$D649,products!$A$1:$A$49,0),MATCH(orders!K$1,products!$A$1:$G$1,0))</f>
        <v>L</v>
      </c>
      <c r="L649" s="4">
        <f>INDEX(products!$A$1:$G$49,MATCH(orders!$D649,products!$A$1:$A$49,0),MATCH(orders!L$1,products!$A$1:$G$1,0))</f>
        <v>0.5</v>
      </c>
      <c r="M649" s="5">
        <f>INDEX(products!$A$1:$G$49,MATCH(orders!$D649,products!$A$1:$A$49,0),MATCH(orders!M$1,products!$A$1:$G$1,0))</f>
        <v>9.51</v>
      </c>
      <c r="N649" s="5">
        <f>Orders[[#This Row],[Quantity]]*(INDEX(products!$A$1:$G$49,MATCH(orders!$D649,products!$A$1:$A$49,0),MATCH(orders!N$1,products!$A$1:$G$1,0)))</f>
        <v>3.7088999999999999</v>
      </c>
      <c r="O649" s="5">
        <f>M649*E649</f>
        <v>28.53</v>
      </c>
      <c r="P649" t="str">
        <f t="shared" si="20"/>
        <v>Liberica</v>
      </c>
      <c r="Q649" t="str">
        <f t="shared" si="21"/>
        <v>Light</v>
      </c>
      <c r="R649" t="str">
        <f>_xlfn.XLOOKUP(Orders[[#This Row],[Customer ID]],customers!$A$1:$A$1001,customers!$I$1:$I$1001,,0)</f>
        <v>Yes</v>
      </c>
    </row>
    <row r="650" spans="1:18" x14ac:dyDescent="0.35">
      <c r="A650" s="2" t="s">
        <v>4151</v>
      </c>
      <c r="B650" s="3">
        <v>43884</v>
      </c>
      <c r="C650" s="2" t="s">
        <v>4152</v>
      </c>
      <c r="D650" t="s">
        <v>6163</v>
      </c>
      <c r="E650" s="2">
        <v>6</v>
      </c>
      <c r="F650" s="2" t="str">
        <f>_xlfn.XLOOKUP(Orders[[#This Row],[Customer ID]],customers!$A$1:$A$1001,customers!$B$1:$B$1001,,0)</f>
        <v>Tuckie Mathonnet</v>
      </c>
      <c r="G650" s="2" t="str">
        <f>IF(_xlfn.XLOOKUP(C650,customers!$A$1:$A$1001,customers!C649:C1649,,0)=0,"",_xlfn.XLOOKUP(C650,customers!$A$1:$A$1001,customers!C649:C1649,,0))</f>
        <v/>
      </c>
      <c r="H650" s="2" t="str">
        <f>_xlfn.XLOOKUP(Orders[[#This Row],[Customer ID]],customers!$A$1:$A$1001,customers!$G$1:$G$1001,,0)</f>
        <v>United States</v>
      </c>
      <c r="I650" s="2" t="str">
        <f>_xlfn.XLOOKUP(Orders[[#This Row],[Customer ID]],customers!$A$1:$A$1001,customers!$F$1:$F$1001,,0)</f>
        <v>Columbus</v>
      </c>
      <c r="J650" t="str">
        <f>INDEX(products!$A$1:$G$49,MATCH(orders!$D650,products!$A$1:$A$49,0),MATCH(orders!J$1,products!$A$1:$G$1,0))</f>
        <v>Rob</v>
      </c>
      <c r="K650" t="str">
        <f>INDEX(products!$A$1:$G$49,MATCH(orders!$D650,products!$A$1:$A$49,0),MATCH(orders!K$1,products!$A$1:$G$1,0))</f>
        <v>D</v>
      </c>
      <c r="L650" s="4">
        <f>INDEX(products!$A$1:$G$49,MATCH(orders!$D650,products!$A$1:$A$49,0),MATCH(orders!L$1,products!$A$1:$G$1,0))</f>
        <v>0.2</v>
      </c>
      <c r="M650" s="5">
        <f>INDEX(products!$A$1:$G$49,MATCH(orders!$D650,products!$A$1:$A$49,0),MATCH(orders!M$1,products!$A$1:$G$1,0))</f>
        <v>2.6849999999999996</v>
      </c>
      <c r="N650" s="5">
        <f>Orders[[#This Row],[Quantity]]*(INDEX(products!$A$1:$G$49,MATCH(orders!$D650,products!$A$1:$A$49,0),MATCH(orders!N$1,products!$A$1:$G$1,0)))</f>
        <v>0.96659999999999979</v>
      </c>
      <c r="O650" s="5">
        <f>M650*E650</f>
        <v>16.11</v>
      </c>
      <c r="P650" t="str">
        <f t="shared" si="20"/>
        <v>Robusta</v>
      </c>
      <c r="Q650" t="str">
        <f t="shared" si="21"/>
        <v>Dark</v>
      </c>
      <c r="R650" t="str">
        <f>_xlfn.XLOOKUP(Orders[[#This Row],[Customer ID]],customers!$A$1:$A$1001,customers!$I$1:$I$1001,,0)</f>
        <v>No</v>
      </c>
    </row>
    <row r="651" spans="1:18" x14ac:dyDescent="0.35">
      <c r="A651" s="2" t="s">
        <v>4157</v>
      </c>
      <c r="B651" s="3">
        <v>44015</v>
      </c>
      <c r="C651" s="2" t="s">
        <v>4158</v>
      </c>
      <c r="D651" t="s">
        <v>6170</v>
      </c>
      <c r="E651" s="2">
        <v>6</v>
      </c>
      <c r="F651" s="2" t="str">
        <f>_xlfn.XLOOKUP(Orders[[#This Row],[Customer ID]],customers!$A$1:$A$1001,customers!$B$1:$B$1001,,0)</f>
        <v>Charmane Denys</v>
      </c>
      <c r="G651" s="2" t="str">
        <f>IF(_xlfn.XLOOKUP(C651,customers!$A$1:$A$1001,customers!C650:C1650,,0)=0,"",_xlfn.XLOOKUP(C651,customers!$A$1:$A$1001,customers!C650:C1650,,0))</f>
        <v/>
      </c>
      <c r="H651" s="2" t="str">
        <f>_xlfn.XLOOKUP(Orders[[#This Row],[Customer ID]],customers!$A$1:$A$1001,customers!$G$1:$G$1001,,0)</f>
        <v>United Kingdom</v>
      </c>
      <c r="I651" s="2" t="str">
        <f>_xlfn.XLOOKUP(Orders[[#This Row],[Customer ID]],customers!$A$1:$A$1001,customers!$F$1:$F$1001,,0)</f>
        <v>Carlton</v>
      </c>
      <c r="J651" t="str">
        <f>INDEX(products!$A$1:$G$49,MATCH(orders!$D651,products!$A$1:$A$49,0),MATCH(orders!J$1,products!$A$1:$G$1,0))</f>
        <v>Lib</v>
      </c>
      <c r="K651" t="str">
        <f>INDEX(products!$A$1:$G$49,MATCH(orders!$D651,products!$A$1:$A$49,0),MATCH(orders!K$1,products!$A$1:$G$1,0))</f>
        <v>L</v>
      </c>
      <c r="L651" s="4">
        <f>INDEX(products!$A$1:$G$49,MATCH(orders!$D651,products!$A$1:$A$49,0),MATCH(orders!L$1,products!$A$1:$G$1,0))</f>
        <v>1</v>
      </c>
      <c r="M651" s="5">
        <f>INDEX(products!$A$1:$G$49,MATCH(orders!$D651,products!$A$1:$A$49,0),MATCH(orders!M$1,products!$A$1:$G$1,0))</f>
        <v>15.85</v>
      </c>
      <c r="N651" s="5">
        <f>Orders[[#This Row],[Quantity]]*(INDEX(products!$A$1:$G$49,MATCH(orders!$D651,products!$A$1:$A$49,0),MATCH(orders!N$1,products!$A$1:$G$1,0)))</f>
        <v>12.363000000000001</v>
      </c>
      <c r="O651" s="5">
        <f>M651*E651</f>
        <v>95.1</v>
      </c>
      <c r="P651" t="str">
        <f t="shared" si="20"/>
        <v>Liberica</v>
      </c>
      <c r="Q651" t="str">
        <f t="shared" si="21"/>
        <v>Light</v>
      </c>
      <c r="R651" t="str">
        <f>_xlfn.XLOOKUP(Orders[[#This Row],[Customer ID]],customers!$A$1:$A$1001,customers!$I$1:$I$1001,,0)</f>
        <v>No</v>
      </c>
    </row>
    <row r="652" spans="1:18" x14ac:dyDescent="0.35">
      <c r="A652" s="2" t="s">
        <v>4163</v>
      </c>
      <c r="B652" s="3">
        <v>43507</v>
      </c>
      <c r="C652" s="2" t="s">
        <v>4164</v>
      </c>
      <c r="D652" t="s">
        <v>6172</v>
      </c>
      <c r="E652" s="2">
        <v>1</v>
      </c>
      <c r="F652" s="2" t="str">
        <f>_xlfn.XLOOKUP(Orders[[#This Row],[Customer ID]],customers!$A$1:$A$1001,customers!$B$1:$B$1001,,0)</f>
        <v>Cecily Stebbings</v>
      </c>
      <c r="G652" s="2" t="str">
        <f>IF(_xlfn.XLOOKUP(C652,customers!$A$1:$A$1001,customers!C651:C1651,,0)=0,"",_xlfn.XLOOKUP(C652,customers!$A$1:$A$1001,customers!C651:C1651,,0))</f>
        <v/>
      </c>
      <c r="H652" s="2" t="str">
        <f>_xlfn.XLOOKUP(Orders[[#This Row],[Customer ID]],customers!$A$1:$A$1001,customers!$G$1:$G$1001,,0)</f>
        <v>United States</v>
      </c>
      <c r="I652" s="2" t="str">
        <f>_xlfn.XLOOKUP(Orders[[#This Row],[Customer ID]],customers!$A$1:$A$1001,customers!$F$1:$F$1001,,0)</f>
        <v>Corona</v>
      </c>
      <c r="J652" t="str">
        <f>INDEX(products!$A$1:$G$49,MATCH(orders!$D652,products!$A$1:$A$49,0),MATCH(orders!J$1,products!$A$1:$G$1,0))</f>
        <v>Rob</v>
      </c>
      <c r="K652" t="str">
        <f>INDEX(products!$A$1:$G$49,MATCH(orders!$D652,products!$A$1:$A$49,0),MATCH(orders!K$1,products!$A$1:$G$1,0))</f>
        <v>D</v>
      </c>
      <c r="L652" s="4">
        <f>INDEX(products!$A$1:$G$49,MATCH(orders!$D652,products!$A$1:$A$49,0),MATCH(orders!L$1,products!$A$1:$G$1,0))</f>
        <v>0.5</v>
      </c>
      <c r="M652" s="5">
        <f>INDEX(products!$A$1:$G$49,MATCH(orders!$D652,products!$A$1:$A$49,0),MATCH(orders!M$1,products!$A$1:$G$1,0))</f>
        <v>5.3699999999999992</v>
      </c>
      <c r="N652" s="5">
        <f>Orders[[#This Row],[Quantity]]*(INDEX(products!$A$1:$G$49,MATCH(orders!$D652,products!$A$1:$A$49,0),MATCH(orders!N$1,products!$A$1:$G$1,0)))</f>
        <v>0.32219999999999993</v>
      </c>
      <c r="O652" s="5">
        <f>M652*E652</f>
        <v>5.3699999999999992</v>
      </c>
      <c r="P652" t="str">
        <f t="shared" si="20"/>
        <v>Robusta</v>
      </c>
      <c r="Q652" t="str">
        <f t="shared" si="21"/>
        <v>Dark</v>
      </c>
      <c r="R652" t="str">
        <f>_xlfn.XLOOKUP(Orders[[#This Row],[Customer ID]],customers!$A$1:$A$1001,customers!$I$1:$I$1001,,0)</f>
        <v>Yes</v>
      </c>
    </row>
    <row r="653" spans="1:18" x14ac:dyDescent="0.35">
      <c r="A653" s="2" t="s">
        <v>4169</v>
      </c>
      <c r="B653" s="3">
        <v>44084</v>
      </c>
      <c r="C653" s="2" t="s">
        <v>4170</v>
      </c>
      <c r="D653" t="s">
        <v>6179</v>
      </c>
      <c r="E653" s="2">
        <v>4</v>
      </c>
      <c r="F653" s="2" t="str">
        <f>_xlfn.XLOOKUP(Orders[[#This Row],[Customer ID]],customers!$A$1:$A$1001,customers!$B$1:$B$1001,,0)</f>
        <v>Giana Tonnesen</v>
      </c>
      <c r="G653" s="2" t="str">
        <f>IF(_xlfn.XLOOKUP(C653,customers!$A$1:$A$1001,customers!C652:C1652,,0)=0,"",_xlfn.XLOOKUP(C653,customers!$A$1:$A$1001,customers!C652:C1652,,0))</f>
        <v/>
      </c>
      <c r="H653" s="2" t="str">
        <f>_xlfn.XLOOKUP(Orders[[#This Row],[Customer ID]],customers!$A$1:$A$1001,customers!$G$1:$G$1001,,0)</f>
        <v>United States</v>
      </c>
      <c r="I653" s="2" t="str">
        <f>_xlfn.XLOOKUP(Orders[[#This Row],[Customer ID]],customers!$A$1:$A$1001,customers!$F$1:$F$1001,,0)</f>
        <v>Washington</v>
      </c>
      <c r="J653" t="str">
        <f>INDEX(products!$A$1:$G$49,MATCH(orders!$D653,products!$A$1:$A$49,0),MATCH(orders!J$1,products!$A$1:$G$1,0))</f>
        <v>Rob</v>
      </c>
      <c r="K653" t="str">
        <f>INDEX(products!$A$1:$G$49,MATCH(orders!$D653,products!$A$1:$A$49,0),MATCH(orders!K$1,products!$A$1:$G$1,0))</f>
        <v>L</v>
      </c>
      <c r="L653" s="4">
        <f>INDEX(products!$A$1:$G$49,MATCH(orders!$D653,products!$A$1:$A$49,0),MATCH(orders!L$1,products!$A$1:$G$1,0))</f>
        <v>1</v>
      </c>
      <c r="M653" s="5">
        <f>INDEX(products!$A$1:$G$49,MATCH(orders!$D653,products!$A$1:$A$49,0),MATCH(orders!M$1,products!$A$1:$G$1,0))</f>
        <v>11.95</v>
      </c>
      <c r="N653" s="5">
        <f>Orders[[#This Row],[Quantity]]*(INDEX(products!$A$1:$G$49,MATCH(orders!$D653,products!$A$1:$A$49,0),MATCH(orders!N$1,products!$A$1:$G$1,0)))</f>
        <v>2.8679999999999999</v>
      </c>
      <c r="O653" s="5">
        <f>M653*E653</f>
        <v>47.8</v>
      </c>
      <c r="P653" t="str">
        <f t="shared" si="20"/>
        <v>Robusta</v>
      </c>
      <c r="Q653" t="str">
        <f t="shared" si="21"/>
        <v>Light</v>
      </c>
      <c r="R653" t="str">
        <f>_xlfn.XLOOKUP(Orders[[#This Row],[Customer ID]],customers!$A$1:$A$1001,customers!$I$1:$I$1001,,0)</f>
        <v>No</v>
      </c>
    </row>
    <row r="654" spans="1:18" x14ac:dyDescent="0.35">
      <c r="A654" s="2" t="s">
        <v>4174</v>
      </c>
      <c r="B654" s="3">
        <v>43892</v>
      </c>
      <c r="C654" s="2" t="s">
        <v>4175</v>
      </c>
      <c r="D654" t="s">
        <v>6170</v>
      </c>
      <c r="E654" s="2">
        <v>4</v>
      </c>
      <c r="F654" s="2" t="str">
        <f>_xlfn.XLOOKUP(Orders[[#This Row],[Customer ID]],customers!$A$1:$A$1001,customers!$B$1:$B$1001,,0)</f>
        <v>Rhetta Zywicki</v>
      </c>
      <c r="G654" s="2" t="str">
        <f>IF(_xlfn.XLOOKUP(C654,customers!$A$1:$A$1001,customers!C653:C1653,,0)=0,"",_xlfn.XLOOKUP(C654,customers!$A$1:$A$1001,customers!C653:C1653,,0))</f>
        <v/>
      </c>
      <c r="H654" s="2" t="str">
        <f>_xlfn.XLOOKUP(Orders[[#This Row],[Customer ID]],customers!$A$1:$A$1001,customers!$G$1:$G$1001,,0)</f>
        <v>Ireland</v>
      </c>
      <c r="I654" s="2" t="str">
        <f>_xlfn.XLOOKUP(Orders[[#This Row],[Customer ID]],customers!$A$1:$A$1001,customers!$F$1:$F$1001,,0)</f>
        <v>Ballinteer</v>
      </c>
      <c r="J654" t="str">
        <f>INDEX(products!$A$1:$G$49,MATCH(orders!$D654,products!$A$1:$A$49,0),MATCH(orders!J$1,products!$A$1:$G$1,0))</f>
        <v>Lib</v>
      </c>
      <c r="K654" t="str">
        <f>INDEX(products!$A$1:$G$49,MATCH(orders!$D654,products!$A$1:$A$49,0),MATCH(orders!K$1,products!$A$1:$G$1,0))</f>
        <v>L</v>
      </c>
      <c r="L654" s="4">
        <f>INDEX(products!$A$1:$G$49,MATCH(orders!$D654,products!$A$1:$A$49,0),MATCH(orders!L$1,products!$A$1:$G$1,0))</f>
        <v>1</v>
      </c>
      <c r="M654" s="5">
        <f>INDEX(products!$A$1:$G$49,MATCH(orders!$D654,products!$A$1:$A$49,0),MATCH(orders!M$1,products!$A$1:$G$1,0))</f>
        <v>15.85</v>
      </c>
      <c r="N654" s="5">
        <f>Orders[[#This Row],[Quantity]]*(INDEX(products!$A$1:$G$49,MATCH(orders!$D654,products!$A$1:$A$49,0),MATCH(orders!N$1,products!$A$1:$G$1,0)))</f>
        <v>8.2420000000000009</v>
      </c>
      <c r="O654" s="5">
        <f>M654*E654</f>
        <v>63.4</v>
      </c>
      <c r="P654" t="str">
        <f t="shared" si="20"/>
        <v>Liberica</v>
      </c>
      <c r="Q654" t="str">
        <f t="shared" si="21"/>
        <v>Light</v>
      </c>
      <c r="R654" t="str">
        <f>_xlfn.XLOOKUP(Orders[[#This Row],[Customer ID]],customers!$A$1:$A$1001,customers!$I$1:$I$1001,,0)</f>
        <v>No</v>
      </c>
    </row>
    <row r="655" spans="1:18" x14ac:dyDescent="0.35">
      <c r="A655" s="2" t="s">
        <v>4179</v>
      </c>
      <c r="B655" s="3">
        <v>44375</v>
      </c>
      <c r="C655" s="2" t="s">
        <v>4180</v>
      </c>
      <c r="D655" t="s">
        <v>6175</v>
      </c>
      <c r="E655" s="2">
        <v>4</v>
      </c>
      <c r="F655" s="2" t="str">
        <f>_xlfn.XLOOKUP(Orders[[#This Row],[Customer ID]],customers!$A$1:$A$1001,customers!$B$1:$B$1001,,0)</f>
        <v>Almeria Burgett</v>
      </c>
      <c r="G655" s="2" t="str">
        <f>IF(_xlfn.XLOOKUP(C655,customers!$A$1:$A$1001,customers!C654:C1654,,0)=0,"",_xlfn.XLOOKUP(C655,customers!$A$1:$A$1001,customers!C654:C1654,,0))</f>
        <v/>
      </c>
      <c r="H655" s="2" t="str">
        <f>_xlfn.XLOOKUP(Orders[[#This Row],[Customer ID]],customers!$A$1:$A$1001,customers!$G$1:$G$1001,,0)</f>
        <v>United States</v>
      </c>
      <c r="I655" s="2" t="str">
        <f>_xlfn.XLOOKUP(Orders[[#This Row],[Customer ID]],customers!$A$1:$A$1001,customers!$F$1:$F$1001,,0)</f>
        <v>Toledo</v>
      </c>
      <c r="J655" t="str">
        <f>INDEX(products!$A$1:$G$49,MATCH(orders!$D655,products!$A$1:$A$49,0),MATCH(orders!J$1,products!$A$1:$G$1,0))</f>
        <v>Ara</v>
      </c>
      <c r="K655" t="str">
        <f>INDEX(products!$A$1:$G$49,MATCH(orders!$D655,products!$A$1:$A$49,0),MATCH(orders!K$1,products!$A$1:$G$1,0))</f>
        <v>M</v>
      </c>
      <c r="L655" s="4">
        <f>INDEX(products!$A$1:$G$49,MATCH(orders!$D655,products!$A$1:$A$49,0),MATCH(orders!L$1,products!$A$1:$G$1,0))</f>
        <v>2.5</v>
      </c>
      <c r="M655" s="5">
        <f>INDEX(products!$A$1:$G$49,MATCH(orders!$D655,products!$A$1:$A$49,0),MATCH(orders!M$1,products!$A$1:$G$1,0))</f>
        <v>25.874999999999996</v>
      </c>
      <c r="N655" s="5">
        <f>Orders[[#This Row],[Quantity]]*(INDEX(products!$A$1:$G$49,MATCH(orders!$D655,products!$A$1:$A$49,0),MATCH(orders!N$1,products!$A$1:$G$1,0)))</f>
        <v>9.3149999999999977</v>
      </c>
      <c r="O655" s="5">
        <f>M655*E655</f>
        <v>103.49999999999999</v>
      </c>
      <c r="P655" t="str">
        <f t="shared" si="20"/>
        <v>Arabica</v>
      </c>
      <c r="Q655" t="str">
        <f t="shared" si="21"/>
        <v>Medium</v>
      </c>
      <c r="R655" t="str">
        <f>_xlfn.XLOOKUP(Orders[[#This Row],[Customer ID]],customers!$A$1:$A$1001,customers!$I$1:$I$1001,,0)</f>
        <v>No</v>
      </c>
    </row>
    <row r="656" spans="1:18" x14ac:dyDescent="0.35">
      <c r="A656" s="2" t="s">
        <v>4185</v>
      </c>
      <c r="B656" s="3">
        <v>43476</v>
      </c>
      <c r="C656" s="2" t="s">
        <v>4186</v>
      </c>
      <c r="D656" t="s">
        <v>6168</v>
      </c>
      <c r="E656" s="2">
        <v>3</v>
      </c>
      <c r="F656" s="2" t="str">
        <f>_xlfn.XLOOKUP(Orders[[#This Row],[Customer ID]],customers!$A$1:$A$1001,customers!$B$1:$B$1001,,0)</f>
        <v>Marvin Malloy</v>
      </c>
      <c r="G656" s="2" t="str">
        <f>IF(_xlfn.XLOOKUP(C656,customers!$A$1:$A$1001,customers!C655:C1655,,0)=0,"",_xlfn.XLOOKUP(C656,customers!$A$1:$A$1001,customers!C655:C1655,,0))</f>
        <v/>
      </c>
      <c r="H656" s="2" t="str">
        <f>_xlfn.XLOOKUP(Orders[[#This Row],[Customer ID]],customers!$A$1:$A$1001,customers!$G$1:$G$1001,,0)</f>
        <v>United States</v>
      </c>
      <c r="I656" s="2" t="str">
        <f>_xlfn.XLOOKUP(Orders[[#This Row],[Customer ID]],customers!$A$1:$A$1001,customers!$F$1:$F$1001,,0)</f>
        <v>Washington</v>
      </c>
      <c r="J656" t="str">
        <f>INDEX(products!$A$1:$G$49,MATCH(orders!$D656,products!$A$1:$A$49,0),MATCH(orders!J$1,products!$A$1:$G$1,0))</f>
        <v>Ara</v>
      </c>
      <c r="K656" t="str">
        <f>INDEX(products!$A$1:$G$49,MATCH(orders!$D656,products!$A$1:$A$49,0),MATCH(orders!K$1,products!$A$1:$G$1,0))</f>
        <v>D</v>
      </c>
      <c r="L656" s="4">
        <f>INDEX(products!$A$1:$G$49,MATCH(orders!$D656,products!$A$1:$A$49,0),MATCH(orders!L$1,products!$A$1:$G$1,0))</f>
        <v>2.5</v>
      </c>
      <c r="M656" s="5">
        <f>INDEX(products!$A$1:$G$49,MATCH(orders!$D656,products!$A$1:$A$49,0),MATCH(orders!M$1,products!$A$1:$G$1,0))</f>
        <v>22.884999999999998</v>
      </c>
      <c r="N656" s="5">
        <f>Orders[[#This Row],[Quantity]]*(INDEX(products!$A$1:$G$49,MATCH(orders!$D656,products!$A$1:$A$49,0),MATCH(orders!N$1,products!$A$1:$G$1,0)))</f>
        <v>6.1789499999999986</v>
      </c>
      <c r="O656" s="5">
        <f>M656*E656</f>
        <v>68.655000000000001</v>
      </c>
      <c r="P656" t="str">
        <f t="shared" si="20"/>
        <v>Arabica</v>
      </c>
      <c r="Q656" t="str">
        <f t="shared" si="21"/>
        <v>Dark</v>
      </c>
      <c r="R656" t="str">
        <f>_xlfn.XLOOKUP(Orders[[#This Row],[Customer ID]],customers!$A$1:$A$1001,customers!$I$1:$I$1001,,0)</f>
        <v>No</v>
      </c>
    </row>
    <row r="657" spans="1:18" x14ac:dyDescent="0.35">
      <c r="A657" s="2" t="s">
        <v>4191</v>
      </c>
      <c r="B657" s="3">
        <v>43728</v>
      </c>
      <c r="C657" s="2" t="s">
        <v>4192</v>
      </c>
      <c r="D657" t="s">
        <v>6151</v>
      </c>
      <c r="E657" s="2">
        <v>2</v>
      </c>
      <c r="F657" s="2" t="str">
        <f>_xlfn.XLOOKUP(Orders[[#This Row],[Customer ID]],customers!$A$1:$A$1001,customers!$B$1:$B$1001,,0)</f>
        <v>Maxim McParland</v>
      </c>
      <c r="G657" s="2" t="str">
        <f>IF(_xlfn.XLOOKUP(C657,customers!$A$1:$A$1001,customers!C656:C1656,,0)=0,"",_xlfn.XLOOKUP(C657,customers!$A$1:$A$1001,customers!C656:C1656,,0))</f>
        <v/>
      </c>
      <c r="H657" s="2" t="str">
        <f>_xlfn.XLOOKUP(Orders[[#This Row],[Customer ID]],customers!$A$1:$A$1001,customers!$G$1:$G$1001,,0)</f>
        <v>United States</v>
      </c>
      <c r="I657" s="2" t="str">
        <f>_xlfn.XLOOKUP(Orders[[#This Row],[Customer ID]],customers!$A$1:$A$1001,customers!$F$1:$F$1001,,0)</f>
        <v>Cedar Rapids</v>
      </c>
      <c r="J657" t="str">
        <f>INDEX(products!$A$1:$G$49,MATCH(orders!$D657,products!$A$1:$A$49,0),MATCH(orders!J$1,products!$A$1:$G$1,0))</f>
        <v>Rob</v>
      </c>
      <c r="K657" t="str">
        <f>INDEX(products!$A$1:$G$49,MATCH(orders!$D657,products!$A$1:$A$49,0),MATCH(orders!K$1,products!$A$1:$G$1,0))</f>
        <v>M</v>
      </c>
      <c r="L657" s="4">
        <f>INDEX(products!$A$1:$G$49,MATCH(orders!$D657,products!$A$1:$A$49,0),MATCH(orders!L$1,products!$A$1:$G$1,0))</f>
        <v>2.5</v>
      </c>
      <c r="M657" s="5">
        <f>INDEX(products!$A$1:$G$49,MATCH(orders!$D657,products!$A$1:$A$49,0),MATCH(orders!M$1,products!$A$1:$G$1,0))</f>
        <v>22.884999999999998</v>
      </c>
      <c r="N657" s="5">
        <f>Orders[[#This Row],[Quantity]]*(INDEX(products!$A$1:$G$49,MATCH(orders!$D657,products!$A$1:$A$49,0),MATCH(orders!N$1,products!$A$1:$G$1,0)))</f>
        <v>2.7461999999999995</v>
      </c>
      <c r="O657" s="5">
        <f>M657*E657</f>
        <v>45.769999999999996</v>
      </c>
      <c r="P657" t="str">
        <f t="shared" si="20"/>
        <v>Robusta</v>
      </c>
      <c r="Q657" t="str">
        <f t="shared" si="21"/>
        <v>Medium</v>
      </c>
      <c r="R657" t="str">
        <f>_xlfn.XLOOKUP(Orders[[#This Row],[Customer ID]],customers!$A$1:$A$1001,customers!$I$1:$I$1001,,0)</f>
        <v>Yes</v>
      </c>
    </row>
    <row r="658" spans="1:18" x14ac:dyDescent="0.35">
      <c r="A658" s="2" t="s">
        <v>4196</v>
      </c>
      <c r="B658" s="3">
        <v>44485</v>
      </c>
      <c r="C658" s="2" t="s">
        <v>4197</v>
      </c>
      <c r="D658" t="s">
        <v>6143</v>
      </c>
      <c r="E658" s="2">
        <v>4</v>
      </c>
      <c r="F658" s="2" t="str">
        <f>_xlfn.XLOOKUP(Orders[[#This Row],[Customer ID]],customers!$A$1:$A$1001,customers!$B$1:$B$1001,,0)</f>
        <v>Sylas Jennaroy</v>
      </c>
      <c r="G658" s="2" t="str">
        <f>IF(_xlfn.XLOOKUP(C658,customers!$A$1:$A$1001,customers!C657:C1657,,0)=0,"",_xlfn.XLOOKUP(C658,customers!$A$1:$A$1001,customers!C657:C1657,,0))</f>
        <v/>
      </c>
      <c r="H658" s="2" t="str">
        <f>_xlfn.XLOOKUP(Orders[[#This Row],[Customer ID]],customers!$A$1:$A$1001,customers!$G$1:$G$1001,,0)</f>
        <v>United States</v>
      </c>
      <c r="I658" s="2" t="str">
        <f>_xlfn.XLOOKUP(Orders[[#This Row],[Customer ID]],customers!$A$1:$A$1001,customers!$F$1:$F$1001,,0)</f>
        <v>Aurora</v>
      </c>
      <c r="J658" t="str">
        <f>INDEX(products!$A$1:$G$49,MATCH(orders!$D658,products!$A$1:$A$49,0),MATCH(orders!J$1,products!$A$1:$G$1,0))</f>
        <v>Lib</v>
      </c>
      <c r="K658" t="str">
        <f>INDEX(products!$A$1:$G$49,MATCH(orders!$D658,products!$A$1:$A$49,0),MATCH(orders!K$1,products!$A$1:$G$1,0))</f>
        <v>D</v>
      </c>
      <c r="L658" s="4">
        <f>INDEX(products!$A$1:$G$49,MATCH(orders!$D658,products!$A$1:$A$49,0),MATCH(orders!L$1,products!$A$1:$G$1,0))</f>
        <v>1</v>
      </c>
      <c r="M658" s="5">
        <f>INDEX(products!$A$1:$G$49,MATCH(orders!$D658,products!$A$1:$A$49,0),MATCH(orders!M$1,products!$A$1:$G$1,0))</f>
        <v>12.95</v>
      </c>
      <c r="N658" s="5">
        <f>Orders[[#This Row],[Quantity]]*(INDEX(products!$A$1:$G$49,MATCH(orders!$D658,products!$A$1:$A$49,0),MATCH(orders!N$1,products!$A$1:$G$1,0)))</f>
        <v>6.734</v>
      </c>
      <c r="O658" s="5">
        <f>M658*E658</f>
        <v>51.8</v>
      </c>
      <c r="P658" t="str">
        <f t="shared" si="20"/>
        <v>Liberica</v>
      </c>
      <c r="Q658" t="str">
        <f t="shared" si="21"/>
        <v>Dark</v>
      </c>
      <c r="R658" t="str">
        <f>_xlfn.XLOOKUP(Orders[[#This Row],[Customer ID]],customers!$A$1:$A$1001,customers!$I$1:$I$1001,,0)</f>
        <v>No</v>
      </c>
    </row>
    <row r="659" spans="1:18" x14ac:dyDescent="0.35">
      <c r="A659" s="2" t="s">
        <v>4201</v>
      </c>
      <c r="B659" s="3">
        <v>43831</v>
      </c>
      <c r="C659" s="2" t="s">
        <v>4202</v>
      </c>
      <c r="D659" t="s">
        <v>6157</v>
      </c>
      <c r="E659" s="2">
        <v>2</v>
      </c>
      <c r="F659" s="2" t="str">
        <f>_xlfn.XLOOKUP(Orders[[#This Row],[Customer ID]],customers!$A$1:$A$1001,customers!$B$1:$B$1001,,0)</f>
        <v>Wren Place</v>
      </c>
      <c r="G659" s="2" t="str">
        <f>IF(_xlfn.XLOOKUP(C659,customers!$A$1:$A$1001,customers!C658:C1658,,0)=0,"",_xlfn.XLOOKUP(C659,customers!$A$1:$A$1001,customers!C658:C1658,,0))</f>
        <v/>
      </c>
      <c r="H659" s="2" t="str">
        <f>_xlfn.XLOOKUP(Orders[[#This Row],[Customer ID]],customers!$A$1:$A$1001,customers!$G$1:$G$1001,,0)</f>
        <v>United States</v>
      </c>
      <c r="I659" s="2" t="str">
        <f>_xlfn.XLOOKUP(Orders[[#This Row],[Customer ID]],customers!$A$1:$A$1001,customers!$F$1:$F$1001,,0)</f>
        <v>Sunnyvale</v>
      </c>
      <c r="J659" t="str">
        <f>INDEX(products!$A$1:$G$49,MATCH(orders!$D659,products!$A$1:$A$49,0),MATCH(orders!J$1,products!$A$1:$G$1,0))</f>
        <v>Ara</v>
      </c>
      <c r="K659" t="str">
        <f>INDEX(products!$A$1:$G$49,MATCH(orders!$D659,products!$A$1:$A$49,0),MATCH(orders!K$1,products!$A$1:$G$1,0))</f>
        <v>M</v>
      </c>
      <c r="L659" s="4">
        <f>INDEX(products!$A$1:$G$49,MATCH(orders!$D659,products!$A$1:$A$49,0),MATCH(orders!L$1,products!$A$1:$G$1,0))</f>
        <v>0.5</v>
      </c>
      <c r="M659" s="5">
        <f>INDEX(products!$A$1:$G$49,MATCH(orders!$D659,products!$A$1:$A$49,0),MATCH(orders!M$1,products!$A$1:$G$1,0))</f>
        <v>6.75</v>
      </c>
      <c r="N659" s="5">
        <f>Orders[[#This Row],[Quantity]]*(INDEX(products!$A$1:$G$49,MATCH(orders!$D659,products!$A$1:$A$49,0),MATCH(orders!N$1,products!$A$1:$G$1,0)))</f>
        <v>1.2149999999999999</v>
      </c>
      <c r="O659" s="5">
        <f>M659*E659</f>
        <v>13.5</v>
      </c>
      <c r="P659" t="str">
        <f t="shared" si="20"/>
        <v>Arabica</v>
      </c>
      <c r="Q659" t="str">
        <f t="shared" si="21"/>
        <v>Medium</v>
      </c>
      <c r="R659" t="str">
        <f>_xlfn.XLOOKUP(Orders[[#This Row],[Customer ID]],customers!$A$1:$A$1001,customers!$I$1:$I$1001,,0)</f>
        <v>Yes</v>
      </c>
    </row>
    <row r="660" spans="1:18" x14ac:dyDescent="0.35">
      <c r="A660" s="2" t="s">
        <v>4207</v>
      </c>
      <c r="B660" s="3">
        <v>44630</v>
      </c>
      <c r="C660" s="2" t="s">
        <v>4263</v>
      </c>
      <c r="D660" t="s">
        <v>6139</v>
      </c>
      <c r="E660" s="2">
        <v>3</v>
      </c>
      <c r="F660" s="2" t="str">
        <f>_xlfn.XLOOKUP(Orders[[#This Row],[Customer ID]],customers!$A$1:$A$1001,customers!$B$1:$B$1001,,0)</f>
        <v>Janella Millett</v>
      </c>
      <c r="G660" s="2" t="str">
        <f>IF(_xlfn.XLOOKUP(C660,customers!$A$1:$A$1001,customers!C659:C1659,,0)=0,"",_xlfn.XLOOKUP(C660,customers!$A$1:$A$1001,customers!C659:C1659,,0))</f>
        <v/>
      </c>
      <c r="H660" s="2" t="str">
        <f>_xlfn.XLOOKUP(Orders[[#This Row],[Customer ID]],customers!$A$1:$A$1001,customers!$G$1:$G$1001,,0)</f>
        <v>United States</v>
      </c>
      <c r="I660" s="2" t="str">
        <f>_xlfn.XLOOKUP(Orders[[#This Row],[Customer ID]],customers!$A$1:$A$1001,customers!$F$1:$F$1001,,0)</f>
        <v>Durham</v>
      </c>
      <c r="J660" t="str">
        <f>INDEX(products!$A$1:$G$49,MATCH(orders!$D660,products!$A$1:$A$49,0),MATCH(orders!J$1,products!$A$1:$G$1,0))</f>
        <v>Exc</v>
      </c>
      <c r="K660" t="str">
        <f>INDEX(products!$A$1:$G$49,MATCH(orders!$D660,products!$A$1:$A$49,0),MATCH(orders!K$1,products!$A$1:$G$1,0))</f>
        <v>M</v>
      </c>
      <c r="L660" s="4">
        <f>INDEX(products!$A$1:$G$49,MATCH(orders!$D660,products!$A$1:$A$49,0),MATCH(orders!L$1,products!$A$1:$G$1,0))</f>
        <v>0.5</v>
      </c>
      <c r="M660" s="5">
        <f>INDEX(products!$A$1:$G$49,MATCH(orders!$D660,products!$A$1:$A$49,0),MATCH(orders!M$1,products!$A$1:$G$1,0))</f>
        <v>8.25</v>
      </c>
      <c r="N660" s="5">
        <f>Orders[[#This Row],[Quantity]]*(INDEX(products!$A$1:$G$49,MATCH(orders!$D660,products!$A$1:$A$49,0),MATCH(orders!N$1,products!$A$1:$G$1,0)))</f>
        <v>2.7225000000000001</v>
      </c>
      <c r="O660" s="5">
        <f>M660*E660</f>
        <v>24.75</v>
      </c>
      <c r="P660" t="str">
        <f t="shared" si="20"/>
        <v>Excelsa</v>
      </c>
      <c r="Q660" t="str">
        <f t="shared" si="21"/>
        <v>Medium</v>
      </c>
      <c r="R660" t="str">
        <f>_xlfn.XLOOKUP(Orders[[#This Row],[Customer ID]],customers!$A$1:$A$1001,customers!$I$1:$I$1001,,0)</f>
        <v>Yes</v>
      </c>
    </row>
    <row r="661" spans="1:18" x14ac:dyDescent="0.35">
      <c r="A661" s="2" t="s">
        <v>4211</v>
      </c>
      <c r="B661" s="3">
        <v>44693</v>
      </c>
      <c r="C661" s="2" t="s">
        <v>4212</v>
      </c>
      <c r="D661" t="s">
        <v>6168</v>
      </c>
      <c r="E661" s="2">
        <v>2</v>
      </c>
      <c r="F661" s="2" t="str">
        <f>_xlfn.XLOOKUP(Orders[[#This Row],[Customer ID]],customers!$A$1:$A$1001,customers!$B$1:$B$1001,,0)</f>
        <v>Dollie Gadsden</v>
      </c>
      <c r="G661" s="2" t="str">
        <f>IF(_xlfn.XLOOKUP(C661,customers!$A$1:$A$1001,customers!C660:C1660,,0)=0,"",_xlfn.XLOOKUP(C661,customers!$A$1:$A$1001,customers!C660:C1660,,0))</f>
        <v/>
      </c>
      <c r="H661" s="2" t="str">
        <f>_xlfn.XLOOKUP(Orders[[#This Row],[Customer ID]],customers!$A$1:$A$1001,customers!$G$1:$G$1001,,0)</f>
        <v>Ireland</v>
      </c>
      <c r="I661" s="2" t="str">
        <f>_xlfn.XLOOKUP(Orders[[#This Row],[Customer ID]],customers!$A$1:$A$1001,customers!$F$1:$F$1001,,0)</f>
        <v>Cluain Meala</v>
      </c>
      <c r="J661" t="str">
        <f>INDEX(products!$A$1:$G$49,MATCH(orders!$D661,products!$A$1:$A$49,0),MATCH(orders!J$1,products!$A$1:$G$1,0))</f>
        <v>Ara</v>
      </c>
      <c r="K661" t="str">
        <f>INDEX(products!$A$1:$G$49,MATCH(orders!$D661,products!$A$1:$A$49,0),MATCH(orders!K$1,products!$A$1:$G$1,0))</f>
        <v>D</v>
      </c>
      <c r="L661" s="4">
        <f>INDEX(products!$A$1:$G$49,MATCH(orders!$D661,products!$A$1:$A$49,0),MATCH(orders!L$1,products!$A$1:$G$1,0))</f>
        <v>2.5</v>
      </c>
      <c r="M661" s="5">
        <f>INDEX(products!$A$1:$G$49,MATCH(orders!$D661,products!$A$1:$A$49,0),MATCH(orders!M$1,products!$A$1:$G$1,0))</f>
        <v>22.884999999999998</v>
      </c>
      <c r="N661" s="5">
        <f>Orders[[#This Row],[Quantity]]*(INDEX(products!$A$1:$G$49,MATCH(orders!$D661,products!$A$1:$A$49,0),MATCH(orders!N$1,products!$A$1:$G$1,0)))</f>
        <v>4.1192999999999991</v>
      </c>
      <c r="O661" s="5">
        <f>M661*E661</f>
        <v>45.769999999999996</v>
      </c>
      <c r="P661" t="str">
        <f t="shared" si="20"/>
        <v>Arabica</v>
      </c>
      <c r="Q661" t="str">
        <f t="shared" si="21"/>
        <v>Dark</v>
      </c>
      <c r="R661" t="str">
        <f>_xlfn.XLOOKUP(Orders[[#This Row],[Customer ID]],customers!$A$1:$A$1001,customers!$I$1:$I$1001,,0)</f>
        <v>Yes</v>
      </c>
    </row>
    <row r="662" spans="1:18" x14ac:dyDescent="0.35">
      <c r="A662" s="2" t="s">
        <v>4217</v>
      </c>
      <c r="B662" s="3">
        <v>44084</v>
      </c>
      <c r="C662" s="2" t="s">
        <v>4218</v>
      </c>
      <c r="D662" t="s">
        <v>6176</v>
      </c>
      <c r="E662" s="2">
        <v>6</v>
      </c>
      <c r="F662" s="2" t="str">
        <f>_xlfn.XLOOKUP(Orders[[#This Row],[Customer ID]],customers!$A$1:$A$1001,customers!$B$1:$B$1001,,0)</f>
        <v>Val Wakelin</v>
      </c>
      <c r="G662" s="2" t="str">
        <f>IF(_xlfn.XLOOKUP(C662,customers!$A$1:$A$1001,customers!C661:C1661,,0)=0,"",_xlfn.XLOOKUP(C662,customers!$A$1:$A$1001,customers!C661:C1661,,0))</f>
        <v/>
      </c>
      <c r="H662" s="2" t="str">
        <f>_xlfn.XLOOKUP(Orders[[#This Row],[Customer ID]],customers!$A$1:$A$1001,customers!$G$1:$G$1001,,0)</f>
        <v>United States</v>
      </c>
      <c r="I662" s="2" t="str">
        <f>_xlfn.XLOOKUP(Orders[[#This Row],[Customer ID]],customers!$A$1:$A$1001,customers!$F$1:$F$1001,,0)</f>
        <v>Lansing</v>
      </c>
      <c r="J662" t="str">
        <f>INDEX(products!$A$1:$G$49,MATCH(orders!$D662,products!$A$1:$A$49,0),MATCH(orders!J$1,products!$A$1:$G$1,0))</f>
        <v>Exc</v>
      </c>
      <c r="K662" t="str">
        <f>INDEX(products!$A$1:$G$49,MATCH(orders!$D662,products!$A$1:$A$49,0),MATCH(orders!K$1,products!$A$1:$G$1,0))</f>
        <v>L</v>
      </c>
      <c r="L662" s="4">
        <f>INDEX(products!$A$1:$G$49,MATCH(orders!$D662,products!$A$1:$A$49,0),MATCH(orders!L$1,products!$A$1:$G$1,0))</f>
        <v>0.5</v>
      </c>
      <c r="M662" s="5">
        <f>INDEX(products!$A$1:$G$49,MATCH(orders!$D662,products!$A$1:$A$49,0),MATCH(orders!M$1,products!$A$1:$G$1,0))</f>
        <v>8.91</v>
      </c>
      <c r="N662" s="5">
        <f>Orders[[#This Row],[Quantity]]*(INDEX(products!$A$1:$G$49,MATCH(orders!$D662,products!$A$1:$A$49,0),MATCH(orders!N$1,products!$A$1:$G$1,0)))</f>
        <v>5.8805999999999994</v>
      </c>
      <c r="O662" s="5">
        <f>M662*E662</f>
        <v>53.46</v>
      </c>
      <c r="P662" t="str">
        <f t="shared" si="20"/>
        <v>Excelsa</v>
      </c>
      <c r="Q662" t="str">
        <f t="shared" si="21"/>
        <v>Light</v>
      </c>
      <c r="R662" t="str">
        <f>_xlfn.XLOOKUP(Orders[[#This Row],[Customer ID]],customers!$A$1:$A$1001,customers!$I$1:$I$1001,,0)</f>
        <v>No</v>
      </c>
    </row>
    <row r="663" spans="1:18" x14ac:dyDescent="0.35">
      <c r="A663" s="2" t="s">
        <v>4223</v>
      </c>
      <c r="B663" s="3">
        <v>44485</v>
      </c>
      <c r="C663" s="2" t="s">
        <v>4224</v>
      </c>
      <c r="D663" t="s">
        <v>6152</v>
      </c>
      <c r="E663" s="2">
        <v>6</v>
      </c>
      <c r="F663" s="2" t="str">
        <f>_xlfn.XLOOKUP(Orders[[#This Row],[Customer ID]],customers!$A$1:$A$1001,customers!$B$1:$B$1001,,0)</f>
        <v>Annie Campsall</v>
      </c>
      <c r="G663" s="2" t="str">
        <f>IF(_xlfn.XLOOKUP(C663,customers!$A$1:$A$1001,customers!C662:C1662,,0)=0,"",_xlfn.XLOOKUP(C663,customers!$A$1:$A$1001,customers!C662:C1662,,0))</f>
        <v/>
      </c>
      <c r="H663" s="2" t="str">
        <f>_xlfn.XLOOKUP(Orders[[#This Row],[Customer ID]],customers!$A$1:$A$1001,customers!$G$1:$G$1001,,0)</f>
        <v>United States</v>
      </c>
      <c r="I663" s="2" t="str">
        <f>_xlfn.XLOOKUP(Orders[[#This Row],[Customer ID]],customers!$A$1:$A$1001,customers!$F$1:$F$1001,,0)</f>
        <v>Houston</v>
      </c>
      <c r="J663" t="str">
        <f>INDEX(products!$A$1:$G$49,MATCH(orders!$D663,products!$A$1:$A$49,0),MATCH(orders!J$1,products!$A$1:$G$1,0))</f>
        <v>Ara</v>
      </c>
      <c r="K663" t="str">
        <f>INDEX(products!$A$1:$G$49,MATCH(orders!$D663,products!$A$1:$A$49,0),MATCH(orders!K$1,products!$A$1:$G$1,0))</f>
        <v>M</v>
      </c>
      <c r="L663" s="4">
        <f>INDEX(products!$A$1:$G$49,MATCH(orders!$D663,products!$A$1:$A$49,0),MATCH(orders!L$1,products!$A$1:$G$1,0))</f>
        <v>0.2</v>
      </c>
      <c r="M663" s="5">
        <f>INDEX(products!$A$1:$G$49,MATCH(orders!$D663,products!$A$1:$A$49,0),MATCH(orders!M$1,products!$A$1:$G$1,0))</f>
        <v>3.375</v>
      </c>
      <c r="N663" s="5">
        <f>Orders[[#This Row],[Quantity]]*(INDEX(products!$A$1:$G$49,MATCH(orders!$D663,products!$A$1:$A$49,0),MATCH(orders!N$1,products!$A$1:$G$1,0)))</f>
        <v>1.8224999999999998</v>
      </c>
      <c r="O663" s="5">
        <f>M663*E663</f>
        <v>20.25</v>
      </c>
      <c r="P663" t="str">
        <f t="shared" si="20"/>
        <v>Arabica</v>
      </c>
      <c r="Q663" t="str">
        <f t="shared" si="21"/>
        <v>Medium</v>
      </c>
      <c r="R663" t="str">
        <f>_xlfn.XLOOKUP(Orders[[#This Row],[Customer ID]],customers!$A$1:$A$1001,customers!$I$1:$I$1001,,0)</f>
        <v>Yes</v>
      </c>
    </row>
    <row r="664" spans="1:18" x14ac:dyDescent="0.35">
      <c r="A664" s="2" t="s">
        <v>4229</v>
      </c>
      <c r="B664" s="3">
        <v>44364</v>
      </c>
      <c r="C664" s="2" t="s">
        <v>4230</v>
      </c>
      <c r="D664" t="s">
        <v>6165</v>
      </c>
      <c r="E664" s="2">
        <v>5</v>
      </c>
      <c r="F664" s="2" t="str">
        <f>_xlfn.XLOOKUP(Orders[[#This Row],[Customer ID]],customers!$A$1:$A$1001,customers!$B$1:$B$1001,,0)</f>
        <v>Shermy Moseby</v>
      </c>
      <c r="G664" s="2" t="str">
        <f>IF(_xlfn.XLOOKUP(C664,customers!$A$1:$A$1001,customers!C663:C1663,,0)=0,"",_xlfn.XLOOKUP(C664,customers!$A$1:$A$1001,customers!C663:C1663,,0))</f>
        <v/>
      </c>
      <c r="H664" s="2" t="str">
        <f>_xlfn.XLOOKUP(Orders[[#This Row],[Customer ID]],customers!$A$1:$A$1001,customers!$G$1:$G$1001,,0)</f>
        <v>United States</v>
      </c>
      <c r="I664" s="2" t="str">
        <f>_xlfn.XLOOKUP(Orders[[#This Row],[Customer ID]],customers!$A$1:$A$1001,customers!$F$1:$F$1001,,0)</f>
        <v>Murfreesboro</v>
      </c>
      <c r="J664" t="str">
        <f>INDEX(products!$A$1:$G$49,MATCH(orders!$D664,products!$A$1:$A$49,0),MATCH(orders!J$1,products!$A$1:$G$1,0))</f>
        <v>Lib</v>
      </c>
      <c r="K664" t="str">
        <f>INDEX(products!$A$1:$G$49,MATCH(orders!$D664,products!$A$1:$A$49,0),MATCH(orders!K$1,products!$A$1:$G$1,0))</f>
        <v>D</v>
      </c>
      <c r="L664" s="4">
        <f>INDEX(products!$A$1:$G$49,MATCH(orders!$D664,products!$A$1:$A$49,0),MATCH(orders!L$1,products!$A$1:$G$1,0))</f>
        <v>2.5</v>
      </c>
      <c r="M664" s="5">
        <f>INDEX(products!$A$1:$G$49,MATCH(orders!$D664,products!$A$1:$A$49,0),MATCH(orders!M$1,products!$A$1:$G$1,0))</f>
        <v>29.784999999999997</v>
      </c>
      <c r="N664" s="5">
        <f>Orders[[#This Row],[Quantity]]*(INDEX(products!$A$1:$G$49,MATCH(orders!$D664,products!$A$1:$A$49,0),MATCH(orders!N$1,products!$A$1:$G$1,0)))</f>
        <v>19.360250000000001</v>
      </c>
      <c r="O664" s="5">
        <f>M664*E664</f>
        <v>148.92499999999998</v>
      </c>
      <c r="P664" t="str">
        <f t="shared" si="20"/>
        <v>Liberica</v>
      </c>
      <c r="Q664" t="str">
        <f t="shared" si="21"/>
        <v>Dark</v>
      </c>
      <c r="R664" t="str">
        <f>_xlfn.XLOOKUP(Orders[[#This Row],[Customer ID]],customers!$A$1:$A$1001,customers!$I$1:$I$1001,,0)</f>
        <v>No</v>
      </c>
    </row>
    <row r="665" spans="1:18" x14ac:dyDescent="0.35">
      <c r="A665" s="2" t="s">
        <v>4234</v>
      </c>
      <c r="B665" s="3">
        <v>43554</v>
      </c>
      <c r="C665" s="2" t="s">
        <v>4235</v>
      </c>
      <c r="D665" t="s">
        <v>6155</v>
      </c>
      <c r="E665" s="2">
        <v>6</v>
      </c>
      <c r="F665" s="2" t="str">
        <f>_xlfn.XLOOKUP(Orders[[#This Row],[Customer ID]],customers!$A$1:$A$1001,customers!$B$1:$B$1001,,0)</f>
        <v>Corrie Wass</v>
      </c>
      <c r="G665" s="2" t="str">
        <f>IF(_xlfn.XLOOKUP(C665,customers!$A$1:$A$1001,customers!C664:C1664,,0)=0,"",_xlfn.XLOOKUP(C665,customers!$A$1:$A$1001,customers!C664:C1664,,0))</f>
        <v/>
      </c>
      <c r="H665" s="2" t="str">
        <f>_xlfn.XLOOKUP(Orders[[#This Row],[Customer ID]],customers!$A$1:$A$1001,customers!$G$1:$G$1001,,0)</f>
        <v>United States</v>
      </c>
      <c r="I665" s="2" t="str">
        <f>_xlfn.XLOOKUP(Orders[[#This Row],[Customer ID]],customers!$A$1:$A$1001,customers!$F$1:$F$1001,,0)</f>
        <v>Charleston</v>
      </c>
      <c r="J665" t="str">
        <f>INDEX(products!$A$1:$G$49,MATCH(orders!$D665,products!$A$1:$A$49,0),MATCH(orders!J$1,products!$A$1:$G$1,0))</f>
        <v>Ara</v>
      </c>
      <c r="K665" t="str">
        <f>INDEX(products!$A$1:$G$49,MATCH(orders!$D665,products!$A$1:$A$49,0),MATCH(orders!K$1,products!$A$1:$G$1,0))</f>
        <v>M</v>
      </c>
      <c r="L665" s="4">
        <f>INDEX(products!$A$1:$G$49,MATCH(orders!$D665,products!$A$1:$A$49,0),MATCH(orders!L$1,products!$A$1:$G$1,0))</f>
        <v>1</v>
      </c>
      <c r="M665" s="5">
        <f>INDEX(products!$A$1:$G$49,MATCH(orders!$D665,products!$A$1:$A$49,0),MATCH(orders!M$1,products!$A$1:$G$1,0))</f>
        <v>11.25</v>
      </c>
      <c r="N665" s="5">
        <f>Orders[[#This Row],[Quantity]]*(INDEX(products!$A$1:$G$49,MATCH(orders!$D665,products!$A$1:$A$49,0),MATCH(orders!N$1,products!$A$1:$G$1,0)))</f>
        <v>6.0749999999999993</v>
      </c>
      <c r="O665" s="5">
        <f>M665*E665</f>
        <v>67.5</v>
      </c>
      <c r="P665" t="str">
        <f t="shared" si="20"/>
        <v>Arabica</v>
      </c>
      <c r="Q665" t="str">
        <f t="shared" si="21"/>
        <v>Medium</v>
      </c>
      <c r="R665" t="str">
        <f>_xlfn.XLOOKUP(Orders[[#This Row],[Customer ID]],customers!$A$1:$A$1001,customers!$I$1:$I$1001,,0)</f>
        <v>No</v>
      </c>
    </row>
    <row r="666" spans="1:18" x14ac:dyDescent="0.35">
      <c r="A666" s="2" t="s">
        <v>4239</v>
      </c>
      <c r="B666" s="3">
        <v>44549</v>
      </c>
      <c r="C666" s="2" t="s">
        <v>4240</v>
      </c>
      <c r="D666" t="s">
        <v>6183</v>
      </c>
      <c r="E666" s="2">
        <v>6</v>
      </c>
      <c r="F666" s="2" t="str">
        <f>_xlfn.XLOOKUP(Orders[[#This Row],[Customer ID]],customers!$A$1:$A$1001,customers!$B$1:$B$1001,,0)</f>
        <v>Ira Sjostrom</v>
      </c>
      <c r="G666" s="2" t="str">
        <f>IF(_xlfn.XLOOKUP(C666,customers!$A$1:$A$1001,customers!C665:C1665,,0)=0,"",_xlfn.XLOOKUP(C666,customers!$A$1:$A$1001,customers!C665:C1665,,0))</f>
        <v/>
      </c>
      <c r="H666" s="2" t="str">
        <f>_xlfn.XLOOKUP(Orders[[#This Row],[Customer ID]],customers!$A$1:$A$1001,customers!$G$1:$G$1001,,0)</f>
        <v>United States</v>
      </c>
      <c r="I666" s="2" t="str">
        <f>_xlfn.XLOOKUP(Orders[[#This Row],[Customer ID]],customers!$A$1:$A$1001,customers!$F$1:$F$1001,,0)</f>
        <v>Erie</v>
      </c>
      <c r="J666" t="str">
        <f>INDEX(products!$A$1:$G$49,MATCH(orders!$D666,products!$A$1:$A$49,0),MATCH(orders!J$1,products!$A$1:$G$1,0))</f>
        <v>Exc</v>
      </c>
      <c r="K666" t="str">
        <f>INDEX(products!$A$1:$G$49,MATCH(orders!$D666,products!$A$1:$A$49,0),MATCH(orders!K$1,products!$A$1:$G$1,0))</f>
        <v>D</v>
      </c>
      <c r="L666" s="4">
        <f>INDEX(products!$A$1:$G$49,MATCH(orders!$D666,products!$A$1:$A$49,0),MATCH(orders!L$1,products!$A$1:$G$1,0))</f>
        <v>1</v>
      </c>
      <c r="M666" s="5">
        <f>INDEX(products!$A$1:$G$49,MATCH(orders!$D666,products!$A$1:$A$49,0),MATCH(orders!M$1,products!$A$1:$G$1,0))</f>
        <v>12.15</v>
      </c>
      <c r="N666" s="5">
        <f>Orders[[#This Row],[Quantity]]*(INDEX(products!$A$1:$G$49,MATCH(orders!$D666,products!$A$1:$A$49,0),MATCH(orders!N$1,products!$A$1:$G$1,0)))</f>
        <v>8.0190000000000001</v>
      </c>
      <c r="O666" s="5">
        <f>M666*E666</f>
        <v>72.900000000000006</v>
      </c>
      <c r="P666" t="str">
        <f t="shared" si="20"/>
        <v>Excelsa</v>
      </c>
      <c r="Q666" t="str">
        <f t="shared" si="21"/>
        <v>Dark</v>
      </c>
      <c r="R666" t="str">
        <f>_xlfn.XLOOKUP(Orders[[#This Row],[Customer ID]],customers!$A$1:$A$1001,customers!$I$1:$I$1001,,0)</f>
        <v>No</v>
      </c>
    </row>
    <row r="667" spans="1:18" x14ac:dyDescent="0.35">
      <c r="A667" s="2" t="s">
        <v>4239</v>
      </c>
      <c r="B667" s="3">
        <v>44549</v>
      </c>
      <c r="C667" s="2" t="s">
        <v>4240</v>
      </c>
      <c r="D667" t="s">
        <v>6150</v>
      </c>
      <c r="E667" s="2">
        <v>2</v>
      </c>
      <c r="F667" s="2" t="str">
        <f>_xlfn.XLOOKUP(Orders[[#This Row],[Customer ID]],customers!$A$1:$A$1001,customers!$B$1:$B$1001,,0)</f>
        <v>Ira Sjostrom</v>
      </c>
      <c r="G667" s="2" t="str">
        <f>IF(_xlfn.XLOOKUP(C667,customers!$A$1:$A$1001,customers!C666:C1666,,0)=0,"",_xlfn.XLOOKUP(C667,customers!$A$1:$A$1001,customers!C666:C1666,,0))</f>
        <v/>
      </c>
      <c r="H667" s="2" t="str">
        <f>_xlfn.XLOOKUP(Orders[[#This Row],[Customer ID]],customers!$A$1:$A$1001,customers!$G$1:$G$1001,,0)</f>
        <v>United States</v>
      </c>
      <c r="I667" s="2" t="str">
        <f>_xlfn.XLOOKUP(Orders[[#This Row],[Customer ID]],customers!$A$1:$A$1001,customers!$F$1:$F$1001,,0)</f>
        <v>Erie</v>
      </c>
      <c r="J667" t="str">
        <f>INDEX(products!$A$1:$G$49,MATCH(orders!$D667,products!$A$1:$A$49,0),MATCH(orders!J$1,products!$A$1:$G$1,0))</f>
        <v>Lib</v>
      </c>
      <c r="K667" t="str">
        <f>INDEX(products!$A$1:$G$49,MATCH(orders!$D667,products!$A$1:$A$49,0),MATCH(orders!K$1,products!$A$1:$G$1,0))</f>
        <v>D</v>
      </c>
      <c r="L667" s="4">
        <f>INDEX(products!$A$1:$G$49,MATCH(orders!$D667,products!$A$1:$A$49,0),MATCH(orders!L$1,products!$A$1:$G$1,0))</f>
        <v>0.2</v>
      </c>
      <c r="M667" s="5">
        <f>INDEX(products!$A$1:$G$49,MATCH(orders!$D667,products!$A$1:$A$49,0),MATCH(orders!M$1,products!$A$1:$G$1,0))</f>
        <v>3.8849999999999998</v>
      </c>
      <c r="N667" s="5">
        <f>Orders[[#This Row],[Quantity]]*(INDEX(products!$A$1:$G$49,MATCH(orders!$D667,products!$A$1:$A$49,0),MATCH(orders!N$1,products!$A$1:$G$1,0)))</f>
        <v>1.0101</v>
      </c>
      <c r="O667" s="5">
        <f>M667*E667</f>
        <v>7.77</v>
      </c>
      <c r="P667" t="str">
        <f t="shared" si="20"/>
        <v>Liberica</v>
      </c>
      <c r="Q667" t="str">
        <f t="shared" si="21"/>
        <v>Dark</v>
      </c>
      <c r="R667" t="str">
        <f>_xlfn.XLOOKUP(Orders[[#This Row],[Customer ID]],customers!$A$1:$A$1001,customers!$I$1:$I$1001,,0)</f>
        <v>No</v>
      </c>
    </row>
    <row r="668" spans="1:18" x14ac:dyDescent="0.35">
      <c r="A668" s="2" t="s">
        <v>4250</v>
      </c>
      <c r="B668" s="3">
        <v>43987</v>
      </c>
      <c r="C668" s="2" t="s">
        <v>4251</v>
      </c>
      <c r="D668" t="s">
        <v>6168</v>
      </c>
      <c r="E668" s="2">
        <v>4</v>
      </c>
      <c r="F668" s="2" t="str">
        <f>_xlfn.XLOOKUP(Orders[[#This Row],[Customer ID]],customers!$A$1:$A$1001,customers!$B$1:$B$1001,,0)</f>
        <v>Jermaine Branchett</v>
      </c>
      <c r="G668" s="2" t="str">
        <f>IF(_xlfn.XLOOKUP(C668,customers!$A$1:$A$1001,customers!C667:C1667,,0)=0,"",_xlfn.XLOOKUP(C668,customers!$A$1:$A$1001,customers!C667:C1667,,0))</f>
        <v/>
      </c>
      <c r="H668" s="2" t="str">
        <f>_xlfn.XLOOKUP(Orders[[#This Row],[Customer ID]],customers!$A$1:$A$1001,customers!$G$1:$G$1001,,0)</f>
        <v>United States</v>
      </c>
      <c r="I668" s="2" t="str">
        <f>_xlfn.XLOOKUP(Orders[[#This Row],[Customer ID]],customers!$A$1:$A$1001,customers!$F$1:$F$1001,,0)</f>
        <v>Lubbock</v>
      </c>
      <c r="J668" t="str">
        <f>INDEX(products!$A$1:$G$49,MATCH(orders!$D668,products!$A$1:$A$49,0),MATCH(orders!J$1,products!$A$1:$G$1,0))</f>
        <v>Ara</v>
      </c>
      <c r="K668" t="str">
        <f>INDEX(products!$A$1:$G$49,MATCH(orders!$D668,products!$A$1:$A$49,0),MATCH(orders!K$1,products!$A$1:$G$1,0))</f>
        <v>D</v>
      </c>
      <c r="L668" s="4">
        <f>INDEX(products!$A$1:$G$49,MATCH(orders!$D668,products!$A$1:$A$49,0),MATCH(orders!L$1,products!$A$1:$G$1,0))</f>
        <v>2.5</v>
      </c>
      <c r="M668" s="5">
        <f>INDEX(products!$A$1:$G$49,MATCH(orders!$D668,products!$A$1:$A$49,0),MATCH(orders!M$1,products!$A$1:$G$1,0))</f>
        <v>22.884999999999998</v>
      </c>
      <c r="N668" s="5">
        <f>Orders[[#This Row],[Quantity]]*(INDEX(products!$A$1:$G$49,MATCH(orders!$D668,products!$A$1:$A$49,0),MATCH(orders!N$1,products!$A$1:$G$1,0)))</f>
        <v>8.2385999999999981</v>
      </c>
      <c r="O668" s="5">
        <f>M668*E668</f>
        <v>91.539999999999992</v>
      </c>
      <c r="P668" t="str">
        <f t="shared" si="20"/>
        <v>Arabica</v>
      </c>
      <c r="Q668" t="str">
        <f t="shared" si="21"/>
        <v>Dark</v>
      </c>
      <c r="R668" t="str">
        <f>_xlfn.XLOOKUP(Orders[[#This Row],[Customer ID]],customers!$A$1:$A$1001,customers!$I$1:$I$1001,,0)</f>
        <v>No</v>
      </c>
    </row>
    <row r="669" spans="1:18" x14ac:dyDescent="0.35">
      <c r="A669" s="2" t="s">
        <v>4256</v>
      </c>
      <c r="B669" s="3">
        <v>44451</v>
      </c>
      <c r="C669" s="2" t="s">
        <v>4257</v>
      </c>
      <c r="D669" t="s">
        <v>6147</v>
      </c>
      <c r="E669" s="2">
        <v>6</v>
      </c>
      <c r="F669" s="2" t="str">
        <f>_xlfn.XLOOKUP(Orders[[#This Row],[Customer ID]],customers!$A$1:$A$1001,customers!$B$1:$B$1001,,0)</f>
        <v>Nissie Rudland</v>
      </c>
      <c r="G669" s="2" t="str">
        <f>IF(_xlfn.XLOOKUP(C669,customers!$A$1:$A$1001,customers!C668:C1668,,0)=0,"",_xlfn.XLOOKUP(C669,customers!$A$1:$A$1001,customers!C668:C1668,,0))</f>
        <v/>
      </c>
      <c r="H669" s="2" t="str">
        <f>_xlfn.XLOOKUP(Orders[[#This Row],[Customer ID]],customers!$A$1:$A$1001,customers!$G$1:$G$1001,,0)</f>
        <v>Ireland</v>
      </c>
      <c r="I669" s="2" t="str">
        <f>_xlfn.XLOOKUP(Orders[[#This Row],[Customer ID]],customers!$A$1:$A$1001,customers!$F$1:$F$1001,,0)</f>
        <v>Gorey</v>
      </c>
      <c r="J669" t="str">
        <f>INDEX(products!$A$1:$G$49,MATCH(orders!$D669,products!$A$1:$A$49,0),MATCH(orders!J$1,products!$A$1:$G$1,0))</f>
        <v>Ara</v>
      </c>
      <c r="K669" t="str">
        <f>INDEX(products!$A$1:$G$49,MATCH(orders!$D669,products!$A$1:$A$49,0),MATCH(orders!K$1,products!$A$1:$G$1,0))</f>
        <v>D</v>
      </c>
      <c r="L669" s="4">
        <f>INDEX(products!$A$1:$G$49,MATCH(orders!$D669,products!$A$1:$A$49,0),MATCH(orders!L$1,products!$A$1:$G$1,0))</f>
        <v>1</v>
      </c>
      <c r="M669" s="5">
        <f>INDEX(products!$A$1:$G$49,MATCH(orders!$D669,products!$A$1:$A$49,0),MATCH(orders!M$1,products!$A$1:$G$1,0))</f>
        <v>9.9499999999999993</v>
      </c>
      <c r="N669" s="5">
        <f>Orders[[#This Row],[Quantity]]*(INDEX(products!$A$1:$G$49,MATCH(orders!$D669,products!$A$1:$A$49,0),MATCH(orders!N$1,products!$A$1:$G$1,0)))</f>
        <v>5.3729999999999993</v>
      </c>
      <c r="O669" s="5">
        <f>M669*E669</f>
        <v>59.699999999999996</v>
      </c>
      <c r="P669" t="str">
        <f t="shared" si="20"/>
        <v>Arabica</v>
      </c>
      <c r="Q669" t="str">
        <f t="shared" si="21"/>
        <v>Dark</v>
      </c>
      <c r="R669" t="str">
        <f>_xlfn.XLOOKUP(Orders[[#This Row],[Customer ID]],customers!$A$1:$A$1001,customers!$I$1:$I$1001,,0)</f>
        <v>No</v>
      </c>
    </row>
    <row r="670" spans="1:18" x14ac:dyDescent="0.35">
      <c r="A670" s="2" t="s">
        <v>4262</v>
      </c>
      <c r="B670" s="3">
        <v>44636</v>
      </c>
      <c r="C670" s="2" t="s">
        <v>4263</v>
      </c>
      <c r="D670" t="s">
        <v>6142</v>
      </c>
      <c r="E670" s="2">
        <v>5</v>
      </c>
      <c r="F670" s="2" t="str">
        <f>_xlfn.XLOOKUP(Orders[[#This Row],[Customer ID]],customers!$A$1:$A$1001,customers!$B$1:$B$1001,,0)</f>
        <v>Janella Millett</v>
      </c>
      <c r="G670" s="2" t="str">
        <f>IF(_xlfn.XLOOKUP(C670,customers!$A$1:$A$1001,customers!C669:C1669,,0)=0,"",_xlfn.XLOOKUP(C670,customers!$A$1:$A$1001,customers!C669:C1669,,0))</f>
        <v/>
      </c>
      <c r="H670" s="2" t="str">
        <f>_xlfn.XLOOKUP(Orders[[#This Row],[Customer ID]],customers!$A$1:$A$1001,customers!$G$1:$G$1001,,0)</f>
        <v>United States</v>
      </c>
      <c r="I670" s="2" t="str">
        <f>_xlfn.XLOOKUP(Orders[[#This Row],[Customer ID]],customers!$A$1:$A$1001,customers!$F$1:$F$1001,,0)</f>
        <v>Durham</v>
      </c>
      <c r="J670" t="str">
        <f>INDEX(products!$A$1:$G$49,MATCH(orders!$D670,products!$A$1:$A$49,0),MATCH(orders!J$1,products!$A$1:$G$1,0))</f>
        <v>Rob</v>
      </c>
      <c r="K670" t="str">
        <f>INDEX(products!$A$1:$G$49,MATCH(orders!$D670,products!$A$1:$A$49,0),MATCH(orders!K$1,products!$A$1:$G$1,0))</f>
        <v>L</v>
      </c>
      <c r="L670" s="4">
        <f>INDEX(products!$A$1:$G$49,MATCH(orders!$D670,products!$A$1:$A$49,0),MATCH(orders!L$1,products!$A$1:$G$1,0))</f>
        <v>2.5</v>
      </c>
      <c r="M670" s="5">
        <f>INDEX(products!$A$1:$G$49,MATCH(orders!$D670,products!$A$1:$A$49,0),MATCH(orders!M$1,products!$A$1:$G$1,0))</f>
        <v>27.484999999999996</v>
      </c>
      <c r="N670" s="5">
        <f>Orders[[#This Row],[Quantity]]*(INDEX(products!$A$1:$G$49,MATCH(orders!$D670,products!$A$1:$A$49,0),MATCH(orders!N$1,products!$A$1:$G$1,0)))</f>
        <v>8.2454999999999998</v>
      </c>
      <c r="O670" s="5">
        <f>M670*E670</f>
        <v>137.42499999999998</v>
      </c>
      <c r="P670" t="str">
        <f t="shared" si="20"/>
        <v>Robusta</v>
      </c>
      <c r="Q670" t="str">
        <f t="shared" si="21"/>
        <v>Light</v>
      </c>
      <c r="R670" t="str">
        <f>_xlfn.XLOOKUP(Orders[[#This Row],[Customer ID]],customers!$A$1:$A$1001,customers!$I$1:$I$1001,,0)</f>
        <v>Yes</v>
      </c>
    </row>
    <row r="671" spans="1:18" x14ac:dyDescent="0.35">
      <c r="A671" s="2" t="s">
        <v>4268</v>
      </c>
      <c r="B671" s="3">
        <v>44551</v>
      </c>
      <c r="C671" s="2" t="s">
        <v>4269</v>
      </c>
      <c r="D671" t="s">
        <v>6181</v>
      </c>
      <c r="E671" s="2">
        <v>2</v>
      </c>
      <c r="F671" s="2" t="str">
        <f>_xlfn.XLOOKUP(Orders[[#This Row],[Customer ID]],customers!$A$1:$A$1001,customers!$B$1:$B$1001,,0)</f>
        <v>Ferdie Tourry</v>
      </c>
      <c r="G671" s="2" t="str">
        <f>IF(_xlfn.XLOOKUP(C671,customers!$A$1:$A$1001,customers!C670:C1670,,0)=0,"",_xlfn.XLOOKUP(C671,customers!$A$1:$A$1001,customers!C670:C1670,,0))</f>
        <v/>
      </c>
      <c r="H671" s="2" t="str">
        <f>_xlfn.XLOOKUP(Orders[[#This Row],[Customer ID]],customers!$A$1:$A$1001,customers!$G$1:$G$1001,,0)</f>
        <v>United States</v>
      </c>
      <c r="I671" s="2" t="str">
        <f>_xlfn.XLOOKUP(Orders[[#This Row],[Customer ID]],customers!$A$1:$A$1001,customers!$F$1:$F$1001,,0)</f>
        <v>Florence</v>
      </c>
      <c r="J671" t="str">
        <f>INDEX(products!$A$1:$G$49,MATCH(orders!$D671,products!$A$1:$A$49,0),MATCH(orders!J$1,products!$A$1:$G$1,0))</f>
        <v>Lib</v>
      </c>
      <c r="K671" t="str">
        <f>INDEX(products!$A$1:$G$49,MATCH(orders!$D671,products!$A$1:$A$49,0),MATCH(orders!K$1,products!$A$1:$G$1,0))</f>
        <v>M</v>
      </c>
      <c r="L671" s="4">
        <f>INDEX(products!$A$1:$G$49,MATCH(orders!$D671,products!$A$1:$A$49,0),MATCH(orders!L$1,products!$A$1:$G$1,0))</f>
        <v>2.5</v>
      </c>
      <c r="M671" s="5">
        <f>INDEX(products!$A$1:$G$49,MATCH(orders!$D671,products!$A$1:$A$49,0),MATCH(orders!M$1,products!$A$1:$G$1,0))</f>
        <v>33.464999999999996</v>
      </c>
      <c r="N671" s="5">
        <f>Orders[[#This Row],[Quantity]]*(INDEX(products!$A$1:$G$49,MATCH(orders!$D671,products!$A$1:$A$49,0),MATCH(orders!N$1,products!$A$1:$G$1,0)))</f>
        <v>8.700899999999999</v>
      </c>
      <c r="O671" s="5">
        <f>M671*E671</f>
        <v>66.929999999999993</v>
      </c>
      <c r="P671" t="str">
        <f t="shared" si="20"/>
        <v>Liberica</v>
      </c>
      <c r="Q671" t="str">
        <f t="shared" si="21"/>
        <v>Medium</v>
      </c>
      <c r="R671" t="str">
        <f>_xlfn.XLOOKUP(Orders[[#This Row],[Customer ID]],customers!$A$1:$A$1001,customers!$I$1:$I$1001,,0)</f>
        <v>No</v>
      </c>
    </row>
    <row r="672" spans="1:18" x14ac:dyDescent="0.35">
      <c r="A672" s="2" t="s">
        <v>4274</v>
      </c>
      <c r="B672" s="3">
        <v>43606</v>
      </c>
      <c r="C672" s="2" t="s">
        <v>4275</v>
      </c>
      <c r="D672" t="s">
        <v>6159</v>
      </c>
      <c r="E672" s="2">
        <v>3</v>
      </c>
      <c r="F672" s="2" t="str">
        <f>_xlfn.XLOOKUP(Orders[[#This Row],[Customer ID]],customers!$A$1:$A$1001,customers!$B$1:$B$1001,,0)</f>
        <v>Cecil Weatherall</v>
      </c>
      <c r="G672" s="2" t="str">
        <f>IF(_xlfn.XLOOKUP(C672,customers!$A$1:$A$1001,customers!C671:C1671,,0)=0,"",_xlfn.XLOOKUP(C672,customers!$A$1:$A$1001,customers!C671:C1671,,0))</f>
        <v/>
      </c>
      <c r="H672" s="2" t="str">
        <f>_xlfn.XLOOKUP(Orders[[#This Row],[Customer ID]],customers!$A$1:$A$1001,customers!$G$1:$G$1001,,0)</f>
        <v>United States</v>
      </c>
      <c r="I672" s="2" t="str">
        <f>_xlfn.XLOOKUP(Orders[[#This Row],[Customer ID]],customers!$A$1:$A$1001,customers!$F$1:$F$1001,,0)</f>
        <v>Syracuse</v>
      </c>
      <c r="J672" t="str">
        <f>INDEX(products!$A$1:$G$49,MATCH(orders!$D672,products!$A$1:$A$49,0),MATCH(orders!J$1,products!$A$1:$G$1,0))</f>
        <v>Lib</v>
      </c>
      <c r="K672" t="str">
        <f>INDEX(products!$A$1:$G$49,MATCH(orders!$D672,products!$A$1:$A$49,0),MATCH(orders!K$1,products!$A$1:$G$1,0))</f>
        <v>M</v>
      </c>
      <c r="L672" s="4">
        <f>INDEX(products!$A$1:$G$49,MATCH(orders!$D672,products!$A$1:$A$49,0),MATCH(orders!L$1,products!$A$1:$G$1,0))</f>
        <v>0.2</v>
      </c>
      <c r="M672" s="5">
        <f>INDEX(products!$A$1:$G$49,MATCH(orders!$D672,products!$A$1:$A$49,0),MATCH(orders!M$1,products!$A$1:$G$1,0))</f>
        <v>4.3650000000000002</v>
      </c>
      <c r="N672" s="5">
        <f>Orders[[#This Row],[Quantity]]*(INDEX(products!$A$1:$G$49,MATCH(orders!$D672,products!$A$1:$A$49,0),MATCH(orders!N$1,products!$A$1:$G$1,0)))</f>
        <v>1.70235</v>
      </c>
      <c r="O672" s="5">
        <f>M672*E672</f>
        <v>13.095000000000001</v>
      </c>
      <c r="P672" t="str">
        <f t="shared" si="20"/>
        <v>Liberica</v>
      </c>
      <c r="Q672" t="str">
        <f t="shared" si="21"/>
        <v>Medium</v>
      </c>
      <c r="R672" t="str">
        <f>_xlfn.XLOOKUP(Orders[[#This Row],[Customer ID]],customers!$A$1:$A$1001,customers!$I$1:$I$1001,,0)</f>
        <v>Yes</v>
      </c>
    </row>
    <row r="673" spans="1:18" x14ac:dyDescent="0.35">
      <c r="A673" s="2" t="s">
        <v>4280</v>
      </c>
      <c r="B673" s="3">
        <v>44495</v>
      </c>
      <c r="C673" s="2" t="s">
        <v>4281</v>
      </c>
      <c r="D673" t="s">
        <v>6179</v>
      </c>
      <c r="E673" s="2">
        <v>5</v>
      </c>
      <c r="F673" s="2" t="str">
        <f>_xlfn.XLOOKUP(Orders[[#This Row],[Customer ID]],customers!$A$1:$A$1001,customers!$B$1:$B$1001,,0)</f>
        <v>Gale Heindrick</v>
      </c>
      <c r="G673" s="2" t="str">
        <f>IF(_xlfn.XLOOKUP(C673,customers!$A$1:$A$1001,customers!C672:C1672,,0)=0,"",_xlfn.XLOOKUP(C673,customers!$A$1:$A$1001,customers!C672:C1672,,0))</f>
        <v/>
      </c>
      <c r="H673" s="2" t="str">
        <f>_xlfn.XLOOKUP(Orders[[#This Row],[Customer ID]],customers!$A$1:$A$1001,customers!$G$1:$G$1001,,0)</f>
        <v>United States</v>
      </c>
      <c r="I673" s="2" t="str">
        <f>_xlfn.XLOOKUP(Orders[[#This Row],[Customer ID]],customers!$A$1:$A$1001,customers!$F$1:$F$1001,,0)</f>
        <v>Lawrenceville</v>
      </c>
      <c r="J673" t="str">
        <f>INDEX(products!$A$1:$G$49,MATCH(orders!$D673,products!$A$1:$A$49,0),MATCH(orders!J$1,products!$A$1:$G$1,0))</f>
        <v>Rob</v>
      </c>
      <c r="K673" t="str">
        <f>INDEX(products!$A$1:$G$49,MATCH(orders!$D673,products!$A$1:$A$49,0),MATCH(orders!K$1,products!$A$1:$G$1,0))</f>
        <v>L</v>
      </c>
      <c r="L673" s="4">
        <f>INDEX(products!$A$1:$G$49,MATCH(orders!$D673,products!$A$1:$A$49,0),MATCH(orders!L$1,products!$A$1:$G$1,0))</f>
        <v>1</v>
      </c>
      <c r="M673" s="5">
        <f>INDEX(products!$A$1:$G$49,MATCH(orders!$D673,products!$A$1:$A$49,0),MATCH(orders!M$1,products!$A$1:$G$1,0))</f>
        <v>11.95</v>
      </c>
      <c r="N673" s="5">
        <f>Orders[[#This Row],[Quantity]]*(INDEX(products!$A$1:$G$49,MATCH(orders!$D673,products!$A$1:$A$49,0),MATCH(orders!N$1,products!$A$1:$G$1,0)))</f>
        <v>3.585</v>
      </c>
      <c r="O673" s="5">
        <f>M673*E673</f>
        <v>59.75</v>
      </c>
      <c r="P673" t="str">
        <f t="shared" si="20"/>
        <v>Robusta</v>
      </c>
      <c r="Q673" t="str">
        <f t="shared" si="21"/>
        <v>Light</v>
      </c>
      <c r="R673" t="str">
        <f>_xlfn.XLOOKUP(Orders[[#This Row],[Customer ID]],customers!$A$1:$A$1001,customers!$I$1:$I$1001,,0)</f>
        <v>No</v>
      </c>
    </row>
    <row r="674" spans="1:18" x14ac:dyDescent="0.35">
      <c r="A674" s="2" t="s">
        <v>4286</v>
      </c>
      <c r="B674" s="3">
        <v>43916</v>
      </c>
      <c r="C674" s="2" t="s">
        <v>4287</v>
      </c>
      <c r="D674" t="s">
        <v>6160</v>
      </c>
      <c r="E674" s="2">
        <v>5</v>
      </c>
      <c r="F674" s="2" t="str">
        <f>_xlfn.XLOOKUP(Orders[[#This Row],[Customer ID]],customers!$A$1:$A$1001,customers!$B$1:$B$1001,,0)</f>
        <v>Layne Imason</v>
      </c>
      <c r="G674" s="2" t="str">
        <f>IF(_xlfn.XLOOKUP(C674,customers!$A$1:$A$1001,customers!C673:C1673,,0)=0,"",_xlfn.XLOOKUP(C674,customers!$A$1:$A$1001,customers!C673:C1673,,0))</f>
        <v/>
      </c>
      <c r="H674" s="2" t="str">
        <f>_xlfn.XLOOKUP(Orders[[#This Row],[Customer ID]],customers!$A$1:$A$1001,customers!$G$1:$G$1001,,0)</f>
        <v>United States</v>
      </c>
      <c r="I674" s="2" t="str">
        <f>_xlfn.XLOOKUP(Orders[[#This Row],[Customer ID]],customers!$A$1:$A$1001,customers!$F$1:$F$1001,,0)</f>
        <v>Houston</v>
      </c>
      <c r="J674" t="str">
        <f>INDEX(products!$A$1:$G$49,MATCH(orders!$D674,products!$A$1:$A$49,0),MATCH(orders!J$1,products!$A$1:$G$1,0))</f>
        <v>Lib</v>
      </c>
      <c r="K674" t="str">
        <f>INDEX(products!$A$1:$G$49,MATCH(orders!$D674,products!$A$1:$A$49,0),MATCH(orders!K$1,products!$A$1:$G$1,0))</f>
        <v>M</v>
      </c>
      <c r="L674" s="4">
        <f>INDEX(products!$A$1:$G$49,MATCH(orders!$D674,products!$A$1:$A$49,0),MATCH(orders!L$1,products!$A$1:$G$1,0))</f>
        <v>0.5</v>
      </c>
      <c r="M674" s="5">
        <f>INDEX(products!$A$1:$G$49,MATCH(orders!$D674,products!$A$1:$A$49,0),MATCH(orders!M$1,products!$A$1:$G$1,0))</f>
        <v>8.73</v>
      </c>
      <c r="N674" s="5">
        <f>Orders[[#This Row],[Quantity]]*(INDEX(products!$A$1:$G$49,MATCH(orders!$D674,products!$A$1:$A$49,0),MATCH(orders!N$1,products!$A$1:$G$1,0)))</f>
        <v>5.6745000000000001</v>
      </c>
      <c r="O674" s="5">
        <f>M674*E674</f>
        <v>43.650000000000006</v>
      </c>
      <c r="P674" t="str">
        <f t="shared" si="20"/>
        <v>Liberica</v>
      </c>
      <c r="Q674" t="str">
        <f t="shared" si="21"/>
        <v>Medium</v>
      </c>
      <c r="R674" t="str">
        <f>_xlfn.XLOOKUP(Orders[[#This Row],[Customer ID]],customers!$A$1:$A$1001,customers!$I$1:$I$1001,,0)</f>
        <v>Yes</v>
      </c>
    </row>
    <row r="675" spans="1:18" x14ac:dyDescent="0.35">
      <c r="A675" s="2" t="s">
        <v>4291</v>
      </c>
      <c r="B675" s="3">
        <v>44118</v>
      </c>
      <c r="C675" s="2" t="s">
        <v>4292</v>
      </c>
      <c r="D675" t="s">
        <v>6141</v>
      </c>
      <c r="E675" s="2">
        <v>6</v>
      </c>
      <c r="F675" s="2" t="str">
        <f>_xlfn.XLOOKUP(Orders[[#This Row],[Customer ID]],customers!$A$1:$A$1001,customers!$B$1:$B$1001,,0)</f>
        <v>Hazel Saill</v>
      </c>
      <c r="G675" s="2" t="str">
        <f>IF(_xlfn.XLOOKUP(C675,customers!$A$1:$A$1001,customers!C674:C1674,,0)=0,"",_xlfn.XLOOKUP(C675,customers!$A$1:$A$1001,customers!C674:C1674,,0))</f>
        <v/>
      </c>
      <c r="H675" s="2" t="str">
        <f>_xlfn.XLOOKUP(Orders[[#This Row],[Customer ID]],customers!$A$1:$A$1001,customers!$G$1:$G$1001,,0)</f>
        <v>United States</v>
      </c>
      <c r="I675" s="2" t="str">
        <f>_xlfn.XLOOKUP(Orders[[#This Row],[Customer ID]],customers!$A$1:$A$1001,customers!$F$1:$F$1001,,0)</f>
        <v>Kansas City</v>
      </c>
      <c r="J675" t="str">
        <f>INDEX(products!$A$1:$G$49,MATCH(orders!$D675,products!$A$1:$A$49,0),MATCH(orders!J$1,products!$A$1:$G$1,0))</f>
        <v>Exc</v>
      </c>
      <c r="K675" t="str">
        <f>INDEX(products!$A$1:$G$49,MATCH(orders!$D675,products!$A$1:$A$49,0),MATCH(orders!K$1,products!$A$1:$G$1,0))</f>
        <v>M</v>
      </c>
      <c r="L675" s="4">
        <f>INDEX(products!$A$1:$G$49,MATCH(orders!$D675,products!$A$1:$A$49,0),MATCH(orders!L$1,products!$A$1:$G$1,0))</f>
        <v>1</v>
      </c>
      <c r="M675" s="5">
        <f>INDEX(products!$A$1:$G$49,MATCH(orders!$D675,products!$A$1:$A$49,0),MATCH(orders!M$1,products!$A$1:$G$1,0))</f>
        <v>13.75</v>
      </c>
      <c r="N675" s="5">
        <f>Orders[[#This Row],[Quantity]]*(INDEX(products!$A$1:$G$49,MATCH(orders!$D675,products!$A$1:$A$49,0),MATCH(orders!N$1,products!$A$1:$G$1,0)))</f>
        <v>9.0749999999999993</v>
      </c>
      <c r="O675" s="5">
        <f>M675*E675</f>
        <v>82.5</v>
      </c>
      <c r="P675" t="str">
        <f t="shared" si="20"/>
        <v>Excelsa</v>
      </c>
      <c r="Q675" t="str">
        <f t="shared" si="21"/>
        <v>Medium</v>
      </c>
      <c r="R675" t="str">
        <f>_xlfn.XLOOKUP(Orders[[#This Row],[Customer ID]],customers!$A$1:$A$1001,customers!$I$1:$I$1001,,0)</f>
        <v>Yes</v>
      </c>
    </row>
    <row r="676" spans="1:18" x14ac:dyDescent="0.35">
      <c r="A676" s="2" t="s">
        <v>4297</v>
      </c>
      <c r="B676" s="3">
        <v>44543</v>
      </c>
      <c r="C676" s="2" t="s">
        <v>4298</v>
      </c>
      <c r="D676" t="s">
        <v>6182</v>
      </c>
      <c r="E676" s="2">
        <v>6</v>
      </c>
      <c r="F676" s="2" t="str">
        <f>_xlfn.XLOOKUP(Orders[[#This Row],[Customer ID]],customers!$A$1:$A$1001,customers!$B$1:$B$1001,,0)</f>
        <v>Hermann Larvor</v>
      </c>
      <c r="G676" s="2" t="str">
        <f>IF(_xlfn.XLOOKUP(C676,customers!$A$1:$A$1001,customers!C675:C1675,,0)=0,"",_xlfn.XLOOKUP(C676,customers!$A$1:$A$1001,customers!C675:C1675,,0))</f>
        <v/>
      </c>
      <c r="H676" s="2" t="str">
        <f>_xlfn.XLOOKUP(Orders[[#This Row],[Customer ID]],customers!$A$1:$A$1001,customers!$G$1:$G$1001,,0)</f>
        <v>United States</v>
      </c>
      <c r="I676" s="2" t="str">
        <f>_xlfn.XLOOKUP(Orders[[#This Row],[Customer ID]],customers!$A$1:$A$1001,customers!$F$1:$F$1001,,0)</f>
        <v>Bradenton</v>
      </c>
      <c r="J676" t="str">
        <f>INDEX(products!$A$1:$G$49,MATCH(orders!$D676,products!$A$1:$A$49,0),MATCH(orders!J$1,products!$A$1:$G$1,0))</f>
        <v>Ara</v>
      </c>
      <c r="K676" t="str">
        <f>INDEX(products!$A$1:$G$49,MATCH(orders!$D676,products!$A$1:$A$49,0),MATCH(orders!K$1,products!$A$1:$G$1,0))</f>
        <v>L</v>
      </c>
      <c r="L676" s="4">
        <f>INDEX(products!$A$1:$G$49,MATCH(orders!$D676,products!$A$1:$A$49,0),MATCH(orders!L$1,products!$A$1:$G$1,0))</f>
        <v>2.5</v>
      </c>
      <c r="M676" s="5">
        <f>INDEX(products!$A$1:$G$49,MATCH(orders!$D676,products!$A$1:$A$49,0),MATCH(orders!M$1,products!$A$1:$G$1,0))</f>
        <v>29.784999999999997</v>
      </c>
      <c r="N676" s="5">
        <f>Orders[[#This Row],[Quantity]]*(INDEX(products!$A$1:$G$49,MATCH(orders!$D676,products!$A$1:$A$49,0),MATCH(orders!N$1,products!$A$1:$G$1,0)))</f>
        <v>16.083899999999996</v>
      </c>
      <c r="O676" s="5">
        <f>M676*E676</f>
        <v>178.70999999999998</v>
      </c>
      <c r="P676" t="str">
        <f t="shared" si="20"/>
        <v>Arabica</v>
      </c>
      <c r="Q676" t="str">
        <f t="shared" si="21"/>
        <v>Light</v>
      </c>
      <c r="R676" t="str">
        <f>_xlfn.XLOOKUP(Orders[[#This Row],[Customer ID]],customers!$A$1:$A$1001,customers!$I$1:$I$1001,,0)</f>
        <v>Yes</v>
      </c>
    </row>
    <row r="677" spans="1:18" x14ac:dyDescent="0.35">
      <c r="A677" s="2" t="s">
        <v>4303</v>
      </c>
      <c r="B677" s="3">
        <v>44263</v>
      </c>
      <c r="C677" s="2" t="s">
        <v>4304</v>
      </c>
      <c r="D677" t="s">
        <v>6165</v>
      </c>
      <c r="E677" s="2">
        <v>4</v>
      </c>
      <c r="F677" s="2" t="str">
        <f>_xlfn.XLOOKUP(Orders[[#This Row],[Customer ID]],customers!$A$1:$A$1001,customers!$B$1:$B$1001,,0)</f>
        <v>Terri Lyford</v>
      </c>
      <c r="G677" s="2" t="str">
        <f>IF(_xlfn.XLOOKUP(C677,customers!$A$1:$A$1001,customers!C676:C1676,,0)=0,"",_xlfn.XLOOKUP(C677,customers!$A$1:$A$1001,customers!C676:C1676,,0))</f>
        <v/>
      </c>
      <c r="H677" s="2" t="str">
        <f>_xlfn.XLOOKUP(Orders[[#This Row],[Customer ID]],customers!$A$1:$A$1001,customers!$G$1:$G$1001,,0)</f>
        <v>United States</v>
      </c>
      <c r="I677" s="2" t="str">
        <f>_xlfn.XLOOKUP(Orders[[#This Row],[Customer ID]],customers!$A$1:$A$1001,customers!$F$1:$F$1001,,0)</f>
        <v>Allentown</v>
      </c>
      <c r="J677" t="str">
        <f>INDEX(products!$A$1:$G$49,MATCH(orders!$D677,products!$A$1:$A$49,0),MATCH(orders!J$1,products!$A$1:$G$1,0))</f>
        <v>Lib</v>
      </c>
      <c r="K677" t="str">
        <f>INDEX(products!$A$1:$G$49,MATCH(orders!$D677,products!$A$1:$A$49,0),MATCH(orders!K$1,products!$A$1:$G$1,0))</f>
        <v>D</v>
      </c>
      <c r="L677" s="4">
        <f>INDEX(products!$A$1:$G$49,MATCH(orders!$D677,products!$A$1:$A$49,0),MATCH(orders!L$1,products!$A$1:$G$1,0))</f>
        <v>2.5</v>
      </c>
      <c r="M677" s="5">
        <f>INDEX(products!$A$1:$G$49,MATCH(orders!$D677,products!$A$1:$A$49,0),MATCH(orders!M$1,products!$A$1:$G$1,0))</f>
        <v>29.784999999999997</v>
      </c>
      <c r="N677" s="5">
        <f>Orders[[#This Row],[Quantity]]*(INDEX(products!$A$1:$G$49,MATCH(orders!$D677,products!$A$1:$A$49,0),MATCH(orders!N$1,products!$A$1:$G$1,0)))</f>
        <v>15.488199999999999</v>
      </c>
      <c r="O677" s="5">
        <f>M677*E677</f>
        <v>119.13999999999999</v>
      </c>
      <c r="P677" t="str">
        <f t="shared" si="20"/>
        <v>Liberica</v>
      </c>
      <c r="Q677" t="str">
        <f t="shared" si="21"/>
        <v>Dark</v>
      </c>
      <c r="R677" t="str">
        <f>_xlfn.XLOOKUP(Orders[[#This Row],[Customer ID]],customers!$A$1:$A$1001,customers!$I$1:$I$1001,,0)</f>
        <v>Yes</v>
      </c>
    </row>
    <row r="678" spans="1:18" x14ac:dyDescent="0.35">
      <c r="A678" s="2" t="s">
        <v>4308</v>
      </c>
      <c r="B678" s="3">
        <v>44217</v>
      </c>
      <c r="C678" s="2" t="s">
        <v>4309</v>
      </c>
      <c r="D678" t="s">
        <v>6161</v>
      </c>
      <c r="E678" s="2">
        <v>5</v>
      </c>
      <c r="F678" s="2" t="str">
        <f>_xlfn.XLOOKUP(Orders[[#This Row],[Customer ID]],customers!$A$1:$A$1001,customers!$B$1:$B$1001,,0)</f>
        <v>Gabey Cogan</v>
      </c>
      <c r="G678" s="2" t="str">
        <f>IF(_xlfn.XLOOKUP(C678,customers!$A$1:$A$1001,customers!C677:C1677,,0)=0,"",_xlfn.XLOOKUP(C678,customers!$A$1:$A$1001,customers!C677:C1677,,0))</f>
        <v/>
      </c>
      <c r="H678" s="2" t="str">
        <f>_xlfn.XLOOKUP(Orders[[#This Row],[Customer ID]],customers!$A$1:$A$1001,customers!$G$1:$G$1001,,0)</f>
        <v>United States</v>
      </c>
      <c r="I678" s="2" t="str">
        <f>_xlfn.XLOOKUP(Orders[[#This Row],[Customer ID]],customers!$A$1:$A$1001,customers!$F$1:$F$1001,,0)</f>
        <v>Hampton</v>
      </c>
      <c r="J678" t="str">
        <f>INDEX(products!$A$1:$G$49,MATCH(orders!$D678,products!$A$1:$A$49,0),MATCH(orders!J$1,products!$A$1:$G$1,0))</f>
        <v>Lib</v>
      </c>
      <c r="K678" t="str">
        <f>INDEX(products!$A$1:$G$49,MATCH(orders!$D678,products!$A$1:$A$49,0),MATCH(orders!K$1,products!$A$1:$G$1,0))</f>
        <v>L</v>
      </c>
      <c r="L678" s="4">
        <f>INDEX(products!$A$1:$G$49,MATCH(orders!$D678,products!$A$1:$A$49,0),MATCH(orders!L$1,products!$A$1:$G$1,0))</f>
        <v>0.5</v>
      </c>
      <c r="M678" s="5">
        <f>INDEX(products!$A$1:$G$49,MATCH(orders!$D678,products!$A$1:$A$49,0),MATCH(orders!M$1,products!$A$1:$G$1,0))</f>
        <v>9.51</v>
      </c>
      <c r="N678" s="5">
        <f>Orders[[#This Row],[Quantity]]*(INDEX(products!$A$1:$G$49,MATCH(orders!$D678,products!$A$1:$A$49,0),MATCH(orders!N$1,products!$A$1:$G$1,0)))</f>
        <v>6.1814999999999998</v>
      </c>
      <c r="O678" s="5">
        <f>M678*E678</f>
        <v>47.55</v>
      </c>
      <c r="P678" t="str">
        <f t="shared" si="20"/>
        <v>Liberica</v>
      </c>
      <c r="Q678" t="str">
        <f t="shared" si="21"/>
        <v>Light</v>
      </c>
      <c r="R678" t="str">
        <f>_xlfn.XLOOKUP(Orders[[#This Row],[Customer ID]],customers!$A$1:$A$1001,customers!$I$1:$I$1001,,0)</f>
        <v>No</v>
      </c>
    </row>
    <row r="679" spans="1:18" x14ac:dyDescent="0.35">
      <c r="A679" s="2" t="s">
        <v>4313</v>
      </c>
      <c r="B679" s="3">
        <v>44206</v>
      </c>
      <c r="C679" s="2" t="s">
        <v>4314</v>
      </c>
      <c r="D679" t="s">
        <v>6160</v>
      </c>
      <c r="E679" s="2">
        <v>5</v>
      </c>
      <c r="F679" s="2" t="str">
        <f>_xlfn.XLOOKUP(Orders[[#This Row],[Customer ID]],customers!$A$1:$A$1001,customers!$B$1:$B$1001,,0)</f>
        <v>Charin Penwarden</v>
      </c>
      <c r="G679" s="2" t="str">
        <f>IF(_xlfn.XLOOKUP(C679,customers!$A$1:$A$1001,customers!C678:C1678,,0)=0,"",_xlfn.XLOOKUP(C679,customers!$A$1:$A$1001,customers!C678:C1678,,0))</f>
        <v/>
      </c>
      <c r="H679" s="2" t="str">
        <f>_xlfn.XLOOKUP(Orders[[#This Row],[Customer ID]],customers!$A$1:$A$1001,customers!$G$1:$G$1001,,0)</f>
        <v>Ireland</v>
      </c>
      <c r="I679" s="2" t="str">
        <f>_xlfn.XLOOKUP(Orders[[#This Row],[Customer ID]],customers!$A$1:$A$1001,customers!$F$1:$F$1001,,0)</f>
        <v>Whitegate</v>
      </c>
      <c r="J679" t="str">
        <f>INDEX(products!$A$1:$G$49,MATCH(orders!$D679,products!$A$1:$A$49,0),MATCH(orders!J$1,products!$A$1:$G$1,0))</f>
        <v>Lib</v>
      </c>
      <c r="K679" t="str">
        <f>INDEX(products!$A$1:$G$49,MATCH(orders!$D679,products!$A$1:$A$49,0),MATCH(orders!K$1,products!$A$1:$G$1,0))</f>
        <v>M</v>
      </c>
      <c r="L679" s="4">
        <f>INDEX(products!$A$1:$G$49,MATCH(orders!$D679,products!$A$1:$A$49,0),MATCH(orders!L$1,products!$A$1:$G$1,0))</f>
        <v>0.5</v>
      </c>
      <c r="M679" s="5">
        <f>INDEX(products!$A$1:$G$49,MATCH(orders!$D679,products!$A$1:$A$49,0),MATCH(orders!M$1,products!$A$1:$G$1,0))</f>
        <v>8.73</v>
      </c>
      <c r="N679" s="5">
        <f>Orders[[#This Row],[Quantity]]*(INDEX(products!$A$1:$G$49,MATCH(orders!$D679,products!$A$1:$A$49,0),MATCH(orders!N$1,products!$A$1:$G$1,0)))</f>
        <v>5.6745000000000001</v>
      </c>
      <c r="O679" s="5">
        <f>M679*E679</f>
        <v>43.650000000000006</v>
      </c>
      <c r="P679" t="str">
        <f t="shared" si="20"/>
        <v>Liberica</v>
      </c>
      <c r="Q679" t="str">
        <f t="shared" si="21"/>
        <v>Medium</v>
      </c>
      <c r="R679" t="str">
        <f>_xlfn.XLOOKUP(Orders[[#This Row],[Customer ID]],customers!$A$1:$A$1001,customers!$I$1:$I$1001,,0)</f>
        <v>No</v>
      </c>
    </row>
    <row r="680" spans="1:18" x14ac:dyDescent="0.35">
      <c r="A680" s="2" t="s">
        <v>4319</v>
      </c>
      <c r="B680" s="3">
        <v>44281</v>
      </c>
      <c r="C680" s="2" t="s">
        <v>4320</v>
      </c>
      <c r="D680" t="s">
        <v>6182</v>
      </c>
      <c r="E680" s="2">
        <v>6</v>
      </c>
      <c r="F680" s="2" t="str">
        <f>_xlfn.XLOOKUP(Orders[[#This Row],[Customer ID]],customers!$A$1:$A$1001,customers!$B$1:$B$1001,,0)</f>
        <v>Milty Middis</v>
      </c>
      <c r="G680" s="2" t="str">
        <f>IF(_xlfn.XLOOKUP(C680,customers!$A$1:$A$1001,customers!C679:C1679,,0)=0,"",_xlfn.XLOOKUP(C680,customers!$A$1:$A$1001,customers!C679:C1679,,0))</f>
        <v/>
      </c>
      <c r="H680" s="2" t="str">
        <f>_xlfn.XLOOKUP(Orders[[#This Row],[Customer ID]],customers!$A$1:$A$1001,customers!$G$1:$G$1001,,0)</f>
        <v>United States</v>
      </c>
      <c r="I680" s="2" t="str">
        <f>_xlfn.XLOOKUP(Orders[[#This Row],[Customer ID]],customers!$A$1:$A$1001,customers!$F$1:$F$1001,,0)</f>
        <v>Wichita</v>
      </c>
      <c r="J680" t="str">
        <f>INDEX(products!$A$1:$G$49,MATCH(orders!$D680,products!$A$1:$A$49,0),MATCH(orders!J$1,products!$A$1:$G$1,0))</f>
        <v>Ara</v>
      </c>
      <c r="K680" t="str">
        <f>INDEX(products!$A$1:$G$49,MATCH(orders!$D680,products!$A$1:$A$49,0),MATCH(orders!K$1,products!$A$1:$G$1,0))</f>
        <v>L</v>
      </c>
      <c r="L680" s="4">
        <f>INDEX(products!$A$1:$G$49,MATCH(orders!$D680,products!$A$1:$A$49,0),MATCH(orders!L$1,products!$A$1:$G$1,0))</f>
        <v>2.5</v>
      </c>
      <c r="M680" s="5">
        <f>INDEX(products!$A$1:$G$49,MATCH(orders!$D680,products!$A$1:$A$49,0),MATCH(orders!M$1,products!$A$1:$G$1,0))</f>
        <v>29.784999999999997</v>
      </c>
      <c r="N680" s="5">
        <f>Orders[[#This Row],[Quantity]]*(INDEX(products!$A$1:$G$49,MATCH(orders!$D680,products!$A$1:$A$49,0),MATCH(orders!N$1,products!$A$1:$G$1,0)))</f>
        <v>16.083899999999996</v>
      </c>
      <c r="O680" s="5">
        <f>M680*E680</f>
        <v>178.70999999999998</v>
      </c>
      <c r="P680" t="str">
        <f t="shared" si="20"/>
        <v>Arabica</v>
      </c>
      <c r="Q680" t="str">
        <f t="shared" si="21"/>
        <v>Light</v>
      </c>
      <c r="R680" t="str">
        <f>_xlfn.XLOOKUP(Orders[[#This Row],[Customer ID]],customers!$A$1:$A$1001,customers!$I$1:$I$1001,,0)</f>
        <v>Yes</v>
      </c>
    </row>
    <row r="681" spans="1:18" x14ac:dyDescent="0.35">
      <c r="A681" s="2" t="s">
        <v>4325</v>
      </c>
      <c r="B681" s="3">
        <v>44645</v>
      </c>
      <c r="C681" s="2" t="s">
        <v>4326</v>
      </c>
      <c r="D681" t="s">
        <v>6142</v>
      </c>
      <c r="E681" s="2">
        <v>1</v>
      </c>
      <c r="F681" s="2" t="str">
        <f>_xlfn.XLOOKUP(Orders[[#This Row],[Customer ID]],customers!$A$1:$A$1001,customers!$B$1:$B$1001,,0)</f>
        <v>Adrianne Vairow</v>
      </c>
      <c r="G681" s="2" t="str">
        <f>IF(_xlfn.XLOOKUP(C681,customers!$A$1:$A$1001,customers!C680:C1680,,0)=0,"",_xlfn.XLOOKUP(C681,customers!$A$1:$A$1001,customers!C680:C1680,,0))</f>
        <v/>
      </c>
      <c r="H681" s="2" t="str">
        <f>_xlfn.XLOOKUP(Orders[[#This Row],[Customer ID]],customers!$A$1:$A$1001,customers!$G$1:$G$1001,,0)</f>
        <v>United Kingdom</v>
      </c>
      <c r="I681" s="2" t="str">
        <f>_xlfn.XLOOKUP(Orders[[#This Row],[Customer ID]],customers!$A$1:$A$1001,customers!$F$1:$F$1001,,0)</f>
        <v>Thorpe</v>
      </c>
      <c r="J681" t="str">
        <f>INDEX(products!$A$1:$G$49,MATCH(orders!$D681,products!$A$1:$A$49,0),MATCH(orders!J$1,products!$A$1:$G$1,0))</f>
        <v>Rob</v>
      </c>
      <c r="K681" t="str">
        <f>INDEX(products!$A$1:$G$49,MATCH(orders!$D681,products!$A$1:$A$49,0),MATCH(orders!K$1,products!$A$1:$G$1,0))</f>
        <v>L</v>
      </c>
      <c r="L681" s="4">
        <f>INDEX(products!$A$1:$G$49,MATCH(orders!$D681,products!$A$1:$A$49,0),MATCH(orders!L$1,products!$A$1:$G$1,0))</f>
        <v>2.5</v>
      </c>
      <c r="M681" s="5">
        <f>INDEX(products!$A$1:$G$49,MATCH(orders!$D681,products!$A$1:$A$49,0),MATCH(orders!M$1,products!$A$1:$G$1,0))</f>
        <v>27.484999999999996</v>
      </c>
      <c r="N681" s="5">
        <f>Orders[[#This Row],[Quantity]]*(INDEX(products!$A$1:$G$49,MATCH(orders!$D681,products!$A$1:$A$49,0),MATCH(orders!N$1,products!$A$1:$G$1,0)))</f>
        <v>1.6490999999999998</v>
      </c>
      <c r="O681" s="5">
        <f>M681*E681</f>
        <v>27.484999999999996</v>
      </c>
      <c r="P681" t="str">
        <f t="shared" si="20"/>
        <v>Robusta</v>
      </c>
      <c r="Q681" t="str">
        <f t="shared" si="21"/>
        <v>Light</v>
      </c>
      <c r="R681" t="str">
        <f>_xlfn.XLOOKUP(Orders[[#This Row],[Customer ID]],customers!$A$1:$A$1001,customers!$I$1:$I$1001,,0)</f>
        <v>No</v>
      </c>
    </row>
    <row r="682" spans="1:18" x14ac:dyDescent="0.35">
      <c r="A682" s="2" t="s">
        <v>4331</v>
      </c>
      <c r="B682" s="3">
        <v>44399</v>
      </c>
      <c r="C682" s="2" t="s">
        <v>4332</v>
      </c>
      <c r="D682" t="s">
        <v>6155</v>
      </c>
      <c r="E682" s="2">
        <v>5</v>
      </c>
      <c r="F682" s="2" t="str">
        <f>_xlfn.XLOOKUP(Orders[[#This Row],[Customer ID]],customers!$A$1:$A$1001,customers!$B$1:$B$1001,,0)</f>
        <v>Anjanette Goldie</v>
      </c>
      <c r="G682" s="2" t="str">
        <f>IF(_xlfn.XLOOKUP(C682,customers!$A$1:$A$1001,customers!C681:C1681,,0)=0,"",_xlfn.XLOOKUP(C682,customers!$A$1:$A$1001,customers!C681:C1681,,0))</f>
        <v/>
      </c>
      <c r="H682" s="2" t="str">
        <f>_xlfn.XLOOKUP(Orders[[#This Row],[Customer ID]],customers!$A$1:$A$1001,customers!$G$1:$G$1001,,0)</f>
        <v>United States</v>
      </c>
      <c r="I682" s="2" t="str">
        <f>_xlfn.XLOOKUP(Orders[[#This Row],[Customer ID]],customers!$A$1:$A$1001,customers!$F$1:$F$1001,,0)</f>
        <v>Danbury</v>
      </c>
      <c r="J682" t="str">
        <f>INDEX(products!$A$1:$G$49,MATCH(orders!$D682,products!$A$1:$A$49,0),MATCH(orders!J$1,products!$A$1:$G$1,0))</f>
        <v>Ara</v>
      </c>
      <c r="K682" t="str">
        <f>INDEX(products!$A$1:$G$49,MATCH(orders!$D682,products!$A$1:$A$49,0),MATCH(orders!K$1,products!$A$1:$G$1,0))</f>
        <v>M</v>
      </c>
      <c r="L682" s="4">
        <f>INDEX(products!$A$1:$G$49,MATCH(orders!$D682,products!$A$1:$A$49,0),MATCH(orders!L$1,products!$A$1:$G$1,0))</f>
        <v>1</v>
      </c>
      <c r="M682" s="5">
        <f>INDEX(products!$A$1:$G$49,MATCH(orders!$D682,products!$A$1:$A$49,0),MATCH(orders!M$1,products!$A$1:$G$1,0))</f>
        <v>11.25</v>
      </c>
      <c r="N682" s="5">
        <f>Orders[[#This Row],[Quantity]]*(INDEX(products!$A$1:$G$49,MATCH(orders!$D682,products!$A$1:$A$49,0),MATCH(orders!N$1,products!$A$1:$G$1,0)))</f>
        <v>5.0625</v>
      </c>
      <c r="O682" s="5">
        <f>M682*E682</f>
        <v>56.25</v>
      </c>
      <c r="P682" t="str">
        <f t="shared" si="20"/>
        <v>Arabica</v>
      </c>
      <c r="Q682" t="str">
        <f t="shared" si="21"/>
        <v>Medium</v>
      </c>
      <c r="R682" t="str">
        <f>_xlfn.XLOOKUP(Orders[[#This Row],[Customer ID]],customers!$A$1:$A$1001,customers!$I$1:$I$1001,,0)</f>
        <v>No</v>
      </c>
    </row>
    <row r="683" spans="1:18" x14ac:dyDescent="0.35">
      <c r="A683" s="2" t="s">
        <v>4336</v>
      </c>
      <c r="B683" s="3">
        <v>44080</v>
      </c>
      <c r="C683" s="2" t="s">
        <v>4337</v>
      </c>
      <c r="D683" t="s">
        <v>6145</v>
      </c>
      <c r="E683" s="2">
        <v>2</v>
      </c>
      <c r="F683" s="2" t="str">
        <f>_xlfn.XLOOKUP(Orders[[#This Row],[Customer ID]],customers!$A$1:$A$1001,customers!$B$1:$B$1001,,0)</f>
        <v>Nicky Ayris</v>
      </c>
      <c r="G683" s="2" t="str">
        <f>IF(_xlfn.XLOOKUP(C683,customers!$A$1:$A$1001,customers!C682:C1682,,0)=0,"",_xlfn.XLOOKUP(C683,customers!$A$1:$A$1001,customers!C682:C1682,,0))</f>
        <v/>
      </c>
      <c r="H683" s="2" t="str">
        <f>_xlfn.XLOOKUP(Orders[[#This Row],[Customer ID]],customers!$A$1:$A$1001,customers!$G$1:$G$1001,,0)</f>
        <v>United Kingdom</v>
      </c>
      <c r="I683" s="2" t="str">
        <f>_xlfn.XLOOKUP(Orders[[#This Row],[Customer ID]],customers!$A$1:$A$1001,customers!$F$1:$F$1001,,0)</f>
        <v>Kinloch</v>
      </c>
      <c r="J683" t="str">
        <f>INDEX(products!$A$1:$G$49,MATCH(orders!$D683,products!$A$1:$A$49,0),MATCH(orders!J$1,products!$A$1:$G$1,0))</f>
        <v>Lib</v>
      </c>
      <c r="K683" t="str">
        <f>INDEX(products!$A$1:$G$49,MATCH(orders!$D683,products!$A$1:$A$49,0),MATCH(orders!K$1,products!$A$1:$G$1,0))</f>
        <v>L</v>
      </c>
      <c r="L683" s="4">
        <f>INDEX(products!$A$1:$G$49,MATCH(orders!$D683,products!$A$1:$A$49,0),MATCH(orders!L$1,products!$A$1:$G$1,0))</f>
        <v>0.2</v>
      </c>
      <c r="M683" s="5">
        <f>INDEX(products!$A$1:$G$49,MATCH(orders!$D683,products!$A$1:$A$49,0),MATCH(orders!M$1,products!$A$1:$G$1,0))</f>
        <v>4.7549999999999999</v>
      </c>
      <c r="N683" s="5">
        <f>Orders[[#This Row],[Quantity]]*(INDEX(products!$A$1:$G$49,MATCH(orders!$D683,products!$A$1:$A$49,0),MATCH(orders!N$1,products!$A$1:$G$1,0)))</f>
        <v>1.2363</v>
      </c>
      <c r="O683" s="5">
        <f>M683*E683</f>
        <v>9.51</v>
      </c>
      <c r="P683" t="str">
        <f t="shared" si="20"/>
        <v>Liberica</v>
      </c>
      <c r="Q683" t="str">
        <f t="shared" si="21"/>
        <v>Light</v>
      </c>
      <c r="R683" t="str">
        <f>_xlfn.XLOOKUP(Orders[[#This Row],[Customer ID]],customers!$A$1:$A$1001,customers!$I$1:$I$1001,,0)</f>
        <v>Yes</v>
      </c>
    </row>
    <row r="684" spans="1:18" x14ac:dyDescent="0.35">
      <c r="A684" s="2" t="s">
        <v>4342</v>
      </c>
      <c r="B684" s="3">
        <v>43827</v>
      </c>
      <c r="C684" s="2" t="s">
        <v>4343</v>
      </c>
      <c r="D684" t="s">
        <v>6156</v>
      </c>
      <c r="E684" s="2">
        <v>2</v>
      </c>
      <c r="F684" s="2" t="str">
        <f>_xlfn.XLOOKUP(Orders[[#This Row],[Customer ID]],customers!$A$1:$A$1001,customers!$B$1:$B$1001,,0)</f>
        <v>Laryssa Benediktovich</v>
      </c>
      <c r="G684" s="2" t="str">
        <f>IF(_xlfn.XLOOKUP(C684,customers!$A$1:$A$1001,customers!C683:C1683,,0)=0,"",_xlfn.XLOOKUP(C684,customers!$A$1:$A$1001,customers!C683:C1683,,0))</f>
        <v/>
      </c>
      <c r="H684" s="2" t="str">
        <f>_xlfn.XLOOKUP(Orders[[#This Row],[Customer ID]],customers!$A$1:$A$1001,customers!$G$1:$G$1001,,0)</f>
        <v>United States</v>
      </c>
      <c r="I684" s="2" t="str">
        <f>_xlfn.XLOOKUP(Orders[[#This Row],[Customer ID]],customers!$A$1:$A$1001,customers!$F$1:$F$1001,,0)</f>
        <v>Jacksonville</v>
      </c>
      <c r="J684" t="str">
        <f>INDEX(products!$A$1:$G$49,MATCH(orders!$D684,products!$A$1:$A$49,0),MATCH(orders!J$1,products!$A$1:$G$1,0))</f>
        <v>Exc</v>
      </c>
      <c r="K684" t="str">
        <f>INDEX(products!$A$1:$G$49,MATCH(orders!$D684,products!$A$1:$A$49,0),MATCH(orders!K$1,products!$A$1:$G$1,0))</f>
        <v>M</v>
      </c>
      <c r="L684" s="4">
        <f>INDEX(products!$A$1:$G$49,MATCH(orders!$D684,products!$A$1:$A$49,0),MATCH(orders!L$1,products!$A$1:$G$1,0))</f>
        <v>0.2</v>
      </c>
      <c r="M684" s="5">
        <f>INDEX(products!$A$1:$G$49,MATCH(orders!$D684,products!$A$1:$A$49,0),MATCH(orders!M$1,products!$A$1:$G$1,0))</f>
        <v>4.125</v>
      </c>
      <c r="N684" s="5">
        <f>Orders[[#This Row],[Quantity]]*(INDEX(products!$A$1:$G$49,MATCH(orders!$D684,products!$A$1:$A$49,0),MATCH(orders!N$1,products!$A$1:$G$1,0)))</f>
        <v>0.90749999999999997</v>
      </c>
      <c r="O684" s="5">
        <f>M684*E684</f>
        <v>8.25</v>
      </c>
      <c r="P684" t="str">
        <f t="shared" si="20"/>
        <v>Excelsa</v>
      </c>
      <c r="Q684" t="str">
        <f t="shared" si="21"/>
        <v>Medium</v>
      </c>
      <c r="R684" t="str">
        <f>_xlfn.XLOOKUP(Orders[[#This Row],[Customer ID]],customers!$A$1:$A$1001,customers!$I$1:$I$1001,,0)</f>
        <v>Yes</v>
      </c>
    </row>
    <row r="685" spans="1:18" x14ac:dyDescent="0.35">
      <c r="A685" s="2" t="s">
        <v>4348</v>
      </c>
      <c r="B685" s="3">
        <v>43941</v>
      </c>
      <c r="C685" s="2" t="s">
        <v>4349</v>
      </c>
      <c r="D685" t="s">
        <v>6169</v>
      </c>
      <c r="E685" s="2">
        <v>6</v>
      </c>
      <c r="F685" s="2" t="str">
        <f>_xlfn.XLOOKUP(Orders[[#This Row],[Customer ID]],customers!$A$1:$A$1001,customers!$B$1:$B$1001,,0)</f>
        <v>Theo Jacobovitz</v>
      </c>
      <c r="G685" s="2" t="str">
        <f>IF(_xlfn.XLOOKUP(C685,customers!$A$1:$A$1001,customers!C684:C1684,,0)=0,"",_xlfn.XLOOKUP(C685,customers!$A$1:$A$1001,customers!C684:C1684,,0))</f>
        <v/>
      </c>
      <c r="H685" s="2" t="str">
        <f>_xlfn.XLOOKUP(Orders[[#This Row],[Customer ID]],customers!$A$1:$A$1001,customers!$G$1:$G$1001,,0)</f>
        <v>United States</v>
      </c>
      <c r="I685" s="2" t="str">
        <f>_xlfn.XLOOKUP(Orders[[#This Row],[Customer ID]],customers!$A$1:$A$1001,customers!$F$1:$F$1001,,0)</f>
        <v>Houston</v>
      </c>
      <c r="J685" t="str">
        <f>INDEX(products!$A$1:$G$49,MATCH(orders!$D685,products!$A$1:$A$49,0),MATCH(orders!J$1,products!$A$1:$G$1,0))</f>
        <v>Lib</v>
      </c>
      <c r="K685" t="str">
        <f>INDEX(products!$A$1:$G$49,MATCH(orders!$D685,products!$A$1:$A$49,0),MATCH(orders!K$1,products!$A$1:$G$1,0))</f>
        <v>D</v>
      </c>
      <c r="L685" s="4">
        <f>INDEX(products!$A$1:$G$49,MATCH(orders!$D685,products!$A$1:$A$49,0),MATCH(orders!L$1,products!$A$1:$G$1,0))</f>
        <v>0.5</v>
      </c>
      <c r="M685" s="5">
        <f>INDEX(products!$A$1:$G$49,MATCH(orders!$D685,products!$A$1:$A$49,0),MATCH(orders!M$1,products!$A$1:$G$1,0))</f>
        <v>7.77</v>
      </c>
      <c r="N685" s="5">
        <f>Orders[[#This Row],[Quantity]]*(INDEX(products!$A$1:$G$49,MATCH(orders!$D685,products!$A$1:$A$49,0),MATCH(orders!N$1,products!$A$1:$G$1,0)))</f>
        <v>6.0606</v>
      </c>
      <c r="O685" s="5">
        <f>M685*E685</f>
        <v>46.62</v>
      </c>
      <c r="P685" t="str">
        <f t="shared" si="20"/>
        <v>Liberica</v>
      </c>
      <c r="Q685" t="str">
        <f t="shared" si="21"/>
        <v>Dark</v>
      </c>
      <c r="R685" t="str">
        <f>_xlfn.XLOOKUP(Orders[[#This Row],[Customer ID]],customers!$A$1:$A$1001,customers!$I$1:$I$1001,,0)</f>
        <v>No</v>
      </c>
    </row>
    <row r="686" spans="1:18" x14ac:dyDescent="0.35">
      <c r="A686" s="2" t="s">
        <v>4354</v>
      </c>
      <c r="B686" s="3">
        <v>43517</v>
      </c>
      <c r="C686" s="2" t="s">
        <v>4355</v>
      </c>
      <c r="D686" t="s">
        <v>6179</v>
      </c>
      <c r="E686" s="2">
        <v>6</v>
      </c>
      <c r="F686" s="2" t="str">
        <f>_xlfn.XLOOKUP(Orders[[#This Row],[Customer ID]],customers!$A$1:$A$1001,customers!$B$1:$B$1001,,0)</f>
        <v>Becca Ableson</v>
      </c>
      <c r="G686" s="2" t="str">
        <f>IF(_xlfn.XLOOKUP(C686,customers!$A$1:$A$1001,customers!C685:C1685,,0)=0,"",_xlfn.XLOOKUP(C686,customers!$A$1:$A$1001,customers!C685:C1685,,0))</f>
        <v/>
      </c>
      <c r="H686" s="2" t="str">
        <f>_xlfn.XLOOKUP(Orders[[#This Row],[Customer ID]],customers!$A$1:$A$1001,customers!$G$1:$G$1001,,0)</f>
        <v>United States</v>
      </c>
      <c r="I686" s="2" t="str">
        <f>_xlfn.XLOOKUP(Orders[[#This Row],[Customer ID]],customers!$A$1:$A$1001,customers!$F$1:$F$1001,,0)</f>
        <v>Portland</v>
      </c>
      <c r="J686" t="str">
        <f>INDEX(products!$A$1:$G$49,MATCH(orders!$D686,products!$A$1:$A$49,0),MATCH(orders!J$1,products!$A$1:$G$1,0))</f>
        <v>Rob</v>
      </c>
      <c r="K686" t="str">
        <f>INDEX(products!$A$1:$G$49,MATCH(orders!$D686,products!$A$1:$A$49,0),MATCH(orders!K$1,products!$A$1:$G$1,0))</f>
        <v>L</v>
      </c>
      <c r="L686" s="4">
        <f>INDEX(products!$A$1:$G$49,MATCH(orders!$D686,products!$A$1:$A$49,0),MATCH(orders!L$1,products!$A$1:$G$1,0))</f>
        <v>1</v>
      </c>
      <c r="M686" s="5">
        <f>INDEX(products!$A$1:$G$49,MATCH(orders!$D686,products!$A$1:$A$49,0),MATCH(orders!M$1,products!$A$1:$G$1,0))</f>
        <v>11.95</v>
      </c>
      <c r="N686" s="5">
        <f>Orders[[#This Row],[Quantity]]*(INDEX(products!$A$1:$G$49,MATCH(orders!$D686,products!$A$1:$A$49,0),MATCH(orders!N$1,products!$A$1:$G$1,0)))</f>
        <v>4.3019999999999996</v>
      </c>
      <c r="O686" s="5">
        <f>M686*E686</f>
        <v>71.699999999999989</v>
      </c>
      <c r="P686" t="str">
        <f t="shared" si="20"/>
        <v>Robusta</v>
      </c>
      <c r="Q686" t="str">
        <f t="shared" si="21"/>
        <v>Light</v>
      </c>
      <c r="R686" t="str">
        <f>_xlfn.XLOOKUP(Orders[[#This Row],[Customer ID]],customers!$A$1:$A$1001,customers!$I$1:$I$1001,,0)</f>
        <v>No</v>
      </c>
    </row>
    <row r="687" spans="1:18" x14ac:dyDescent="0.35">
      <c r="A687" s="2" t="s">
        <v>4359</v>
      </c>
      <c r="B687" s="3">
        <v>44637</v>
      </c>
      <c r="C687" s="2" t="s">
        <v>4360</v>
      </c>
      <c r="D687" t="s">
        <v>6164</v>
      </c>
      <c r="E687" s="2">
        <v>2</v>
      </c>
      <c r="F687" s="2" t="str">
        <f>_xlfn.XLOOKUP(Orders[[#This Row],[Customer ID]],customers!$A$1:$A$1001,customers!$B$1:$B$1001,,0)</f>
        <v>Jeno Druitt</v>
      </c>
      <c r="G687" s="2" t="str">
        <f>IF(_xlfn.XLOOKUP(C687,customers!$A$1:$A$1001,customers!C686:C1686,,0)=0,"",_xlfn.XLOOKUP(C687,customers!$A$1:$A$1001,customers!C686:C1686,,0))</f>
        <v/>
      </c>
      <c r="H687" s="2" t="str">
        <f>_xlfn.XLOOKUP(Orders[[#This Row],[Customer ID]],customers!$A$1:$A$1001,customers!$G$1:$G$1001,,0)</f>
        <v>United States</v>
      </c>
      <c r="I687" s="2" t="str">
        <f>_xlfn.XLOOKUP(Orders[[#This Row],[Customer ID]],customers!$A$1:$A$1001,customers!$F$1:$F$1001,,0)</f>
        <v>Pasadena</v>
      </c>
      <c r="J687" t="str">
        <f>INDEX(products!$A$1:$G$49,MATCH(orders!$D687,products!$A$1:$A$49,0),MATCH(orders!J$1,products!$A$1:$G$1,0))</f>
        <v>Lib</v>
      </c>
      <c r="K687" t="str">
        <f>INDEX(products!$A$1:$G$49,MATCH(orders!$D687,products!$A$1:$A$49,0),MATCH(orders!K$1,products!$A$1:$G$1,0))</f>
        <v>L</v>
      </c>
      <c r="L687" s="4">
        <f>INDEX(products!$A$1:$G$49,MATCH(orders!$D687,products!$A$1:$A$49,0),MATCH(orders!L$1,products!$A$1:$G$1,0))</f>
        <v>2.5</v>
      </c>
      <c r="M687" s="5">
        <f>INDEX(products!$A$1:$G$49,MATCH(orders!$D687,products!$A$1:$A$49,0),MATCH(orders!M$1,products!$A$1:$G$1,0))</f>
        <v>36.454999999999998</v>
      </c>
      <c r="N687" s="5">
        <f>Orders[[#This Row],[Quantity]]*(INDEX(products!$A$1:$G$49,MATCH(orders!$D687,products!$A$1:$A$49,0),MATCH(orders!N$1,products!$A$1:$G$1,0)))</f>
        <v>9.4782999999999991</v>
      </c>
      <c r="O687" s="5">
        <f>M687*E687</f>
        <v>72.91</v>
      </c>
      <c r="P687" t="str">
        <f t="shared" si="20"/>
        <v>Liberica</v>
      </c>
      <c r="Q687" t="str">
        <f t="shared" si="21"/>
        <v>Light</v>
      </c>
      <c r="R687" t="str">
        <f>_xlfn.XLOOKUP(Orders[[#This Row],[Customer ID]],customers!$A$1:$A$1001,customers!$I$1:$I$1001,,0)</f>
        <v>Yes</v>
      </c>
    </row>
    <row r="688" spans="1:18" x14ac:dyDescent="0.35">
      <c r="A688" s="2" t="s">
        <v>4365</v>
      </c>
      <c r="B688" s="3">
        <v>44330</v>
      </c>
      <c r="C688" s="2" t="s">
        <v>4366</v>
      </c>
      <c r="D688" t="s">
        <v>6163</v>
      </c>
      <c r="E688" s="2">
        <v>3</v>
      </c>
      <c r="F688" s="2" t="str">
        <f>_xlfn.XLOOKUP(Orders[[#This Row],[Customer ID]],customers!$A$1:$A$1001,customers!$B$1:$B$1001,,0)</f>
        <v>Deonne Shortall</v>
      </c>
      <c r="G688" s="2" t="str">
        <f>IF(_xlfn.XLOOKUP(C688,customers!$A$1:$A$1001,customers!C687:C1687,,0)=0,"",_xlfn.XLOOKUP(C688,customers!$A$1:$A$1001,customers!C687:C1687,,0))</f>
        <v/>
      </c>
      <c r="H688" s="2" t="str">
        <f>_xlfn.XLOOKUP(Orders[[#This Row],[Customer ID]],customers!$A$1:$A$1001,customers!$G$1:$G$1001,,0)</f>
        <v>United States</v>
      </c>
      <c r="I688" s="2" t="str">
        <f>_xlfn.XLOOKUP(Orders[[#This Row],[Customer ID]],customers!$A$1:$A$1001,customers!$F$1:$F$1001,,0)</f>
        <v>Santa Ana</v>
      </c>
      <c r="J688" t="str">
        <f>INDEX(products!$A$1:$G$49,MATCH(orders!$D688,products!$A$1:$A$49,0),MATCH(orders!J$1,products!$A$1:$G$1,0))</f>
        <v>Rob</v>
      </c>
      <c r="K688" t="str">
        <f>INDEX(products!$A$1:$G$49,MATCH(orders!$D688,products!$A$1:$A$49,0),MATCH(orders!K$1,products!$A$1:$G$1,0))</f>
        <v>D</v>
      </c>
      <c r="L688" s="4">
        <f>INDEX(products!$A$1:$G$49,MATCH(orders!$D688,products!$A$1:$A$49,0),MATCH(orders!L$1,products!$A$1:$G$1,0))</f>
        <v>0.2</v>
      </c>
      <c r="M688" s="5">
        <f>INDEX(products!$A$1:$G$49,MATCH(orders!$D688,products!$A$1:$A$49,0),MATCH(orders!M$1,products!$A$1:$G$1,0))</f>
        <v>2.6849999999999996</v>
      </c>
      <c r="N688" s="5">
        <f>Orders[[#This Row],[Quantity]]*(INDEX(products!$A$1:$G$49,MATCH(orders!$D688,products!$A$1:$A$49,0),MATCH(orders!N$1,products!$A$1:$G$1,0)))</f>
        <v>0.4832999999999999</v>
      </c>
      <c r="O688" s="5">
        <f>M688*E688</f>
        <v>8.0549999999999997</v>
      </c>
      <c r="P688" t="str">
        <f t="shared" si="20"/>
        <v>Robusta</v>
      </c>
      <c r="Q688" t="str">
        <f t="shared" si="21"/>
        <v>Dark</v>
      </c>
      <c r="R688" t="str">
        <f>_xlfn.XLOOKUP(Orders[[#This Row],[Customer ID]],customers!$A$1:$A$1001,customers!$I$1:$I$1001,,0)</f>
        <v>Yes</v>
      </c>
    </row>
    <row r="689" spans="1:18" x14ac:dyDescent="0.35">
      <c r="A689" s="2" t="s">
        <v>4371</v>
      </c>
      <c r="B689" s="3">
        <v>43471</v>
      </c>
      <c r="C689" s="2" t="s">
        <v>4372</v>
      </c>
      <c r="D689" t="s">
        <v>6139</v>
      </c>
      <c r="E689" s="2">
        <v>2</v>
      </c>
      <c r="F689" s="2" t="str">
        <f>_xlfn.XLOOKUP(Orders[[#This Row],[Customer ID]],customers!$A$1:$A$1001,customers!$B$1:$B$1001,,0)</f>
        <v>Wilton Cottier</v>
      </c>
      <c r="G689" s="2" t="str">
        <f>IF(_xlfn.XLOOKUP(C689,customers!$A$1:$A$1001,customers!C688:C1688,,0)=0,"",_xlfn.XLOOKUP(C689,customers!$A$1:$A$1001,customers!C688:C1688,,0))</f>
        <v/>
      </c>
      <c r="H689" s="2" t="str">
        <f>_xlfn.XLOOKUP(Orders[[#This Row],[Customer ID]],customers!$A$1:$A$1001,customers!$G$1:$G$1001,,0)</f>
        <v>United States</v>
      </c>
      <c r="I689" s="2" t="str">
        <f>_xlfn.XLOOKUP(Orders[[#This Row],[Customer ID]],customers!$A$1:$A$1001,customers!$F$1:$F$1001,,0)</f>
        <v>San Jose</v>
      </c>
      <c r="J689" t="str">
        <f>INDEX(products!$A$1:$G$49,MATCH(orders!$D689,products!$A$1:$A$49,0),MATCH(orders!J$1,products!$A$1:$G$1,0))</f>
        <v>Exc</v>
      </c>
      <c r="K689" t="str">
        <f>INDEX(products!$A$1:$G$49,MATCH(orders!$D689,products!$A$1:$A$49,0),MATCH(orders!K$1,products!$A$1:$G$1,0))</f>
        <v>M</v>
      </c>
      <c r="L689" s="4">
        <f>INDEX(products!$A$1:$G$49,MATCH(orders!$D689,products!$A$1:$A$49,0),MATCH(orders!L$1,products!$A$1:$G$1,0))</f>
        <v>0.5</v>
      </c>
      <c r="M689" s="5">
        <f>INDEX(products!$A$1:$G$49,MATCH(orders!$D689,products!$A$1:$A$49,0),MATCH(orders!M$1,products!$A$1:$G$1,0))</f>
        <v>8.25</v>
      </c>
      <c r="N689" s="5">
        <f>Orders[[#This Row],[Quantity]]*(INDEX(products!$A$1:$G$49,MATCH(orders!$D689,products!$A$1:$A$49,0),MATCH(orders!N$1,products!$A$1:$G$1,0)))</f>
        <v>1.8149999999999999</v>
      </c>
      <c r="O689" s="5">
        <f>M689*E689</f>
        <v>16.5</v>
      </c>
      <c r="P689" t="str">
        <f t="shared" si="20"/>
        <v>Excelsa</v>
      </c>
      <c r="Q689" t="str">
        <f t="shared" si="21"/>
        <v>Medium</v>
      </c>
      <c r="R689" t="str">
        <f>_xlfn.XLOOKUP(Orders[[#This Row],[Customer ID]],customers!$A$1:$A$1001,customers!$I$1:$I$1001,,0)</f>
        <v>No</v>
      </c>
    </row>
    <row r="690" spans="1:18" x14ac:dyDescent="0.35">
      <c r="A690" s="2" t="s">
        <v>4377</v>
      </c>
      <c r="B690" s="3">
        <v>43579</v>
      </c>
      <c r="C690" s="2" t="s">
        <v>4378</v>
      </c>
      <c r="D690" t="s">
        <v>6140</v>
      </c>
      <c r="E690" s="2">
        <v>5</v>
      </c>
      <c r="F690" s="2" t="str">
        <f>_xlfn.XLOOKUP(Orders[[#This Row],[Customer ID]],customers!$A$1:$A$1001,customers!$B$1:$B$1001,,0)</f>
        <v>Kevan Grinsted</v>
      </c>
      <c r="G690" s="2" t="str">
        <f>IF(_xlfn.XLOOKUP(C690,customers!$A$1:$A$1001,customers!C689:C1689,,0)=0,"",_xlfn.XLOOKUP(C690,customers!$A$1:$A$1001,customers!C689:C1689,,0))</f>
        <v/>
      </c>
      <c r="H690" s="2" t="str">
        <f>_xlfn.XLOOKUP(Orders[[#This Row],[Customer ID]],customers!$A$1:$A$1001,customers!$G$1:$G$1001,,0)</f>
        <v>Ireland</v>
      </c>
      <c r="I690" s="2" t="str">
        <f>_xlfn.XLOOKUP(Orders[[#This Row],[Customer ID]],customers!$A$1:$A$1001,customers!$F$1:$F$1001,,0)</f>
        <v>Tallaght</v>
      </c>
      <c r="J690" t="str">
        <f>INDEX(products!$A$1:$G$49,MATCH(orders!$D690,products!$A$1:$A$49,0),MATCH(orders!J$1,products!$A$1:$G$1,0))</f>
        <v>Ara</v>
      </c>
      <c r="K690" t="str">
        <f>INDEX(products!$A$1:$G$49,MATCH(orders!$D690,products!$A$1:$A$49,0),MATCH(orders!K$1,products!$A$1:$G$1,0))</f>
        <v>L</v>
      </c>
      <c r="L690" s="4">
        <f>INDEX(products!$A$1:$G$49,MATCH(orders!$D690,products!$A$1:$A$49,0),MATCH(orders!L$1,products!$A$1:$G$1,0))</f>
        <v>1</v>
      </c>
      <c r="M690" s="5">
        <f>INDEX(products!$A$1:$G$49,MATCH(orders!$D690,products!$A$1:$A$49,0),MATCH(orders!M$1,products!$A$1:$G$1,0))</f>
        <v>12.95</v>
      </c>
      <c r="N690" s="5">
        <f>Orders[[#This Row],[Quantity]]*(INDEX(products!$A$1:$G$49,MATCH(orders!$D690,products!$A$1:$A$49,0),MATCH(orders!N$1,products!$A$1:$G$1,0)))</f>
        <v>5.8274999999999997</v>
      </c>
      <c r="O690" s="5">
        <f>M690*E690</f>
        <v>64.75</v>
      </c>
      <c r="P690" t="str">
        <f t="shared" si="20"/>
        <v>Arabica</v>
      </c>
      <c r="Q690" t="str">
        <f t="shared" si="21"/>
        <v>Light</v>
      </c>
      <c r="R690" t="str">
        <f>_xlfn.XLOOKUP(Orders[[#This Row],[Customer ID]],customers!$A$1:$A$1001,customers!$I$1:$I$1001,,0)</f>
        <v>No</v>
      </c>
    </row>
    <row r="691" spans="1:18" x14ac:dyDescent="0.35">
      <c r="A691" s="2" t="s">
        <v>4383</v>
      </c>
      <c r="B691" s="3">
        <v>44346</v>
      </c>
      <c r="C691" s="2" t="s">
        <v>4384</v>
      </c>
      <c r="D691" t="s">
        <v>6157</v>
      </c>
      <c r="E691" s="2">
        <v>5</v>
      </c>
      <c r="F691" s="2" t="str">
        <f>_xlfn.XLOOKUP(Orders[[#This Row],[Customer ID]],customers!$A$1:$A$1001,customers!$B$1:$B$1001,,0)</f>
        <v>Dionne Skyner</v>
      </c>
      <c r="G691" s="2" t="str">
        <f>IF(_xlfn.XLOOKUP(C691,customers!$A$1:$A$1001,customers!C690:C1690,,0)=0,"",_xlfn.XLOOKUP(C691,customers!$A$1:$A$1001,customers!C690:C1690,,0))</f>
        <v/>
      </c>
      <c r="H691" s="2" t="str">
        <f>_xlfn.XLOOKUP(Orders[[#This Row],[Customer ID]],customers!$A$1:$A$1001,customers!$G$1:$G$1001,,0)</f>
        <v>United States</v>
      </c>
      <c r="I691" s="2" t="str">
        <f>_xlfn.XLOOKUP(Orders[[#This Row],[Customer ID]],customers!$A$1:$A$1001,customers!$F$1:$F$1001,,0)</f>
        <v>Colorado Springs</v>
      </c>
      <c r="J691" t="str">
        <f>INDEX(products!$A$1:$G$49,MATCH(orders!$D691,products!$A$1:$A$49,0),MATCH(orders!J$1,products!$A$1:$G$1,0))</f>
        <v>Ara</v>
      </c>
      <c r="K691" t="str">
        <f>INDEX(products!$A$1:$G$49,MATCH(orders!$D691,products!$A$1:$A$49,0),MATCH(orders!K$1,products!$A$1:$G$1,0))</f>
        <v>M</v>
      </c>
      <c r="L691" s="4">
        <f>INDEX(products!$A$1:$G$49,MATCH(orders!$D691,products!$A$1:$A$49,0),MATCH(orders!L$1,products!$A$1:$G$1,0))</f>
        <v>0.5</v>
      </c>
      <c r="M691" s="5">
        <f>INDEX(products!$A$1:$G$49,MATCH(orders!$D691,products!$A$1:$A$49,0),MATCH(orders!M$1,products!$A$1:$G$1,0))</f>
        <v>6.75</v>
      </c>
      <c r="N691" s="5">
        <f>Orders[[#This Row],[Quantity]]*(INDEX(products!$A$1:$G$49,MATCH(orders!$D691,products!$A$1:$A$49,0),MATCH(orders!N$1,products!$A$1:$G$1,0)))</f>
        <v>3.0374999999999996</v>
      </c>
      <c r="O691" s="5">
        <f>M691*E691</f>
        <v>33.75</v>
      </c>
      <c r="P691" t="str">
        <f t="shared" si="20"/>
        <v>Arabica</v>
      </c>
      <c r="Q691" t="str">
        <f t="shared" si="21"/>
        <v>Medium</v>
      </c>
      <c r="R691" t="str">
        <f>_xlfn.XLOOKUP(Orders[[#This Row],[Customer ID]],customers!$A$1:$A$1001,customers!$I$1:$I$1001,,0)</f>
        <v>No</v>
      </c>
    </row>
    <row r="692" spans="1:18" x14ac:dyDescent="0.35">
      <c r="A692" s="2" t="s">
        <v>4389</v>
      </c>
      <c r="B692" s="3">
        <v>44754</v>
      </c>
      <c r="C692" s="2" t="s">
        <v>4390</v>
      </c>
      <c r="D692" t="s">
        <v>6165</v>
      </c>
      <c r="E692" s="2">
        <v>6</v>
      </c>
      <c r="F692" s="2" t="str">
        <f>_xlfn.XLOOKUP(Orders[[#This Row],[Customer ID]],customers!$A$1:$A$1001,customers!$B$1:$B$1001,,0)</f>
        <v>Francesco Dressel</v>
      </c>
      <c r="G692" s="2" t="str">
        <f>IF(_xlfn.XLOOKUP(C692,customers!$A$1:$A$1001,customers!C691:C1691,,0)=0,"",_xlfn.XLOOKUP(C692,customers!$A$1:$A$1001,customers!C691:C1691,,0))</f>
        <v/>
      </c>
      <c r="H692" s="2" t="str">
        <f>_xlfn.XLOOKUP(Orders[[#This Row],[Customer ID]],customers!$A$1:$A$1001,customers!$G$1:$G$1001,,0)</f>
        <v>United States</v>
      </c>
      <c r="I692" s="2" t="str">
        <f>_xlfn.XLOOKUP(Orders[[#This Row],[Customer ID]],customers!$A$1:$A$1001,customers!$F$1:$F$1001,,0)</f>
        <v>Toledo</v>
      </c>
      <c r="J692" t="str">
        <f>INDEX(products!$A$1:$G$49,MATCH(orders!$D692,products!$A$1:$A$49,0),MATCH(orders!J$1,products!$A$1:$G$1,0))</f>
        <v>Lib</v>
      </c>
      <c r="K692" t="str">
        <f>INDEX(products!$A$1:$G$49,MATCH(orders!$D692,products!$A$1:$A$49,0),MATCH(orders!K$1,products!$A$1:$G$1,0))</f>
        <v>D</v>
      </c>
      <c r="L692" s="4">
        <f>INDEX(products!$A$1:$G$49,MATCH(orders!$D692,products!$A$1:$A$49,0),MATCH(orders!L$1,products!$A$1:$G$1,0))</f>
        <v>2.5</v>
      </c>
      <c r="M692" s="5">
        <f>INDEX(products!$A$1:$G$49,MATCH(orders!$D692,products!$A$1:$A$49,0),MATCH(orders!M$1,products!$A$1:$G$1,0))</f>
        <v>29.784999999999997</v>
      </c>
      <c r="N692" s="5">
        <f>Orders[[#This Row],[Quantity]]*(INDEX(products!$A$1:$G$49,MATCH(orders!$D692,products!$A$1:$A$49,0),MATCH(orders!N$1,products!$A$1:$G$1,0)))</f>
        <v>23.232299999999999</v>
      </c>
      <c r="O692" s="5">
        <f>M692*E692</f>
        <v>178.70999999999998</v>
      </c>
      <c r="P692" t="str">
        <f t="shared" si="20"/>
        <v>Liberica</v>
      </c>
      <c r="Q692" t="str">
        <f t="shared" si="21"/>
        <v>Dark</v>
      </c>
      <c r="R692" t="str">
        <f>_xlfn.XLOOKUP(Orders[[#This Row],[Customer ID]],customers!$A$1:$A$1001,customers!$I$1:$I$1001,,0)</f>
        <v>No</v>
      </c>
    </row>
    <row r="693" spans="1:18" x14ac:dyDescent="0.35">
      <c r="A693" s="2" t="s">
        <v>4393</v>
      </c>
      <c r="B693" s="3">
        <v>44227</v>
      </c>
      <c r="C693" s="2" t="s">
        <v>4434</v>
      </c>
      <c r="D693" t="s">
        <v>6155</v>
      </c>
      <c r="E693" s="2">
        <v>2</v>
      </c>
      <c r="F693" s="2" t="str">
        <f>_xlfn.XLOOKUP(Orders[[#This Row],[Customer ID]],customers!$A$1:$A$1001,customers!$B$1:$B$1001,,0)</f>
        <v>Jimmy Dymoke</v>
      </c>
      <c r="G693" s="2" t="str">
        <f>IF(_xlfn.XLOOKUP(C693,customers!$A$1:$A$1001,customers!C692:C1692,,0)=0,"",_xlfn.XLOOKUP(C693,customers!$A$1:$A$1001,customers!C692:C1692,,0))</f>
        <v/>
      </c>
      <c r="H693" s="2" t="str">
        <f>_xlfn.XLOOKUP(Orders[[#This Row],[Customer ID]],customers!$A$1:$A$1001,customers!$G$1:$G$1001,,0)</f>
        <v>Ireland</v>
      </c>
      <c r="I693" s="2" t="str">
        <f>_xlfn.XLOOKUP(Orders[[#This Row],[Customer ID]],customers!$A$1:$A$1001,customers!$F$1:$F$1001,,0)</f>
        <v>Beaumont</v>
      </c>
      <c r="J693" t="str">
        <f>INDEX(products!$A$1:$G$49,MATCH(orders!$D693,products!$A$1:$A$49,0),MATCH(orders!J$1,products!$A$1:$G$1,0))</f>
        <v>Ara</v>
      </c>
      <c r="K693" t="str">
        <f>INDEX(products!$A$1:$G$49,MATCH(orders!$D693,products!$A$1:$A$49,0),MATCH(orders!K$1,products!$A$1:$G$1,0))</f>
        <v>M</v>
      </c>
      <c r="L693" s="4">
        <f>INDEX(products!$A$1:$G$49,MATCH(orders!$D693,products!$A$1:$A$49,0),MATCH(orders!L$1,products!$A$1:$G$1,0))</f>
        <v>1</v>
      </c>
      <c r="M693" s="5">
        <f>INDEX(products!$A$1:$G$49,MATCH(orders!$D693,products!$A$1:$A$49,0),MATCH(orders!M$1,products!$A$1:$G$1,0))</f>
        <v>11.25</v>
      </c>
      <c r="N693" s="5">
        <f>Orders[[#This Row],[Quantity]]*(INDEX(products!$A$1:$G$49,MATCH(orders!$D693,products!$A$1:$A$49,0),MATCH(orders!N$1,products!$A$1:$G$1,0)))</f>
        <v>2.0249999999999999</v>
      </c>
      <c r="O693" s="5">
        <f>M693*E693</f>
        <v>22.5</v>
      </c>
      <c r="P693" t="str">
        <f t="shared" si="20"/>
        <v>Arabica</v>
      </c>
      <c r="Q693" t="str">
        <f t="shared" si="21"/>
        <v>Medium</v>
      </c>
      <c r="R693" t="str">
        <f>_xlfn.XLOOKUP(Orders[[#This Row],[Customer ID]],customers!$A$1:$A$1001,customers!$I$1:$I$1001,,0)</f>
        <v>No</v>
      </c>
    </row>
    <row r="694" spans="1:18" x14ac:dyDescent="0.35">
      <c r="A694" s="2" t="s">
        <v>4399</v>
      </c>
      <c r="B694" s="3">
        <v>43720</v>
      </c>
      <c r="C694" s="2" t="s">
        <v>4400</v>
      </c>
      <c r="D694" t="s">
        <v>6143</v>
      </c>
      <c r="E694" s="2">
        <v>1</v>
      </c>
      <c r="F694" s="2" t="str">
        <f>_xlfn.XLOOKUP(Orders[[#This Row],[Customer ID]],customers!$A$1:$A$1001,customers!$B$1:$B$1001,,0)</f>
        <v>Ambrosio Weinmann</v>
      </c>
      <c r="G694" s="2" t="str">
        <f>IF(_xlfn.XLOOKUP(C694,customers!$A$1:$A$1001,customers!C693:C1693,,0)=0,"",_xlfn.XLOOKUP(C694,customers!$A$1:$A$1001,customers!C693:C1693,,0))</f>
        <v/>
      </c>
      <c r="H694" s="2" t="str">
        <f>_xlfn.XLOOKUP(Orders[[#This Row],[Customer ID]],customers!$A$1:$A$1001,customers!$G$1:$G$1001,,0)</f>
        <v>United States</v>
      </c>
      <c r="I694" s="2" t="str">
        <f>_xlfn.XLOOKUP(Orders[[#This Row],[Customer ID]],customers!$A$1:$A$1001,customers!$F$1:$F$1001,,0)</f>
        <v>Cincinnati</v>
      </c>
      <c r="J694" t="str">
        <f>INDEX(products!$A$1:$G$49,MATCH(orders!$D694,products!$A$1:$A$49,0),MATCH(orders!J$1,products!$A$1:$G$1,0))</f>
        <v>Lib</v>
      </c>
      <c r="K694" t="str">
        <f>INDEX(products!$A$1:$G$49,MATCH(orders!$D694,products!$A$1:$A$49,0),MATCH(orders!K$1,products!$A$1:$G$1,0))</f>
        <v>D</v>
      </c>
      <c r="L694" s="4">
        <f>INDEX(products!$A$1:$G$49,MATCH(orders!$D694,products!$A$1:$A$49,0),MATCH(orders!L$1,products!$A$1:$G$1,0))</f>
        <v>1</v>
      </c>
      <c r="M694" s="5">
        <f>INDEX(products!$A$1:$G$49,MATCH(orders!$D694,products!$A$1:$A$49,0),MATCH(orders!M$1,products!$A$1:$G$1,0))</f>
        <v>12.95</v>
      </c>
      <c r="N694" s="5">
        <f>Orders[[#This Row],[Quantity]]*(INDEX(products!$A$1:$G$49,MATCH(orders!$D694,products!$A$1:$A$49,0),MATCH(orders!N$1,products!$A$1:$G$1,0)))</f>
        <v>1.6835</v>
      </c>
      <c r="O694" s="5">
        <f>M694*E694</f>
        <v>12.95</v>
      </c>
      <c r="P694" t="str">
        <f t="shared" si="20"/>
        <v>Liberica</v>
      </c>
      <c r="Q694" t="str">
        <f t="shared" si="21"/>
        <v>Dark</v>
      </c>
      <c r="R694" t="str">
        <f>_xlfn.XLOOKUP(Orders[[#This Row],[Customer ID]],customers!$A$1:$A$1001,customers!$I$1:$I$1001,,0)</f>
        <v>No</v>
      </c>
    </row>
    <row r="695" spans="1:18" x14ac:dyDescent="0.35">
      <c r="A695" s="2" t="s">
        <v>4405</v>
      </c>
      <c r="B695" s="3">
        <v>44012</v>
      </c>
      <c r="C695" s="2" t="s">
        <v>4406</v>
      </c>
      <c r="D695" t="s">
        <v>6175</v>
      </c>
      <c r="E695" s="2">
        <v>2</v>
      </c>
      <c r="F695" s="2" t="str">
        <f>_xlfn.XLOOKUP(Orders[[#This Row],[Customer ID]],customers!$A$1:$A$1001,customers!$B$1:$B$1001,,0)</f>
        <v>Elden Andriessen</v>
      </c>
      <c r="G695" s="2" t="str">
        <f>IF(_xlfn.XLOOKUP(C695,customers!$A$1:$A$1001,customers!C694:C1694,,0)=0,"",_xlfn.XLOOKUP(C695,customers!$A$1:$A$1001,customers!C694:C1694,,0))</f>
        <v/>
      </c>
      <c r="H695" s="2" t="str">
        <f>_xlfn.XLOOKUP(Orders[[#This Row],[Customer ID]],customers!$A$1:$A$1001,customers!$G$1:$G$1001,,0)</f>
        <v>United States</v>
      </c>
      <c r="I695" s="2" t="str">
        <f>_xlfn.XLOOKUP(Orders[[#This Row],[Customer ID]],customers!$A$1:$A$1001,customers!$F$1:$F$1001,,0)</f>
        <v>Saint Louis</v>
      </c>
      <c r="J695" t="str">
        <f>INDEX(products!$A$1:$G$49,MATCH(orders!$D695,products!$A$1:$A$49,0),MATCH(orders!J$1,products!$A$1:$G$1,0))</f>
        <v>Ara</v>
      </c>
      <c r="K695" t="str">
        <f>INDEX(products!$A$1:$G$49,MATCH(orders!$D695,products!$A$1:$A$49,0),MATCH(orders!K$1,products!$A$1:$G$1,0))</f>
        <v>M</v>
      </c>
      <c r="L695" s="4">
        <f>INDEX(products!$A$1:$G$49,MATCH(orders!$D695,products!$A$1:$A$49,0),MATCH(orders!L$1,products!$A$1:$G$1,0))</f>
        <v>2.5</v>
      </c>
      <c r="M695" s="5">
        <f>INDEX(products!$A$1:$G$49,MATCH(orders!$D695,products!$A$1:$A$49,0),MATCH(orders!M$1,products!$A$1:$G$1,0))</f>
        <v>25.874999999999996</v>
      </c>
      <c r="N695" s="5">
        <f>Orders[[#This Row],[Quantity]]*(INDEX(products!$A$1:$G$49,MATCH(orders!$D695,products!$A$1:$A$49,0),MATCH(orders!N$1,products!$A$1:$G$1,0)))</f>
        <v>4.6574999999999989</v>
      </c>
      <c r="O695" s="5">
        <f>M695*E695</f>
        <v>51.749999999999993</v>
      </c>
      <c r="P695" t="str">
        <f t="shared" si="20"/>
        <v>Arabica</v>
      </c>
      <c r="Q695" t="str">
        <f t="shared" si="21"/>
        <v>Medium</v>
      </c>
      <c r="R695" t="str">
        <f>_xlfn.XLOOKUP(Orders[[#This Row],[Customer ID]],customers!$A$1:$A$1001,customers!$I$1:$I$1001,,0)</f>
        <v>Yes</v>
      </c>
    </row>
    <row r="696" spans="1:18" x14ac:dyDescent="0.35">
      <c r="A696" s="2" t="s">
        <v>4411</v>
      </c>
      <c r="B696" s="3">
        <v>43915</v>
      </c>
      <c r="C696" s="2" t="s">
        <v>4412</v>
      </c>
      <c r="D696" t="s">
        <v>6144</v>
      </c>
      <c r="E696" s="2">
        <v>5</v>
      </c>
      <c r="F696" s="2" t="str">
        <f>_xlfn.XLOOKUP(Orders[[#This Row],[Customer ID]],customers!$A$1:$A$1001,customers!$B$1:$B$1001,,0)</f>
        <v>Roxie Deaconson</v>
      </c>
      <c r="G696" s="2" t="str">
        <f>IF(_xlfn.XLOOKUP(C696,customers!$A$1:$A$1001,customers!C695:C1695,,0)=0,"",_xlfn.XLOOKUP(C696,customers!$A$1:$A$1001,customers!C695:C1695,,0))</f>
        <v/>
      </c>
      <c r="H696" s="2" t="str">
        <f>_xlfn.XLOOKUP(Orders[[#This Row],[Customer ID]],customers!$A$1:$A$1001,customers!$G$1:$G$1001,,0)</f>
        <v>United States</v>
      </c>
      <c r="I696" s="2" t="str">
        <f>_xlfn.XLOOKUP(Orders[[#This Row],[Customer ID]],customers!$A$1:$A$1001,customers!$F$1:$F$1001,,0)</f>
        <v>Yonkers</v>
      </c>
      <c r="J696" t="str">
        <f>INDEX(products!$A$1:$G$49,MATCH(orders!$D696,products!$A$1:$A$49,0),MATCH(orders!J$1,products!$A$1:$G$1,0))</f>
        <v>Exc</v>
      </c>
      <c r="K696" t="str">
        <f>INDEX(products!$A$1:$G$49,MATCH(orders!$D696,products!$A$1:$A$49,0),MATCH(orders!K$1,products!$A$1:$G$1,0))</f>
        <v>D</v>
      </c>
      <c r="L696" s="4">
        <f>INDEX(products!$A$1:$G$49,MATCH(orders!$D696,products!$A$1:$A$49,0),MATCH(orders!L$1,products!$A$1:$G$1,0))</f>
        <v>0.5</v>
      </c>
      <c r="M696" s="5">
        <f>INDEX(products!$A$1:$G$49,MATCH(orders!$D696,products!$A$1:$A$49,0),MATCH(orders!M$1,products!$A$1:$G$1,0))</f>
        <v>7.29</v>
      </c>
      <c r="N696" s="5">
        <f>Orders[[#This Row],[Quantity]]*(INDEX(products!$A$1:$G$49,MATCH(orders!$D696,products!$A$1:$A$49,0),MATCH(orders!N$1,products!$A$1:$G$1,0)))</f>
        <v>4.0095000000000001</v>
      </c>
      <c r="O696" s="5">
        <f>M696*E696</f>
        <v>36.450000000000003</v>
      </c>
      <c r="P696" t="str">
        <f t="shared" si="20"/>
        <v>Excelsa</v>
      </c>
      <c r="Q696" t="str">
        <f t="shared" si="21"/>
        <v>Dark</v>
      </c>
      <c r="R696" t="str">
        <f>_xlfn.XLOOKUP(Orders[[#This Row],[Customer ID]],customers!$A$1:$A$1001,customers!$I$1:$I$1001,,0)</f>
        <v>No</v>
      </c>
    </row>
    <row r="697" spans="1:18" x14ac:dyDescent="0.35">
      <c r="A697" s="2" t="s">
        <v>4417</v>
      </c>
      <c r="B697" s="3">
        <v>44300</v>
      </c>
      <c r="C697" s="2" t="s">
        <v>4418</v>
      </c>
      <c r="D697" t="s">
        <v>6164</v>
      </c>
      <c r="E697" s="2">
        <v>5</v>
      </c>
      <c r="F697" s="2" t="str">
        <f>_xlfn.XLOOKUP(Orders[[#This Row],[Customer ID]],customers!$A$1:$A$1001,customers!$B$1:$B$1001,,0)</f>
        <v>Davida Caro</v>
      </c>
      <c r="G697" s="2" t="str">
        <f>IF(_xlfn.XLOOKUP(C697,customers!$A$1:$A$1001,customers!C696:C1696,,0)=0,"",_xlfn.XLOOKUP(C697,customers!$A$1:$A$1001,customers!C696:C1696,,0))</f>
        <v/>
      </c>
      <c r="H697" s="2" t="str">
        <f>_xlfn.XLOOKUP(Orders[[#This Row],[Customer ID]],customers!$A$1:$A$1001,customers!$G$1:$G$1001,,0)</f>
        <v>United States</v>
      </c>
      <c r="I697" s="2" t="str">
        <f>_xlfn.XLOOKUP(Orders[[#This Row],[Customer ID]],customers!$A$1:$A$1001,customers!$F$1:$F$1001,,0)</f>
        <v>Baltimore</v>
      </c>
      <c r="J697" t="str">
        <f>INDEX(products!$A$1:$G$49,MATCH(orders!$D697,products!$A$1:$A$49,0),MATCH(orders!J$1,products!$A$1:$G$1,0))</f>
        <v>Lib</v>
      </c>
      <c r="K697" t="str">
        <f>INDEX(products!$A$1:$G$49,MATCH(orders!$D697,products!$A$1:$A$49,0),MATCH(orders!K$1,products!$A$1:$G$1,0))</f>
        <v>L</v>
      </c>
      <c r="L697" s="4">
        <f>INDEX(products!$A$1:$G$49,MATCH(orders!$D697,products!$A$1:$A$49,0),MATCH(orders!L$1,products!$A$1:$G$1,0))</f>
        <v>2.5</v>
      </c>
      <c r="M697" s="5">
        <f>INDEX(products!$A$1:$G$49,MATCH(orders!$D697,products!$A$1:$A$49,0),MATCH(orders!M$1,products!$A$1:$G$1,0))</f>
        <v>36.454999999999998</v>
      </c>
      <c r="N697" s="5">
        <f>Orders[[#This Row],[Quantity]]*(INDEX(products!$A$1:$G$49,MATCH(orders!$D697,products!$A$1:$A$49,0),MATCH(orders!N$1,products!$A$1:$G$1,0)))</f>
        <v>23.695749999999997</v>
      </c>
      <c r="O697" s="5">
        <f>M697*E697</f>
        <v>182.27499999999998</v>
      </c>
      <c r="P697" t="str">
        <f t="shared" si="20"/>
        <v>Liberica</v>
      </c>
      <c r="Q697" t="str">
        <f t="shared" si="21"/>
        <v>Light</v>
      </c>
      <c r="R697" t="str">
        <f>_xlfn.XLOOKUP(Orders[[#This Row],[Customer ID]],customers!$A$1:$A$1001,customers!$I$1:$I$1001,,0)</f>
        <v>Yes</v>
      </c>
    </row>
    <row r="698" spans="1:18" x14ac:dyDescent="0.35">
      <c r="A698" s="2" t="s">
        <v>4423</v>
      </c>
      <c r="B698" s="3">
        <v>43693</v>
      </c>
      <c r="C698" s="2" t="s">
        <v>4424</v>
      </c>
      <c r="D698" t="s">
        <v>6169</v>
      </c>
      <c r="E698" s="2">
        <v>4</v>
      </c>
      <c r="F698" s="2" t="str">
        <f>_xlfn.XLOOKUP(Orders[[#This Row],[Customer ID]],customers!$A$1:$A$1001,customers!$B$1:$B$1001,,0)</f>
        <v>Johna Bluck</v>
      </c>
      <c r="G698" s="2" t="str">
        <f>IF(_xlfn.XLOOKUP(C698,customers!$A$1:$A$1001,customers!C697:C1697,,0)=0,"",_xlfn.XLOOKUP(C698,customers!$A$1:$A$1001,customers!C697:C1697,,0))</f>
        <v/>
      </c>
      <c r="H698" s="2" t="str">
        <f>_xlfn.XLOOKUP(Orders[[#This Row],[Customer ID]],customers!$A$1:$A$1001,customers!$G$1:$G$1001,,0)</f>
        <v>United States</v>
      </c>
      <c r="I698" s="2" t="str">
        <f>_xlfn.XLOOKUP(Orders[[#This Row],[Customer ID]],customers!$A$1:$A$1001,customers!$F$1:$F$1001,,0)</f>
        <v>Jacksonville</v>
      </c>
      <c r="J698" t="str">
        <f>INDEX(products!$A$1:$G$49,MATCH(orders!$D698,products!$A$1:$A$49,0),MATCH(orders!J$1,products!$A$1:$G$1,0))</f>
        <v>Lib</v>
      </c>
      <c r="K698" t="str">
        <f>INDEX(products!$A$1:$G$49,MATCH(orders!$D698,products!$A$1:$A$49,0),MATCH(orders!K$1,products!$A$1:$G$1,0))</f>
        <v>D</v>
      </c>
      <c r="L698" s="4">
        <f>INDEX(products!$A$1:$G$49,MATCH(orders!$D698,products!$A$1:$A$49,0),MATCH(orders!L$1,products!$A$1:$G$1,0))</f>
        <v>0.5</v>
      </c>
      <c r="M698" s="5">
        <f>INDEX(products!$A$1:$G$49,MATCH(orders!$D698,products!$A$1:$A$49,0),MATCH(orders!M$1,products!$A$1:$G$1,0))</f>
        <v>7.77</v>
      </c>
      <c r="N698" s="5">
        <f>Orders[[#This Row],[Quantity]]*(INDEX(products!$A$1:$G$49,MATCH(orders!$D698,products!$A$1:$A$49,0),MATCH(orders!N$1,products!$A$1:$G$1,0)))</f>
        <v>4.0404</v>
      </c>
      <c r="O698" s="5">
        <f>M698*E698</f>
        <v>31.08</v>
      </c>
      <c r="P698" t="str">
        <f t="shared" si="20"/>
        <v>Liberica</v>
      </c>
      <c r="Q698" t="str">
        <f t="shared" si="21"/>
        <v>Dark</v>
      </c>
      <c r="R698" t="str">
        <f>_xlfn.XLOOKUP(Orders[[#This Row],[Customer ID]],customers!$A$1:$A$1001,customers!$I$1:$I$1001,,0)</f>
        <v>No</v>
      </c>
    </row>
    <row r="699" spans="1:18" x14ac:dyDescent="0.35">
      <c r="A699" s="2" t="s">
        <v>4429</v>
      </c>
      <c r="B699" s="3">
        <v>44547</v>
      </c>
      <c r="C699" s="2" t="s">
        <v>4430</v>
      </c>
      <c r="D699" t="s">
        <v>6157</v>
      </c>
      <c r="E699" s="2">
        <v>3</v>
      </c>
      <c r="F699" s="2" t="str">
        <f>_xlfn.XLOOKUP(Orders[[#This Row],[Customer ID]],customers!$A$1:$A$1001,customers!$B$1:$B$1001,,0)</f>
        <v>Myrle Dearden</v>
      </c>
      <c r="G699" s="2" t="str">
        <f>IF(_xlfn.XLOOKUP(C699,customers!$A$1:$A$1001,customers!C698:C1698,,0)=0,"",_xlfn.XLOOKUP(C699,customers!$A$1:$A$1001,customers!C698:C1698,,0))</f>
        <v/>
      </c>
      <c r="H699" s="2" t="str">
        <f>_xlfn.XLOOKUP(Orders[[#This Row],[Customer ID]],customers!$A$1:$A$1001,customers!$G$1:$G$1001,,0)</f>
        <v>Ireland</v>
      </c>
      <c r="I699" s="2" t="str">
        <f>_xlfn.XLOOKUP(Orders[[#This Row],[Customer ID]],customers!$A$1:$A$1001,customers!$F$1:$F$1001,,0)</f>
        <v>Bayside</v>
      </c>
      <c r="J699" t="str">
        <f>INDEX(products!$A$1:$G$49,MATCH(orders!$D699,products!$A$1:$A$49,0),MATCH(orders!J$1,products!$A$1:$G$1,0))</f>
        <v>Ara</v>
      </c>
      <c r="K699" t="str">
        <f>INDEX(products!$A$1:$G$49,MATCH(orders!$D699,products!$A$1:$A$49,0),MATCH(orders!K$1,products!$A$1:$G$1,0))</f>
        <v>M</v>
      </c>
      <c r="L699" s="4">
        <f>INDEX(products!$A$1:$G$49,MATCH(orders!$D699,products!$A$1:$A$49,0),MATCH(orders!L$1,products!$A$1:$G$1,0))</f>
        <v>0.5</v>
      </c>
      <c r="M699" s="5">
        <f>INDEX(products!$A$1:$G$49,MATCH(orders!$D699,products!$A$1:$A$49,0),MATCH(orders!M$1,products!$A$1:$G$1,0))</f>
        <v>6.75</v>
      </c>
      <c r="N699" s="5">
        <f>Orders[[#This Row],[Quantity]]*(INDEX(products!$A$1:$G$49,MATCH(orders!$D699,products!$A$1:$A$49,0),MATCH(orders!N$1,products!$A$1:$G$1,0)))</f>
        <v>1.8224999999999998</v>
      </c>
      <c r="O699" s="5">
        <f>M699*E699</f>
        <v>20.25</v>
      </c>
      <c r="P699" t="str">
        <f t="shared" si="20"/>
        <v>Arabica</v>
      </c>
      <c r="Q699" t="str">
        <f t="shared" si="21"/>
        <v>Medium</v>
      </c>
      <c r="R699" t="str">
        <f>_xlfn.XLOOKUP(Orders[[#This Row],[Customer ID]],customers!$A$1:$A$1001,customers!$I$1:$I$1001,,0)</f>
        <v>No</v>
      </c>
    </row>
    <row r="700" spans="1:18" x14ac:dyDescent="0.35">
      <c r="A700" s="2" t="s">
        <v>4433</v>
      </c>
      <c r="B700" s="3">
        <v>43830</v>
      </c>
      <c r="C700" s="2" t="s">
        <v>4434</v>
      </c>
      <c r="D700" t="s">
        <v>6143</v>
      </c>
      <c r="E700" s="2">
        <v>2</v>
      </c>
      <c r="F700" s="2" t="str">
        <f>_xlfn.XLOOKUP(Orders[[#This Row],[Customer ID]],customers!$A$1:$A$1001,customers!$B$1:$B$1001,,0)</f>
        <v>Jimmy Dymoke</v>
      </c>
      <c r="G700" s="2" t="str">
        <f>IF(_xlfn.XLOOKUP(C700,customers!$A$1:$A$1001,customers!C699:C1699,,0)=0,"",_xlfn.XLOOKUP(C700,customers!$A$1:$A$1001,customers!C699:C1699,,0))</f>
        <v/>
      </c>
      <c r="H700" s="2" t="str">
        <f>_xlfn.XLOOKUP(Orders[[#This Row],[Customer ID]],customers!$A$1:$A$1001,customers!$G$1:$G$1001,,0)</f>
        <v>Ireland</v>
      </c>
      <c r="I700" s="2" t="str">
        <f>_xlfn.XLOOKUP(Orders[[#This Row],[Customer ID]],customers!$A$1:$A$1001,customers!$F$1:$F$1001,,0)</f>
        <v>Beaumont</v>
      </c>
      <c r="J700" t="str">
        <f>INDEX(products!$A$1:$G$49,MATCH(orders!$D700,products!$A$1:$A$49,0),MATCH(orders!J$1,products!$A$1:$G$1,0))</f>
        <v>Lib</v>
      </c>
      <c r="K700" t="str">
        <f>INDEX(products!$A$1:$G$49,MATCH(orders!$D700,products!$A$1:$A$49,0),MATCH(orders!K$1,products!$A$1:$G$1,0))</f>
        <v>D</v>
      </c>
      <c r="L700" s="4">
        <f>INDEX(products!$A$1:$G$49,MATCH(orders!$D700,products!$A$1:$A$49,0),MATCH(orders!L$1,products!$A$1:$G$1,0))</f>
        <v>1</v>
      </c>
      <c r="M700" s="5">
        <f>INDEX(products!$A$1:$G$49,MATCH(orders!$D700,products!$A$1:$A$49,0),MATCH(orders!M$1,products!$A$1:$G$1,0))</f>
        <v>12.95</v>
      </c>
      <c r="N700" s="5">
        <f>Orders[[#This Row],[Quantity]]*(INDEX(products!$A$1:$G$49,MATCH(orders!$D700,products!$A$1:$A$49,0),MATCH(orders!N$1,products!$A$1:$G$1,0)))</f>
        <v>3.367</v>
      </c>
      <c r="O700" s="5">
        <f>M700*E700</f>
        <v>25.9</v>
      </c>
      <c r="P700" t="str">
        <f t="shared" si="20"/>
        <v>Liberica</v>
      </c>
      <c r="Q700" t="str">
        <f t="shared" si="21"/>
        <v>Dark</v>
      </c>
      <c r="R700" t="str">
        <f>_xlfn.XLOOKUP(Orders[[#This Row],[Customer ID]],customers!$A$1:$A$1001,customers!$I$1:$I$1001,,0)</f>
        <v>No</v>
      </c>
    </row>
    <row r="701" spans="1:18" x14ac:dyDescent="0.35">
      <c r="A701" s="2" t="s">
        <v>4439</v>
      </c>
      <c r="B701" s="3">
        <v>44298</v>
      </c>
      <c r="C701" s="2" t="s">
        <v>4440</v>
      </c>
      <c r="D701" t="s">
        <v>6158</v>
      </c>
      <c r="E701" s="2">
        <v>4</v>
      </c>
      <c r="F701" s="2" t="str">
        <f>_xlfn.XLOOKUP(Orders[[#This Row],[Customer ID]],customers!$A$1:$A$1001,customers!$B$1:$B$1001,,0)</f>
        <v>Orland Tadman</v>
      </c>
      <c r="G701" s="2" t="str">
        <f>IF(_xlfn.XLOOKUP(C701,customers!$A$1:$A$1001,customers!C700:C1700,,0)=0,"",_xlfn.XLOOKUP(C701,customers!$A$1:$A$1001,customers!C700:C1700,,0))</f>
        <v/>
      </c>
      <c r="H701" s="2" t="str">
        <f>_xlfn.XLOOKUP(Orders[[#This Row],[Customer ID]],customers!$A$1:$A$1001,customers!$G$1:$G$1001,,0)</f>
        <v>United States</v>
      </c>
      <c r="I701" s="2" t="str">
        <f>_xlfn.XLOOKUP(Orders[[#This Row],[Customer ID]],customers!$A$1:$A$1001,customers!$F$1:$F$1001,,0)</f>
        <v>Miami</v>
      </c>
      <c r="J701" t="str">
        <f>INDEX(products!$A$1:$G$49,MATCH(orders!$D701,products!$A$1:$A$49,0),MATCH(orders!J$1,products!$A$1:$G$1,0))</f>
        <v>Ara</v>
      </c>
      <c r="K701" t="str">
        <f>INDEX(products!$A$1:$G$49,MATCH(orders!$D701,products!$A$1:$A$49,0),MATCH(orders!K$1,products!$A$1:$G$1,0))</f>
        <v>D</v>
      </c>
      <c r="L701" s="4">
        <f>INDEX(products!$A$1:$G$49,MATCH(orders!$D701,products!$A$1:$A$49,0),MATCH(orders!L$1,products!$A$1:$G$1,0))</f>
        <v>0.5</v>
      </c>
      <c r="M701" s="5">
        <f>INDEX(products!$A$1:$G$49,MATCH(orders!$D701,products!$A$1:$A$49,0),MATCH(orders!M$1,products!$A$1:$G$1,0))</f>
        <v>5.97</v>
      </c>
      <c r="N701" s="5">
        <f>Orders[[#This Row],[Quantity]]*(INDEX(products!$A$1:$G$49,MATCH(orders!$D701,products!$A$1:$A$49,0),MATCH(orders!N$1,products!$A$1:$G$1,0)))</f>
        <v>2.1492</v>
      </c>
      <c r="O701" s="5">
        <f>M701*E701</f>
        <v>23.88</v>
      </c>
      <c r="P701" t="str">
        <f t="shared" si="20"/>
        <v>Arabica</v>
      </c>
      <c r="Q701" t="str">
        <f t="shared" si="21"/>
        <v>Dark</v>
      </c>
      <c r="R701" t="str">
        <f>_xlfn.XLOOKUP(Orders[[#This Row],[Customer ID]],customers!$A$1:$A$1001,customers!$I$1:$I$1001,,0)</f>
        <v>Yes</v>
      </c>
    </row>
    <row r="702" spans="1:18" x14ac:dyDescent="0.35">
      <c r="A702" s="2" t="s">
        <v>4445</v>
      </c>
      <c r="B702" s="3">
        <v>43736</v>
      </c>
      <c r="C702" s="2" t="s">
        <v>4446</v>
      </c>
      <c r="D702" t="s">
        <v>6161</v>
      </c>
      <c r="E702" s="2">
        <v>2</v>
      </c>
      <c r="F702" s="2" t="str">
        <f>_xlfn.XLOOKUP(Orders[[#This Row],[Customer ID]],customers!$A$1:$A$1001,customers!$B$1:$B$1001,,0)</f>
        <v>Barrett Gudde</v>
      </c>
      <c r="G702" s="2" t="str">
        <f>IF(_xlfn.XLOOKUP(C702,customers!$A$1:$A$1001,customers!C701:C1701,,0)=0,"",_xlfn.XLOOKUP(C702,customers!$A$1:$A$1001,customers!C701:C1701,,0))</f>
        <v/>
      </c>
      <c r="H702" s="2" t="str">
        <f>_xlfn.XLOOKUP(Orders[[#This Row],[Customer ID]],customers!$A$1:$A$1001,customers!$G$1:$G$1001,,0)</f>
        <v>United States</v>
      </c>
      <c r="I702" s="2" t="str">
        <f>_xlfn.XLOOKUP(Orders[[#This Row],[Customer ID]],customers!$A$1:$A$1001,customers!$F$1:$F$1001,,0)</f>
        <v>San Francisco</v>
      </c>
      <c r="J702" t="str">
        <f>INDEX(products!$A$1:$G$49,MATCH(orders!$D702,products!$A$1:$A$49,0),MATCH(orders!J$1,products!$A$1:$G$1,0))</f>
        <v>Lib</v>
      </c>
      <c r="K702" t="str">
        <f>INDEX(products!$A$1:$G$49,MATCH(orders!$D702,products!$A$1:$A$49,0),MATCH(orders!K$1,products!$A$1:$G$1,0))</f>
        <v>L</v>
      </c>
      <c r="L702" s="4">
        <f>INDEX(products!$A$1:$G$49,MATCH(orders!$D702,products!$A$1:$A$49,0),MATCH(orders!L$1,products!$A$1:$G$1,0))</f>
        <v>0.5</v>
      </c>
      <c r="M702" s="5">
        <f>INDEX(products!$A$1:$G$49,MATCH(orders!$D702,products!$A$1:$A$49,0),MATCH(orders!M$1,products!$A$1:$G$1,0))</f>
        <v>9.51</v>
      </c>
      <c r="N702" s="5">
        <f>Orders[[#This Row],[Quantity]]*(INDEX(products!$A$1:$G$49,MATCH(orders!$D702,products!$A$1:$A$49,0),MATCH(orders!N$1,products!$A$1:$G$1,0)))</f>
        <v>2.4725999999999999</v>
      </c>
      <c r="O702" s="5">
        <f>M702*E702</f>
        <v>19.02</v>
      </c>
      <c r="P702" t="str">
        <f t="shared" si="20"/>
        <v>Liberica</v>
      </c>
      <c r="Q702" t="str">
        <f t="shared" si="21"/>
        <v>Light</v>
      </c>
      <c r="R702" t="str">
        <f>_xlfn.XLOOKUP(Orders[[#This Row],[Customer ID]],customers!$A$1:$A$1001,customers!$I$1:$I$1001,,0)</f>
        <v>No</v>
      </c>
    </row>
    <row r="703" spans="1:18" x14ac:dyDescent="0.35">
      <c r="A703" s="2" t="s">
        <v>4450</v>
      </c>
      <c r="B703" s="3">
        <v>44727</v>
      </c>
      <c r="C703" s="2" t="s">
        <v>4451</v>
      </c>
      <c r="D703" t="s">
        <v>6158</v>
      </c>
      <c r="E703" s="2">
        <v>5</v>
      </c>
      <c r="F703" s="2" t="str">
        <f>_xlfn.XLOOKUP(Orders[[#This Row],[Customer ID]],customers!$A$1:$A$1001,customers!$B$1:$B$1001,,0)</f>
        <v>Nathan Sictornes</v>
      </c>
      <c r="G703" s="2" t="str">
        <f>IF(_xlfn.XLOOKUP(C703,customers!$A$1:$A$1001,customers!C702:C1702,,0)=0,"",_xlfn.XLOOKUP(C703,customers!$A$1:$A$1001,customers!C702:C1702,,0))</f>
        <v/>
      </c>
      <c r="H703" s="2" t="str">
        <f>_xlfn.XLOOKUP(Orders[[#This Row],[Customer ID]],customers!$A$1:$A$1001,customers!$G$1:$G$1001,,0)</f>
        <v>Ireland</v>
      </c>
      <c r="I703" s="2" t="str">
        <f>_xlfn.XLOOKUP(Orders[[#This Row],[Customer ID]],customers!$A$1:$A$1001,customers!$F$1:$F$1001,,0)</f>
        <v>Sandyford</v>
      </c>
      <c r="J703" t="str">
        <f>INDEX(products!$A$1:$G$49,MATCH(orders!$D703,products!$A$1:$A$49,0),MATCH(orders!J$1,products!$A$1:$G$1,0))</f>
        <v>Ara</v>
      </c>
      <c r="K703" t="str">
        <f>INDEX(products!$A$1:$G$49,MATCH(orders!$D703,products!$A$1:$A$49,0),MATCH(orders!K$1,products!$A$1:$G$1,0))</f>
        <v>D</v>
      </c>
      <c r="L703" s="4">
        <f>INDEX(products!$A$1:$G$49,MATCH(orders!$D703,products!$A$1:$A$49,0),MATCH(orders!L$1,products!$A$1:$G$1,0))</f>
        <v>0.5</v>
      </c>
      <c r="M703" s="5">
        <f>INDEX(products!$A$1:$G$49,MATCH(orders!$D703,products!$A$1:$A$49,0),MATCH(orders!M$1,products!$A$1:$G$1,0))</f>
        <v>5.97</v>
      </c>
      <c r="N703" s="5">
        <f>Orders[[#This Row],[Quantity]]*(INDEX(products!$A$1:$G$49,MATCH(orders!$D703,products!$A$1:$A$49,0),MATCH(orders!N$1,products!$A$1:$G$1,0)))</f>
        <v>2.6865000000000001</v>
      </c>
      <c r="O703" s="5">
        <f>M703*E703</f>
        <v>29.849999999999998</v>
      </c>
      <c r="P703" t="str">
        <f t="shared" si="20"/>
        <v>Arabica</v>
      </c>
      <c r="Q703" t="str">
        <f t="shared" si="21"/>
        <v>Dark</v>
      </c>
      <c r="R703" t="str">
        <f>_xlfn.XLOOKUP(Orders[[#This Row],[Customer ID]],customers!$A$1:$A$1001,customers!$I$1:$I$1001,,0)</f>
        <v>Yes</v>
      </c>
    </row>
    <row r="704" spans="1:18" x14ac:dyDescent="0.35">
      <c r="A704" s="2" t="s">
        <v>4456</v>
      </c>
      <c r="B704" s="3">
        <v>43661</v>
      </c>
      <c r="C704" s="2" t="s">
        <v>4457</v>
      </c>
      <c r="D704" t="s">
        <v>6180</v>
      </c>
      <c r="E704" s="2">
        <v>1</v>
      </c>
      <c r="F704" s="2" t="str">
        <f>_xlfn.XLOOKUP(Orders[[#This Row],[Customer ID]],customers!$A$1:$A$1001,customers!$B$1:$B$1001,,0)</f>
        <v>Vivyan Dunning</v>
      </c>
      <c r="G704" s="2" t="str">
        <f>IF(_xlfn.XLOOKUP(C704,customers!$A$1:$A$1001,customers!C703:C1703,,0)=0,"",_xlfn.XLOOKUP(C704,customers!$A$1:$A$1001,customers!C703:C1703,,0))</f>
        <v/>
      </c>
      <c r="H704" s="2" t="str">
        <f>_xlfn.XLOOKUP(Orders[[#This Row],[Customer ID]],customers!$A$1:$A$1001,customers!$G$1:$G$1001,,0)</f>
        <v>United States</v>
      </c>
      <c r="I704" s="2" t="str">
        <f>_xlfn.XLOOKUP(Orders[[#This Row],[Customer ID]],customers!$A$1:$A$1001,customers!$F$1:$F$1001,,0)</f>
        <v>Punta Gorda</v>
      </c>
      <c r="J704" t="str">
        <f>INDEX(products!$A$1:$G$49,MATCH(orders!$D704,products!$A$1:$A$49,0),MATCH(orders!J$1,products!$A$1:$G$1,0))</f>
        <v>Ara</v>
      </c>
      <c r="K704" t="str">
        <f>INDEX(products!$A$1:$G$49,MATCH(orders!$D704,products!$A$1:$A$49,0),MATCH(orders!K$1,products!$A$1:$G$1,0))</f>
        <v>L</v>
      </c>
      <c r="L704" s="4">
        <f>INDEX(products!$A$1:$G$49,MATCH(orders!$D704,products!$A$1:$A$49,0),MATCH(orders!L$1,products!$A$1:$G$1,0))</f>
        <v>0.5</v>
      </c>
      <c r="M704" s="5">
        <f>INDEX(products!$A$1:$G$49,MATCH(orders!$D704,products!$A$1:$A$49,0),MATCH(orders!M$1,products!$A$1:$G$1,0))</f>
        <v>7.77</v>
      </c>
      <c r="N704" s="5">
        <f>Orders[[#This Row],[Quantity]]*(INDEX(products!$A$1:$G$49,MATCH(orders!$D704,products!$A$1:$A$49,0),MATCH(orders!N$1,products!$A$1:$G$1,0)))</f>
        <v>0.69929999999999992</v>
      </c>
      <c r="O704" s="5">
        <f>M704*E704</f>
        <v>7.77</v>
      </c>
      <c r="P704" t="str">
        <f t="shared" si="20"/>
        <v>Arabica</v>
      </c>
      <c r="Q704" t="str">
        <f t="shared" si="21"/>
        <v>Light</v>
      </c>
      <c r="R704" t="str">
        <f>_xlfn.XLOOKUP(Orders[[#This Row],[Customer ID]],customers!$A$1:$A$1001,customers!$I$1:$I$1001,,0)</f>
        <v>Yes</v>
      </c>
    </row>
    <row r="705" spans="1:18" x14ac:dyDescent="0.35">
      <c r="A705" s="2" t="s">
        <v>4461</v>
      </c>
      <c r="B705" s="3">
        <v>43506</v>
      </c>
      <c r="C705" s="2" t="s">
        <v>4462</v>
      </c>
      <c r="D705" t="s">
        <v>6165</v>
      </c>
      <c r="E705" s="2">
        <v>4</v>
      </c>
      <c r="F705" s="2" t="str">
        <f>_xlfn.XLOOKUP(Orders[[#This Row],[Customer ID]],customers!$A$1:$A$1001,customers!$B$1:$B$1001,,0)</f>
        <v>Doralin Baison</v>
      </c>
      <c r="G705" s="2" t="str">
        <f>IF(_xlfn.XLOOKUP(C705,customers!$A$1:$A$1001,customers!C704:C1704,,0)=0,"",_xlfn.XLOOKUP(C705,customers!$A$1:$A$1001,customers!C704:C1704,,0))</f>
        <v/>
      </c>
      <c r="H705" s="2" t="str">
        <f>_xlfn.XLOOKUP(Orders[[#This Row],[Customer ID]],customers!$A$1:$A$1001,customers!$G$1:$G$1001,,0)</f>
        <v>Ireland</v>
      </c>
      <c r="I705" s="2" t="str">
        <f>_xlfn.XLOOKUP(Orders[[#This Row],[Customer ID]],customers!$A$1:$A$1001,customers!$F$1:$F$1001,,0)</f>
        <v>Ballivor</v>
      </c>
      <c r="J705" t="str">
        <f>INDEX(products!$A$1:$G$49,MATCH(orders!$D705,products!$A$1:$A$49,0),MATCH(orders!J$1,products!$A$1:$G$1,0))</f>
        <v>Lib</v>
      </c>
      <c r="K705" t="str">
        <f>INDEX(products!$A$1:$G$49,MATCH(orders!$D705,products!$A$1:$A$49,0),MATCH(orders!K$1,products!$A$1:$G$1,0))</f>
        <v>D</v>
      </c>
      <c r="L705" s="4">
        <f>INDEX(products!$A$1:$G$49,MATCH(orders!$D705,products!$A$1:$A$49,0),MATCH(orders!L$1,products!$A$1:$G$1,0))</f>
        <v>2.5</v>
      </c>
      <c r="M705" s="5">
        <f>INDEX(products!$A$1:$G$49,MATCH(orders!$D705,products!$A$1:$A$49,0),MATCH(orders!M$1,products!$A$1:$G$1,0))</f>
        <v>29.784999999999997</v>
      </c>
      <c r="N705" s="5">
        <f>Orders[[#This Row],[Quantity]]*(INDEX(products!$A$1:$G$49,MATCH(orders!$D705,products!$A$1:$A$49,0),MATCH(orders!N$1,products!$A$1:$G$1,0)))</f>
        <v>15.488199999999999</v>
      </c>
      <c r="O705" s="5">
        <f>M705*E705</f>
        <v>119.13999999999999</v>
      </c>
      <c r="P705" t="str">
        <f t="shared" si="20"/>
        <v>Liberica</v>
      </c>
      <c r="Q705" t="str">
        <f t="shared" si="21"/>
        <v>Dark</v>
      </c>
      <c r="R705" t="str">
        <f>_xlfn.XLOOKUP(Orders[[#This Row],[Customer ID]],customers!$A$1:$A$1001,customers!$I$1:$I$1001,,0)</f>
        <v>Yes</v>
      </c>
    </row>
    <row r="706" spans="1:18" x14ac:dyDescent="0.35">
      <c r="A706" s="2" t="s">
        <v>4466</v>
      </c>
      <c r="B706" s="3">
        <v>44716</v>
      </c>
      <c r="C706" s="2" t="s">
        <v>4467</v>
      </c>
      <c r="D706" t="s">
        <v>6153</v>
      </c>
      <c r="E706" s="2">
        <v>6</v>
      </c>
      <c r="F706" s="2" t="str">
        <f>_xlfn.XLOOKUP(Orders[[#This Row],[Customer ID]],customers!$A$1:$A$1001,customers!$B$1:$B$1001,,0)</f>
        <v>Josefina Ferens</v>
      </c>
      <c r="G706" s="2" t="str">
        <f>IF(_xlfn.XLOOKUP(C706,customers!$A$1:$A$1001,customers!C705:C1705,,0)=0,"",_xlfn.XLOOKUP(C706,customers!$A$1:$A$1001,customers!C705:C1705,,0))</f>
        <v/>
      </c>
      <c r="H706" s="2" t="str">
        <f>_xlfn.XLOOKUP(Orders[[#This Row],[Customer ID]],customers!$A$1:$A$1001,customers!$G$1:$G$1001,,0)</f>
        <v>United States</v>
      </c>
      <c r="I706" s="2" t="str">
        <f>_xlfn.XLOOKUP(Orders[[#This Row],[Customer ID]],customers!$A$1:$A$1001,customers!$F$1:$F$1001,,0)</f>
        <v>New York City</v>
      </c>
      <c r="J706" t="str">
        <f>INDEX(products!$A$1:$G$49,MATCH(orders!$D706,products!$A$1:$A$49,0),MATCH(orders!J$1,products!$A$1:$G$1,0))</f>
        <v>Exc</v>
      </c>
      <c r="K706" t="str">
        <f>INDEX(products!$A$1:$G$49,MATCH(orders!$D706,products!$A$1:$A$49,0),MATCH(orders!K$1,products!$A$1:$G$1,0))</f>
        <v>D</v>
      </c>
      <c r="L706" s="4">
        <f>INDEX(products!$A$1:$G$49,MATCH(orders!$D706,products!$A$1:$A$49,0),MATCH(orders!L$1,products!$A$1:$G$1,0))</f>
        <v>0.2</v>
      </c>
      <c r="M706" s="5">
        <f>INDEX(products!$A$1:$G$49,MATCH(orders!$D706,products!$A$1:$A$49,0),MATCH(orders!M$1,products!$A$1:$G$1,0))</f>
        <v>3.645</v>
      </c>
      <c r="N706" s="5">
        <f>Orders[[#This Row],[Quantity]]*(INDEX(products!$A$1:$G$49,MATCH(orders!$D706,products!$A$1:$A$49,0),MATCH(orders!N$1,products!$A$1:$G$1,0)))</f>
        <v>2.4057000000000004</v>
      </c>
      <c r="O706" s="5">
        <f>M706*E706</f>
        <v>21.87</v>
      </c>
      <c r="P706" t="str">
        <f t="shared" si="20"/>
        <v>Excelsa</v>
      </c>
      <c r="Q706" t="str">
        <f t="shared" si="21"/>
        <v>Dark</v>
      </c>
      <c r="R706" t="str">
        <f>_xlfn.XLOOKUP(Orders[[#This Row],[Customer ID]],customers!$A$1:$A$1001,customers!$I$1:$I$1001,,0)</f>
        <v>Yes</v>
      </c>
    </row>
    <row r="707" spans="1:18" x14ac:dyDescent="0.35">
      <c r="A707" s="2" t="s">
        <v>4471</v>
      </c>
      <c r="B707" s="3">
        <v>44114</v>
      </c>
      <c r="C707" s="2" t="s">
        <v>4472</v>
      </c>
      <c r="D707" t="s">
        <v>6176</v>
      </c>
      <c r="E707" s="2">
        <v>2</v>
      </c>
      <c r="F707" s="2" t="str">
        <f>_xlfn.XLOOKUP(Orders[[#This Row],[Customer ID]],customers!$A$1:$A$1001,customers!$B$1:$B$1001,,0)</f>
        <v>Shelley Gehring</v>
      </c>
      <c r="G707" s="2" t="str">
        <f>IF(_xlfn.XLOOKUP(C707,customers!$A$1:$A$1001,customers!C706:C1706,,0)=0,"",_xlfn.XLOOKUP(C707,customers!$A$1:$A$1001,customers!C706:C1706,,0))</f>
        <v/>
      </c>
      <c r="H707" s="2" t="str">
        <f>_xlfn.XLOOKUP(Orders[[#This Row],[Customer ID]],customers!$A$1:$A$1001,customers!$G$1:$G$1001,,0)</f>
        <v>United States</v>
      </c>
      <c r="I707" s="2" t="str">
        <f>_xlfn.XLOOKUP(Orders[[#This Row],[Customer ID]],customers!$A$1:$A$1001,customers!$F$1:$F$1001,,0)</f>
        <v>Spartanburg</v>
      </c>
      <c r="J707" t="str">
        <f>INDEX(products!$A$1:$G$49,MATCH(orders!$D707,products!$A$1:$A$49,0),MATCH(orders!J$1,products!$A$1:$G$1,0))</f>
        <v>Exc</v>
      </c>
      <c r="K707" t="str">
        <f>INDEX(products!$A$1:$G$49,MATCH(orders!$D707,products!$A$1:$A$49,0),MATCH(orders!K$1,products!$A$1:$G$1,0))</f>
        <v>L</v>
      </c>
      <c r="L707" s="4">
        <f>INDEX(products!$A$1:$G$49,MATCH(orders!$D707,products!$A$1:$A$49,0),MATCH(orders!L$1,products!$A$1:$G$1,0))</f>
        <v>0.5</v>
      </c>
      <c r="M707" s="5">
        <f>INDEX(products!$A$1:$G$49,MATCH(orders!$D707,products!$A$1:$A$49,0),MATCH(orders!M$1,products!$A$1:$G$1,0))</f>
        <v>8.91</v>
      </c>
      <c r="N707" s="5">
        <f>Orders[[#This Row],[Quantity]]*(INDEX(products!$A$1:$G$49,MATCH(orders!$D707,products!$A$1:$A$49,0),MATCH(orders!N$1,products!$A$1:$G$1,0)))</f>
        <v>1.9601999999999999</v>
      </c>
      <c r="O707" s="5">
        <f>M707*E707</f>
        <v>17.82</v>
      </c>
      <c r="P707" t="str">
        <f t="shared" ref="P707:P770" si="22">IF(J707="Rob","Robusta",IF(J707="Exc","Excelsa",IF(J707="Ara","Arabica",IF(J707="Lib","Liberica",""))))</f>
        <v>Excelsa</v>
      </c>
      <c r="Q707" t="str">
        <f t="shared" ref="Q707:Q770" si="23">IF(K707="M", "Medium", IF(K707="L", "Light", IF(K707="D", "Dark", "")))</f>
        <v>Light</v>
      </c>
      <c r="R707" t="str">
        <f>_xlfn.XLOOKUP(Orders[[#This Row],[Customer ID]],customers!$A$1:$A$1001,customers!$I$1:$I$1001,,0)</f>
        <v>No</v>
      </c>
    </row>
    <row r="708" spans="1:18" x14ac:dyDescent="0.35">
      <c r="A708" s="2" t="s">
        <v>4477</v>
      </c>
      <c r="B708" s="3">
        <v>44353</v>
      </c>
      <c r="C708" s="2" t="s">
        <v>4478</v>
      </c>
      <c r="D708" t="s">
        <v>6156</v>
      </c>
      <c r="E708" s="2">
        <v>3</v>
      </c>
      <c r="F708" s="2" t="str">
        <f>_xlfn.XLOOKUP(Orders[[#This Row],[Customer ID]],customers!$A$1:$A$1001,customers!$B$1:$B$1001,,0)</f>
        <v>Barrie Fallowes</v>
      </c>
      <c r="G708" s="2" t="str">
        <f>IF(_xlfn.XLOOKUP(C708,customers!$A$1:$A$1001,customers!C707:C1707,,0)=0,"",_xlfn.XLOOKUP(C708,customers!$A$1:$A$1001,customers!C707:C1707,,0))</f>
        <v/>
      </c>
      <c r="H708" s="2" t="str">
        <f>_xlfn.XLOOKUP(Orders[[#This Row],[Customer ID]],customers!$A$1:$A$1001,customers!$G$1:$G$1001,,0)</f>
        <v>United States</v>
      </c>
      <c r="I708" s="2" t="str">
        <f>_xlfn.XLOOKUP(Orders[[#This Row],[Customer ID]],customers!$A$1:$A$1001,customers!$F$1:$F$1001,,0)</f>
        <v>Bakersfield</v>
      </c>
      <c r="J708" t="str">
        <f>INDEX(products!$A$1:$G$49,MATCH(orders!$D708,products!$A$1:$A$49,0),MATCH(orders!J$1,products!$A$1:$G$1,0))</f>
        <v>Exc</v>
      </c>
      <c r="K708" t="str">
        <f>INDEX(products!$A$1:$G$49,MATCH(orders!$D708,products!$A$1:$A$49,0),MATCH(orders!K$1,products!$A$1:$G$1,0))</f>
        <v>M</v>
      </c>
      <c r="L708" s="4">
        <f>INDEX(products!$A$1:$G$49,MATCH(orders!$D708,products!$A$1:$A$49,0),MATCH(orders!L$1,products!$A$1:$G$1,0))</f>
        <v>0.2</v>
      </c>
      <c r="M708" s="5">
        <f>INDEX(products!$A$1:$G$49,MATCH(orders!$D708,products!$A$1:$A$49,0),MATCH(orders!M$1,products!$A$1:$G$1,0))</f>
        <v>4.125</v>
      </c>
      <c r="N708" s="5">
        <f>Orders[[#This Row],[Quantity]]*(INDEX(products!$A$1:$G$49,MATCH(orders!$D708,products!$A$1:$A$49,0),MATCH(orders!N$1,products!$A$1:$G$1,0)))</f>
        <v>1.3612500000000001</v>
      </c>
      <c r="O708" s="5">
        <f>M708*E708</f>
        <v>12.375</v>
      </c>
      <c r="P708" t="str">
        <f t="shared" si="22"/>
        <v>Excelsa</v>
      </c>
      <c r="Q708" t="str">
        <f t="shared" si="23"/>
        <v>Medium</v>
      </c>
      <c r="R708" t="str">
        <f>_xlfn.XLOOKUP(Orders[[#This Row],[Customer ID]],customers!$A$1:$A$1001,customers!$I$1:$I$1001,,0)</f>
        <v>No</v>
      </c>
    </row>
    <row r="709" spans="1:18" x14ac:dyDescent="0.35">
      <c r="A709" s="2" t="s">
        <v>4483</v>
      </c>
      <c r="B709" s="3">
        <v>43540</v>
      </c>
      <c r="C709" s="2" t="s">
        <v>4484</v>
      </c>
      <c r="D709" t="s">
        <v>6143</v>
      </c>
      <c r="E709" s="2">
        <v>2</v>
      </c>
      <c r="F709" s="2" t="str">
        <f>_xlfn.XLOOKUP(Orders[[#This Row],[Customer ID]],customers!$A$1:$A$1001,customers!$B$1:$B$1001,,0)</f>
        <v>Nicolas Aiton</v>
      </c>
      <c r="G709" s="2" t="str">
        <f>IF(_xlfn.XLOOKUP(C709,customers!$A$1:$A$1001,customers!C708:C1708,,0)=0,"",_xlfn.XLOOKUP(C709,customers!$A$1:$A$1001,customers!C708:C1708,,0))</f>
        <v/>
      </c>
      <c r="H709" s="2" t="str">
        <f>_xlfn.XLOOKUP(Orders[[#This Row],[Customer ID]],customers!$A$1:$A$1001,customers!$G$1:$G$1001,,0)</f>
        <v>Ireland</v>
      </c>
      <c r="I709" s="2" t="str">
        <f>_xlfn.XLOOKUP(Orders[[#This Row],[Customer ID]],customers!$A$1:$A$1001,customers!$F$1:$F$1001,,0)</f>
        <v>Dungarvan</v>
      </c>
      <c r="J709" t="str">
        <f>INDEX(products!$A$1:$G$49,MATCH(orders!$D709,products!$A$1:$A$49,0),MATCH(orders!J$1,products!$A$1:$G$1,0))</f>
        <v>Lib</v>
      </c>
      <c r="K709" t="str">
        <f>INDEX(products!$A$1:$G$49,MATCH(orders!$D709,products!$A$1:$A$49,0),MATCH(orders!K$1,products!$A$1:$G$1,0))</f>
        <v>D</v>
      </c>
      <c r="L709" s="4">
        <f>INDEX(products!$A$1:$G$49,MATCH(orders!$D709,products!$A$1:$A$49,0),MATCH(orders!L$1,products!$A$1:$G$1,0))</f>
        <v>1</v>
      </c>
      <c r="M709" s="5">
        <f>INDEX(products!$A$1:$G$49,MATCH(orders!$D709,products!$A$1:$A$49,0),MATCH(orders!M$1,products!$A$1:$G$1,0))</f>
        <v>12.95</v>
      </c>
      <c r="N709" s="5">
        <f>Orders[[#This Row],[Quantity]]*(INDEX(products!$A$1:$G$49,MATCH(orders!$D709,products!$A$1:$A$49,0),MATCH(orders!N$1,products!$A$1:$G$1,0)))</f>
        <v>3.367</v>
      </c>
      <c r="O709" s="5">
        <f>M709*E709</f>
        <v>25.9</v>
      </c>
      <c r="P709" t="str">
        <f t="shared" si="22"/>
        <v>Liberica</v>
      </c>
      <c r="Q709" t="str">
        <f t="shared" si="23"/>
        <v>Dark</v>
      </c>
      <c r="R709" t="str">
        <f>_xlfn.XLOOKUP(Orders[[#This Row],[Customer ID]],customers!$A$1:$A$1001,customers!$I$1:$I$1001,,0)</f>
        <v>No</v>
      </c>
    </row>
    <row r="710" spans="1:18" x14ac:dyDescent="0.35">
      <c r="A710" s="2" t="s">
        <v>4488</v>
      </c>
      <c r="B710" s="3">
        <v>43804</v>
      </c>
      <c r="C710" s="2" t="s">
        <v>4489</v>
      </c>
      <c r="D710" t="s">
        <v>6157</v>
      </c>
      <c r="E710" s="2">
        <v>2</v>
      </c>
      <c r="F710" s="2" t="str">
        <f>_xlfn.XLOOKUP(Orders[[#This Row],[Customer ID]],customers!$A$1:$A$1001,customers!$B$1:$B$1001,,0)</f>
        <v>Shelli De Banke</v>
      </c>
      <c r="G710" s="2" t="str">
        <f>IF(_xlfn.XLOOKUP(C710,customers!$A$1:$A$1001,customers!C709:C1709,,0)=0,"",_xlfn.XLOOKUP(C710,customers!$A$1:$A$1001,customers!C709:C1709,,0))</f>
        <v/>
      </c>
      <c r="H710" s="2" t="str">
        <f>_xlfn.XLOOKUP(Orders[[#This Row],[Customer ID]],customers!$A$1:$A$1001,customers!$G$1:$G$1001,,0)</f>
        <v>United States</v>
      </c>
      <c r="I710" s="2" t="str">
        <f>_xlfn.XLOOKUP(Orders[[#This Row],[Customer ID]],customers!$A$1:$A$1001,customers!$F$1:$F$1001,,0)</f>
        <v>Saint Louis</v>
      </c>
      <c r="J710" t="str">
        <f>INDEX(products!$A$1:$G$49,MATCH(orders!$D710,products!$A$1:$A$49,0),MATCH(orders!J$1,products!$A$1:$G$1,0))</f>
        <v>Ara</v>
      </c>
      <c r="K710" t="str">
        <f>INDEX(products!$A$1:$G$49,MATCH(orders!$D710,products!$A$1:$A$49,0),MATCH(orders!K$1,products!$A$1:$G$1,0))</f>
        <v>M</v>
      </c>
      <c r="L710" s="4">
        <f>INDEX(products!$A$1:$G$49,MATCH(orders!$D710,products!$A$1:$A$49,0),MATCH(orders!L$1,products!$A$1:$G$1,0))</f>
        <v>0.5</v>
      </c>
      <c r="M710" s="5">
        <f>INDEX(products!$A$1:$G$49,MATCH(orders!$D710,products!$A$1:$A$49,0),MATCH(orders!M$1,products!$A$1:$G$1,0))</f>
        <v>6.75</v>
      </c>
      <c r="N710" s="5">
        <f>Orders[[#This Row],[Quantity]]*(INDEX(products!$A$1:$G$49,MATCH(orders!$D710,products!$A$1:$A$49,0),MATCH(orders!N$1,products!$A$1:$G$1,0)))</f>
        <v>1.2149999999999999</v>
      </c>
      <c r="O710" s="5">
        <f>M710*E710</f>
        <v>13.5</v>
      </c>
      <c r="P710" t="str">
        <f t="shared" si="22"/>
        <v>Arabica</v>
      </c>
      <c r="Q710" t="str">
        <f t="shared" si="23"/>
        <v>Medium</v>
      </c>
      <c r="R710" t="str">
        <f>_xlfn.XLOOKUP(Orders[[#This Row],[Customer ID]],customers!$A$1:$A$1001,customers!$I$1:$I$1001,,0)</f>
        <v>Yes</v>
      </c>
    </row>
    <row r="711" spans="1:18" x14ac:dyDescent="0.35">
      <c r="A711" s="2" t="s">
        <v>4494</v>
      </c>
      <c r="B711" s="3">
        <v>43485</v>
      </c>
      <c r="C711" s="2" t="s">
        <v>4495</v>
      </c>
      <c r="D711" t="s">
        <v>6176</v>
      </c>
      <c r="E711" s="2">
        <v>2</v>
      </c>
      <c r="F711" s="2" t="str">
        <f>_xlfn.XLOOKUP(Orders[[#This Row],[Customer ID]],customers!$A$1:$A$1001,customers!$B$1:$B$1001,,0)</f>
        <v>Lyell Murch</v>
      </c>
      <c r="G711" s="2" t="str">
        <f>IF(_xlfn.XLOOKUP(C711,customers!$A$1:$A$1001,customers!C710:C1710,,0)=0,"",_xlfn.XLOOKUP(C711,customers!$A$1:$A$1001,customers!C710:C1710,,0))</f>
        <v/>
      </c>
      <c r="H711" s="2" t="str">
        <f>_xlfn.XLOOKUP(Orders[[#This Row],[Customer ID]],customers!$A$1:$A$1001,customers!$G$1:$G$1001,,0)</f>
        <v>United States</v>
      </c>
      <c r="I711" s="2" t="str">
        <f>_xlfn.XLOOKUP(Orders[[#This Row],[Customer ID]],customers!$A$1:$A$1001,customers!$F$1:$F$1001,,0)</f>
        <v>Fort Wayne</v>
      </c>
      <c r="J711" t="str">
        <f>INDEX(products!$A$1:$G$49,MATCH(orders!$D711,products!$A$1:$A$49,0),MATCH(orders!J$1,products!$A$1:$G$1,0))</f>
        <v>Exc</v>
      </c>
      <c r="K711" t="str">
        <f>INDEX(products!$A$1:$G$49,MATCH(orders!$D711,products!$A$1:$A$49,0),MATCH(orders!K$1,products!$A$1:$G$1,0))</f>
        <v>L</v>
      </c>
      <c r="L711" s="4">
        <f>INDEX(products!$A$1:$G$49,MATCH(orders!$D711,products!$A$1:$A$49,0),MATCH(orders!L$1,products!$A$1:$G$1,0))</f>
        <v>0.5</v>
      </c>
      <c r="M711" s="5">
        <f>INDEX(products!$A$1:$G$49,MATCH(orders!$D711,products!$A$1:$A$49,0),MATCH(orders!M$1,products!$A$1:$G$1,0))</f>
        <v>8.91</v>
      </c>
      <c r="N711" s="5">
        <f>Orders[[#This Row],[Quantity]]*(INDEX(products!$A$1:$G$49,MATCH(orders!$D711,products!$A$1:$A$49,0),MATCH(orders!N$1,products!$A$1:$G$1,0)))</f>
        <v>1.9601999999999999</v>
      </c>
      <c r="O711" s="5">
        <f>M711*E711</f>
        <v>17.82</v>
      </c>
      <c r="P711" t="str">
        <f t="shared" si="22"/>
        <v>Excelsa</v>
      </c>
      <c r="Q711" t="str">
        <f t="shared" si="23"/>
        <v>Light</v>
      </c>
      <c r="R711" t="str">
        <f>_xlfn.XLOOKUP(Orders[[#This Row],[Customer ID]],customers!$A$1:$A$1001,customers!$I$1:$I$1001,,0)</f>
        <v>Yes</v>
      </c>
    </row>
    <row r="712" spans="1:18" x14ac:dyDescent="0.35">
      <c r="A712" s="2" t="s">
        <v>4499</v>
      </c>
      <c r="B712" s="3">
        <v>44655</v>
      </c>
      <c r="C712" s="2" t="s">
        <v>4500</v>
      </c>
      <c r="D712" t="s">
        <v>6139</v>
      </c>
      <c r="E712" s="2">
        <v>3</v>
      </c>
      <c r="F712" s="2" t="str">
        <f>_xlfn.XLOOKUP(Orders[[#This Row],[Customer ID]],customers!$A$1:$A$1001,customers!$B$1:$B$1001,,0)</f>
        <v>Stearne Count</v>
      </c>
      <c r="G712" s="2" t="str">
        <f>IF(_xlfn.XLOOKUP(C712,customers!$A$1:$A$1001,customers!C711:C1711,,0)=0,"",_xlfn.XLOOKUP(C712,customers!$A$1:$A$1001,customers!C711:C1711,,0))</f>
        <v/>
      </c>
      <c r="H712" s="2" t="str">
        <f>_xlfn.XLOOKUP(Orders[[#This Row],[Customer ID]],customers!$A$1:$A$1001,customers!$G$1:$G$1001,,0)</f>
        <v>United States</v>
      </c>
      <c r="I712" s="2" t="str">
        <f>_xlfn.XLOOKUP(Orders[[#This Row],[Customer ID]],customers!$A$1:$A$1001,customers!$F$1:$F$1001,,0)</f>
        <v>Young America</v>
      </c>
      <c r="J712" t="str">
        <f>INDEX(products!$A$1:$G$49,MATCH(orders!$D712,products!$A$1:$A$49,0),MATCH(orders!J$1,products!$A$1:$G$1,0))</f>
        <v>Exc</v>
      </c>
      <c r="K712" t="str">
        <f>INDEX(products!$A$1:$G$49,MATCH(orders!$D712,products!$A$1:$A$49,0),MATCH(orders!K$1,products!$A$1:$G$1,0))</f>
        <v>M</v>
      </c>
      <c r="L712" s="4">
        <f>INDEX(products!$A$1:$G$49,MATCH(orders!$D712,products!$A$1:$A$49,0),MATCH(orders!L$1,products!$A$1:$G$1,0))</f>
        <v>0.5</v>
      </c>
      <c r="M712" s="5">
        <f>INDEX(products!$A$1:$G$49,MATCH(orders!$D712,products!$A$1:$A$49,0),MATCH(orders!M$1,products!$A$1:$G$1,0))</f>
        <v>8.25</v>
      </c>
      <c r="N712" s="5">
        <f>Orders[[#This Row],[Quantity]]*(INDEX(products!$A$1:$G$49,MATCH(orders!$D712,products!$A$1:$A$49,0),MATCH(orders!N$1,products!$A$1:$G$1,0)))</f>
        <v>2.7225000000000001</v>
      </c>
      <c r="O712" s="5">
        <f>M712*E712</f>
        <v>24.75</v>
      </c>
      <c r="P712" t="str">
        <f t="shared" si="22"/>
        <v>Excelsa</v>
      </c>
      <c r="Q712" t="str">
        <f t="shared" si="23"/>
        <v>Medium</v>
      </c>
      <c r="R712" t="str">
        <f>_xlfn.XLOOKUP(Orders[[#This Row],[Customer ID]],customers!$A$1:$A$1001,customers!$I$1:$I$1001,,0)</f>
        <v>No</v>
      </c>
    </row>
    <row r="713" spans="1:18" x14ac:dyDescent="0.35">
      <c r="A713" s="2" t="s">
        <v>4505</v>
      </c>
      <c r="B713" s="3">
        <v>44600</v>
      </c>
      <c r="C713" s="2" t="s">
        <v>4506</v>
      </c>
      <c r="D713" t="s">
        <v>6174</v>
      </c>
      <c r="E713" s="2">
        <v>6</v>
      </c>
      <c r="F713" s="2" t="str">
        <f>_xlfn.XLOOKUP(Orders[[#This Row],[Customer ID]],customers!$A$1:$A$1001,customers!$B$1:$B$1001,,0)</f>
        <v>Selia Ragles</v>
      </c>
      <c r="G713" s="2" t="str">
        <f>IF(_xlfn.XLOOKUP(C713,customers!$A$1:$A$1001,customers!C712:C1712,,0)=0,"",_xlfn.XLOOKUP(C713,customers!$A$1:$A$1001,customers!C712:C1712,,0))</f>
        <v/>
      </c>
      <c r="H713" s="2" t="str">
        <f>_xlfn.XLOOKUP(Orders[[#This Row],[Customer ID]],customers!$A$1:$A$1001,customers!$G$1:$G$1001,,0)</f>
        <v>United States</v>
      </c>
      <c r="I713" s="2" t="str">
        <f>_xlfn.XLOOKUP(Orders[[#This Row],[Customer ID]],customers!$A$1:$A$1001,customers!$F$1:$F$1001,,0)</f>
        <v>Fort Smith</v>
      </c>
      <c r="J713" t="str">
        <f>INDEX(products!$A$1:$G$49,MATCH(orders!$D713,products!$A$1:$A$49,0),MATCH(orders!J$1,products!$A$1:$G$1,0))</f>
        <v>Rob</v>
      </c>
      <c r="K713" t="str">
        <f>INDEX(products!$A$1:$G$49,MATCH(orders!$D713,products!$A$1:$A$49,0),MATCH(orders!K$1,products!$A$1:$G$1,0))</f>
        <v>M</v>
      </c>
      <c r="L713" s="4">
        <f>INDEX(products!$A$1:$G$49,MATCH(orders!$D713,products!$A$1:$A$49,0),MATCH(orders!L$1,products!$A$1:$G$1,0))</f>
        <v>0.2</v>
      </c>
      <c r="M713" s="5">
        <f>INDEX(products!$A$1:$G$49,MATCH(orders!$D713,products!$A$1:$A$49,0),MATCH(orders!M$1,products!$A$1:$G$1,0))</f>
        <v>2.9849999999999999</v>
      </c>
      <c r="N713" s="5">
        <f>Orders[[#This Row],[Quantity]]*(INDEX(products!$A$1:$G$49,MATCH(orders!$D713,products!$A$1:$A$49,0),MATCH(orders!N$1,products!$A$1:$G$1,0)))</f>
        <v>1.0745999999999998</v>
      </c>
      <c r="O713" s="5">
        <f>M713*E713</f>
        <v>17.91</v>
      </c>
      <c r="P713" t="str">
        <f t="shared" si="22"/>
        <v>Robusta</v>
      </c>
      <c r="Q713" t="str">
        <f t="shared" si="23"/>
        <v>Medium</v>
      </c>
      <c r="R713" t="str">
        <f>_xlfn.XLOOKUP(Orders[[#This Row],[Customer ID]],customers!$A$1:$A$1001,customers!$I$1:$I$1001,,0)</f>
        <v>No</v>
      </c>
    </row>
    <row r="714" spans="1:18" x14ac:dyDescent="0.35">
      <c r="A714" s="2" t="s">
        <v>4512</v>
      </c>
      <c r="B714" s="3">
        <v>43646</v>
      </c>
      <c r="C714" s="2" t="s">
        <v>4513</v>
      </c>
      <c r="D714" t="s">
        <v>6139</v>
      </c>
      <c r="E714" s="2">
        <v>2</v>
      </c>
      <c r="F714" s="2" t="str">
        <f>_xlfn.XLOOKUP(Orders[[#This Row],[Customer ID]],customers!$A$1:$A$1001,customers!$B$1:$B$1001,,0)</f>
        <v>Silas Deehan</v>
      </c>
      <c r="G714" s="2" t="str">
        <f>IF(_xlfn.XLOOKUP(C714,customers!$A$1:$A$1001,customers!C713:C1713,,0)=0,"",_xlfn.XLOOKUP(C714,customers!$A$1:$A$1001,customers!C713:C1713,,0))</f>
        <v/>
      </c>
      <c r="H714" s="2" t="str">
        <f>_xlfn.XLOOKUP(Orders[[#This Row],[Customer ID]],customers!$A$1:$A$1001,customers!$G$1:$G$1001,,0)</f>
        <v>United Kingdom</v>
      </c>
      <c r="I714" s="2" t="str">
        <f>_xlfn.XLOOKUP(Orders[[#This Row],[Customer ID]],customers!$A$1:$A$1001,customers!$F$1:$F$1001,,0)</f>
        <v>Charlton</v>
      </c>
      <c r="J714" t="str">
        <f>INDEX(products!$A$1:$G$49,MATCH(orders!$D714,products!$A$1:$A$49,0),MATCH(orders!J$1,products!$A$1:$G$1,0))</f>
        <v>Exc</v>
      </c>
      <c r="K714" t="str">
        <f>INDEX(products!$A$1:$G$49,MATCH(orders!$D714,products!$A$1:$A$49,0),MATCH(orders!K$1,products!$A$1:$G$1,0))</f>
        <v>M</v>
      </c>
      <c r="L714" s="4">
        <f>INDEX(products!$A$1:$G$49,MATCH(orders!$D714,products!$A$1:$A$49,0),MATCH(orders!L$1,products!$A$1:$G$1,0))</f>
        <v>0.5</v>
      </c>
      <c r="M714" s="5">
        <f>INDEX(products!$A$1:$G$49,MATCH(orders!$D714,products!$A$1:$A$49,0),MATCH(orders!M$1,products!$A$1:$G$1,0))</f>
        <v>8.25</v>
      </c>
      <c r="N714" s="5">
        <f>Orders[[#This Row],[Quantity]]*(INDEX(products!$A$1:$G$49,MATCH(orders!$D714,products!$A$1:$A$49,0),MATCH(orders!N$1,products!$A$1:$G$1,0)))</f>
        <v>1.8149999999999999</v>
      </c>
      <c r="O714" s="5">
        <f>M714*E714</f>
        <v>16.5</v>
      </c>
      <c r="P714" t="str">
        <f t="shared" si="22"/>
        <v>Excelsa</v>
      </c>
      <c r="Q714" t="str">
        <f t="shared" si="23"/>
        <v>Medium</v>
      </c>
      <c r="R714" t="str">
        <f>_xlfn.XLOOKUP(Orders[[#This Row],[Customer ID]],customers!$A$1:$A$1001,customers!$I$1:$I$1001,,0)</f>
        <v>No</v>
      </c>
    </row>
    <row r="715" spans="1:18" x14ac:dyDescent="0.35">
      <c r="A715" s="2" t="s">
        <v>4516</v>
      </c>
      <c r="B715" s="3">
        <v>43960</v>
      </c>
      <c r="C715" s="2" t="s">
        <v>4517</v>
      </c>
      <c r="D715" t="s">
        <v>6174</v>
      </c>
      <c r="E715" s="2">
        <v>1</v>
      </c>
      <c r="F715" s="2" t="str">
        <f>_xlfn.XLOOKUP(Orders[[#This Row],[Customer ID]],customers!$A$1:$A$1001,customers!$B$1:$B$1001,,0)</f>
        <v>Sacha Bruun</v>
      </c>
      <c r="G715" s="2" t="str">
        <f>IF(_xlfn.XLOOKUP(C715,customers!$A$1:$A$1001,customers!C714:C1714,,0)=0,"",_xlfn.XLOOKUP(C715,customers!$A$1:$A$1001,customers!C714:C1714,,0))</f>
        <v/>
      </c>
      <c r="H715" s="2" t="str">
        <f>_xlfn.XLOOKUP(Orders[[#This Row],[Customer ID]],customers!$A$1:$A$1001,customers!$G$1:$G$1001,,0)</f>
        <v>United States</v>
      </c>
      <c r="I715" s="2" t="str">
        <f>_xlfn.XLOOKUP(Orders[[#This Row],[Customer ID]],customers!$A$1:$A$1001,customers!$F$1:$F$1001,,0)</f>
        <v>Stockton</v>
      </c>
      <c r="J715" t="str">
        <f>INDEX(products!$A$1:$G$49,MATCH(orders!$D715,products!$A$1:$A$49,0),MATCH(orders!J$1,products!$A$1:$G$1,0))</f>
        <v>Rob</v>
      </c>
      <c r="K715" t="str">
        <f>INDEX(products!$A$1:$G$49,MATCH(orders!$D715,products!$A$1:$A$49,0),MATCH(orders!K$1,products!$A$1:$G$1,0))</f>
        <v>M</v>
      </c>
      <c r="L715" s="4">
        <f>INDEX(products!$A$1:$G$49,MATCH(orders!$D715,products!$A$1:$A$49,0),MATCH(orders!L$1,products!$A$1:$G$1,0))</f>
        <v>0.2</v>
      </c>
      <c r="M715" s="5">
        <f>INDEX(products!$A$1:$G$49,MATCH(orders!$D715,products!$A$1:$A$49,0),MATCH(orders!M$1,products!$A$1:$G$1,0))</f>
        <v>2.9849999999999999</v>
      </c>
      <c r="N715" s="5">
        <f>Orders[[#This Row],[Quantity]]*(INDEX(products!$A$1:$G$49,MATCH(orders!$D715,products!$A$1:$A$49,0),MATCH(orders!N$1,products!$A$1:$G$1,0)))</f>
        <v>0.17909999999999998</v>
      </c>
      <c r="O715" s="5">
        <f>M715*E715</f>
        <v>2.9849999999999999</v>
      </c>
      <c r="P715" t="str">
        <f t="shared" si="22"/>
        <v>Robusta</v>
      </c>
      <c r="Q715" t="str">
        <f t="shared" si="23"/>
        <v>Medium</v>
      </c>
      <c r="R715" t="str">
        <f>_xlfn.XLOOKUP(Orders[[#This Row],[Customer ID]],customers!$A$1:$A$1001,customers!$I$1:$I$1001,,0)</f>
        <v>No</v>
      </c>
    </row>
    <row r="716" spans="1:18" x14ac:dyDescent="0.35">
      <c r="A716" s="2" t="s">
        <v>4522</v>
      </c>
      <c r="B716" s="3">
        <v>44358</v>
      </c>
      <c r="C716" s="2" t="s">
        <v>4523</v>
      </c>
      <c r="D716" t="s">
        <v>6153</v>
      </c>
      <c r="E716" s="2">
        <v>4</v>
      </c>
      <c r="F716" s="2" t="str">
        <f>_xlfn.XLOOKUP(Orders[[#This Row],[Customer ID]],customers!$A$1:$A$1001,customers!$B$1:$B$1001,,0)</f>
        <v>Alon Pllu</v>
      </c>
      <c r="G716" s="2" t="str">
        <f>IF(_xlfn.XLOOKUP(C716,customers!$A$1:$A$1001,customers!C715:C1715,,0)=0,"",_xlfn.XLOOKUP(C716,customers!$A$1:$A$1001,customers!C715:C1715,,0))</f>
        <v/>
      </c>
      <c r="H716" s="2" t="str">
        <f>_xlfn.XLOOKUP(Orders[[#This Row],[Customer ID]],customers!$A$1:$A$1001,customers!$G$1:$G$1001,,0)</f>
        <v>Ireland</v>
      </c>
      <c r="I716" s="2" t="str">
        <f>_xlfn.XLOOKUP(Orders[[#This Row],[Customer ID]],customers!$A$1:$A$1001,customers!$F$1:$F$1001,,0)</f>
        <v>Navan</v>
      </c>
      <c r="J716" t="str">
        <f>INDEX(products!$A$1:$G$49,MATCH(orders!$D716,products!$A$1:$A$49,0),MATCH(orders!J$1,products!$A$1:$G$1,0))</f>
        <v>Exc</v>
      </c>
      <c r="K716" t="str">
        <f>INDEX(products!$A$1:$G$49,MATCH(orders!$D716,products!$A$1:$A$49,0),MATCH(orders!K$1,products!$A$1:$G$1,0))</f>
        <v>D</v>
      </c>
      <c r="L716" s="4">
        <f>INDEX(products!$A$1:$G$49,MATCH(orders!$D716,products!$A$1:$A$49,0),MATCH(orders!L$1,products!$A$1:$G$1,0))</f>
        <v>0.2</v>
      </c>
      <c r="M716" s="5">
        <f>INDEX(products!$A$1:$G$49,MATCH(orders!$D716,products!$A$1:$A$49,0),MATCH(orders!M$1,products!$A$1:$G$1,0))</f>
        <v>3.645</v>
      </c>
      <c r="N716" s="5">
        <f>Orders[[#This Row],[Quantity]]*(INDEX(products!$A$1:$G$49,MATCH(orders!$D716,products!$A$1:$A$49,0),MATCH(orders!N$1,products!$A$1:$G$1,0)))</f>
        <v>1.6038000000000001</v>
      </c>
      <c r="O716" s="5">
        <f>M716*E716</f>
        <v>14.58</v>
      </c>
      <c r="P716" t="str">
        <f t="shared" si="22"/>
        <v>Excelsa</v>
      </c>
      <c r="Q716" t="str">
        <f t="shared" si="23"/>
        <v>Dark</v>
      </c>
      <c r="R716" t="str">
        <f>_xlfn.XLOOKUP(Orders[[#This Row],[Customer ID]],customers!$A$1:$A$1001,customers!$I$1:$I$1001,,0)</f>
        <v>Yes</v>
      </c>
    </row>
    <row r="717" spans="1:18" x14ac:dyDescent="0.35">
      <c r="A717" s="2" t="s">
        <v>4528</v>
      </c>
      <c r="B717" s="3">
        <v>44504</v>
      </c>
      <c r="C717" s="2" t="s">
        <v>4529</v>
      </c>
      <c r="D717" t="s">
        <v>6171</v>
      </c>
      <c r="E717" s="2">
        <v>6</v>
      </c>
      <c r="F717" s="2" t="str">
        <f>_xlfn.XLOOKUP(Orders[[#This Row],[Customer ID]],customers!$A$1:$A$1001,customers!$B$1:$B$1001,,0)</f>
        <v>Gilberto Cornier</v>
      </c>
      <c r="G717" s="2" t="str">
        <f>IF(_xlfn.XLOOKUP(C717,customers!$A$1:$A$1001,customers!C716:C1716,,0)=0,"",_xlfn.XLOOKUP(C717,customers!$A$1:$A$1001,customers!C716:C1716,,0))</f>
        <v/>
      </c>
      <c r="H717" s="2" t="str">
        <f>_xlfn.XLOOKUP(Orders[[#This Row],[Customer ID]],customers!$A$1:$A$1001,customers!$G$1:$G$1001,,0)</f>
        <v>United States</v>
      </c>
      <c r="I717" s="2" t="str">
        <f>_xlfn.XLOOKUP(Orders[[#This Row],[Customer ID]],customers!$A$1:$A$1001,customers!$F$1:$F$1001,,0)</f>
        <v>Tampa</v>
      </c>
      <c r="J717" t="str">
        <f>INDEX(products!$A$1:$G$49,MATCH(orders!$D717,products!$A$1:$A$49,0),MATCH(orders!J$1,products!$A$1:$G$1,0))</f>
        <v>Exc</v>
      </c>
      <c r="K717" t="str">
        <f>INDEX(products!$A$1:$G$49,MATCH(orders!$D717,products!$A$1:$A$49,0),MATCH(orders!K$1,products!$A$1:$G$1,0))</f>
        <v>L</v>
      </c>
      <c r="L717" s="4">
        <f>INDEX(products!$A$1:$G$49,MATCH(orders!$D717,products!$A$1:$A$49,0),MATCH(orders!L$1,products!$A$1:$G$1,0))</f>
        <v>1</v>
      </c>
      <c r="M717" s="5">
        <f>INDEX(products!$A$1:$G$49,MATCH(orders!$D717,products!$A$1:$A$49,0),MATCH(orders!M$1,products!$A$1:$G$1,0))</f>
        <v>14.85</v>
      </c>
      <c r="N717" s="5">
        <f>Orders[[#This Row],[Quantity]]*(INDEX(products!$A$1:$G$49,MATCH(orders!$D717,products!$A$1:$A$49,0),MATCH(orders!N$1,products!$A$1:$G$1,0)))</f>
        <v>9.8010000000000002</v>
      </c>
      <c r="O717" s="5">
        <f>M717*E717</f>
        <v>89.1</v>
      </c>
      <c r="P717" t="str">
        <f t="shared" si="22"/>
        <v>Excelsa</v>
      </c>
      <c r="Q717" t="str">
        <f t="shared" si="23"/>
        <v>Light</v>
      </c>
      <c r="R717" t="str">
        <f>_xlfn.XLOOKUP(Orders[[#This Row],[Customer ID]],customers!$A$1:$A$1001,customers!$I$1:$I$1001,,0)</f>
        <v>No</v>
      </c>
    </row>
    <row r="718" spans="1:18" x14ac:dyDescent="0.35">
      <c r="A718" s="2" t="s">
        <v>4533</v>
      </c>
      <c r="B718" s="3">
        <v>44612</v>
      </c>
      <c r="C718" s="2" t="s">
        <v>4434</v>
      </c>
      <c r="D718" t="s">
        <v>6179</v>
      </c>
      <c r="E718" s="2">
        <v>3</v>
      </c>
      <c r="F718" s="2" t="str">
        <f>_xlfn.XLOOKUP(Orders[[#This Row],[Customer ID]],customers!$A$1:$A$1001,customers!$B$1:$B$1001,,0)</f>
        <v>Jimmy Dymoke</v>
      </c>
      <c r="G718" s="2" t="str">
        <f>IF(_xlfn.XLOOKUP(C718,customers!$A$1:$A$1001,customers!C717:C1717,,0)=0,"",_xlfn.XLOOKUP(C718,customers!$A$1:$A$1001,customers!C717:C1717,,0))</f>
        <v/>
      </c>
      <c r="H718" s="2" t="str">
        <f>_xlfn.XLOOKUP(Orders[[#This Row],[Customer ID]],customers!$A$1:$A$1001,customers!$G$1:$G$1001,,0)</f>
        <v>Ireland</v>
      </c>
      <c r="I718" s="2" t="str">
        <f>_xlfn.XLOOKUP(Orders[[#This Row],[Customer ID]],customers!$A$1:$A$1001,customers!$F$1:$F$1001,,0)</f>
        <v>Beaumont</v>
      </c>
      <c r="J718" t="str">
        <f>INDEX(products!$A$1:$G$49,MATCH(orders!$D718,products!$A$1:$A$49,0),MATCH(orders!J$1,products!$A$1:$G$1,0))</f>
        <v>Rob</v>
      </c>
      <c r="K718" t="str">
        <f>INDEX(products!$A$1:$G$49,MATCH(orders!$D718,products!$A$1:$A$49,0),MATCH(orders!K$1,products!$A$1:$G$1,0))</f>
        <v>L</v>
      </c>
      <c r="L718" s="4">
        <f>INDEX(products!$A$1:$G$49,MATCH(orders!$D718,products!$A$1:$A$49,0),MATCH(orders!L$1,products!$A$1:$G$1,0))</f>
        <v>1</v>
      </c>
      <c r="M718" s="5">
        <f>INDEX(products!$A$1:$G$49,MATCH(orders!$D718,products!$A$1:$A$49,0),MATCH(orders!M$1,products!$A$1:$G$1,0))</f>
        <v>11.95</v>
      </c>
      <c r="N718" s="5">
        <f>Orders[[#This Row],[Quantity]]*(INDEX(products!$A$1:$G$49,MATCH(orders!$D718,products!$A$1:$A$49,0),MATCH(orders!N$1,products!$A$1:$G$1,0)))</f>
        <v>2.1509999999999998</v>
      </c>
      <c r="O718" s="5">
        <f>M718*E718</f>
        <v>35.849999999999994</v>
      </c>
      <c r="P718" t="str">
        <f t="shared" si="22"/>
        <v>Robusta</v>
      </c>
      <c r="Q718" t="str">
        <f t="shared" si="23"/>
        <v>Light</v>
      </c>
      <c r="R718" t="str">
        <f>_xlfn.XLOOKUP(Orders[[#This Row],[Customer ID]],customers!$A$1:$A$1001,customers!$I$1:$I$1001,,0)</f>
        <v>No</v>
      </c>
    </row>
    <row r="719" spans="1:18" x14ac:dyDescent="0.35">
      <c r="A719" s="2" t="s">
        <v>4539</v>
      </c>
      <c r="B719" s="3">
        <v>43649</v>
      </c>
      <c r="C719" s="2" t="s">
        <v>4540</v>
      </c>
      <c r="D719" t="s">
        <v>6168</v>
      </c>
      <c r="E719" s="2">
        <v>3</v>
      </c>
      <c r="F719" s="2" t="str">
        <f>_xlfn.XLOOKUP(Orders[[#This Row],[Customer ID]],customers!$A$1:$A$1001,customers!$B$1:$B$1001,,0)</f>
        <v>Willabella Harvison</v>
      </c>
      <c r="G719" s="2" t="str">
        <f>IF(_xlfn.XLOOKUP(C719,customers!$A$1:$A$1001,customers!C718:C1718,,0)=0,"",_xlfn.XLOOKUP(C719,customers!$A$1:$A$1001,customers!C718:C1718,,0))</f>
        <v/>
      </c>
      <c r="H719" s="2" t="str">
        <f>_xlfn.XLOOKUP(Orders[[#This Row],[Customer ID]],customers!$A$1:$A$1001,customers!$G$1:$G$1001,,0)</f>
        <v>United States</v>
      </c>
      <c r="I719" s="2" t="str">
        <f>_xlfn.XLOOKUP(Orders[[#This Row],[Customer ID]],customers!$A$1:$A$1001,customers!$F$1:$F$1001,,0)</f>
        <v>Philadelphia</v>
      </c>
      <c r="J719" t="str">
        <f>INDEX(products!$A$1:$G$49,MATCH(orders!$D719,products!$A$1:$A$49,0),MATCH(orders!J$1,products!$A$1:$G$1,0))</f>
        <v>Ara</v>
      </c>
      <c r="K719" t="str">
        <f>INDEX(products!$A$1:$G$49,MATCH(orders!$D719,products!$A$1:$A$49,0),MATCH(orders!K$1,products!$A$1:$G$1,0))</f>
        <v>D</v>
      </c>
      <c r="L719" s="4">
        <f>INDEX(products!$A$1:$G$49,MATCH(orders!$D719,products!$A$1:$A$49,0),MATCH(orders!L$1,products!$A$1:$G$1,0))</f>
        <v>2.5</v>
      </c>
      <c r="M719" s="5">
        <f>INDEX(products!$A$1:$G$49,MATCH(orders!$D719,products!$A$1:$A$49,0),MATCH(orders!M$1,products!$A$1:$G$1,0))</f>
        <v>22.884999999999998</v>
      </c>
      <c r="N719" s="5">
        <f>Orders[[#This Row],[Quantity]]*(INDEX(products!$A$1:$G$49,MATCH(orders!$D719,products!$A$1:$A$49,0),MATCH(orders!N$1,products!$A$1:$G$1,0)))</f>
        <v>6.1789499999999986</v>
      </c>
      <c r="O719" s="5">
        <f>M719*E719</f>
        <v>68.655000000000001</v>
      </c>
      <c r="P719" t="str">
        <f t="shared" si="22"/>
        <v>Arabica</v>
      </c>
      <c r="Q719" t="str">
        <f t="shared" si="23"/>
        <v>Dark</v>
      </c>
      <c r="R719" t="str">
        <f>_xlfn.XLOOKUP(Orders[[#This Row],[Customer ID]],customers!$A$1:$A$1001,customers!$I$1:$I$1001,,0)</f>
        <v>No</v>
      </c>
    </row>
    <row r="720" spans="1:18" x14ac:dyDescent="0.35">
      <c r="A720" s="2" t="s">
        <v>4545</v>
      </c>
      <c r="B720" s="3">
        <v>44348</v>
      </c>
      <c r="C720" s="2" t="s">
        <v>4546</v>
      </c>
      <c r="D720" t="s">
        <v>6143</v>
      </c>
      <c r="E720" s="2">
        <v>3</v>
      </c>
      <c r="F720" s="2" t="str">
        <f>_xlfn.XLOOKUP(Orders[[#This Row],[Customer ID]],customers!$A$1:$A$1001,customers!$B$1:$B$1001,,0)</f>
        <v>Darice Heaford</v>
      </c>
      <c r="G720" s="2" t="str">
        <f>IF(_xlfn.XLOOKUP(C720,customers!$A$1:$A$1001,customers!C719:C1719,,0)=0,"",_xlfn.XLOOKUP(C720,customers!$A$1:$A$1001,customers!C719:C1719,,0))</f>
        <v/>
      </c>
      <c r="H720" s="2" t="str">
        <f>_xlfn.XLOOKUP(Orders[[#This Row],[Customer ID]],customers!$A$1:$A$1001,customers!$G$1:$G$1001,,0)</f>
        <v>United States</v>
      </c>
      <c r="I720" s="2" t="str">
        <f>_xlfn.XLOOKUP(Orders[[#This Row],[Customer ID]],customers!$A$1:$A$1001,customers!$F$1:$F$1001,,0)</f>
        <v>San Angelo</v>
      </c>
      <c r="J720" t="str">
        <f>INDEX(products!$A$1:$G$49,MATCH(orders!$D720,products!$A$1:$A$49,0),MATCH(orders!J$1,products!$A$1:$G$1,0))</f>
        <v>Lib</v>
      </c>
      <c r="K720" t="str">
        <f>INDEX(products!$A$1:$G$49,MATCH(orders!$D720,products!$A$1:$A$49,0),MATCH(orders!K$1,products!$A$1:$G$1,0))</f>
        <v>D</v>
      </c>
      <c r="L720" s="4">
        <f>INDEX(products!$A$1:$G$49,MATCH(orders!$D720,products!$A$1:$A$49,0),MATCH(orders!L$1,products!$A$1:$G$1,0))</f>
        <v>1</v>
      </c>
      <c r="M720" s="5">
        <f>INDEX(products!$A$1:$G$49,MATCH(orders!$D720,products!$A$1:$A$49,0),MATCH(orders!M$1,products!$A$1:$G$1,0))</f>
        <v>12.95</v>
      </c>
      <c r="N720" s="5">
        <f>Orders[[#This Row],[Quantity]]*(INDEX(products!$A$1:$G$49,MATCH(orders!$D720,products!$A$1:$A$49,0),MATCH(orders!N$1,products!$A$1:$G$1,0)))</f>
        <v>5.0504999999999995</v>
      </c>
      <c r="O720" s="5">
        <f>M720*E720</f>
        <v>38.849999999999994</v>
      </c>
      <c r="P720" t="str">
        <f t="shared" si="22"/>
        <v>Liberica</v>
      </c>
      <c r="Q720" t="str">
        <f t="shared" si="23"/>
        <v>Dark</v>
      </c>
      <c r="R720" t="str">
        <f>_xlfn.XLOOKUP(Orders[[#This Row],[Customer ID]],customers!$A$1:$A$1001,customers!$I$1:$I$1001,,0)</f>
        <v>No</v>
      </c>
    </row>
    <row r="721" spans="1:18" x14ac:dyDescent="0.35">
      <c r="A721" s="2" t="s">
        <v>4551</v>
      </c>
      <c r="B721" s="3">
        <v>44150</v>
      </c>
      <c r="C721" s="2" t="s">
        <v>4552</v>
      </c>
      <c r="D721" t="s">
        <v>6170</v>
      </c>
      <c r="E721" s="2">
        <v>5</v>
      </c>
      <c r="F721" s="2" t="str">
        <f>_xlfn.XLOOKUP(Orders[[#This Row],[Customer ID]],customers!$A$1:$A$1001,customers!$B$1:$B$1001,,0)</f>
        <v>Granger Fantham</v>
      </c>
      <c r="G721" s="2" t="str">
        <f>IF(_xlfn.XLOOKUP(C721,customers!$A$1:$A$1001,customers!C720:C1720,,0)=0,"",_xlfn.XLOOKUP(C721,customers!$A$1:$A$1001,customers!C720:C1720,,0))</f>
        <v/>
      </c>
      <c r="H721" s="2" t="str">
        <f>_xlfn.XLOOKUP(Orders[[#This Row],[Customer ID]],customers!$A$1:$A$1001,customers!$G$1:$G$1001,,0)</f>
        <v>United States</v>
      </c>
      <c r="I721" s="2" t="str">
        <f>_xlfn.XLOOKUP(Orders[[#This Row],[Customer ID]],customers!$A$1:$A$1001,customers!$F$1:$F$1001,,0)</f>
        <v>Los Angeles</v>
      </c>
      <c r="J721" t="str">
        <f>INDEX(products!$A$1:$G$49,MATCH(orders!$D721,products!$A$1:$A$49,0),MATCH(orders!J$1,products!$A$1:$G$1,0))</f>
        <v>Lib</v>
      </c>
      <c r="K721" t="str">
        <f>INDEX(products!$A$1:$G$49,MATCH(orders!$D721,products!$A$1:$A$49,0),MATCH(orders!K$1,products!$A$1:$G$1,0))</f>
        <v>L</v>
      </c>
      <c r="L721" s="4">
        <f>INDEX(products!$A$1:$G$49,MATCH(orders!$D721,products!$A$1:$A$49,0),MATCH(orders!L$1,products!$A$1:$G$1,0))</f>
        <v>1</v>
      </c>
      <c r="M721" s="5">
        <f>INDEX(products!$A$1:$G$49,MATCH(orders!$D721,products!$A$1:$A$49,0),MATCH(orders!M$1,products!$A$1:$G$1,0))</f>
        <v>15.85</v>
      </c>
      <c r="N721" s="5">
        <f>Orders[[#This Row],[Quantity]]*(INDEX(products!$A$1:$G$49,MATCH(orders!$D721,products!$A$1:$A$49,0),MATCH(orders!N$1,products!$A$1:$G$1,0)))</f>
        <v>10.302500000000002</v>
      </c>
      <c r="O721" s="5">
        <f>M721*E721</f>
        <v>79.25</v>
      </c>
      <c r="P721" t="str">
        <f t="shared" si="22"/>
        <v>Liberica</v>
      </c>
      <c r="Q721" t="str">
        <f t="shared" si="23"/>
        <v>Light</v>
      </c>
      <c r="R721" t="str">
        <f>_xlfn.XLOOKUP(Orders[[#This Row],[Customer ID]],customers!$A$1:$A$1001,customers!$I$1:$I$1001,,0)</f>
        <v>Yes</v>
      </c>
    </row>
    <row r="722" spans="1:18" x14ac:dyDescent="0.35">
      <c r="A722" s="2" t="s">
        <v>4557</v>
      </c>
      <c r="B722" s="3">
        <v>44215</v>
      </c>
      <c r="C722" s="2" t="s">
        <v>4558</v>
      </c>
      <c r="D722" t="s">
        <v>6144</v>
      </c>
      <c r="E722" s="2">
        <v>5</v>
      </c>
      <c r="F722" s="2" t="str">
        <f>_xlfn.XLOOKUP(Orders[[#This Row],[Customer ID]],customers!$A$1:$A$1001,customers!$B$1:$B$1001,,0)</f>
        <v>Reynolds Crookshanks</v>
      </c>
      <c r="G722" s="2" t="str">
        <f>IF(_xlfn.XLOOKUP(C722,customers!$A$1:$A$1001,customers!C721:C1721,,0)=0,"",_xlfn.XLOOKUP(C722,customers!$A$1:$A$1001,customers!C721:C1721,,0))</f>
        <v/>
      </c>
      <c r="H722" s="2" t="str">
        <f>_xlfn.XLOOKUP(Orders[[#This Row],[Customer ID]],customers!$A$1:$A$1001,customers!$G$1:$G$1001,,0)</f>
        <v>United States</v>
      </c>
      <c r="I722" s="2" t="str">
        <f>_xlfn.XLOOKUP(Orders[[#This Row],[Customer ID]],customers!$A$1:$A$1001,customers!$F$1:$F$1001,,0)</f>
        <v>Lansing</v>
      </c>
      <c r="J722" t="str">
        <f>INDEX(products!$A$1:$G$49,MATCH(orders!$D722,products!$A$1:$A$49,0),MATCH(orders!J$1,products!$A$1:$G$1,0))</f>
        <v>Exc</v>
      </c>
      <c r="K722" t="str">
        <f>INDEX(products!$A$1:$G$49,MATCH(orders!$D722,products!$A$1:$A$49,0),MATCH(orders!K$1,products!$A$1:$G$1,0))</f>
        <v>D</v>
      </c>
      <c r="L722" s="4">
        <f>INDEX(products!$A$1:$G$49,MATCH(orders!$D722,products!$A$1:$A$49,0),MATCH(orders!L$1,products!$A$1:$G$1,0))</f>
        <v>0.5</v>
      </c>
      <c r="M722" s="5">
        <f>INDEX(products!$A$1:$G$49,MATCH(orders!$D722,products!$A$1:$A$49,0),MATCH(orders!M$1,products!$A$1:$G$1,0))</f>
        <v>7.29</v>
      </c>
      <c r="N722" s="5">
        <f>Orders[[#This Row],[Quantity]]*(INDEX(products!$A$1:$G$49,MATCH(orders!$D722,products!$A$1:$A$49,0),MATCH(orders!N$1,products!$A$1:$G$1,0)))</f>
        <v>4.0095000000000001</v>
      </c>
      <c r="O722" s="5">
        <f>M722*E722</f>
        <v>36.450000000000003</v>
      </c>
      <c r="P722" t="str">
        <f t="shared" si="22"/>
        <v>Excelsa</v>
      </c>
      <c r="Q722" t="str">
        <f t="shared" si="23"/>
        <v>Dark</v>
      </c>
      <c r="R722" t="str">
        <f>_xlfn.XLOOKUP(Orders[[#This Row],[Customer ID]],customers!$A$1:$A$1001,customers!$I$1:$I$1001,,0)</f>
        <v>Yes</v>
      </c>
    </row>
    <row r="723" spans="1:18" x14ac:dyDescent="0.35">
      <c r="A723" s="2" t="s">
        <v>4563</v>
      </c>
      <c r="B723" s="3">
        <v>44479</v>
      </c>
      <c r="C723" s="2" t="s">
        <v>4564</v>
      </c>
      <c r="D723" t="s">
        <v>6174</v>
      </c>
      <c r="E723" s="2">
        <v>3</v>
      </c>
      <c r="F723" s="2" t="str">
        <f>_xlfn.XLOOKUP(Orders[[#This Row],[Customer ID]],customers!$A$1:$A$1001,customers!$B$1:$B$1001,,0)</f>
        <v>Niels Leake</v>
      </c>
      <c r="G723" s="2" t="str">
        <f>IF(_xlfn.XLOOKUP(C723,customers!$A$1:$A$1001,customers!C722:C1722,,0)=0,"",_xlfn.XLOOKUP(C723,customers!$A$1:$A$1001,customers!C722:C1722,,0))</f>
        <v/>
      </c>
      <c r="H723" s="2" t="str">
        <f>_xlfn.XLOOKUP(Orders[[#This Row],[Customer ID]],customers!$A$1:$A$1001,customers!$G$1:$G$1001,,0)</f>
        <v>United States</v>
      </c>
      <c r="I723" s="2" t="str">
        <f>_xlfn.XLOOKUP(Orders[[#This Row],[Customer ID]],customers!$A$1:$A$1001,customers!$F$1:$F$1001,,0)</f>
        <v>Clearwater</v>
      </c>
      <c r="J723" t="str">
        <f>INDEX(products!$A$1:$G$49,MATCH(orders!$D723,products!$A$1:$A$49,0),MATCH(orders!J$1,products!$A$1:$G$1,0))</f>
        <v>Rob</v>
      </c>
      <c r="K723" t="str">
        <f>INDEX(products!$A$1:$G$49,MATCH(orders!$D723,products!$A$1:$A$49,0),MATCH(orders!K$1,products!$A$1:$G$1,0))</f>
        <v>M</v>
      </c>
      <c r="L723" s="4">
        <f>INDEX(products!$A$1:$G$49,MATCH(orders!$D723,products!$A$1:$A$49,0),MATCH(orders!L$1,products!$A$1:$G$1,0))</f>
        <v>0.2</v>
      </c>
      <c r="M723" s="5">
        <f>INDEX(products!$A$1:$G$49,MATCH(orders!$D723,products!$A$1:$A$49,0),MATCH(orders!M$1,products!$A$1:$G$1,0))</f>
        <v>2.9849999999999999</v>
      </c>
      <c r="N723" s="5">
        <f>Orders[[#This Row],[Quantity]]*(INDEX(products!$A$1:$G$49,MATCH(orders!$D723,products!$A$1:$A$49,0),MATCH(orders!N$1,products!$A$1:$G$1,0)))</f>
        <v>0.53729999999999989</v>
      </c>
      <c r="O723" s="5">
        <f>M723*E723</f>
        <v>8.9550000000000001</v>
      </c>
      <c r="P723" t="str">
        <f t="shared" si="22"/>
        <v>Robusta</v>
      </c>
      <c r="Q723" t="str">
        <f t="shared" si="23"/>
        <v>Medium</v>
      </c>
      <c r="R723" t="str">
        <f>_xlfn.XLOOKUP(Orders[[#This Row],[Customer ID]],customers!$A$1:$A$1001,customers!$I$1:$I$1001,,0)</f>
        <v>Yes</v>
      </c>
    </row>
    <row r="724" spans="1:18" x14ac:dyDescent="0.35">
      <c r="A724" s="2" t="s">
        <v>4569</v>
      </c>
      <c r="B724" s="3">
        <v>44620</v>
      </c>
      <c r="C724" s="2" t="s">
        <v>4570</v>
      </c>
      <c r="D724" t="s">
        <v>6183</v>
      </c>
      <c r="E724" s="2">
        <v>2</v>
      </c>
      <c r="F724" s="2" t="str">
        <f>_xlfn.XLOOKUP(Orders[[#This Row],[Customer ID]],customers!$A$1:$A$1001,customers!$B$1:$B$1001,,0)</f>
        <v>Hetti Measures</v>
      </c>
      <c r="G724" s="2" t="str">
        <f>IF(_xlfn.XLOOKUP(C724,customers!$A$1:$A$1001,customers!C723:C1723,,0)=0,"",_xlfn.XLOOKUP(C724,customers!$A$1:$A$1001,customers!C723:C1723,,0))</f>
        <v/>
      </c>
      <c r="H724" s="2" t="str">
        <f>_xlfn.XLOOKUP(Orders[[#This Row],[Customer ID]],customers!$A$1:$A$1001,customers!$G$1:$G$1001,,0)</f>
        <v>United States</v>
      </c>
      <c r="I724" s="2" t="str">
        <f>_xlfn.XLOOKUP(Orders[[#This Row],[Customer ID]],customers!$A$1:$A$1001,customers!$F$1:$F$1001,,0)</f>
        <v>Whittier</v>
      </c>
      <c r="J724" t="str">
        <f>INDEX(products!$A$1:$G$49,MATCH(orders!$D724,products!$A$1:$A$49,0),MATCH(orders!J$1,products!$A$1:$G$1,0))</f>
        <v>Exc</v>
      </c>
      <c r="K724" t="str">
        <f>INDEX(products!$A$1:$G$49,MATCH(orders!$D724,products!$A$1:$A$49,0),MATCH(orders!K$1,products!$A$1:$G$1,0))</f>
        <v>D</v>
      </c>
      <c r="L724" s="4">
        <f>INDEX(products!$A$1:$G$49,MATCH(orders!$D724,products!$A$1:$A$49,0),MATCH(orders!L$1,products!$A$1:$G$1,0))</f>
        <v>1</v>
      </c>
      <c r="M724" s="5">
        <f>INDEX(products!$A$1:$G$49,MATCH(orders!$D724,products!$A$1:$A$49,0),MATCH(orders!M$1,products!$A$1:$G$1,0))</f>
        <v>12.15</v>
      </c>
      <c r="N724" s="5">
        <f>Orders[[#This Row],[Quantity]]*(INDEX(products!$A$1:$G$49,MATCH(orders!$D724,products!$A$1:$A$49,0),MATCH(orders!N$1,products!$A$1:$G$1,0)))</f>
        <v>2.673</v>
      </c>
      <c r="O724" s="5">
        <f>M724*E724</f>
        <v>24.3</v>
      </c>
      <c r="P724" t="str">
        <f t="shared" si="22"/>
        <v>Excelsa</v>
      </c>
      <c r="Q724" t="str">
        <f t="shared" si="23"/>
        <v>Dark</v>
      </c>
      <c r="R724" t="str">
        <f>_xlfn.XLOOKUP(Orders[[#This Row],[Customer ID]],customers!$A$1:$A$1001,customers!$I$1:$I$1001,,0)</f>
        <v>No</v>
      </c>
    </row>
    <row r="725" spans="1:18" x14ac:dyDescent="0.35">
      <c r="A725" s="2" t="s">
        <v>4574</v>
      </c>
      <c r="B725" s="3">
        <v>44470</v>
      </c>
      <c r="C725" s="2" t="s">
        <v>4575</v>
      </c>
      <c r="D725" t="s">
        <v>6166</v>
      </c>
      <c r="E725" s="2">
        <v>2</v>
      </c>
      <c r="F725" s="2" t="str">
        <f>_xlfn.XLOOKUP(Orders[[#This Row],[Customer ID]],customers!$A$1:$A$1001,customers!$B$1:$B$1001,,0)</f>
        <v>Gay Eilhersen</v>
      </c>
      <c r="G725" s="2" t="str">
        <f>IF(_xlfn.XLOOKUP(C725,customers!$A$1:$A$1001,customers!C724:C1724,,0)=0,"",_xlfn.XLOOKUP(C725,customers!$A$1:$A$1001,customers!C724:C1724,,0))</f>
        <v/>
      </c>
      <c r="H725" s="2" t="str">
        <f>_xlfn.XLOOKUP(Orders[[#This Row],[Customer ID]],customers!$A$1:$A$1001,customers!$G$1:$G$1001,,0)</f>
        <v>United States</v>
      </c>
      <c r="I725" s="2" t="str">
        <f>_xlfn.XLOOKUP(Orders[[#This Row],[Customer ID]],customers!$A$1:$A$1001,customers!$F$1:$F$1001,,0)</f>
        <v>Fresno</v>
      </c>
      <c r="J725" t="str">
        <f>INDEX(products!$A$1:$G$49,MATCH(orders!$D725,products!$A$1:$A$49,0),MATCH(orders!J$1,products!$A$1:$G$1,0))</f>
        <v>Exc</v>
      </c>
      <c r="K725" t="str">
        <f>INDEX(products!$A$1:$G$49,MATCH(orders!$D725,products!$A$1:$A$49,0),MATCH(orders!K$1,products!$A$1:$G$1,0))</f>
        <v>M</v>
      </c>
      <c r="L725" s="4">
        <f>INDEX(products!$A$1:$G$49,MATCH(orders!$D725,products!$A$1:$A$49,0),MATCH(orders!L$1,products!$A$1:$G$1,0))</f>
        <v>2.5</v>
      </c>
      <c r="M725" s="5">
        <f>INDEX(products!$A$1:$G$49,MATCH(orders!$D725,products!$A$1:$A$49,0),MATCH(orders!M$1,products!$A$1:$G$1,0))</f>
        <v>31.624999999999996</v>
      </c>
      <c r="N725" s="5">
        <f>Orders[[#This Row],[Quantity]]*(INDEX(products!$A$1:$G$49,MATCH(orders!$D725,products!$A$1:$A$49,0),MATCH(orders!N$1,products!$A$1:$G$1,0)))</f>
        <v>6.9574999999999996</v>
      </c>
      <c r="O725" s="5">
        <f>M725*E725</f>
        <v>63.249999999999993</v>
      </c>
      <c r="P725" t="str">
        <f t="shared" si="22"/>
        <v>Excelsa</v>
      </c>
      <c r="Q725" t="str">
        <f t="shared" si="23"/>
        <v>Medium</v>
      </c>
      <c r="R725" t="str">
        <f>_xlfn.XLOOKUP(Orders[[#This Row],[Customer ID]],customers!$A$1:$A$1001,customers!$I$1:$I$1001,,0)</f>
        <v>No</v>
      </c>
    </row>
    <row r="726" spans="1:18" x14ac:dyDescent="0.35">
      <c r="A726" s="2" t="s">
        <v>4580</v>
      </c>
      <c r="B726" s="3">
        <v>44076</v>
      </c>
      <c r="C726" s="2" t="s">
        <v>4581</v>
      </c>
      <c r="D726" t="s">
        <v>6152</v>
      </c>
      <c r="E726" s="2">
        <v>2</v>
      </c>
      <c r="F726" s="2" t="str">
        <f>_xlfn.XLOOKUP(Orders[[#This Row],[Customer ID]],customers!$A$1:$A$1001,customers!$B$1:$B$1001,,0)</f>
        <v>Nico Hubert</v>
      </c>
      <c r="G726" s="2" t="str">
        <f>IF(_xlfn.XLOOKUP(C726,customers!$A$1:$A$1001,customers!C725:C1725,,0)=0,"",_xlfn.XLOOKUP(C726,customers!$A$1:$A$1001,customers!C725:C1725,,0))</f>
        <v/>
      </c>
      <c r="H726" s="2" t="str">
        <f>_xlfn.XLOOKUP(Orders[[#This Row],[Customer ID]],customers!$A$1:$A$1001,customers!$G$1:$G$1001,,0)</f>
        <v>United States</v>
      </c>
      <c r="I726" s="2" t="str">
        <f>_xlfn.XLOOKUP(Orders[[#This Row],[Customer ID]],customers!$A$1:$A$1001,customers!$F$1:$F$1001,,0)</f>
        <v>New York City</v>
      </c>
      <c r="J726" t="str">
        <f>INDEX(products!$A$1:$G$49,MATCH(orders!$D726,products!$A$1:$A$49,0),MATCH(orders!J$1,products!$A$1:$G$1,0))</f>
        <v>Ara</v>
      </c>
      <c r="K726" t="str">
        <f>INDEX(products!$A$1:$G$49,MATCH(orders!$D726,products!$A$1:$A$49,0),MATCH(orders!K$1,products!$A$1:$G$1,0))</f>
        <v>M</v>
      </c>
      <c r="L726" s="4">
        <f>INDEX(products!$A$1:$G$49,MATCH(orders!$D726,products!$A$1:$A$49,0),MATCH(orders!L$1,products!$A$1:$G$1,0))</f>
        <v>0.2</v>
      </c>
      <c r="M726" s="5">
        <f>INDEX(products!$A$1:$G$49,MATCH(orders!$D726,products!$A$1:$A$49,0),MATCH(orders!M$1,products!$A$1:$G$1,0))</f>
        <v>3.375</v>
      </c>
      <c r="N726" s="5">
        <f>Orders[[#This Row],[Quantity]]*(INDEX(products!$A$1:$G$49,MATCH(orders!$D726,products!$A$1:$A$49,0),MATCH(orders!N$1,products!$A$1:$G$1,0)))</f>
        <v>0.60749999999999993</v>
      </c>
      <c r="O726" s="5">
        <f>M726*E726</f>
        <v>6.75</v>
      </c>
      <c r="P726" t="str">
        <f t="shared" si="22"/>
        <v>Arabica</v>
      </c>
      <c r="Q726" t="str">
        <f t="shared" si="23"/>
        <v>Medium</v>
      </c>
      <c r="R726" t="str">
        <f>_xlfn.XLOOKUP(Orders[[#This Row],[Customer ID]],customers!$A$1:$A$1001,customers!$I$1:$I$1001,,0)</f>
        <v>Yes</v>
      </c>
    </row>
    <row r="727" spans="1:18" x14ac:dyDescent="0.35">
      <c r="A727" s="2" t="s">
        <v>4585</v>
      </c>
      <c r="B727" s="3">
        <v>44043</v>
      </c>
      <c r="C727" s="2" t="s">
        <v>4586</v>
      </c>
      <c r="D727" t="s">
        <v>6167</v>
      </c>
      <c r="E727" s="2">
        <v>6</v>
      </c>
      <c r="F727" s="2" t="str">
        <f>_xlfn.XLOOKUP(Orders[[#This Row],[Customer ID]],customers!$A$1:$A$1001,customers!$B$1:$B$1001,,0)</f>
        <v>Cristina Aleixo</v>
      </c>
      <c r="G727" s="2" t="str">
        <f>IF(_xlfn.XLOOKUP(C727,customers!$A$1:$A$1001,customers!C726:C1726,,0)=0,"",_xlfn.XLOOKUP(C727,customers!$A$1:$A$1001,customers!C726:C1726,,0))</f>
        <v/>
      </c>
      <c r="H727" s="2" t="str">
        <f>_xlfn.XLOOKUP(Orders[[#This Row],[Customer ID]],customers!$A$1:$A$1001,customers!$G$1:$G$1001,,0)</f>
        <v>United States</v>
      </c>
      <c r="I727" s="2" t="str">
        <f>_xlfn.XLOOKUP(Orders[[#This Row],[Customer ID]],customers!$A$1:$A$1001,customers!$F$1:$F$1001,,0)</f>
        <v>Colorado Springs</v>
      </c>
      <c r="J727" t="str">
        <f>INDEX(products!$A$1:$G$49,MATCH(orders!$D727,products!$A$1:$A$49,0),MATCH(orders!J$1,products!$A$1:$G$1,0))</f>
        <v>Ara</v>
      </c>
      <c r="K727" t="str">
        <f>INDEX(products!$A$1:$G$49,MATCH(orders!$D727,products!$A$1:$A$49,0),MATCH(orders!K$1,products!$A$1:$G$1,0))</f>
        <v>L</v>
      </c>
      <c r="L727" s="4">
        <f>INDEX(products!$A$1:$G$49,MATCH(orders!$D727,products!$A$1:$A$49,0),MATCH(orders!L$1,products!$A$1:$G$1,0))</f>
        <v>0.2</v>
      </c>
      <c r="M727" s="5">
        <f>INDEX(products!$A$1:$G$49,MATCH(orders!$D727,products!$A$1:$A$49,0),MATCH(orders!M$1,products!$A$1:$G$1,0))</f>
        <v>3.8849999999999998</v>
      </c>
      <c r="N727" s="5">
        <f>Orders[[#This Row],[Quantity]]*(INDEX(products!$A$1:$G$49,MATCH(orders!$D727,products!$A$1:$A$49,0),MATCH(orders!N$1,products!$A$1:$G$1,0)))</f>
        <v>2.0978999999999997</v>
      </c>
      <c r="O727" s="5">
        <f>M727*E727</f>
        <v>23.31</v>
      </c>
      <c r="P727" t="str">
        <f t="shared" si="22"/>
        <v>Arabica</v>
      </c>
      <c r="Q727" t="str">
        <f t="shared" si="23"/>
        <v>Light</v>
      </c>
      <c r="R727" t="str">
        <f>_xlfn.XLOOKUP(Orders[[#This Row],[Customer ID]],customers!$A$1:$A$1001,customers!$I$1:$I$1001,,0)</f>
        <v>No</v>
      </c>
    </row>
    <row r="728" spans="1:18" x14ac:dyDescent="0.35">
      <c r="A728" s="2" t="s">
        <v>4591</v>
      </c>
      <c r="B728" s="3">
        <v>44571</v>
      </c>
      <c r="C728" s="2" t="s">
        <v>4592</v>
      </c>
      <c r="D728" t="s">
        <v>6164</v>
      </c>
      <c r="E728" s="2">
        <v>4</v>
      </c>
      <c r="F728" s="2" t="str">
        <f>_xlfn.XLOOKUP(Orders[[#This Row],[Customer ID]],customers!$A$1:$A$1001,customers!$B$1:$B$1001,,0)</f>
        <v>Derrek Allpress</v>
      </c>
      <c r="G728" s="2" t="str">
        <f>IF(_xlfn.XLOOKUP(C728,customers!$A$1:$A$1001,customers!C727:C1727,,0)=0,"",_xlfn.XLOOKUP(C728,customers!$A$1:$A$1001,customers!C727:C1727,,0))</f>
        <v/>
      </c>
      <c r="H728" s="2" t="str">
        <f>_xlfn.XLOOKUP(Orders[[#This Row],[Customer ID]],customers!$A$1:$A$1001,customers!$G$1:$G$1001,,0)</f>
        <v>United States</v>
      </c>
      <c r="I728" s="2" t="str">
        <f>_xlfn.XLOOKUP(Orders[[#This Row],[Customer ID]],customers!$A$1:$A$1001,customers!$F$1:$F$1001,,0)</f>
        <v>Long Beach</v>
      </c>
      <c r="J728" t="str">
        <f>INDEX(products!$A$1:$G$49,MATCH(orders!$D728,products!$A$1:$A$49,0),MATCH(orders!J$1,products!$A$1:$G$1,0))</f>
        <v>Lib</v>
      </c>
      <c r="K728" t="str">
        <f>INDEX(products!$A$1:$G$49,MATCH(orders!$D728,products!$A$1:$A$49,0),MATCH(orders!K$1,products!$A$1:$G$1,0))</f>
        <v>L</v>
      </c>
      <c r="L728" s="4">
        <f>INDEX(products!$A$1:$G$49,MATCH(orders!$D728,products!$A$1:$A$49,0),MATCH(orders!L$1,products!$A$1:$G$1,0))</f>
        <v>2.5</v>
      </c>
      <c r="M728" s="5">
        <f>INDEX(products!$A$1:$G$49,MATCH(orders!$D728,products!$A$1:$A$49,0),MATCH(orders!M$1,products!$A$1:$G$1,0))</f>
        <v>36.454999999999998</v>
      </c>
      <c r="N728" s="5">
        <f>Orders[[#This Row],[Quantity]]*(INDEX(products!$A$1:$G$49,MATCH(orders!$D728,products!$A$1:$A$49,0),MATCH(orders!N$1,products!$A$1:$G$1,0)))</f>
        <v>18.956599999999998</v>
      </c>
      <c r="O728" s="5">
        <f>M728*E728</f>
        <v>145.82</v>
      </c>
      <c r="P728" t="str">
        <f t="shared" si="22"/>
        <v>Liberica</v>
      </c>
      <c r="Q728" t="str">
        <f t="shared" si="23"/>
        <v>Light</v>
      </c>
      <c r="R728" t="str">
        <f>_xlfn.XLOOKUP(Orders[[#This Row],[Customer ID]],customers!$A$1:$A$1001,customers!$I$1:$I$1001,,0)</f>
        <v>No</v>
      </c>
    </row>
    <row r="729" spans="1:18" x14ac:dyDescent="0.35">
      <c r="A729" s="2" t="s">
        <v>4596</v>
      </c>
      <c r="B729" s="3">
        <v>44264</v>
      </c>
      <c r="C729" s="2" t="s">
        <v>4597</v>
      </c>
      <c r="D729" t="s">
        <v>6146</v>
      </c>
      <c r="E729" s="2">
        <v>5</v>
      </c>
      <c r="F729" s="2" t="str">
        <f>_xlfn.XLOOKUP(Orders[[#This Row],[Customer ID]],customers!$A$1:$A$1001,customers!$B$1:$B$1001,,0)</f>
        <v>Rikki Tomkowicz</v>
      </c>
      <c r="G729" s="2" t="str">
        <f>IF(_xlfn.XLOOKUP(C729,customers!$A$1:$A$1001,customers!C728:C1728,,0)=0,"",_xlfn.XLOOKUP(C729,customers!$A$1:$A$1001,customers!C728:C1728,,0))</f>
        <v/>
      </c>
      <c r="H729" s="2" t="str">
        <f>_xlfn.XLOOKUP(Orders[[#This Row],[Customer ID]],customers!$A$1:$A$1001,customers!$G$1:$G$1001,,0)</f>
        <v>Ireland</v>
      </c>
      <c r="I729" s="2" t="str">
        <f>_xlfn.XLOOKUP(Orders[[#This Row],[Customer ID]],customers!$A$1:$A$1001,customers!$F$1:$F$1001,,0)</f>
        <v>Lusk</v>
      </c>
      <c r="J729" t="str">
        <f>INDEX(products!$A$1:$G$49,MATCH(orders!$D729,products!$A$1:$A$49,0),MATCH(orders!J$1,products!$A$1:$G$1,0))</f>
        <v>Rob</v>
      </c>
      <c r="K729" t="str">
        <f>INDEX(products!$A$1:$G$49,MATCH(orders!$D729,products!$A$1:$A$49,0),MATCH(orders!K$1,products!$A$1:$G$1,0))</f>
        <v>M</v>
      </c>
      <c r="L729" s="4">
        <f>INDEX(products!$A$1:$G$49,MATCH(orders!$D729,products!$A$1:$A$49,0),MATCH(orders!L$1,products!$A$1:$G$1,0))</f>
        <v>0.5</v>
      </c>
      <c r="M729" s="5">
        <f>INDEX(products!$A$1:$G$49,MATCH(orders!$D729,products!$A$1:$A$49,0),MATCH(orders!M$1,products!$A$1:$G$1,0))</f>
        <v>5.97</v>
      </c>
      <c r="N729" s="5">
        <f>Orders[[#This Row],[Quantity]]*(INDEX(products!$A$1:$G$49,MATCH(orders!$D729,products!$A$1:$A$49,0),MATCH(orders!N$1,products!$A$1:$G$1,0)))</f>
        <v>1.7909999999999999</v>
      </c>
      <c r="O729" s="5">
        <f>M729*E729</f>
        <v>29.849999999999998</v>
      </c>
      <c r="P729" t="str">
        <f t="shared" si="22"/>
        <v>Robusta</v>
      </c>
      <c r="Q729" t="str">
        <f t="shared" si="23"/>
        <v>Medium</v>
      </c>
      <c r="R729" t="str">
        <f>_xlfn.XLOOKUP(Orders[[#This Row],[Customer ID]],customers!$A$1:$A$1001,customers!$I$1:$I$1001,,0)</f>
        <v>Yes</v>
      </c>
    </row>
    <row r="730" spans="1:18" x14ac:dyDescent="0.35">
      <c r="A730" s="2" t="s">
        <v>4602</v>
      </c>
      <c r="B730" s="3">
        <v>44155</v>
      </c>
      <c r="C730" s="2" t="s">
        <v>4603</v>
      </c>
      <c r="D730" t="s">
        <v>6144</v>
      </c>
      <c r="E730" s="2">
        <v>3</v>
      </c>
      <c r="F730" s="2" t="str">
        <f>_xlfn.XLOOKUP(Orders[[#This Row],[Customer ID]],customers!$A$1:$A$1001,customers!$B$1:$B$1001,,0)</f>
        <v>Rochette Huscroft</v>
      </c>
      <c r="G730" s="2" t="str">
        <f>IF(_xlfn.XLOOKUP(C730,customers!$A$1:$A$1001,customers!C729:C1729,,0)=0,"",_xlfn.XLOOKUP(C730,customers!$A$1:$A$1001,customers!C729:C1729,,0))</f>
        <v/>
      </c>
      <c r="H730" s="2" t="str">
        <f>_xlfn.XLOOKUP(Orders[[#This Row],[Customer ID]],customers!$A$1:$A$1001,customers!$G$1:$G$1001,,0)</f>
        <v>United States</v>
      </c>
      <c r="I730" s="2" t="str">
        <f>_xlfn.XLOOKUP(Orders[[#This Row],[Customer ID]],customers!$A$1:$A$1001,customers!$F$1:$F$1001,,0)</f>
        <v>Reno</v>
      </c>
      <c r="J730" t="str">
        <f>INDEX(products!$A$1:$G$49,MATCH(orders!$D730,products!$A$1:$A$49,0),MATCH(orders!J$1,products!$A$1:$G$1,0))</f>
        <v>Exc</v>
      </c>
      <c r="K730" t="str">
        <f>INDEX(products!$A$1:$G$49,MATCH(orders!$D730,products!$A$1:$A$49,0),MATCH(orders!K$1,products!$A$1:$G$1,0))</f>
        <v>D</v>
      </c>
      <c r="L730" s="4">
        <f>INDEX(products!$A$1:$G$49,MATCH(orders!$D730,products!$A$1:$A$49,0),MATCH(orders!L$1,products!$A$1:$G$1,0))</f>
        <v>0.5</v>
      </c>
      <c r="M730" s="5">
        <f>INDEX(products!$A$1:$G$49,MATCH(orders!$D730,products!$A$1:$A$49,0),MATCH(orders!M$1,products!$A$1:$G$1,0))</f>
        <v>7.29</v>
      </c>
      <c r="N730" s="5">
        <f>Orders[[#This Row],[Quantity]]*(INDEX(products!$A$1:$G$49,MATCH(orders!$D730,products!$A$1:$A$49,0),MATCH(orders!N$1,products!$A$1:$G$1,0)))</f>
        <v>2.4057000000000004</v>
      </c>
      <c r="O730" s="5">
        <f>M730*E730</f>
        <v>21.87</v>
      </c>
      <c r="P730" t="str">
        <f t="shared" si="22"/>
        <v>Excelsa</v>
      </c>
      <c r="Q730" t="str">
        <f t="shared" si="23"/>
        <v>Dark</v>
      </c>
      <c r="R730" t="str">
        <f>_xlfn.XLOOKUP(Orders[[#This Row],[Customer ID]],customers!$A$1:$A$1001,customers!$I$1:$I$1001,,0)</f>
        <v>Yes</v>
      </c>
    </row>
    <row r="731" spans="1:18" x14ac:dyDescent="0.35">
      <c r="A731" s="2" t="s">
        <v>4608</v>
      </c>
      <c r="B731" s="3">
        <v>44634</v>
      </c>
      <c r="C731" s="2" t="s">
        <v>4609</v>
      </c>
      <c r="D731" t="s">
        <v>6159</v>
      </c>
      <c r="E731" s="2">
        <v>1</v>
      </c>
      <c r="F731" s="2" t="str">
        <f>_xlfn.XLOOKUP(Orders[[#This Row],[Customer ID]],customers!$A$1:$A$1001,customers!$B$1:$B$1001,,0)</f>
        <v>Selle Scurrer</v>
      </c>
      <c r="G731" s="2" t="str">
        <f>IF(_xlfn.XLOOKUP(C731,customers!$A$1:$A$1001,customers!C730:C1730,,0)=0,"",_xlfn.XLOOKUP(C731,customers!$A$1:$A$1001,customers!C730:C1730,,0))</f>
        <v/>
      </c>
      <c r="H731" s="2" t="str">
        <f>_xlfn.XLOOKUP(Orders[[#This Row],[Customer ID]],customers!$A$1:$A$1001,customers!$G$1:$G$1001,,0)</f>
        <v>United Kingdom</v>
      </c>
      <c r="I731" s="2" t="str">
        <f>_xlfn.XLOOKUP(Orders[[#This Row],[Customer ID]],customers!$A$1:$A$1001,customers!$F$1:$F$1001,,0)</f>
        <v>Upton</v>
      </c>
      <c r="J731" t="str">
        <f>INDEX(products!$A$1:$G$49,MATCH(orders!$D731,products!$A$1:$A$49,0),MATCH(orders!J$1,products!$A$1:$G$1,0))</f>
        <v>Lib</v>
      </c>
      <c r="K731" t="str">
        <f>INDEX(products!$A$1:$G$49,MATCH(orders!$D731,products!$A$1:$A$49,0),MATCH(orders!K$1,products!$A$1:$G$1,0))</f>
        <v>M</v>
      </c>
      <c r="L731" s="4">
        <f>INDEX(products!$A$1:$G$49,MATCH(orders!$D731,products!$A$1:$A$49,0),MATCH(orders!L$1,products!$A$1:$G$1,0))</f>
        <v>0.2</v>
      </c>
      <c r="M731" s="5">
        <f>INDEX(products!$A$1:$G$49,MATCH(orders!$D731,products!$A$1:$A$49,0),MATCH(orders!M$1,products!$A$1:$G$1,0))</f>
        <v>4.3650000000000002</v>
      </c>
      <c r="N731" s="5">
        <f>Orders[[#This Row],[Quantity]]*(INDEX(products!$A$1:$G$49,MATCH(orders!$D731,products!$A$1:$A$49,0),MATCH(orders!N$1,products!$A$1:$G$1,0)))</f>
        <v>0.56745000000000001</v>
      </c>
      <c r="O731" s="5">
        <f>M731*E731</f>
        <v>4.3650000000000002</v>
      </c>
      <c r="P731" t="str">
        <f t="shared" si="22"/>
        <v>Liberica</v>
      </c>
      <c r="Q731" t="str">
        <f t="shared" si="23"/>
        <v>Medium</v>
      </c>
      <c r="R731" t="str">
        <f>_xlfn.XLOOKUP(Orders[[#This Row],[Customer ID]],customers!$A$1:$A$1001,customers!$I$1:$I$1001,,0)</f>
        <v>No</v>
      </c>
    </row>
    <row r="732" spans="1:18" x14ac:dyDescent="0.35">
      <c r="A732" s="2" t="s">
        <v>4614</v>
      </c>
      <c r="B732" s="3">
        <v>43475</v>
      </c>
      <c r="C732" s="2" t="s">
        <v>4615</v>
      </c>
      <c r="D732" t="s">
        <v>6164</v>
      </c>
      <c r="E732" s="2">
        <v>1</v>
      </c>
      <c r="F732" s="2" t="str">
        <f>_xlfn.XLOOKUP(Orders[[#This Row],[Customer ID]],customers!$A$1:$A$1001,customers!$B$1:$B$1001,,0)</f>
        <v>Andie Rudram</v>
      </c>
      <c r="G732" s="2" t="str">
        <f>IF(_xlfn.XLOOKUP(C732,customers!$A$1:$A$1001,customers!C731:C1731,,0)=0,"",_xlfn.XLOOKUP(C732,customers!$A$1:$A$1001,customers!C731:C1731,,0))</f>
        <v/>
      </c>
      <c r="H732" s="2" t="str">
        <f>_xlfn.XLOOKUP(Orders[[#This Row],[Customer ID]],customers!$A$1:$A$1001,customers!$G$1:$G$1001,,0)</f>
        <v>United States</v>
      </c>
      <c r="I732" s="2" t="str">
        <f>_xlfn.XLOOKUP(Orders[[#This Row],[Customer ID]],customers!$A$1:$A$1001,customers!$F$1:$F$1001,,0)</f>
        <v>Las Vegas</v>
      </c>
      <c r="J732" t="str">
        <f>INDEX(products!$A$1:$G$49,MATCH(orders!$D732,products!$A$1:$A$49,0),MATCH(orders!J$1,products!$A$1:$G$1,0))</f>
        <v>Lib</v>
      </c>
      <c r="K732" t="str">
        <f>INDEX(products!$A$1:$G$49,MATCH(orders!$D732,products!$A$1:$A$49,0),MATCH(orders!K$1,products!$A$1:$G$1,0))</f>
        <v>L</v>
      </c>
      <c r="L732" s="4">
        <f>INDEX(products!$A$1:$G$49,MATCH(orders!$D732,products!$A$1:$A$49,0),MATCH(orders!L$1,products!$A$1:$G$1,0))</f>
        <v>2.5</v>
      </c>
      <c r="M732" s="5">
        <f>INDEX(products!$A$1:$G$49,MATCH(orders!$D732,products!$A$1:$A$49,0),MATCH(orders!M$1,products!$A$1:$G$1,0))</f>
        <v>36.454999999999998</v>
      </c>
      <c r="N732" s="5">
        <f>Orders[[#This Row],[Quantity]]*(INDEX(products!$A$1:$G$49,MATCH(orders!$D732,products!$A$1:$A$49,0),MATCH(orders!N$1,products!$A$1:$G$1,0)))</f>
        <v>4.7391499999999995</v>
      </c>
      <c r="O732" s="5">
        <f>M732*E732</f>
        <v>36.454999999999998</v>
      </c>
      <c r="P732" t="str">
        <f t="shared" si="22"/>
        <v>Liberica</v>
      </c>
      <c r="Q732" t="str">
        <f t="shared" si="23"/>
        <v>Light</v>
      </c>
      <c r="R732" t="str">
        <f>_xlfn.XLOOKUP(Orders[[#This Row],[Customer ID]],customers!$A$1:$A$1001,customers!$I$1:$I$1001,,0)</f>
        <v>No</v>
      </c>
    </row>
    <row r="733" spans="1:18" x14ac:dyDescent="0.35">
      <c r="A733" s="2" t="s">
        <v>4620</v>
      </c>
      <c r="B733" s="3">
        <v>44222</v>
      </c>
      <c r="C733" s="2" t="s">
        <v>4621</v>
      </c>
      <c r="D733" t="s">
        <v>6150</v>
      </c>
      <c r="E733" s="2">
        <v>4</v>
      </c>
      <c r="F733" s="2" t="str">
        <f>_xlfn.XLOOKUP(Orders[[#This Row],[Customer ID]],customers!$A$1:$A$1001,customers!$B$1:$B$1001,,0)</f>
        <v>Leta Clarricoates</v>
      </c>
      <c r="G733" s="2" t="str">
        <f>IF(_xlfn.XLOOKUP(C733,customers!$A$1:$A$1001,customers!C732:C1732,,0)=0,"",_xlfn.XLOOKUP(C733,customers!$A$1:$A$1001,customers!C732:C1732,,0))</f>
        <v/>
      </c>
      <c r="H733" s="2" t="str">
        <f>_xlfn.XLOOKUP(Orders[[#This Row],[Customer ID]],customers!$A$1:$A$1001,customers!$G$1:$G$1001,,0)</f>
        <v>United States</v>
      </c>
      <c r="I733" s="2" t="str">
        <f>_xlfn.XLOOKUP(Orders[[#This Row],[Customer ID]],customers!$A$1:$A$1001,customers!$F$1:$F$1001,,0)</f>
        <v>Wilmington</v>
      </c>
      <c r="J733" t="str">
        <f>INDEX(products!$A$1:$G$49,MATCH(orders!$D733,products!$A$1:$A$49,0),MATCH(orders!J$1,products!$A$1:$G$1,0))</f>
        <v>Lib</v>
      </c>
      <c r="K733" t="str">
        <f>INDEX(products!$A$1:$G$49,MATCH(orders!$D733,products!$A$1:$A$49,0),MATCH(orders!K$1,products!$A$1:$G$1,0))</f>
        <v>D</v>
      </c>
      <c r="L733" s="4">
        <f>INDEX(products!$A$1:$G$49,MATCH(orders!$D733,products!$A$1:$A$49,0),MATCH(orders!L$1,products!$A$1:$G$1,0))</f>
        <v>0.2</v>
      </c>
      <c r="M733" s="5">
        <f>INDEX(products!$A$1:$G$49,MATCH(orders!$D733,products!$A$1:$A$49,0),MATCH(orders!M$1,products!$A$1:$G$1,0))</f>
        <v>3.8849999999999998</v>
      </c>
      <c r="N733" s="5">
        <f>Orders[[#This Row],[Quantity]]*(INDEX(products!$A$1:$G$49,MATCH(orders!$D733,products!$A$1:$A$49,0),MATCH(orders!N$1,products!$A$1:$G$1,0)))</f>
        <v>2.0202</v>
      </c>
      <c r="O733" s="5">
        <f>M733*E733</f>
        <v>15.54</v>
      </c>
      <c r="P733" t="str">
        <f t="shared" si="22"/>
        <v>Liberica</v>
      </c>
      <c r="Q733" t="str">
        <f t="shared" si="23"/>
        <v>Dark</v>
      </c>
      <c r="R733" t="str">
        <f>_xlfn.XLOOKUP(Orders[[#This Row],[Customer ID]],customers!$A$1:$A$1001,customers!$I$1:$I$1001,,0)</f>
        <v>Yes</v>
      </c>
    </row>
    <row r="734" spans="1:18" x14ac:dyDescent="0.35">
      <c r="A734" s="2" t="s">
        <v>4625</v>
      </c>
      <c r="B734" s="3">
        <v>44312</v>
      </c>
      <c r="C734" s="2" t="s">
        <v>4626</v>
      </c>
      <c r="D734" t="s">
        <v>6184</v>
      </c>
      <c r="E734" s="2">
        <v>2</v>
      </c>
      <c r="F734" s="2" t="str">
        <f>_xlfn.XLOOKUP(Orders[[#This Row],[Customer ID]],customers!$A$1:$A$1001,customers!$B$1:$B$1001,,0)</f>
        <v>Jacquelyn Maha</v>
      </c>
      <c r="G734" s="2" t="str">
        <f>IF(_xlfn.XLOOKUP(C734,customers!$A$1:$A$1001,customers!C733:C1733,,0)=0,"",_xlfn.XLOOKUP(C734,customers!$A$1:$A$1001,customers!C733:C1733,,0))</f>
        <v/>
      </c>
      <c r="H734" s="2" t="str">
        <f>_xlfn.XLOOKUP(Orders[[#This Row],[Customer ID]],customers!$A$1:$A$1001,customers!$G$1:$G$1001,,0)</f>
        <v>United States</v>
      </c>
      <c r="I734" s="2" t="str">
        <f>_xlfn.XLOOKUP(Orders[[#This Row],[Customer ID]],customers!$A$1:$A$1001,customers!$F$1:$F$1001,,0)</f>
        <v>Reno</v>
      </c>
      <c r="J734" t="str">
        <f>INDEX(products!$A$1:$G$49,MATCH(orders!$D734,products!$A$1:$A$49,0),MATCH(orders!J$1,products!$A$1:$G$1,0))</f>
        <v>Exc</v>
      </c>
      <c r="K734" t="str">
        <f>INDEX(products!$A$1:$G$49,MATCH(orders!$D734,products!$A$1:$A$49,0),MATCH(orders!K$1,products!$A$1:$G$1,0))</f>
        <v>L</v>
      </c>
      <c r="L734" s="4">
        <f>INDEX(products!$A$1:$G$49,MATCH(orders!$D734,products!$A$1:$A$49,0),MATCH(orders!L$1,products!$A$1:$G$1,0))</f>
        <v>0.2</v>
      </c>
      <c r="M734" s="5">
        <f>INDEX(products!$A$1:$G$49,MATCH(orders!$D734,products!$A$1:$A$49,0),MATCH(orders!M$1,products!$A$1:$G$1,0))</f>
        <v>4.4550000000000001</v>
      </c>
      <c r="N734" s="5">
        <f>Orders[[#This Row],[Quantity]]*(INDEX(products!$A$1:$G$49,MATCH(orders!$D734,products!$A$1:$A$49,0),MATCH(orders!N$1,products!$A$1:$G$1,0)))</f>
        <v>0.98009999999999997</v>
      </c>
      <c r="O734" s="5">
        <f>M734*E734</f>
        <v>8.91</v>
      </c>
      <c r="P734" t="str">
        <f t="shared" si="22"/>
        <v>Excelsa</v>
      </c>
      <c r="Q734" t="str">
        <f t="shared" si="23"/>
        <v>Light</v>
      </c>
      <c r="R734" t="str">
        <f>_xlfn.XLOOKUP(Orders[[#This Row],[Customer ID]],customers!$A$1:$A$1001,customers!$I$1:$I$1001,,0)</f>
        <v>No</v>
      </c>
    </row>
    <row r="735" spans="1:18" x14ac:dyDescent="0.35">
      <c r="A735" s="2" t="s">
        <v>4631</v>
      </c>
      <c r="B735" s="3">
        <v>44565</v>
      </c>
      <c r="C735" s="2" t="s">
        <v>4632</v>
      </c>
      <c r="D735" t="s">
        <v>6181</v>
      </c>
      <c r="E735" s="2">
        <v>3</v>
      </c>
      <c r="F735" s="2" t="str">
        <f>_xlfn.XLOOKUP(Orders[[#This Row],[Customer ID]],customers!$A$1:$A$1001,customers!$B$1:$B$1001,,0)</f>
        <v>Glory Clemon</v>
      </c>
      <c r="G735" s="2" t="str">
        <f>IF(_xlfn.XLOOKUP(C735,customers!$A$1:$A$1001,customers!C734:C1734,,0)=0,"",_xlfn.XLOOKUP(C735,customers!$A$1:$A$1001,customers!C734:C1734,,0))</f>
        <v/>
      </c>
      <c r="H735" s="2" t="str">
        <f>_xlfn.XLOOKUP(Orders[[#This Row],[Customer ID]],customers!$A$1:$A$1001,customers!$G$1:$G$1001,,0)</f>
        <v>United States</v>
      </c>
      <c r="I735" s="2" t="str">
        <f>_xlfn.XLOOKUP(Orders[[#This Row],[Customer ID]],customers!$A$1:$A$1001,customers!$F$1:$F$1001,,0)</f>
        <v>Tuscaloosa</v>
      </c>
      <c r="J735" t="str">
        <f>INDEX(products!$A$1:$G$49,MATCH(orders!$D735,products!$A$1:$A$49,0),MATCH(orders!J$1,products!$A$1:$G$1,0))</f>
        <v>Lib</v>
      </c>
      <c r="K735" t="str">
        <f>INDEX(products!$A$1:$G$49,MATCH(orders!$D735,products!$A$1:$A$49,0),MATCH(orders!K$1,products!$A$1:$G$1,0))</f>
        <v>M</v>
      </c>
      <c r="L735" s="4">
        <f>INDEX(products!$A$1:$G$49,MATCH(orders!$D735,products!$A$1:$A$49,0),MATCH(orders!L$1,products!$A$1:$G$1,0))</f>
        <v>2.5</v>
      </c>
      <c r="M735" s="5">
        <f>INDEX(products!$A$1:$G$49,MATCH(orders!$D735,products!$A$1:$A$49,0),MATCH(orders!M$1,products!$A$1:$G$1,0))</f>
        <v>33.464999999999996</v>
      </c>
      <c r="N735" s="5">
        <f>Orders[[#This Row],[Quantity]]*(INDEX(products!$A$1:$G$49,MATCH(orders!$D735,products!$A$1:$A$49,0),MATCH(orders!N$1,products!$A$1:$G$1,0)))</f>
        <v>13.051349999999999</v>
      </c>
      <c r="O735" s="5">
        <f>M735*E735</f>
        <v>100.39499999999998</v>
      </c>
      <c r="P735" t="str">
        <f t="shared" si="22"/>
        <v>Liberica</v>
      </c>
      <c r="Q735" t="str">
        <f t="shared" si="23"/>
        <v>Medium</v>
      </c>
      <c r="R735" t="str">
        <f>_xlfn.XLOOKUP(Orders[[#This Row],[Customer ID]],customers!$A$1:$A$1001,customers!$I$1:$I$1001,,0)</f>
        <v>Yes</v>
      </c>
    </row>
    <row r="736" spans="1:18" x14ac:dyDescent="0.35">
      <c r="A736" s="2" t="s">
        <v>4637</v>
      </c>
      <c r="B736" s="3">
        <v>43697</v>
      </c>
      <c r="C736" s="2" t="s">
        <v>4638</v>
      </c>
      <c r="D736" t="s">
        <v>6163</v>
      </c>
      <c r="E736" s="2">
        <v>5</v>
      </c>
      <c r="F736" s="2" t="str">
        <f>_xlfn.XLOOKUP(Orders[[#This Row],[Customer ID]],customers!$A$1:$A$1001,customers!$B$1:$B$1001,,0)</f>
        <v>Alica Kift</v>
      </c>
      <c r="G736" s="2" t="str">
        <f>IF(_xlfn.XLOOKUP(C736,customers!$A$1:$A$1001,customers!C735:C1735,,0)=0,"",_xlfn.XLOOKUP(C736,customers!$A$1:$A$1001,customers!C735:C1735,,0))</f>
        <v/>
      </c>
      <c r="H736" s="2" t="str">
        <f>_xlfn.XLOOKUP(Orders[[#This Row],[Customer ID]],customers!$A$1:$A$1001,customers!$G$1:$G$1001,,0)</f>
        <v>United States</v>
      </c>
      <c r="I736" s="2" t="str">
        <f>_xlfn.XLOOKUP(Orders[[#This Row],[Customer ID]],customers!$A$1:$A$1001,customers!$F$1:$F$1001,,0)</f>
        <v>Garden Grove</v>
      </c>
      <c r="J736" t="str">
        <f>INDEX(products!$A$1:$G$49,MATCH(orders!$D736,products!$A$1:$A$49,0),MATCH(orders!J$1,products!$A$1:$G$1,0))</f>
        <v>Rob</v>
      </c>
      <c r="K736" t="str">
        <f>INDEX(products!$A$1:$G$49,MATCH(orders!$D736,products!$A$1:$A$49,0),MATCH(orders!K$1,products!$A$1:$G$1,0))</f>
        <v>D</v>
      </c>
      <c r="L736" s="4">
        <f>INDEX(products!$A$1:$G$49,MATCH(orders!$D736,products!$A$1:$A$49,0),MATCH(orders!L$1,products!$A$1:$G$1,0))</f>
        <v>0.2</v>
      </c>
      <c r="M736" s="5">
        <f>INDEX(products!$A$1:$G$49,MATCH(orders!$D736,products!$A$1:$A$49,0),MATCH(orders!M$1,products!$A$1:$G$1,0))</f>
        <v>2.6849999999999996</v>
      </c>
      <c r="N736" s="5">
        <f>Orders[[#This Row],[Quantity]]*(INDEX(products!$A$1:$G$49,MATCH(orders!$D736,products!$A$1:$A$49,0),MATCH(orders!N$1,products!$A$1:$G$1,0)))</f>
        <v>0.80549999999999988</v>
      </c>
      <c r="O736" s="5">
        <f>M736*E736</f>
        <v>13.424999999999997</v>
      </c>
      <c r="P736" t="str">
        <f t="shared" si="22"/>
        <v>Robusta</v>
      </c>
      <c r="Q736" t="str">
        <f t="shared" si="23"/>
        <v>Dark</v>
      </c>
      <c r="R736" t="str">
        <f>_xlfn.XLOOKUP(Orders[[#This Row],[Customer ID]],customers!$A$1:$A$1001,customers!$I$1:$I$1001,,0)</f>
        <v>No</v>
      </c>
    </row>
    <row r="737" spans="1:18" x14ac:dyDescent="0.35">
      <c r="A737" s="2" t="s">
        <v>4642</v>
      </c>
      <c r="B737" s="3">
        <v>44757</v>
      </c>
      <c r="C737" s="2" t="s">
        <v>4643</v>
      </c>
      <c r="D737" t="s">
        <v>6153</v>
      </c>
      <c r="E737" s="2">
        <v>6</v>
      </c>
      <c r="F737" s="2" t="str">
        <f>_xlfn.XLOOKUP(Orders[[#This Row],[Customer ID]],customers!$A$1:$A$1001,customers!$B$1:$B$1001,,0)</f>
        <v>Babb Pollins</v>
      </c>
      <c r="G737" s="2" t="str">
        <f>IF(_xlfn.XLOOKUP(C737,customers!$A$1:$A$1001,customers!C736:C1736,,0)=0,"",_xlfn.XLOOKUP(C737,customers!$A$1:$A$1001,customers!C736:C1736,,0))</f>
        <v/>
      </c>
      <c r="H737" s="2" t="str">
        <f>_xlfn.XLOOKUP(Orders[[#This Row],[Customer ID]],customers!$A$1:$A$1001,customers!$G$1:$G$1001,,0)</f>
        <v>United States</v>
      </c>
      <c r="I737" s="2" t="str">
        <f>_xlfn.XLOOKUP(Orders[[#This Row],[Customer ID]],customers!$A$1:$A$1001,customers!$F$1:$F$1001,,0)</f>
        <v>Shawnee Mission</v>
      </c>
      <c r="J737" t="str">
        <f>INDEX(products!$A$1:$G$49,MATCH(orders!$D737,products!$A$1:$A$49,0),MATCH(orders!J$1,products!$A$1:$G$1,0))</f>
        <v>Exc</v>
      </c>
      <c r="K737" t="str">
        <f>INDEX(products!$A$1:$G$49,MATCH(orders!$D737,products!$A$1:$A$49,0),MATCH(orders!K$1,products!$A$1:$G$1,0))</f>
        <v>D</v>
      </c>
      <c r="L737" s="4">
        <f>INDEX(products!$A$1:$G$49,MATCH(orders!$D737,products!$A$1:$A$49,0),MATCH(orders!L$1,products!$A$1:$G$1,0))</f>
        <v>0.2</v>
      </c>
      <c r="M737" s="5">
        <f>INDEX(products!$A$1:$G$49,MATCH(orders!$D737,products!$A$1:$A$49,0),MATCH(orders!M$1,products!$A$1:$G$1,0))</f>
        <v>3.645</v>
      </c>
      <c r="N737" s="5">
        <f>Orders[[#This Row],[Quantity]]*(INDEX(products!$A$1:$G$49,MATCH(orders!$D737,products!$A$1:$A$49,0),MATCH(orders!N$1,products!$A$1:$G$1,0)))</f>
        <v>2.4057000000000004</v>
      </c>
      <c r="O737" s="5">
        <f>M737*E737</f>
        <v>21.87</v>
      </c>
      <c r="P737" t="str">
        <f t="shared" si="22"/>
        <v>Excelsa</v>
      </c>
      <c r="Q737" t="str">
        <f t="shared" si="23"/>
        <v>Dark</v>
      </c>
      <c r="R737" t="str">
        <f>_xlfn.XLOOKUP(Orders[[#This Row],[Customer ID]],customers!$A$1:$A$1001,customers!$I$1:$I$1001,,0)</f>
        <v>No</v>
      </c>
    </row>
    <row r="738" spans="1:18" x14ac:dyDescent="0.35">
      <c r="A738" s="2" t="s">
        <v>4647</v>
      </c>
      <c r="B738" s="3">
        <v>43508</v>
      </c>
      <c r="C738" s="2" t="s">
        <v>4648</v>
      </c>
      <c r="D738" t="s">
        <v>6143</v>
      </c>
      <c r="E738" s="2">
        <v>2</v>
      </c>
      <c r="F738" s="2" t="str">
        <f>_xlfn.XLOOKUP(Orders[[#This Row],[Customer ID]],customers!$A$1:$A$1001,customers!$B$1:$B$1001,,0)</f>
        <v>Jarret Toye</v>
      </c>
      <c r="G738" s="2" t="str">
        <f>IF(_xlfn.XLOOKUP(C738,customers!$A$1:$A$1001,customers!C737:C1737,,0)=0,"",_xlfn.XLOOKUP(C738,customers!$A$1:$A$1001,customers!C737:C1737,,0))</f>
        <v/>
      </c>
      <c r="H738" s="2" t="str">
        <f>_xlfn.XLOOKUP(Orders[[#This Row],[Customer ID]],customers!$A$1:$A$1001,customers!$G$1:$G$1001,,0)</f>
        <v>Ireland</v>
      </c>
      <c r="I738" s="2" t="str">
        <f>_xlfn.XLOOKUP(Orders[[#This Row],[Customer ID]],customers!$A$1:$A$1001,customers!$F$1:$F$1001,,0)</f>
        <v>Ballivor</v>
      </c>
      <c r="J738" t="str">
        <f>INDEX(products!$A$1:$G$49,MATCH(orders!$D738,products!$A$1:$A$49,0),MATCH(orders!J$1,products!$A$1:$G$1,0))</f>
        <v>Lib</v>
      </c>
      <c r="K738" t="str">
        <f>INDEX(products!$A$1:$G$49,MATCH(orders!$D738,products!$A$1:$A$49,0),MATCH(orders!K$1,products!$A$1:$G$1,0))</f>
        <v>D</v>
      </c>
      <c r="L738" s="4">
        <f>INDEX(products!$A$1:$G$49,MATCH(orders!$D738,products!$A$1:$A$49,0),MATCH(orders!L$1,products!$A$1:$G$1,0))</f>
        <v>1</v>
      </c>
      <c r="M738" s="5">
        <f>INDEX(products!$A$1:$G$49,MATCH(orders!$D738,products!$A$1:$A$49,0),MATCH(orders!M$1,products!$A$1:$G$1,0))</f>
        <v>12.95</v>
      </c>
      <c r="N738" s="5">
        <f>Orders[[#This Row],[Quantity]]*(INDEX(products!$A$1:$G$49,MATCH(orders!$D738,products!$A$1:$A$49,0),MATCH(orders!N$1,products!$A$1:$G$1,0)))</f>
        <v>3.367</v>
      </c>
      <c r="O738" s="5">
        <f>M738*E738</f>
        <v>25.9</v>
      </c>
      <c r="P738" t="str">
        <f t="shared" si="22"/>
        <v>Liberica</v>
      </c>
      <c r="Q738" t="str">
        <f t="shared" si="23"/>
        <v>Dark</v>
      </c>
      <c r="R738" t="str">
        <f>_xlfn.XLOOKUP(Orders[[#This Row],[Customer ID]],customers!$A$1:$A$1001,customers!$I$1:$I$1001,,0)</f>
        <v>Yes</v>
      </c>
    </row>
    <row r="739" spans="1:18" x14ac:dyDescent="0.35">
      <c r="A739" s="2" t="s">
        <v>4653</v>
      </c>
      <c r="B739" s="3">
        <v>44447</v>
      </c>
      <c r="C739" s="2" t="s">
        <v>4654</v>
      </c>
      <c r="D739" t="s">
        <v>6155</v>
      </c>
      <c r="E739" s="2">
        <v>5</v>
      </c>
      <c r="F739" s="2" t="str">
        <f>_xlfn.XLOOKUP(Orders[[#This Row],[Customer ID]],customers!$A$1:$A$1001,customers!$B$1:$B$1001,,0)</f>
        <v>Carlie Linskill</v>
      </c>
      <c r="G739" s="2" t="str">
        <f>IF(_xlfn.XLOOKUP(C739,customers!$A$1:$A$1001,customers!C738:C1738,,0)=0,"",_xlfn.XLOOKUP(C739,customers!$A$1:$A$1001,customers!C738:C1738,,0))</f>
        <v/>
      </c>
      <c r="H739" s="2" t="str">
        <f>_xlfn.XLOOKUP(Orders[[#This Row],[Customer ID]],customers!$A$1:$A$1001,customers!$G$1:$G$1001,,0)</f>
        <v>United States</v>
      </c>
      <c r="I739" s="2" t="str">
        <f>_xlfn.XLOOKUP(Orders[[#This Row],[Customer ID]],customers!$A$1:$A$1001,customers!$F$1:$F$1001,,0)</f>
        <v>Cincinnati</v>
      </c>
      <c r="J739" t="str">
        <f>INDEX(products!$A$1:$G$49,MATCH(orders!$D739,products!$A$1:$A$49,0),MATCH(orders!J$1,products!$A$1:$G$1,0))</f>
        <v>Ara</v>
      </c>
      <c r="K739" t="str">
        <f>INDEX(products!$A$1:$G$49,MATCH(orders!$D739,products!$A$1:$A$49,0),MATCH(orders!K$1,products!$A$1:$G$1,0))</f>
        <v>M</v>
      </c>
      <c r="L739" s="4">
        <f>INDEX(products!$A$1:$G$49,MATCH(orders!$D739,products!$A$1:$A$49,0),MATCH(orders!L$1,products!$A$1:$G$1,0))</f>
        <v>1</v>
      </c>
      <c r="M739" s="5">
        <f>INDEX(products!$A$1:$G$49,MATCH(orders!$D739,products!$A$1:$A$49,0),MATCH(orders!M$1,products!$A$1:$G$1,0))</f>
        <v>11.25</v>
      </c>
      <c r="N739" s="5">
        <f>Orders[[#This Row],[Quantity]]*(INDEX(products!$A$1:$G$49,MATCH(orders!$D739,products!$A$1:$A$49,0),MATCH(orders!N$1,products!$A$1:$G$1,0)))</f>
        <v>5.0625</v>
      </c>
      <c r="O739" s="5">
        <f>M739*E739</f>
        <v>56.25</v>
      </c>
      <c r="P739" t="str">
        <f t="shared" si="22"/>
        <v>Arabica</v>
      </c>
      <c r="Q739" t="str">
        <f t="shared" si="23"/>
        <v>Medium</v>
      </c>
      <c r="R739" t="str">
        <f>_xlfn.XLOOKUP(Orders[[#This Row],[Customer ID]],customers!$A$1:$A$1001,customers!$I$1:$I$1001,,0)</f>
        <v>No</v>
      </c>
    </row>
    <row r="740" spans="1:18" x14ac:dyDescent="0.35">
      <c r="A740" s="2" t="s">
        <v>4659</v>
      </c>
      <c r="B740" s="3">
        <v>43812</v>
      </c>
      <c r="C740" s="2" t="s">
        <v>4660</v>
      </c>
      <c r="D740" t="s">
        <v>6178</v>
      </c>
      <c r="E740" s="2">
        <v>3</v>
      </c>
      <c r="F740" s="2" t="str">
        <f>_xlfn.XLOOKUP(Orders[[#This Row],[Customer ID]],customers!$A$1:$A$1001,customers!$B$1:$B$1001,,0)</f>
        <v>Natal Vigrass</v>
      </c>
      <c r="G740" s="2" t="str">
        <f>IF(_xlfn.XLOOKUP(C740,customers!$A$1:$A$1001,customers!C739:C1739,,0)=0,"",_xlfn.XLOOKUP(C740,customers!$A$1:$A$1001,customers!C739:C1739,,0))</f>
        <v/>
      </c>
      <c r="H740" s="2" t="str">
        <f>_xlfn.XLOOKUP(Orders[[#This Row],[Customer ID]],customers!$A$1:$A$1001,customers!$G$1:$G$1001,,0)</f>
        <v>United Kingdom</v>
      </c>
      <c r="I740" s="2" t="str">
        <f>_xlfn.XLOOKUP(Orders[[#This Row],[Customer ID]],customers!$A$1:$A$1001,customers!$F$1:$F$1001,,0)</f>
        <v>Whitwell</v>
      </c>
      <c r="J740" t="str">
        <f>INDEX(products!$A$1:$G$49,MATCH(orders!$D740,products!$A$1:$A$49,0),MATCH(orders!J$1,products!$A$1:$G$1,0))</f>
        <v>Rob</v>
      </c>
      <c r="K740" t="str">
        <f>INDEX(products!$A$1:$G$49,MATCH(orders!$D740,products!$A$1:$A$49,0),MATCH(orders!K$1,products!$A$1:$G$1,0))</f>
        <v>L</v>
      </c>
      <c r="L740" s="4">
        <f>INDEX(products!$A$1:$G$49,MATCH(orders!$D740,products!$A$1:$A$49,0),MATCH(orders!L$1,products!$A$1:$G$1,0))</f>
        <v>0.2</v>
      </c>
      <c r="M740" s="5">
        <f>INDEX(products!$A$1:$G$49,MATCH(orders!$D740,products!$A$1:$A$49,0),MATCH(orders!M$1,products!$A$1:$G$1,0))</f>
        <v>3.5849999999999995</v>
      </c>
      <c r="N740" s="5">
        <f>Orders[[#This Row],[Quantity]]*(INDEX(products!$A$1:$G$49,MATCH(orders!$D740,products!$A$1:$A$49,0),MATCH(orders!N$1,products!$A$1:$G$1,0)))</f>
        <v>0.64529999999999987</v>
      </c>
      <c r="O740" s="5">
        <f>M740*E740</f>
        <v>10.754999999999999</v>
      </c>
      <c r="P740" t="str">
        <f t="shared" si="22"/>
        <v>Robusta</v>
      </c>
      <c r="Q740" t="str">
        <f t="shared" si="23"/>
        <v>Light</v>
      </c>
      <c r="R740" t="str">
        <f>_xlfn.XLOOKUP(Orders[[#This Row],[Customer ID]],customers!$A$1:$A$1001,customers!$I$1:$I$1001,,0)</f>
        <v>No</v>
      </c>
    </row>
    <row r="741" spans="1:18" x14ac:dyDescent="0.35">
      <c r="A741" s="2" t="s">
        <v>4665</v>
      </c>
      <c r="B741" s="3">
        <v>44433</v>
      </c>
      <c r="C741" s="2" t="s">
        <v>4434</v>
      </c>
      <c r="D741" t="s">
        <v>6153</v>
      </c>
      <c r="E741" s="2">
        <v>5</v>
      </c>
      <c r="F741" s="2" t="str">
        <f>_xlfn.XLOOKUP(Orders[[#This Row],[Customer ID]],customers!$A$1:$A$1001,customers!$B$1:$B$1001,,0)</f>
        <v>Jimmy Dymoke</v>
      </c>
      <c r="G741" s="2" t="str">
        <f>IF(_xlfn.XLOOKUP(C741,customers!$A$1:$A$1001,customers!C740:C1740,,0)=0,"",_xlfn.XLOOKUP(C741,customers!$A$1:$A$1001,customers!C740:C1740,,0))</f>
        <v/>
      </c>
      <c r="H741" s="2" t="str">
        <f>_xlfn.XLOOKUP(Orders[[#This Row],[Customer ID]],customers!$A$1:$A$1001,customers!$G$1:$G$1001,,0)</f>
        <v>Ireland</v>
      </c>
      <c r="I741" s="2" t="str">
        <f>_xlfn.XLOOKUP(Orders[[#This Row],[Customer ID]],customers!$A$1:$A$1001,customers!$F$1:$F$1001,,0)</f>
        <v>Beaumont</v>
      </c>
      <c r="J741" t="str">
        <f>INDEX(products!$A$1:$G$49,MATCH(orders!$D741,products!$A$1:$A$49,0),MATCH(orders!J$1,products!$A$1:$G$1,0))</f>
        <v>Exc</v>
      </c>
      <c r="K741" t="str">
        <f>INDEX(products!$A$1:$G$49,MATCH(orders!$D741,products!$A$1:$A$49,0),MATCH(orders!K$1,products!$A$1:$G$1,0))</f>
        <v>D</v>
      </c>
      <c r="L741" s="4">
        <f>INDEX(products!$A$1:$G$49,MATCH(orders!$D741,products!$A$1:$A$49,0),MATCH(orders!L$1,products!$A$1:$G$1,0))</f>
        <v>0.2</v>
      </c>
      <c r="M741" s="5">
        <f>INDEX(products!$A$1:$G$49,MATCH(orders!$D741,products!$A$1:$A$49,0),MATCH(orders!M$1,products!$A$1:$G$1,0))</f>
        <v>3.645</v>
      </c>
      <c r="N741" s="5">
        <f>Orders[[#This Row],[Quantity]]*(INDEX(products!$A$1:$G$49,MATCH(orders!$D741,products!$A$1:$A$49,0),MATCH(orders!N$1,products!$A$1:$G$1,0)))</f>
        <v>2.00475</v>
      </c>
      <c r="O741" s="5">
        <f>M741*E741</f>
        <v>18.225000000000001</v>
      </c>
      <c r="P741" t="str">
        <f t="shared" si="22"/>
        <v>Excelsa</v>
      </c>
      <c r="Q741" t="str">
        <f t="shared" si="23"/>
        <v>Dark</v>
      </c>
      <c r="R741" t="str">
        <f>_xlfn.XLOOKUP(Orders[[#This Row],[Customer ID]],customers!$A$1:$A$1001,customers!$I$1:$I$1001,,0)</f>
        <v>No</v>
      </c>
    </row>
    <row r="742" spans="1:18" x14ac:dyDescent="0.35">
      <c r="A742" s="2" t="s">
        <v>4670</v>
      </c>
      <c r="B742" s="3">
        <v>44643</v>
      </c>
      <c r="C742" s="2" t="s">
        <v>4671</v>
      </c>
      <c r="D742" t="s">
        <v>6173</v>
      </c>
      <c r="E742" s="2">
        <v>4</v>
      </c>
      <c r="F742" s="2" t="str">
        <f>_xlfn.XLOOKUP(Orders[[#This Row],[Customer ID]],customers!$A$1:$A$1001,customers!$B$1:$B$1001,,0)</f>
        <v>Kandace Cragell</v>
      </c>
      <c r="G742" s="2" t="str">
        <f>IF(_xlfn.XLOOKUP(C742,customers!$A$1:$A$1001,customers!C741:C1741,,0)=0,"",_xlfn.XLOOKUP(C742,customers!$A$1:$A$1001,customers!C741:C1741,,0))</f>
        <v/>
      </c>
      <c r="H742" s="2" t="str">
        <f>_xlfn.XLOOKUP(Orders[[#This Row],[Customer ID]],customers!$A$1:$A$1001,customers!$G$1:$G$1001,,0)</f>
        <v>Ireland</v>
      </c>
      <c r="I742" s="2" t="str">
        <f>_xlfn.XLOOKUP(Orders[[#This Row],[Customer ID]],customers!$A$1:$A$1001,customers!$F$1:$F$1001,,0)</f>
        <v>Dungarvan</v>
      </c>
      <c r="J742" t="str">
        <f>INDEX(products!$A$1:$G$49,MATCH(orders!$D742,products!$A$1:$A$49,0),MATCH(orders!J$1,products!$A$1:$G$1,0))</f>
        <v>Rob</v>
      </c>
      <c r="K742" t="str">
        <f>INDEX(products!$A$1:$G$49,MATCH(orders!$D742,products!$A$1:$A$49,0),MATCH(orders!K$1,products!$A$1:$G$1,0))</f>
        <v>L</v>
      </c>
      <c r="L742" s="4">
        <f>INDEX(products!$A$1:$G$49,MATCH(orders!$D742,products!$A$1:$A$49,0),MATCH(orders!L$1,products!$A$1:$G$1,0))</f>
        <v>0.5</v>
      </c>
      <c r="M742" s="5">
        <f>INDEX(products!$A$1:$G$49,MATCH(orders!$D742,products!$A$1:$A$49,0),MATCH(orders!M$1,products!$A$1:$G$1,0))</f>
        <v>7.169999999999999</v>
      </c>
      <c r="N742" s="5">
        <f>Orders[[#This Row],[Quantity]]*(INDEX(products!$A$1:$G$49,MATCH(orders!$D742,products!$A$1:$A$49,0),MATCH(orders!N$1,products!$A$1:$G$1,0)))</f>
        <v>1.7207999999999997</v>
      </c>
      <c r="O742" s="5">
        <f>M742*E742</f>
        <v>28.679999999999996</v>
      </c>
      <c r="P742" t="str">
        <f t="shared" si="22"/>
        <v>Robusta</v>
      </c>
      <c r="Q742" t="str">
        <f t="shared" si="23"/>
        <v>Light</v>
      </c>
      <c r="R742" t="str">
        <f>_xlfn.XLOOKUP(Orders[[#This Row],[Customer ID]],customers!$A$1:$A$1001,customers!$I$1:$I$1001,,0)</f>
        <v>No</v>
      </c>
    </row>
    <row r="743" spans="1:18" x14ac:dyDescent="0.35">
      <c r="A743" s="2" t="s">
        <v>4676</v>
      </c>
      <c r="B743" s="3">
        <v>43566</v>
      </c>
      <c r="C743" s="2" t="s">
        <v>4677</v>
      </c>
      <c r="D743" t="s">
        <v>6159</v>
      </c>
      <c r="E743" s="2">
        <v>2</v>
      </c>
      <c r="F743" s="2" t="str">
        <f>_xlfn.XLOOKUP(Orders[[#This Row],[Customer ID]],customers!$A$1:$A$1001,customers!$B$1:$B$1001,,0)</f>
        <v>Lyon Ibert</v>
      </c>
      <c r="G743" s="2" t="str">
        <f>IF(_xlfn.XLOOKUP(C743,customers!$A$1:$A$1001,customers!C742:C1742,,0)=0,"",_xlfn.XLOOKUP(C743,customers!$A$1:$A$1001,customers!C742:C1742,,0))</f>
        <v/>
      </c>
      <c r="H743" s="2" t="str">
        <f>_xlfn.XLOOKUP(Orders[[#This Row],[Customer ID]],customers!$A$1:$A$1001,customers!$G$1:$G$1001,,0)</f>
        <v>United States</v>
      </c>
      <c r="I743" s="2" t="str">
        <f>_xlfn.XLOOKUP(Orders[[#This Row],[Customer ID]],customers!$A$1:$A$1001,customers!$F$1:$F$1001,,0)</f>
        <v>Sunnyvale</v>
      </c>
      <c r="J743" t="str">
        <f>INDEX(products!$A$1:$G$49,MATCH(orders!$D743,products!$A$1:$A$49,0),MATCH(orders!J$1,products!$A$1:$G$1,0))</f>
        <v>Lib</v>
      </c>
      <c r="K743" t="str">
        <f>INDEX(products!$A$1:$G$49,MATCH(orders!$D743,products!$A$1:$A$49,0),MATCH(orders!K$1,products!$A$1:$G$1,0))</f>
        <v>M</v>
      </c>
      <c r="L743" s="4">
        <f>INDEX(products!$A$1:$G$49,MATCH(orders!$D743,products!$A$1:$A$49,0),MATCH(orders!L$1,products!$A$1:$G$1,0))</f>
        <v>0.2</v>
      </c>
      <c r="M743" s="5">
        <f>INDEX(products!$A$1:$G$49,MATCH(orders!$D743,products!$A$1:$A$49,0),MATCH(orders!M$1,products!$A$1:$G$1,0))</f>
        <v>4.3650000000000002</v>
      </c>
      <c r="N743" s="5">
        <f>Orders[[#This Row],[Quantity]]*(INDEX(products!$A$1:$G$49,MATCH(orders!$D743,products!$A$1:$A$49,0),MATCH(orders!N$1,products!$A$1:$G$1,0)))</f>
        <v>1.1349</v>
      </c>
      <c r="O743" s="5">
        <f>M743*E743</f>
        <v>8.73</v>
      </c>
      <c r="P743" t="str">
        <f t="shared" si="22"/>
        <v>Liberica</v>
      </c>
      <c r="Q743" t="str">
        <f t="shared" si="23"/>
        <v>Medium</v>
      </c>
      <c r="R743" t="str">
        <f>_xlfn.XLOOKUP(Orders[[#This Row],[Customer ID]],customers!$A$1:$A$1001,customers!$I$1:$I$1001,,0)</f>
        <v>No</v>
      </c>
    </row>
    <row r="744" spans="1:18" x14ac:dyDescent="0.35">
      <c r="A744" s="2" t="s">
        <v>4682</v>
      </c>
      <c r="B744" s="3">
        <v>44133</v>
      </c>
      <c r="C744" s="2" t="s">
        <v>4683</v>
      </c>
      <c r="D744" t="s">
        <v>6162</v>
      </c>
      <c r="E744" s="2">
        <v>4</v>
      </c>
      <c r="F744" s="2" t="str">
        <f>_xlfn.XLOOKUP(Orders[[#This Row],[Customer ID]],customers!$A$1:$A$1001,customers!$B$1:$B$1001,,0)</f>
        <v>Reese Lidgey</v>
      </c>
      <c r="G744" s="2" t="str">
        <f>IF(_xlfn.XLOOKUP(C744,customers!$A$1:$A$1001,customers!C743:C1743,,0)=0,"",_xlfn.XLOOKUP(C744,customers!$A$1:$A$1001,customers!C743:C1743,,0))</f>
        <v/>
      </c>
      <c r="H744" s="2" t="str">
        <f>_xlfn.XLOOKUP(Orders[[#This Row],[Customer ID]],customers!$A$1:$A$1001,customers!$G$1:$G$1001,,0)</f>
        <v>United States</v>
      </c>
      <c r="I744" s="2" t="str">
        <f>_xlfn.XLOOKUP(Orders[[#This Row],[Customer ID]],customers!$A$1:$A$1001,customers!$F$1:$F$1001,,0)</f>
        <v>Memphis</v>
      </c>
      <c r="J744" t="str">
        <f>INDEX(products!$A$1:$G$49,MATCH(orders!$D744,products!$A$1:$A$49,0),MATCH(orders!J$1,products!$A$1:$G$1,0))</f>
        <v>Lib</v>
      </c>
      <c r="K744" t="str">
        <f>INDEX(products!$A$1:$G$49,MATCH(orders!$D744,products!$A$1:$A$49,0),MATCH(orders!K$1,products!$A$1:$G$1,0))</f>
        <v>M</v>
      </c>
      <c r="L744" s="4">
        <f>INDEX(products!$A$1:$G$49,MATCH(orders!$D744,products!$A$1:$A$49,0),MATCH(orders!L$1,products!$A$1:$G$1,0))</f>
        <v>1</v>
      </c>
      <c r="M744" s="5">
        <f>INDEX(products!$A$1:$G$49,MATCH(orders!$D744,products!$A$1:$A$49,0),MATCH(orders!M$1,products!$A$1:$G$1,0))</f>
        <v>14.55</v>
      </c>
      <c r="N744" s="5">
        <f>Orders[[#This Row],[Quantity]]*(INDEX(products!$A$1:$G$49,MATCH(orders!$D744,products!$A$1:$A$49,0),MATCH(orders!N$1,products!$A$1:$G$1,0)))</f>
        <v>7.5660000000000007</v>
      </c>
      <c r="O744" s="5">
        <f>M744*E744</f>
        <v>58.2</v>
      </c>
      <c r="P744" t="str">
        <f t="shared" si="22"/>
        <v>Liberica</v>
      </c>
      <c r="Q744" t="str">
        <f t="shared" si="23"/>
        <v>Medium</v>
      </c>
      <c r="R744" t="str">
        <f>_xlfn.XLOOKUP(Orders[[#This Row],[Customer ID]],customers!$A$1:$A$1001,customers!$I$1:$I$1001,,0)</f>
        <v>No</v>
      </c>
    </row>
    <row r="745" spans="1:18" x14ac:dyDescent="0.35">
      <c r="A745" s="2" t="s">
        <v>4688</v>
      </c>
      <c r="B745" s="3">
        <v>44042</v>
      </c>
      <c r="C745" s="2" t="s">
        <v>4689</v>
      </c>
      <c r="D745" t="s">
        <v>6158</v>
      </c>
      <c r="E745" s="2">
        <v>3</v>
      </c>
      <c r="F745" s="2" t="str">
        <f>_xlfn.XLOOKUP(Orders[[#This Row],[Customer ID]],customers!$A$1:$A$1001,customers!$B$1:$B$1001,,0)</f>
        <v>Tersina Castagne</v>
      </c>
      <c r="G745" s="2" t="str">
        <f>IF(_xlfn.XLOOKUP(C745,customers!$A$1:$A$1001,customers!C744:C1744,,0)=0,"",_xlfn.XLOOKUP(C745,customers!$A$1:$A$1001,customers!C744:C1744,,0))</f>
        <v/>
      </c>
      <c r="H745" s="2" t="str">
        <f>_xlfn.XLOOKUP(Orders[[#This Row],[Customer ID]],customers!$A$1:$A$1001,customers!$G$1:$G$1001,,0)</f>
        <v>United States</v>
      </c>
      <c r="I745" s="2" t="str">
        <f>_xlfn.XLOOKUP(Orders[[#This Row],[Customer ID]],customers!$A$1:$A$1001,customers!$F$1:$F$1001,,0)</f>
        <v>Orlando</v>
      </c>
      <c r="J745" t="str">
        <f>INDEX(products!$A$1:$G$49,MATCH(orders!$D745,products!$A$1:$A$49,0),MATCH(orders!J$1,products!$A$1:$G$1,0))</f>
        <v>Ara</v>
      </c>
      <c r="K745" t="str">
        <f>INDEX(products!$A$1:$G$49,MATCH(orders!$D745,products!$A$1:$A$49,0),MATCH(orders!K$1,products!$A$1:$G$1,0))</f>
        <v>D</v>
      </c>
      <c r="L745" s="4">
        <f>INDEX(products!$A$1:$G$49,MATCH(orders!$D745,products!$A$1:$A$49,0),MATCH(orders!L$1,products!$A$1:$G$1,0))</f>
        <v>0.5</v>
      </c>
      <c r="M745" s="5">
        <f>INDEX(products!$A$1:$G$49,MATCH(orders!$D745,products!$A$1:$A$49,0),MATCH(orders!M$1,products!$A$1:$G$1,0))</f>
        <v>5.97</v>
      </c>
      <c r="N745" s="5">
        <f>Orders[[#This Row],[Quantity]]*(INDEX(products!$A$1:$G$49,MATCH(orders!$D745,products!$A$1:$A$49,0),MATCH(orders!N$1,products!$A$1:$G$1,0)))</f>
        <v>1.6118999999999999</v>
      </c>
      <c r="O745" s="5">
        <f>M745*E745</f>
        <v>17.91</v>
      </c>
      <c r="P745" t="str">
        <f t="shared" si="22"/>
        <v>Arabica</v>
      </c>
      <c r="Q745" t="str">
        <f t="shared" si="23"/>
        <v>Dark</v>
      </c>
      <c r="R745" t="str">
        <f>_xlfn.XLOOKUP(Orders[[#This Row],[Customer ID]],customers!$A$1:$A$1001,customers!$I$1:$I$1001,,0)</f>
        <v>No</v>
      </c>
    </row>
    <row r="746" spans="1:18" x14ac:dyDescent="0.35">
      <c r="A746" s="2" t="s">
        <v>4694</v>
      </c>
      <c r="B746" s="3">
        <v>43539</v>
      </c>
      <c r="C746" s="2" t="s">
        <v>4695</v>
      </c>
      <c r="D746" t="s">
        <v>6174</v>
      </c>
      <c r="E746" s="2">
        <v>6</v>
      </c>
      <c r="F746" s="2" t="str">
        <f>_xlfn.XLOOKUP(Orders[[#This Row],[Customer ID]],customers!$A$1:$A$1001,customers!$B$1:$B$1001,,0)</f>
        <v>Samuele Klaaassen</v>
      </c>
      <c r="G746" s="2" t="str">
        <f>IF(_xlfn.XLOOKUP(C746,customers!$A$1:$A$1001,customers!C745:C1745,,0)=0,"",_xlfn.XLOOKUP(C746,customers!$A$1:$A$1001,customers!C745:C1745,,0))</f>
        <v/>
      </c>
      <c r="H746" s="2" t="str">
        <f>_xlfn.XLOOKUP(Orders[[#This Row],[Customer ID]],customers!$A$1:$A$1001,customers!$G$1:$G$1001,,0)</f>
        <v>United States</v>
      </c>
      <c r="I746" s="2" t="str">
        <f>_xlfn.XLOOKUP(Orders[[#This Row],[Customer ID]],customers!$A$1:$A$1001,customers!$F$1:$F$1001,,0)</f>
        <v>Detroit</v>
      </c>
      <c r="J746" t="str">
        <f>INDEX(products!$A$1:$G$49,MATCH(orders!$D746,products!$A$1:$A$49,0),MATCH(orders!J$1,products!$A$1:$G$1,0))</f>
        <v>Rob</v>
      </c>
      <c r="K746" t="str">
        <f>INDEX(products!$A$1:$G$49,MATCH(orders!$D746,products!$A$1:$A$49,0),MATCH(orders!K$1,products!$A$1:$G$1,0))</f>
        <v>M</v>
      </c>
      <c r="L746" s="4">
        <f>INDEX(products!$A$1:$G$49,MATCH(orders!$D746,products!$A$1:$A$49,0),MATCH(orders!L$1,products!$A$1:$G$1,0))</f>
        <v>0.2</v>
      </c>
      <c r="M746" s="5">
        <f>INDEX(products!$A$1:$G$49,MATCH(orders!$D746,products!$A$1:$A$49,0),MATCH(orders!M$1,products!$A$1:$G$1,0))</f>
        <v>2.9849999999999999</v>
      </c>
      <c r="N746" s="5">
        <f>Orders[[#This Row],[Quantity]]*(INDEX(products!$A$1:$G$49,MATCH(orders!$D746,products!$A$1:$A$49,0),MATCH(orders!N$1,products!$A$1:$G$1,0)))</f>
        <v>1.0745999999999998</v>
      </c>
      <c r="O746" s="5">
        <f>M746*E746</f>
        <v>17.91</v>
      </c>
      <c r="P746" t="str">
        <f t="shared" si="22"/>
        <v>Robusta</v>
      </c>
      <c r="Q746" t="str">
        <f t="shared" si="23"/>
        <v>Medium</v>
      </c>
      <c r="R746" t="str">
        <f>_xlfn.XLOOKUP(Orders[[#This Row],[Customer ID]],customers!$A$1:$A$1001,customers!$I$1:$I$1001,,0)</f>
        <v>Yes</v>
      </c>
    </row>
    <row r="747" spans="1:18" x14ac:dyDescent="0.35">
      <c r="A747" s="2" t="s">
        <v>4699</v>
      </c>
      <c r="B747" s="3">
        <v>44557</v>
      </c>
      <c r="C747" s="2" t="s">
        <v>4700</v>
      </c>
      <c r="D747" t="s">
        <v>6144</v>
      </c>
      <c r="E747" s="2">
        <v>2</v>
      </c>
      <c r="F747" s="2" t="str">
        <f>_xlfn.XLOOKUP(Orders[[#This Row],[Customer ID]],customers!$A$1:$A$1001,customers!$B$1:$B$1001,,0)</f>
        <v>Jordana Halden</v>
      </c>
      <c r="G747" s="2" t="str">
        <f>IF(_xlfn.XLOOKUP(C747,customers!$A$1:$A$1001,customers!C746:C1746,,0)=0,"",_xlfn.XLOOKUP(C747,customers!$A$1:$A$1001,customers!C746:C1746,,0))</f>
        <v/>
      </c>
      <c r="H747" s="2" t="str">
        <f>_xlfn.XLOOKUP(Orders[[#This Row],[Customer ID]],customers!$A$1:$A$1001,customers!$G$1:$G$1001,,0)</f>
        <v>Ireland</v>
      </c>
      <c r="I747" s="2" t="str">
        <f>_xlfn.XLOOKUP(Orders[[#This Row],[Customer ID]],customers!$A$1:$A$1001,customers!$F$1:$F$1001,,0)</f>
        <v>Clones</v>
      </c>
      <c r="J747" t="str">
        <f>INDEX(products!$A$1:$G$49,MATCH(orders!$D747,products!$A$1:$A$49,0),MATCH(orders!J$1,products!$A$1:$G$1,0))</f>
        <v>Exc</v>
      </c>
      <c r="K747" t="str">
        <f>INDEX(products!$A$1:$G$49,MATCH(orders!$D747,products!$A$1:$A$49,0),MATCH(orders!K$1,products!$A$1:$G$1,0))</f>
        <v>D</v>
      </c>
      <c r="L747" s="4">
        <f>INDEX(products!$A$1:$G$49,MATCH(orders!$D747,products!$A$1:$A$49,0),MATCH(orders!L$1,products!$A$1:$G$1,0))</f>
        <v>0.5</v>
      </c>
      <c r="M747" s="5">
        <f>INDEX(products!$A$1:$G$49,MATCH(orders!$D747,products!$A$1:$A$49,0),MATCH(orders!M$1,products!$A$1:$G$1,0))</f>
        <v>7.29</v>
      </c>
      <c r="N747" s="5">
        <f>Orders[[#This Row],[Quantity]]*(INDEX(products!$A$1:$G$49,MATCH(orders!$D747,products!$A$1:$A$49,0),MATCH(orders!N$1,products!$A$1:$G$1,0)))</f>
        <v>1.6038000000000001</v>
      </c>
      <c r="O747" s="5">
        <f>M747*E747</f>
        <v>14.58</v>
      </c>
      <c r="P747" t="str">
        <f t="shared" si="22"/>
        <v>Excelsa</v>
      </c>
      <c r="Q747" t="str">
        <f t="shared" si="23"/>
        <v>Dark</v>
      </c>
      <c r="R747" t="str">
        <f>_xlfn.XLOOKUP(Orders[[#This Row],[Customer ID]],customers!$A$1:$A$1001,customers!$I$1:$I$1001,,0)</f>
        <v>No</v>
      </c>
    </row>
    <row r="748" spans="1:18" x14ac:dyDescent="0.35">
      <c r="A748" s="2" t="s">
        <v>4705</v>
      </c>
      <c r="B748" s="3">
        <v>43741</v>
      </c>
      <c r="C748" s="2" t="s">
        <v>4706</v>
      </c>
      <c r="D748" t="s">
        <v>6155</v>
      </c>
      <c r="E748" s="2">
        <v>3</v>
      </c>
      <c r="F748" s="2" t="str">
        <f>_xlfn.XLOOKUP(Orders[[#This Row],[Customer ID]],customers!$A$1:$A$1001,customers!$B$1:$B$1001,,0)</f>
        <v>Hussein Olliff</v>
      </c>
      <c r="G748" s="2" t="str">
        <f>IF(_xlfn.XLOOKUP(C748,customers!$A$1:$A$1001,customers!C747:C1747,,0)=0,"",_xlfn.XLOOKUP(C748,customers!$A$1:$A$1001,customers!C747:C1747,,0))</f>
        <v/>
      </c>
      <c r="H748" s="2" t="str">
        <f>_xlfn.XLOOKUP(Orders[[#This Row],[Customer ID]],customers!$A$1:$A$1001,customers!$G$1:$G$1001,,0)</f>
        <v>Ireland</v>
      </c>
      <c r="I748" s="2" t="str">
        <f>_xlfn.XLOOKUP(Orders[[#This Row],[Customer ID]],customers!$A$1:$A$1001,customers!$F$1:$F$1001,,0)</f>
        <v>Stradbally</v>
      </c>
      <c r="J748" t="str">
        <f>INDEX(products!$A$1:$G$49,MATCH(orders!$D748,products!$A$1:$A$49,0),MATCH(orders!J$1,products!$A$1:$G$1,0))</f>
        <v>Ara</v>
      </c>
      <c r="K748" t="str">
        <f>INDEX(products!$A$1:$G$49,MATCH(orders!$D748,products!$A$1:$A$49,0),MATCH(orders!K$1,products!$A$1:$G$1,0))</f>
        <v>M</v>
      </c>
      <c r="L748" s="4">
        <f>INDEX(products!$A$1:$G$49,MATCH(orders!$D748,products!$A$1:$A$49,0),MATCH(orders!L$1,products!$A$1:$G$1,0))</f>
        <v>1</v>
      </c>
      <c r="M748" s="5">
        <f>INDEX(products!$A$1:$G$49,MATCH(orders!$D748,products!$A$1:$A$49,0),MATCH(orders!M$1,products!$A$1:$G$1,0))</f>
        <v>11.25</v>
      </c>
      <c r="N748" s="5">
        <f>Orders[[#This Row],[Quantity]]*(INDEX(products!$A$1:$G$49,MATCH(orders!$D748,products!$A$1:$A$49,0),MATCH(orders!N$1,products!$A$1:$G$1,0)))</f>
        <v>3.0374999999999996</v>
      </c>
      <c r="O748" s="5">
        <f>M748*E748</f>
        <v>33.75</v>
      </c>
      <c r="P748" t="str">
        <f t="shared" si="22"/>
        <v>Arabica</v>
      </c>
      <c r="Q748" t="str">
        <f t="shared" si="23"/>
        <v>Medium</v>
      </c>
      <c r="R748" t="str">
        <f>_xlfn.XLOOKUP(Orders[[#This Row],[Customer ID]],customers!$A$1:$A$1001,customers!$I$1:$I$1001,,0)</f>
        <v>No</v>
      </c>
    </row>
    <row r="749" spans="1:18" x14ac:dyDescent="0.35">
      <c r="A749" s="2" t="s">
        <v>4711</v>
      </c>
      <c r="B749" s="3">
        <v>43501</v>
      </c>
      <c r="C749" s="2" t="s">
        <v>4712</v>
      </c>
      <c r="D749" t="s">
        <v>6160</v>
      </c>
      <c r="E749" s="2">
        <v>4</v>
      </c>
      <c r="F749" s="2" t="str">
        <f>_xlfn.XLOOKUP(Orders[[#This Row],[Customer ID]],customers!$A$1:$A$1001,customers!$B$1:$B$1001,,0)</f>
        <v>Teddi Quadri</v>
      </c>
      <c r="G749" s="2" t="str">
        <f>IF(_xlfn.XLOOKUP(C749,customers!$A$1:$A$1001,customers!C748:C1748,,0)=0,"",_xlfn.XLOOKUP(C749,customers!$A$1:$A$1001,customers!C748:C1748,,0))</f>
        <v/>
      </c>
      <c r="H749" s="2" t="str">
        <f>_xlfn.XLOOKUP(Orders[[#This Row],[Customer ID]],customers!$A$1:$A$1001,customers!$G$1:$G$1001,,0)</f>
        <v>Ireland</v>
      </c>
      <c r="I749" s="2" t="str">
        <f>_xlfn.XLOOKUP(Orders[[#This Row],[Customer ID]],customers!$A$1:$A$1001,customers!$F$1:$F$1001,,0)</f>
        <v>Ballina</v>
      </c>
      <c r="J749" t="str">
        <f>INDEX(products!$A$1:$G$49,MATCH(orders!$D749,products!$A$1:$A$49,0),MATCH(orders!J$1,products!$A$1:$G$1,0))</f>
        <v>Lib</v>
      </c>
      <c r="K749" t="str">
        <f>INDEX(products!$A$1:$G$49,MATCH(orders!$D749,products!$A$1:$A$49,0),MATCH(orders!K$1,products!$A$1:$G$1,0))</f>
        <v>M</v>
      </c>
      <c r="L749" s="4">
        <f>INDEX(products!$A$1:$G$49,MATCH(orders!$D749,products!$A$1:$A$49,0),MATCH(orders!L$1,products!$A$1:$G$1,0))</f>
        <v>0.5</v>
      </c>
      <c r="M749" s="5">
        <f>INDEX(products!$A$1:$G$49,MATCH(orders!$D749,products!$A$1:$A$49,0),MATCH(orders!M$1,products!$A$1:$G$1,0))</f>
        <v>8.73</v>
      </c>
      <c r="N749" s="5">
        <f>Orders[[#This Row],[Quantity]]*(INDEX(products!$A$1:$G$49,MATCH(orders!$D749,products!$A$1:$A$49,0),MATCH(orders!N$1,products!$A$1:$G$1,0)))</f>
        <v>4.5396000000000001</v>
      </c>
      <c r="O749" s="5">
        <f>M749*E749</f>
        <v>34.92</v>
      </c>
      <c r="P749" t="str">
        <f t="shared" si="22"/>
        <v>Liberica</v>
      </c>
      <c r="Q749" t="str">
        <f t="shared" si="23"/>
        <v>Medium</v>
      </c>
      <c r="R749" t="str">
        <f>_xlfn.XLOOKUP(Orders[[#This Row],[Customer ID]],customers!$A$1:$A$1001,customers!$I$1:$I$1001,,0)</f>
        <v>Yes</v>
      </c>
    </row>
    <row r="750" spans="1:18" x14ac:dyDescent="0.35">
      <c r="A750" s="2" t="s">
        <v>4717</v>
      </c>
      <c r="B750" s="3">
        <v>44074</v>
      </c>
      <c r="C750" s="2" t="s">
        <v>4718</v>
      </c>
      <c r="D750" t="s">
        <v>6144</v>
      </c>
      <c r="E750" s="2">
        <v>2</v>
      </c>
      <c r="F750" s="2" t="str">
        <f>_xlfn.XLOOKUP(Orders[[#This Row],[Customer ID]],customers!$A$1:$A$1001,customers!$B$1:$B$1001,,0)</f>
        <v>Felita Eshmade</v>
      </c>
      <c r="G750" s="2" t="str">
        <f>IF(_xlfn.XLOOKUP(C750,customers!$A$1:$A$1001,customers!C749:C1749,,0)=0,"",_xlfn.XLOOKUP(C750,customers!$A$1:$A$1001,customers!C749:C1749,,0))</f>
        <v/>
      </c>
      <c r="H750" s="2" t="str">
        <f>_xlfn.XLOOKUP(Orders[[#This Row],[Customer ID]],customers!$A$1:$A$1001,customers!$G$1:$G$1001,,0)</f>
        <v>United States</v>
      </c>
      <c r="I750" s="2" t="str">
        <f>_xlfn.XLOOKUP(Orders[[#This Row],[Customer ID]],customers!$A$1:$A$1001,customers!$F$1:$F$1001,,0)</f>
        <v>Richmond</v>
      </c>
      <c r="J750" t="str">
        <f>INDEX(products!$A$1:$G$49,MATCH(orders!$D750,products!$A$1:$A$49,0),MATCH(orders!J$1,products!$A$1:$G$1,0))</f>
        <v>Exc</v>
      </c>
      <c r="K750" t="str">
        <f>INDEX(products!$A$1:$G$49,MATCH(orders!$D750,products!$A$1:$A$49,0),MATCH(orders!K$1,products!$A$1:$G$1,0))</f>
        <v>D</v>
      </c>
      <c r="L750" s="4">
        <f>INDEX(products!$A$1:$G$49,MATCH(orders!$D750,products!$A$1:$A$49,0),MATCH(orders!L$1,products!$A$1:$G$1,0))</f>
        <v>0.5</v>
      </c>
      <c r="M750" s="5">
        <f>INDEX(products!$A$1:$G$49,MATCH(orders!$D750,products!$A$1:$A$49,0),MATCH(orders!M$1,products!$A$1:$G$1,0))</f>
        <v>7.29</v>
      </c>
      <c r="N750" s="5">
        <f>Orders[[#This Row],[Quantity]]*(INDEX(products!$A$1:$G$49,MATCH(orders!$D750,products!$A$1:$A$49,0),MATCH(orders!N$1,products!$A$1:$G$1,0)))</f>
        <v>1.6038000000000001</v>
      </c>
      <c r="O750" s="5">
        <f>M750*E750</f>
        <v>14.58</v>
      </c>
      <c r="P750" t="str">
        <f t="shared" si="22"/>
        <v>Excelsa</v>
      </c>
      <c r="Q750" t="str">
        <f t="shared" si="23"/>
        <v>Dark</v>
      </c>
      <c r="R750" t="str">
        <f>_xlfn.XLOOKUP(Orders[[#This Row],[Customer ID]],customers!$A$1:$A$1001,customers!$I$1:$I$1001,,0)</f>
        <v>No</v>
      </c>
    </row>
    <row r="751" spans="1:18" x14ac:dyDescent="0.35">
      <c r="A751" s="2" t="s">
        <v>4723</v>
      </c>
      <c r="B751" s="3">
        <v>44209</v>
      </c>
      <c r="C751" s="2" t="s">
        <v>4724</v>
      </c>
      <c r="D751" t="s">
        <v>6163</v>
      </c>
      <c r="E751" s="2">
        <v>2</v>
      </c>
      <c r="F751" s="2" t="str">
        <f>_xlfn.XLOOKUP(Orders[[#This Row],[Customer ID]],customers!$A$1:$A$1001,customers!$B$1:$B$1001,,0)</f>
        <v>Melodie OIlier</v>
      </c>
      <c r="G751" s="2" t="str">
        <f>IF(_xlfn.XLOOKUP(C751,customers!$A$1:$A$1001,customers!C750:C1750,,0)=0,"",_xlfn.XLOOKUP(C751,customers!$A$1:$A$1001,customers!C750:C1750,,0))</f>
        <v/>
      </c>
      <c r="H751" s="2" t="str">
        <f>_xlfn.XLOOKUP(Orders[[#This Row],[Customer ID]],customers!$A$1:$A$1001,customers!$G$1:$G$1001,,0)</f>
        <v>Ireland</v>
      </c>
      <c r="I751" s="2" t="str">
        <f>_xlfn.XLOOKUP(Orders[[#This Row],[Customer ID]],customers!$A$1:$A$1001,customers!$F$1:$F$1001,,0)</f>
        <v>Glasnevin</v>
      </c>
      <c r="J751" t="str">
        <f>INDEX(products!$A$1:$G$49,MATCH(orders!$D751,products!$A$1:$A$49,0),MATCH(orders!J$1,products!$A$1:$G$1,0))</f>
        <v>Rob</v>
      </c>
      <c r="K751" t="str">
        <f>INDEX(products!$A$1:$G$49,MATCH(orders!$D751,products!$A$1:$A$49,0),MATCH(orders!K$1,products!$A$1:$G$1,0))</f>
        <v>D</v>
      </c>
      <c r="L751" s="4">
        <f>INDEX(products!$A$1:$G$49,MATCH(orders!$D751,products!$A$1:$A$49,0),MATCH(orders!L$1,products!$A$1:$G$1,0))</f>
        <v>0.2</v>
      </c>
      <c r="M751" s="5">
        <f>INDEX(products!$A$1:$G$49,MATCH(orders!$D751,products!$A$1:$A$49,0),MATCH(orders!M$1,products!$A$1:$G$1,0))</f>
        <v>2.6849999999999996</v>
      </c>
      <c r="N751" s="5">
        <f>Orders[[#This Row],[Quantity]]*(INDEX(products!$A$1:$G$49,MATCH(orders!$D751,products!$A$1:$A$49,0),MATCH(orders!N$1,products!$A$1:$G$1,0)))</f>
        <v>0.32219999999999993</v>
      </c>
      <c r="O751" s="5">
        <f>M751*E751</f>
        <v>5.3699999999999992</v>
      </c>
      <c r="P751" t="str">
        <f t="shared" si="22"/>
        <v>Robusta</v>
      </c>
      <c r="Q751" t="str">
        <f t="shared" si="23"/>
        <v>Dark</v>
      </c>
      <c r="R751" t="str">
        <f>_xlfn.XLOOKUP(Orders[[#This Row],[Customer ID]],customers!$A$1:$A$1001,customers!$I$1:$I$1001,,0)</f>
        <v>Yes</v>
      </c>
    </row>
    <row r="752" spans="1:18" x14ac:dyDescent="0.35">
      <c r="A752" s="2" t="s">
        <v>4730</v>
      </c>
      <c r="B752" s="3">
        <v>44277</v>
      </c>
      <c r="C752" s="2" t="s">
        <v>4731</v>
      </c>
      <c r="D752" t="s">
        <v>6146</v>
      </c>
      <c r="E752" s="2">
        <v>1</v>
      </c>
      <c r="F752" s="2" t="str">
        <f>_xlfn.XLOOKUP(Orders[[#This Row],[Customer ID]],customers!$A$1:$A$1001,customers!$B$1:$B$1001,,0)</f>
        <v>Hazel Iacopini</v>
      </c>
      <c r="G752" s="2" t="str">
        <f>IF(_xlfn.XLOOKUP(C752,customers!$A$1:$A$1001,customers!C751:C1751,,0)=0,"",_xlfn.XLOOKUP(C752,customers!$A$1:$A$1001,customers!C751:C1751,,0))</f>
        <v/>
      </c>
      <c r="H752" s="2" t="str">
        <f>_xlfn.XLOOKUP(Orders[[#This Row],[Customer ID]],customers!$A$1:$A$1001,customers!$G$1:$G$1001,,0)</f>
        <v>United States</v>
      </c>
      <c r="I752" s="2" t="str">
        <f>_xlfn.XLOOKUP(Orders[[#This Row],[Customer ID]],customers!$A$1:$A$1001,customers!$F$1:$F$1001,,0)</f>
        <v>Fort Worth</v>
      </c>
      <c r="J752" t="str">
        <f>INDEX(products!$A$1:$G$49,MATCH(orders!$D752,products!$A$1:$A$49,0),MATCH(orders!J$1,products!$A$1:$G$1,0))</f>
        <v>Rob</v>
      </c>
      <c r="K752" t="str">
        <f>INDEX(products!$A$1:$G$49,MATCH(orders!$D752,products!$A$1:$A$49,0),MATCH(orders!K$1,products!$A$1:$G$1,0))</f>
        <v>M</v>
      </c>
      <c r="L752" s="4">
        <f>INDEX(products!$A$1:$G$49,MATCH(orders!$D752,products!$A$1:$A$49,0),MATCH(orders!L$1,products!$A$1:$G$1,0))</f>
        <v>0.5</v>
      </c>
      <c r="M752" s="5">
        <f>INDEX(products!$A$1:$G$49,MATCH(orders!$D752,products!$A$1:$A$49,0),MATCH(orders!M$1,products!$A$1:$G$1,0))</f>
        <v>5.97</v>
      </c>
      <c r="N752" s="5">
        <f>Orders[[#This Row],[Quantity]]*(INDEX(products!$A$1:$G$49,MATCH(orders!$D752,products!$A$1:$A$49,0),MATCH(orders!N$1,products!$A$1:$G$1,0)))</f>
        <v>0.35819999999999996</v>
      </c>
      <c r="O752" s="5">
        <f>M752*E752</f>
        <v>5.97</v>
      </c>
      <c r="P752" t="str">
        <f t="shared" si="22"/>
        <v>Robusta</v>
      </c>
      <c r="Q752" t="str">
        <f t="shared" si="23"/>
        <v>Medium</v>
      </c>
      <c r="R752" t="str">
        <f>_xlfn.XLOOKUP(Orders[[#This Row],[Customer ID]],customers!$A$1:$A$1001,customers!$I$1:$I$1001,,0)</f>
        <v>Yes</v>
      </c>
    </row>
    <row r="753" spans="1:18" x14ac:dyDescent="0.35">
      <c r="A753" s="2" t="s">
        <v>4735</v>
      </c>
      <c r="B753" s="3">
        <v>43847</v>
      </c>
      <c r="C753" s="2" t="s">
        <v>4736</v>
      </c>
      <c r="D753" t="s">
        <v>6161</v>
      </c>
      <c r="E753" s="2">
        <v>2</v>
      </c>
      <c r="F753" s="2" t="str">
        <f>_xlfn.XLOOKUP(Orders[[#This Row],[Customer ID]],customers!$A$1:$A$1001,customers!$B$1:$B$1001,,0)</f>
        <v>Vinny Shoebotham</v>
      </c>
      <c r="G753" s="2" t="str">
        <f>IF(_xlfn.XLOOKUP(C753,customers!$A$1:$A$1001,customers!C752:C1752,,0)=0,"",_xlfn.XLOOKUP(C753,customers!$A$1:$A$1001,customers!C752:C1752,,0))</f>
        <v/>
      </c>
      <c r="H753" s="2" t="str">
        <f>_xlfn.XLOOKUP(Orders[[#This Row],[Customer ID]],customers!$A$1:$A$1001,customers!$G$1:$G$1001,,0)</f>
        <v>United States</v>
      </c>
      <c r="I753" s="2" t="str">
        <f>_xlfn.XLOOKUP(Orders[[#This Row],[Customer ID]],customers!$A$1:$A$1001,customers!$F$1:$F$1001,,0)</f>
        <v>Brooklyn</v>
      </c>
      <c r="J753" t="str">
        <f>INDEX(products!$A$1:$G$49,MATCH(orders!$D753,products!$A$1:$A$49,0),MATCH(orders!J$1,products!$A$1:$G$1,0))</f>
        <v>Lib</v>
      </c>
      <c r="K753" t="str">
        <f>INDEX(products!$A$1:$G$49,MATCH(orders!$D753,products!$A$1:$A$49,0),MATCH(orders!K$1,products!$A$1:$G$1,0))</f>
        <v>L</v>
      </c>
      <c r="L753" s="4">
        <f>INDEX(products!$A$1:$G$49,MATCH(orders!$D753,products!$A$1:$A$49,0),MATCH(orders!L$1,products!$A$1:$G$1,0))</f>
        <v>0.5</v>
      </c>
      <c r="M753" s="5">
        <f>INDEX(products!$A$1:$G$49,MATCH(orders!$D753,products!$A$1:$A$49,0),MATCH(orders!M$1,products!$A$1:$G$1,0))</f>
        <v>9.51</v>
      </c>
      <c r="N753" s="5">
        <f>Orders[[#This Row],[Quantity]]*(INDEX(products!$A$1:$G$49,MATCH(orders!$D753,products!$A$1:$A$49,0),MATCH(orders!N$1,products!$A$1:$G$1,0)))</f>
        <v>2.4725999999999999</v>
      </c>
      <c r="O753" s="5">
        <f>M753*E753</f>
        <v>19.02</v>
      </c>
      <c r="P753" t="str">
        <f t="shared" si="22"/>
        <v>Liberica</v>
      </c>
      <c r="Q753" t="str">
        <f t="shared" si="23"/>
        <v>Light</v>
      </c>
      <c r="R753" t="str">
        <f>_xlfn.XLOOKUP(Orders[[#This Row],[Customer ID]],customers!$A$1:$A$1001,customers!$I$1:$I$1001,,0)</f>
        <v>No</v>
      </c>
    </row>
    <row r="754" spans="1:18" x14ac:dyDescent="0.35">
      <c r="A754" s="2" t="s">
        <v>4741</v>
      </c>
      <c r="B754" s="3">
        <v>43648</v>
      </c>
      <c r="C754" s="2" t="s">
        <v>4742</v>
      </c>
      <c r="D754" t="s">
        <v>6141</v>
      </c>
      <c r="E754" s="2">
        <v>2</v>
      </c>
      <c r="F754" s="2" t="str">
        <f>_xlfn.XLOOKUP(Orders[[#This Row],[Customer ID]],customers!$A$1:$A$1001,customers!$B$1:$B$1001,,0)</f>
        <v>Bran Sterke</v>
      </c>
      <c r="G754" s="2" t="str">
        <f>IF(_xlfn.XLOOKUP(C754,customers!$A$1:$A$1001,customers!C753:C1753,,0)=0,"",_xlfn.XLOOKUP(C754,customers!$A$1:$A$1001,customers!C753:C1753,,0))</f>
        <v/>
      </c>
      <c r="H754" s="2" t="str">
        <f>_xlfn.XLOOKUP(Orders[[#This Row],[Customer ID]],customers!$A$1:$A$1001,customers!$G$1:$G$1001,,0)</f>
        <v>United States</v>
      </c>
      <c r="I754" s="2" t="str">
        <f>_xlfn.XLOOKUP(Orders[[#This Row],[Customer ID]],customers!$A$1:$A$1001,customers!$F$1:$F$1001,,0)</f>
        <v>Fort Worth</v>
      </c>
      <c r="J754" t="str">
        <f>INDEX(products!$A$1:$G$49,MATCH(orders!$D754,products!$A$1:$A$49,0),MATCH(orders!J$1,products!$A$1:$G$1,0))</f>
        <v>Exc</v>
      </c>
      <c r="K754" t="str">
        <f>INDEX(products!$A$1:$G$49,MATCH(orders!$D754,products!$A$1:$A$49,0),MATCH(orders!K$1,products!$A$1:$G$1,0))</f>
        <v>M</v>
      </c>
      <c r="L754" s="4">
        <f>INDEX(products!$A$1:$G$49,MATCH(orders!$D754,products!$A$1:$A$49,0),MATCH(orders!L$1,products!$A$1:$G$1,0))</f>
        <v>1</v>
      </c>
      <c r="M754" s="5">
        <f>INDEX(products!$A$1:$G$49,MATCH(orders!$D754,products!$A$1:$A$49,0),MATCH(orders!M$1,products!$A$1:$G$1,0))</f>
        <v>13.75</v>
      </c>
      <c r="N754" s="5">
        <f>Orders[[#This Row],[Quantity]]*(INDEX(products!$A$1:$G$49,MATCH(orders!$D754,products!$A$1:$A$49,0),MATCH(orders!N$1,products!$A$1:$G$1,0)))</f>
        <v>3.0249999999999999</v>
      </c>
      <c r="O754" s="5">
        <f>M754*E754</f>
        <v>27.5</v>
      </c>
      <c r="P754" t="str">
        <f t="shared" si="22"/>
        <v>Excelsa</v>
      </c>
      <c r="Q754" t="str">
        <f t="shared" si="23"/>
        <v>Medium</v>
      </c>
      <c r="R754" t="str">
        <f>_xlfn.XLOOKUP(Orders[[#This Row],[Customer ID]],customers!$A$1:$A$1001,customers!$I$1:$I$1001,,0)</f>
        <v>Yes</v>
      </c>
    </row>
    <row r="755" spans="1:18" x14ac:dyDescent="0.35">
      <c r="A755" s="2" t="s">
        <v>4747</v>
      </c>
      <c r="B755" s="3">
        <v>44704</v>
      </c>
      <c r="C755" s="2" t="s">
        <v>4748</v>
      </c>
      <c r="D755" t="s">
        <v>6158</v>
      </c>
      <c r="E755" s="2">
        <v>5</v>
      </c>
      <c r="F755" s="2" t="str">
        <f>_xlfn.XLOOKUP(Orders[[#This Row],[Customer ID]],customers!$A$1:$A$1001,customers!$B$1:$B$1001,,0)</f>
        <v>Simone Capon</v>
      </c>
      <c r="G755" s="2" t="str">
        <f>IF(_xlfn.XLOOKUP(C755,customers!$A$1:$A$1001,customers!C754:C1754,,0)=0,"",_xlfn.XLOOKUP(C755,customers!$A$1:$A$1001,customers!C754:C1754,,0))</f>
        <v/>
      </c>
      <c r="H755" s="2" t="str">
        <f>_xlfn.XLOOKUP(Orders[[#This Row],[Customer ID]],customers!$A$1:$A$1001,customers!$G$1:$G$1001,,0)</f>
        <v>United States</v>
      </c>
      <c r="I755" s="2" t="str">
        <f>_xlfn.XLOOKUP(Orders[[#This Row],[Customer ID]],customers!$A$1:$A$1001,customers!$F$1:$F$1001,,0)</f>
        <v>Phoenix</v>
      </c>
      <c r="J755" t="str">
        <f>INDEX(products!$A$1:$G$49,MATCH(orders!$D755,products!$A$1:$A$49,0),MATCH(orders!J$1,products!$A$1:$G$1,0))</f>
        <v>Ara</v>
      </c>
      <c r="K755" t="str">
        <f>INDEX(products!$A$1:$G$49,MATCH(orders!$D755,products!$A$1:$A$49,0),MATCH(orders!K$1,products!$A$1:$G$1,0))</f>
        <v>D</v>
      </c>
      <c r="L755" s="4">
        <f>INDEX(products!$A$1:$G$49,MATCH(orders!$D755,products!$A$1:$A$49,0),MATCH(orders!L$1,products!$A$1:$G$1,0))</f>
        <v>0.5</v>
      </c>
      <c r="M755" s="5">
        <f>INDEX(products!$A$1:$G$49,MATCH(orders!$D755,products!$A$1:$A$49,0),MATCH(orders!M$1,products!$A$1:$G$1,0))</f>
        <v>5.97</v>
      </c>
      <c r="N755" s="5">
        <f>Orders[[#This Row],[Quantity]]*(INDEX(products!$A$1:$G$49,MATCH(orders!$D755,products!$A$1:$A$49,0),MATCH(orders!N$1,products!$A$1:$G$1,0)))</f>
        <v>2.6865000000000001</v>
      </c>
      <c r="O755" s="5">
        <f>M755*E755</f>
        <v>29.849999999999998</v>
      </c>
      <c r="P755" t="str">
        <f t="shared" si="22"/>
        <v>Arabica</v>
      </c>
      <c r="Q755" t="str">
        <f t="shared" si="23"/>
        <v>Dark</v>
      </c>
      <c r="R755" t="str">
        <f>_xlfn.XLOOKUP(Orders[[#This Row],[Customer ID]],customers!$A$1:$A$1001,customers!$I$1:$I$1001,,0)</f>
        <v>No</v>
      </c>
    </row>
    <row r="756" spans="1:18" x14ac:dyDescent="0.35">
      <c r="A756" s="2" t="s">
        <v>4753</v>
      </c>
      <c r="B756" s="3">
        <v>44726</v>
      </c>
      <c r="C756" s="2" t="s">
        <v>4434</v>
      </c>
      <c r="D756" t="s">
        <v>6154</v>
      </c>
      <c r="E756" s="2">
        <v>6</v>
      </c>
      <c r="F756" s="2" t="str">
        <f>_xlfn.XLOOKUP(Orders[[#This Row],[Customer ID]],customers!$A$1:$A$1001,customers!$B$1:$B$1001,,0)</f>
        <v>Jimmy Dymoke</v>
      </c>
      <c r="G756" s="2" t="str">
        <f>IF(_xlfn.XLOOKUP(C756,customers!$A$1:$A$1001,customers!C755:C1755,,0)=0,"",_xlfn.XLOOKUP(C756,customers!$A$1:$A$1001,customers!C755:C1755,,0))</f>
        <v/>
      </c>
      <c r="H756" s="2" t="str">
        <f>_xlfn.XLOOKUP(Orders[[#This Row],[Customer ID]],customers!$A$1:$A$1001,customers!$G$1:$G$1001,,0)</f>
        <v>Ireland</v>
      </c>
      <c r="I756" s="2" t="str">
        <f>_xlfn.XLOOKUP(Orders[[#This Row],[Customer ID]],customers!$A$1:$A$1001,customers!$F$1:$F$1001,,0)</f>
        <v>Beaumont</v>
      </c>
      <c r="J756" t="str">
        <f>INDEX(products!$A$1:$G$49,MATCH(orders!$D756,products!$A$1:$A$49,0),MATCH(orders!J$1,products!$A$1:$G$1,0))</f>
        <v>Ara</v>
      </c>
      <c r="K756" t="str">
        <f>INDEX(products!$A$1:$G$49,MATCH(orders!$D756,products!$A$1:$A$49,0),MATCH(orders!K$1,products!$A$1:$G$1,0))</f>
        <v>D</v>
      </c>
      <c r="L756" s="4">
        <f>INDEX(products!$A$1:$G$49,MATCH(orders!$D756,products!$A$1:$A$49,0),MATCH(orders!L$1,products!$A$1:$G$1,0))</f>
        <v>0.2</v>
      </c>
      <c r="M756" s="5">
        <f>INDEX(products!$A$1:$G$49,MATCH(orders!$D756,products!$A$1:$A$49,0),MATCH(orders!M$1,products!$A$1:$G$1,0))</f>
        <v>2.9849999999999999</v>
      </c>
      <c r="N756" s="5">
        <f>Orders[[#This Row],[Quantity]]*(INDEX(products!$A$1:$G$49,MATCH(orders!$D756,products!$A$1:$A$49,0),MATCH(orders!N$1,products!$A$1:$G$1,0)))</f>
        <v>1.6118999999999999</v>
      </c>
      <c r="O756" s="5">
        <f>M756*E756</f>
        <v>17.91</v>
      </c>
      <c r="P756" t="str">
        <f t="shared" si="22"/>
        <v>Arabica</v>
      </c>
      <c r="Q756" t="str">
        <f t="shared" si="23"/>
        <v>Dark</v>
      </c>
      <c r="R756" t="str">
        <f>_xlfn.XLOOKUP(Orders[[#This Row],[Customer ID]],customers!$A$1:$A$1001,customers!$I$1:$I$1001,,0)</f>
        <v>No</v>
      </c>
    </row>
    <row r="757" spans="1:18" x14ac:dyDescent="0.35">
      <c r="A757" s="2" t="s">
        <v>4758</v>
      </c>
      <c r="B757" s="3">
        <v>44397</v>
      </c>
      <c r="C757" s="2" t="s">
        <v>4759</v>
      </c>
      <c r="D757" t="s">
        <v>6145</v>
      </c>
      <c r="E757" s="2">
        <v>6</v>
      </c>
      <c r="F757" s="2" t="str">
        <f>_xlfn.XLOOKUP(Orders[[#This Row],[Customer ID]],customers!$A$1:$A$1001,customers!$B$1:$B$1001,,0)</f>
        <v>Foster Constance</v>
      </c>
      <c r="G757" s="2" t="str">
        <f>IF(_xlfn.XLOOKUP(C757,customers!$A$1:$A$1001,customers!C756:C1756,,0)=0,"",_xlfn.XLOOKUP(C757,customers!$A$1:$A$1001,customers!C756:C1756,,0))</f>
        <v/>
      </c>
      <c r="H757" s="2" t="str">
        <f>_xlfn.XLOOKUP(Orders[[#This Row],[Customer ID]],customers!$A$1:$A$1001,customers!$G$1:$G$1001,,0)</f>
        <v>United States</v>
      </c>
      <c r="I757" s="2" t="str">
        <f>_xlfn.XLOOKUP(Orders[[#This Row],[Customer ID]],customers!$A$1:$A$1001,customers!$F$1:$F$1001,,0)</f>
        <v>Dallas</v>
      </c>
      <c r="J757" t="str">
        <f>INDEX(products!$A$1:$G$49,MATCH(orders!$D757,products!$A$1:$A$49,0),MATCH(orders!J$1,products!$A$1:$G$1,0))</f>
        <v>Lib</v>
      </c>
      <c r="K757" t="str">
        <f>INDEX(products!$A$1:$G$49,MATCH(orders!$D757,products!$A$1:$A$49,0),MATCH(orders!K$1,products!$A$1:$G$1,0))</f>
        <v>L</v>
      </c>
      <c r="L757" s="4">
        <f>INDEX(products!$A$1:$G$49,MATCH(orders!$D757,products!$A$1:$A$49,0),MATCH(orders!L$1,products!$A$1:$G$1,0))</f>
        <v>0.2</v>
      </c>
      <c r="M757" s="5">
        <f>INDEX(products!$A$1:$G$49,MATCH(orders!$D757,products!$A$1:$A$49,0),MATCH(orders!M$1,products!$A$1:$G$1,0))</f>
        <v>4.7549999999999999</v>
      </c>
      <c r="N757" s="5">
        <f>Orders[[#This Row],[Quantity]]*(INDEX(products!$A$1:$G$49,MATCH(orders!$D757,products!$A$1:$A$49,0),MATCH(orders!N$1,products!$A$1:$G$1,0)))</f>
        <v>3.7088999999999999</v>
      </c>
      <c r="O757" s="5">
        <f>M757*E757</f>
        <v>28.53</v>
      </c>
      <c r="P757" t="str">
        <f t="shared" si="22"/>
        <v>Liberica</v>
      </c>
      <c r="Q757" t="str">
        <f t="shared" si="23"/>
        <v>Light</v>
      </c>
      <c r="R757" t="str">
        <f>_xlfn.XLOOKUP(Orders[[#This Row],[Customer ID]],customers!$A$1:$A$1001,customers!$I$1:$I$1001,,0)</f>
        <v>No</v>
      </c>
    </row>
    <row r="758" spans="1:18" x14ac:dyDescent="0.35">
      <c r="A758" s="2" t="s">
        <v>4764</v>
      </c>
      <c r="B758" s="3">
        <v>44715</v>
      </c>
      <c r="C758" s="2" t="s">
        <v>4765</v>
      </c>
      <c r="D758" t="s">
        <v>6177</v>
      </c>
      <c r="E758" s="2">
        <v>4</v>
      </c>
      <c r="F758" s="2" t="str">
        <f>_xlfn.XLOOKUP(Orders[[#This Row],[Customer ID]],customers!$A$1:$A$1001,customers!$B$1:$B$1001,,0)</f>
        <v>Fernando Sulman</v>
      </c>
      <c r="G758" s="2" t="str">
        <f>IF(_xlfn.XLOOKUP(C758,customers!$A$1:$A$1001,customers!C757:C1757,,0)=0,"",_xlfn.XLOOKUP(C758,customers!$A$1:$A$1001,customers!C757:C1757,,0))</f>
        <v/>
      </c>
      <c r="H758" s="2" t="str">
        <f>_xlfn.XLOOKUP(Orders[[#This Row],[Customer ID]],customers!$A$1:$A$1001,customers!$G$1:$G$1001,,0)</f>
        <v>United States</v>
      </c>
      <c r="I758" s="2" t="str">
        <f>_xlfn.XLOOKUP(Orders[[#This Row],[Customer ID]],customers!$A$1:$A$1001,customers!$F$1:$F$1001,,0)</f>
        <v>Asheville</v>
      </c>
      <c r="J758" t="str">
        <f>INDEX(products!$A$1:$G$49,MATCH(orders!$D758,products!$A$1:$A$49,0),MATCH(orders!J$1,products!$A$1:$G$1,0))</f>
        <v>Rob</v>
      </c>
      <c r="K758" t="str">
        <f>INDEX(products!$A$1:$G$49,MATCH(orders!$D758,products!$A$1:$A$49,0),MATCH(orders!K$1,products!$A$1:$G$1,0))</f>
        <v>D</v>
      </c>
      <c r="L758" s="4">
        <f>INDEX(products!$A$1:$G$49,MATCH(orders!$D758,products!$A$1:$A$49,0),MATCH(orders!L$1,products!$A$1:$G$1,0))</f>
        <v>1</v>
      </c>
      <c r="M758" s="5">
        <f>INDEX(products!$A$1:$G$49,MATCH(orders!$D758,products!$A$1:$A$49,0),MATCH(orders!M$1,products!$A$1:$G$1,0))</f>
        <v>8.9499999999999993</v>
      </c>
      <c r="N758" s="5">
        <f>Orders[[#This Row],[Quantity]]*(INDEX(products!$A$1:$G$49,MATCH(orders!$D758,products!$A$1:$A$49,0),MATCH(orders!N$1,products!$A$1:$G$1,0)))</f>
        <v>2.1479999999999997</v>
      </c>
      <c r="O758" s="5">
        <f>M758*E758</f>
        <v>35.799999999999997</v>
      </c>
      <c r="P758" t="str">
        <f t="shared" si="22"/>
        <v>Robusta</v>
      </c>
      <c r="Q758" t="str">
        <f t="shared" si="23"/>
        <v>Dark</v>
      </c>
      <c r="R758" t="str">
        <f>_xlfn.XLOOKUP(Orders[[#This Row],[Customer ID]],customers!$A$1:$A$1001,customers!$I$1:$I$1001,,0)</f>
        <v>Yes</v>
      </c>
    </row>
    <row r="759" spans="1:18" x14ac:dyDescent="0.35">
      <c r="A759" s="2" t="s">
        <v>4770</v>
      </c>
      <c r="B759" s="3">
        <v>43977</v>
      </c>
      <c r="C759" s="2" t="s">
        <v>4771</v>
      </c>
      <c r="D759" t="s">
        <v>6158</v>
      </c>
      <c r="E759" s="2">
        <v>3</v>
      </c>
      <c r="F759" s="2" t="str">
        <f>_xlfn.XLOOKUP(Orders[[#This Row],[Customer ID]],customers!$A$1:$A$1001,customers!$B$1:$B$1001,,0)</f>
        <v>Dorotea Hollyman</v>
      </c>
      <c r="G759" s="2" t="str">
        <f>IF(_xlfn.XLOOKUP(C759,customers!$A$1:$A$1001,customers!C758:C1758,,0)=0,"",_xlfn.XLOOKUP(C759,customers!$A$1:$A$1001,customers!C758:C1758,,0))</f>
        <v/>
      </c>
      <c r="H759" s="2" t="str">
        <f>_xlfn.XLOOKUP(Orders[[#This Row],[Customer ID]],customers!$A$1:$A$1001,customers!$G$1:$G$1001,,0)</f>
        <v>United States</v>
      </c>
      <c r="I759" s="2" t="str">
        <f>_xlfn.XLOOKUP(Orders[[#This Row],[Customer ID]],customers!$A$1:$A$1001,customers!$F$1:$F$1001,,0)</f>
        <v>Billings</v>
      </c>
      <c r="J759" t="str">
        <f>INDEX(products!$A$1:$G$49,MATCH(orders!$D759,products!$A$1:$A$49,0),MATCH(orders!J$1,products!$A$1:$G$1,0))</f>
        <v>Ara</v>
      </c>
      <c r="K759" t="str">
        <f>INDEX(products!$A$1:$G$49,MATCH(orders!$D759,products!$A$1:$A$49,0),MATCH(orders!K$1,products!$A$1:$G$1,0))</f>
        <v>D</v>
      </c>
      <c r="L759" s="4">
        <f>INDEX(products!$A$1:$G$49,MATCH(orders!$D759,products!$A$1:$A$49,0),MATCH(orders!L$1,products!$A$1:$G$1,0))</f>
        <v>0.5</v>
      </c>
      <c r="M759" s="5">
        <f>INDEX(products!$A$1:$G$49,MATCH(orders!$D759,products!$A$1:$A$49,0),MATCH(orders!M$1,products!$A$1:$G$1,0))</f>
        <v>5.97</v>
      </c>
      <c r="N759" s="5">
        <f>Orders[[#This Row],[Quantity]]*(INDEX(products!$A$1:$G$49,MATCH(orders!$D759,products!$A$1:$A$49,0),MATCH(orders!N$1,products!$A$1:$G$1,0)))</f>
        <v>1.6118999999999999</v>
      </c>
      <c r="O759" s="5">
        <f>M759*E759</f>
        <v>17.91</v>
      </c>
      <c r="P759" t="str">
        <f t="shared" si="22"/>
        <v>Arabica</v>
      </c>
      <c r="Q759" t="str">
        <f t="shared" si="23"/>
        <v>Dark</v>
      </c>
      <c r="R759" t="str">
        <f>_xlfn.XLOOKUP(Orders[[#This Row],[Customer ID]],customers!$A$1:$A$1001,customers!$I$1:$I$1001,,0)</f>
        <v>Yes</v>
      </c>
    </row>
    <row r="760" spans="1:18" x14ac:dyDescent="0.35">
      <c r="A760" s="2" t="s">
        <v>4776</v>
      </c>
      <c r="B760" s="3">
        <v>43672</v>
      </c>
      <c r="C760" s="2" t="s">
        <v>4777</v>
      </c>
      <c r="D760" t="s">
        <v>6177</v>
      </c>
      <c r="E760" s="2">
        <v>1</v>
      </c>
      <c r="F760" s="2" t="str">
        <f>_xlfn.XLOOKUP(Orders[[#This Row],[Customer ID]],customers!$A$1:$A$1001,customers!$B$1:$B$1001,,0)</f>
        <v>Lorelei Nardoni</v>
      </c>
      <c r="G760" s="2" t="str">
        <f>IF(_xlfn.XLOOKUP(C760,customers!$A$1:$A$1001,customers!C759:C1759,,0)=0,"",_xlfn.XLOOKUP(C760,customers!$A$1:$A$1001,customers!C759:C1759,,0))</f>
        <v/>
      </c>
      <c r="H760" s="2" t="str">
        <f>_xlfn.XLOOKUP(Orders[[#This Row],[Customer ID]],customers!$A$1:$A$1001,customers!$G$1:$G$1001,,0)</f>
        <v>United States</v>
      </c>
      <c r="I760" s="2" t="str">
        <f>_xlfn.XLOOKUP(Orders[[#This Row],[Customer ID]],customers!$A$1:$A$1001,customers!$F$1:$F$1001,,0)</f>
        <v>Saint Louis</v>
      </c>
      <c r="J760" t="str">
        <f>INDEX(products!$A$1:$G$49,MATCH(orders!$D760,products!$A$1:$A$49,0),MATCH(orders!J$1,products!$A$1:$G$1,0))</f>
        <v>Rob</v>
      </c>
      <c r="K760" t="str">
        <f>INDEX(products!$A$1:$G$49,MATCH(orders!$D760,products!$A$1:$A$49,0),MATCH(orders!K$1,products!$A$1:$G$1,0))</f>
        <v>D</v>
      </c>
      <c r="L760" s="4">
        <f>INDEX(products!$A$1:$G$49,MATCH(orders!$D760,products!$A$1:$A$49,0),MATCH(orders!L$1,products!$A$1:$G$1,0))</f>
        <v>1</v>
      </c>
      <c r="M760" s="5">
        <f>INDEX(products!$A$1:$G$49,MATCH(orders!$D760,products!$A$1:$A$49,0),MATCH(orders!M$1,products!$A$1:$G$1,0))</f>
        <v>8.9499999999999993</v>
      </c>
      <c r="N760" s="5">
        <f>Orders[[#This Row],[Quantity]]*(INDEX(products!$A$1:$G$49,MATCH(orders!$D760,products!$A$1:$A$49,0),MATCH(orders!N$1,products!$A$1:$G$1,0)))</f>
        <v>0.53699999999999992</v>
      </c>
      <c r="O760" s="5">
        <f>M760*E760</f>
        <v>8.9499999999999993</v>
      </c>
      <c r="P760" t="str">
        <f t="shared" si="22"/>
        <v>Robusta</v>
      </c>
      <c r="Q760" t="str">
        <f t="shared" si="23"/>
        <v>Dark</v>
      </c>
      <c r="R760" t="str">
        <f>_xlfn.XLOOKUP(Orders[[#This Row],[Customer ID]],customers!$A$1:$A$1001,customers!$I$1:$I$1001,,0)</f>
        <v>No</v>
      </c>
    </row>
    <row r="761" spans="1:18" x14ac:dyDescent="0.35">
      <c r="A761" s="2" t="s">
        <v>4781</v>
      </c>
      <c r="B761" s="3">
        <v>44126</v>
      </c>
      <c r="C761" s="2" t="s">
        <v>4782</v>
      </c>
      <c r="D761" t="s">
        <v>6165</v>
      </c>
      <c r="E761" s="2">
        <v>1</v>
      </c>
      <c r="F761" s="2" t="str">
        <f>_xlfn.XLOOKUP(Orders[[#This Row],[Customer ID]],customers!$A$1:$A$1001,customers!$B$1:$B$1001,,0)</f>
        <v>Dallas Yarham</v>
      </c>
      <c r="G761" s="2" t="str">
        <f>IF(_xlfn.XLOOKUP(C761,customers!$A$1:$A$1001,customers!C760:C1760,,0)=0,"",_xlfn.XLOOKUP(C761,customers!$A$1:$A$1001,customers!C760:C1760,,0))</f>
        <v/>
      </c>
      <c r="H761" s="2" t="str">
        <f>_xlfn.XLOOKUP(Orders[[#This Row],[Customer ID]],customers!$A$1:$A$1001,customers!$G$1:$G$1001,,0)</f>
        <v>United States</v>
      </c>
      <c r="I761" s="2" t="str">
        <f>_xlfn.XLOOKUP(Orders[[#This Row],[Customer ID]],customers!$A$1:$A$1001,customers!$F$1:$F$1001,,0)</f>
        <v>Independence</v>
      </c>
      <c r="J761" t="str">
        <f>INDEX(products!$A$1:$G$49,MATCH(orders!$D761,products!$A$1:$A$49,0),MATCH(orders!J$1,products!$A$1:$G$1,0))</f>
        <v>Lib</v>
      </c>
      <c r="K761" t="str">
        <f>INDEX(products!$A$1:$G$49,MATCH(orders!$D761,products!$A$1:$A$49,0),MATCH(orders!K$1,products!$A$1:$G$1,0))</f>
        <v>D</v>
      </c>
      <c r="L761" s="4">
        <f>INDEX(products!$A$1:$G$49,MATCH(orders!$D761,products!$A$1:$A$49,0),MATCH(orders!L$1,products!$A$1:$G$1,0))</f>
        <v>2.5</v>
      </c>
      <c r="M761" s="5">
        <f>INDEX(products!$A$1:$G$49,MATCH(orders!$D761,products!$A$1:$A$49,0),MATCH(orders!M$1,products!$A$1:$G$1,0))</f>
        <v>29.784999999999997</v>
      </c>
      <c r="N761" s="5">
        <f>Orders[[#This Row],[Quantity]]*(INDEX(products!$A$1:$G$49,MATCH(orders!$D761,products!$A$1:$A$49,0),MATCH(orders!N$1,products!$A$1:$G$1,0)))</f>
        <v>3.8720499999999998</v>
      </c>
      <c r="O761" s="5">
        <f>M761*E761</f>
        <v>29.784999999999997</v>
      </c>
      <c r="P761" t="str">
        <f t="shared" si="22"/>
        <v>Liberica</v>
      </c>
      <c r="Q761" t="str">
        <f t="shared" si="23"/>
        <v>Dark</v>
      </c>
      <c r="R761" t="str">
        <f>_xlfn.XLOOKUP(Orders[[#This Row],[Customer ID]],customers!$A$1:$A$1001,customers!$I$1:$I$1001,,0)</f>
        <v>Yes</v>
      </c>
    </row>
    <row r="762" spans="1:18" x14ac:dyDescent="0.35">
      <c r="A762" s="2" t="s">
        <v>4787</v>
      </c>
      <c r="B762" s="3">
        <v>44189</v>
      </c>
      <c r="C762" s="2" t="s">
        <v>4788</v>
      </c>
      <c r="D762" t="s">
        <v>6176</v>
      </c>
      <c r="E762" s="2">
        <v>5</v>
      </c>
      <c r="F762" s="2" t="str">
        <f>_xlfn.XLOOKUP(Orders[[#This Row],[Customer ID]],customers!$A$1:$A$1001,customers!$B$1:$B$1001,,0)</f>
        <v>Arlana Ferrea</v>
      </c>
      <c r="G762" s="2" t="str">
        <f>IF(_xlfn.XLOOKUP(C762,customers!$A$1:$A$1001,customers!C761:C1761,,0)=0,"",_xlfn.XLOOKUP(C762,customers!$A$1:$A$1001,customers!C761:C1761,,0))</f>
        <v/>
      </c>
      <c r="H762" s="2" t="str">
        <f>_xlfn.XLOOKUP(Orders[[#This Row],[Customer ID]],customers!$A$1:$A$1001,customers!$G$1:$G$1001,,0)</f>
        <v>United States</v>
      </c>
      <c r="I762" s="2" t="str">
        <f>_xlfn.XLOOKUP(Orders[[#This Row],[Customer ID]],customers!$A$1:$A$1001,customers!$F$1:$F$1001,,0)</f>
        <v>Greensboro</v>
      </c>
      <c r="J762" t="str">
        <f>INDEX(products!$A$1:$G$49,MATCH(orders!$D762,products!$A$1:$A$49,0),MATCH(orders!J$1,products!$A$1:$G$1,0))</f>
        <v>Exc</v>
      </c>
      <c r="K762" t="str">
        <f>INDEX(products!$A$1:$G$49,MATCH(orders!$D762,products!$A$1:$A$49,0),MATCH(orders!K$1,products!$A$1:$G$1,0))</f>
        <v>L</v>
      </c>
      <c r="L762" s="4">
        <f>INDEX(products!$A$1:$G$49,MATCH(orders!$D762,products!$A$1:$A$49,0),MATCH(orders!L$1,products!$A$1:$G$1,0))</f>
        <v>0.5</v>
      </c>
      <c r="M762" s="5">
        <f>INDEX(products!$A$1:$G$49,MATCH(orders!$D762,products!$A$1:$A$49,0),MATCH(orders!M$1,products!$A$1:$G$1,0))</f>
        <v>8.91</v>
      </c>
      <c r="N762" s="5">
        <f>Orders[[#This Row],[Quantity]]*(INDEX(products!$A$1:$G$49,MATCH(orders!$D762,products!$A$1:$A$49,0),MATCH(orders!N$1,products!$A$1:$G$1,0)))</f>
        <v>4.9005000000000001</v>
      </c>
      <c r="O762" s="5">
        <f>M762*E762</f>
        <v>44.55</v>
      </c>
      <c r="P762" t="str">
        <f t="shared" si="22"/>
        <v>Excelsa</v>
      </c>
      <c r="Q762" t="str">
        <f t="shared" si="23"/>
        <v>Light</v>
      </c>
      <c r="R762" t="str">
        <f>_xlfn.XLOOKUP(Orders[[#This Row],[Customer ID]],customers!$A$1:$A$1001,customers!$I$1:$I$1001,,0)</f>
        <v>No</v>
      </c>
    </row>
    <row r="763" spans="1:18" x14ac:dyDescent="0.35">
      <c r="A763" s="2" t="s">
        <v>4792</v>
      </c>
      <c r="B763" s="3">
        <v>43714</v>
      </c>
      <c r="C763" s="2" t="s">
        <v>4793</v>
      </c>
      <c r="D763" t="s">
        <v>6171</v>
      </c>
      <c r="E763" s="2">
        <v>6</v>
      </c>
      <c r="F763" s="2" t="str">
        <f>_xlfn.XLOOKUP(Orders[[#This Row],[Customer ID]],customers!$A$1:$A$1001,customers!$B$1:$B$1001,,0)</f>
        <v>Chuck Kendrick</v>
      </c>
      <c r="G763" s="2" t="str">
        <f>IF(_xlfn.XLOOKUP(C763,customers!$A$1:$A$1001,customers!C762:C1762,,0)=0,"",_xlfn.XLOOKUP(C763,customers!$A$1:$A$1001,customers!C762:C1762,,0))</f>
        <v/>
      </c>
      <c r="H763" s="2" t="str">
        <f>_xlfn.XLOOKUP(Orders[[#This Row],[Customer ID]],customers!$A$1:$A$1001,customers!$G$1:$G$1001,,0)</f>
        <v>United States</v>
      </c>
      <c r="I763" s="2" t="str">
        <f>_xlfn.XLOOKUP(Orders[[#This Row],[Customer ID]],customers!$A$1:$A$1001,customers!$F$1:$F$1001,,0)</f>
        <v>Monroe</v>
      </c>
      <c r="J763" t="str">
        <f>INDEX(products!$A$1:$G$49,MATCH(orders!$D763,products!$A$1:$A$49,0),MATCH(orders!J$1,products!$A$1:$G$1,0))</f>
        <v>Exc</v>
      </c>
      <c r="K763" t="str">
        <f>INDEX(products!$A$1:$G$49,MATCH(orders!$D763,products!$A$1:$A$49,0),MATCH(orders!K$1,products!$A$1:$G$1,0))</f>
        <v>L</v>
      </c>
      <c r="L763" s="4">
        <f>INDEX(products!$A$1:$G$49,MATCH(orders!$D763,products!$A$1:$A$49,0),MATCH(orders!L$1,products!$A$1:$G$1,0))</f>
        <v>1</v>
      </c>
      <c r="M763" s="5">
        <f>INDEX(products!$A$1:$G$49,MATCH(orders!$D763,products!$A$1:$A$49,0),MATCH(orders!M$1,products!$A$1:$G$1,0))</f>
        <v>14.85</v>
      </c>
      <c r="N763" s="5">
        <f>Orders[[#This Row],[Quantity]]*(INDEX(products!$A$1:$G$49,MATCH(orders!$D763,products!$A$1:$A$49,0),MATCH(orders!N$1,products!$A$1:$G$1,0)))</f>
        <v>9.8010000000000002</v>
      </c>
      <c r="O763" s="5">
        <f>M763*E763</f>
        <v>89.1</v>
      </c>
      <c r="P763" t="str">
        <f t="shared" si="22"/>
        <v>Excelsa</v>
      </c>
      <c r="Q763" t="str">
        <f t="shared" si="23"/>
        <v>Light</v>
      </c>
      <c r="R763" t="str">
        <f>_xlfn.XLOOKUP(Orders[[#This Row],[Customer ID]],customers!$A$1:$A$1001,customers!$I$1:$I$1001,,0)</f>
        <v>Yes</v>
      </c>
    </row>
    <row r="764" spans="1:18" x14ac:dyDescent="0.35">
      <c r="A764" s="2" t="s">
        <v>4797</v>
      </c>
      <c r="B764" s="3">
        <v>43563</v>
      </c>
      <c r="C764" s="2" t="s">
        <v>4798</v>
      </c>
      <c r="D764" t="s">
        <v>6160</v>
      </c>
      <c r="E764" s="2">
        <v>5</v>
      </c>
      <c r="F764" s="2" t="str">
        <f>_xlfn.XLOOKUP(Orders[[#This Row],[Customer ID]],customers!$A$1:$A$1001,customers!$B$1:$B$1001,,0)</f>
        <v>Sharona Danilchik</v>
      </c>
      <c r="G764" s="2" t="str">
        <f>IF(_xlfn.XLOOKUP(C764,customers!$A$1:$A$1001,customers!C763:C1763,,0)=0,"",_xlfn.XLOOKUP(C764,customers!$A$1:$A$1001,customers!C763:C1763,,0))</f>
        <v/>
      </c>
      <c r="H764" s="2" t="str">
        <f>_xlfn.XLOOKUP(Orders[[#This Row],[Customer ID]],customers!$A$1:$A$1001,customers!$G$1:$G$1001,,0)</f>
        <v>United Kingdom</v>
      </c>
      <c r="I764" s="2" t="str">
        <f>_xlfn.XLOOKUP(Orders[[#This Row],[Customer ID]],customers!$A$1:$A$1001,customers!$F$1:$F$1001,,0)</f>
        <v>Halton</v>
      </c>
      <c r="J764" t="str">
        <f>INDEX(products!$A$1:$G$49,MATCH(orders!$D764,products!$A$1:$A$49,0),MATCH(orders!J$1,products!$A$1:$G$1,0))</f>
        <v>Lib</v>
      </c>
      <c r="K764" t="str">
        <f>INDEX(products!$A$1:$G$49,MATCH(orders!$D764,products!$A$1:$A$49,0),MATCH(orders!K$1,products!$A$1:$G$1,0))</f>
        <v>M</v>
      </c>
      <c r="L764" s="4">
        <f>INDEX(products!$A$1:$G$49,MATCH(orders!$D764,products!$A$1:$A$49,0),MATCH(orders!L$1,products!$A$1:$G$1,0))</f>
        <v>0.5</v>
      </c>
      <c r="M764" s="5">
        <f>INDEX(products!$A$1:$G$49,MATCH(orders!$D764,products!$A$1:$A$49,0),MATCH(orders!M$1,products!$A$1:$G$1,0))</f>
        <v>8.73</v>
      </c>
      <c r="N764" s="5">
        <f>Orders[[#This Row],[Quantity]]*(INDEX(products!$A$1:$G$49,MATCH(orders!$D764,products!$A$1:$A$49,0),MATCH(orders!N$1,products!$A$1:$G$1,0)))</f>
        <v>5.6745000000000001</v>
      </c>
      <c r="O764" s="5">
        <f>M764*E764</f>
        <v>43.650000000000006</v>
      </c>
      <c r="P764" t="str">
        <f t="shared" si="22"/>
        <v>Liberica</v>
      </c>
      <c r="Q764" t="str">
        <f t="shared" si="23"/>
        <v>Medium</v>
      </c>
      <c r="R764" t="str">
        <f>_xlfn.XLOOKUP(Orders[[#This Row],[Customer ID]],customers!$A$1:$A$1001,customers!$I$1:$I$1001,,0)</f>
        <v>No</v>
      </c>
    </row>
    <row r="765" spans="1:18" x14ac:dyDescent="0.35">
      <c r="A765" s="2" t="s">
        <v>4803</v>
      </c>
      <c r="B765" s="3">
        <v>44587</v>
      </c>
      <c r="C765" s="2" t="s">
        <v>4804</v>
      </c>
      <c r="D765" t="s">
        <v>6180</v>
      </c>
      <c r="E765" s="2">
        <v>3</v>
      </c>
      <c r="F765" s="2" t="str">
        <f>_xlfn.XLOOKUP(Orders[[#This Row],[Customer ID]],customers!$A$1:$A$1001,customers!$B$1:$B$1001,,0)</f>
        <v>Sarajane Potter</v>
      </c>
      <c r="G765" s="2" t="str">
        <f>IF(_xlfn.XLOOKUP(C765,customers!$A$1:$A$1001,customers!C764:C1764,,0)=0,"",_xlfn.XLOOKUP(C765,customers!$A$1:$A$1001,customers!C764:C1764,,0))</f>
        <v/>
      </c>
      <c r="H765" s="2" t="str">
        <f>_xlfn.XLOOKUP(Orders[[#This Row],[Customer ID]],customers!$A$1:$A$1001,customers!$G$1:$G$1001,,0)</f>
        <v>United States</v>
      </c>
      <c r="I765" s="2" t="str">
        <f>_xlfn.XLOOKUP(Orders[[#This Row],[Customer ID]],customers!$A$1:$A$1001,customers!$F$1:$F$1001,,0)</f>
        <v>Fort Worth</v>
      </c>
      <c r="J765" t="str">
        <f>INDEX(products!$A$1:$G$49,MATCH(orders!$D765,products!$A$1:$A$49,0),MATCH(orders!J$1,products!$A$1:$G$1,0))</f>
        <v>Ara</v>
      </c>
      <c r="K765" t="str">
        <f>INDEX(products!$A$1:$G$49,MATCH(orders!$D765,products!$A$1:$A$49,0),MATCH(orders!K$1,products!$A$1:$G$1,0))</f>
        <v>L</v>
      </c>
      <c r="L765" s="4">
        <f>INDEX(products!$A$1:$G$49,MATCH(orders!$D765,products!$A$1:$A$49,0),MATCH(orders!L$1,products!$A$1:$G$1,0))</f>
        <v>0.5</v>
      </c>
      <c r="M765" s="5">
        <f>INDEX(products!$A$1:$G$49,MATCH(orders!$D765,products!$A$1:$A$49,0),MATCH(orders!M$1,products!$A$1:$G$1,0))</f>
        <v>7.77</v>
      </c>
      <c r="N765" s="5">
        <f>Orders[[#This Row],[Quantity]]*(INDEX(products!$A$1:$G$49,MATCH(orders!$D765,products!$A$1:$A$49,0),MATCH(orders!N$1,products!$A$1:$G$1,0)))</f>
        <v>2.0978999999999997</v>
      </c>
      <c r="O765" s="5">
        <f>M765*E765</f>
        <v>23.31</v>
      </c>
      <c r="P765" t="str">
        <f t="shared" si="22"/>
        <v>Arabica</v>
      </c>
      <c r="Q765" t="str">
        <f t="shared" si="23"/>
        <v>Light</v>
      </c>
      <c r="R765" t="str">
        <f>_xlfn.XLOOKUP(Orders[[#This Row],[Customer ID]],customers!$A$1:$A$1001,customers!$I$1:$I$1001,,0)</f>
        <v>No</v>
      </c>
    </row>
    <row r="766" spans="1:18" x14ac:dyDescent="0.35">
      <c r="A766" s="2" t="s">
        <v>4808</v>
      </c>
      <c r="B766" s="3">
        <v>43797</v>
      </c>
      <c r="C766" s="2" t="s">
        <v>4809</v>
      </c>
      <c r="D766" t="s">
        <v>6182</v>
      </c>
      <c r="E766" s="2">
        <v>6</v>
      </c>
      <c r="F766" s="2" t="str">
        <f>_xlfn.XLOOKUP(Orders[[#This Row],[Customer ID]],customers!$A$1:$A$1001,customers!$B$1:$B$1001,,0)</f>
        <v>Bobby Folomkin</v>
      </c>
      <c r="G766" s="2" t="str">
        <f>IF(_xlfn.XLOOKUP(C766,customers!$A$1:$A$1001,customers!C765:C1765,,0)=0,"",_xlfn.XLOOKUP(C766,customers!$A$1:$A$1001,customers!C765:C1765,,0))</f>
        <v/>
      </c>
      <c r="H766" s="2" t="str">
        <f>_xlfn.XLOOKUP(Orders[[#This Row],[Customer ID]],customers!$A$1:$A$1001,customers!$G$1:$G$1001,,0)</f>
        <v>United States</v>
      </c>
      <c r="I766" s="2" t="str">
        <f>_xlfn.XLOOKUP(Orders[[#This Row],[Customer ID]],customers!$A$1:$A$1001,customers!$F$1:$F$1001,,0)</f>
        <v>Fargo</v>
      </c>
      <c r="J766" t="str">
        <f>INDEX(products!$A$1:$G$49,MATCH(orders!$D766,products!$A$1:$A$49,0),MATCH(orders!J$1,products!$A$1:$G$1,0))</f>
        <v>Ara</v>
      </c>
      <c r="K766" t="str">
        <f>INDEX(products!$A$1:$G$49,MATCH(orders!$D766,products!$A$1:$A$49,0),MATCH(orders!K$1,products!$A$1:$G$1,0))</f>
        <v>L</v>
      </c>
      <c r="L766" s="4">
        <f>INDEX(products!$A$1:$G$49,MATCH(orders!$D766,products!$A$1:$A$49,0),MATCH(orders!L$1,products!$A$1:$G$1,0))</f>
        <v>2.5</v>
      </c>
      <c r="M766" s="5">
        <f>INDEX(products!$A$1:$G$49,MATCH(orders!$D766,products!$A$1:$A$49,0),MATCH(orders!M$1,products!$A$1:$G$1,0))</f>
        <v>29.784999999999997</v>
      </c>
      <c r="N766" s="5">
        <f>Orders[[#This Row],[Quantity]]*(INDEX(products!$A$1:$G$49,MATCH(orders!$D766,products!$A$1:$A$49,0),MATCH(orders!N$1,products!$A$1:$G$1,0)))</f>
        <v>16.083899999999996</v>
      </c>
      <c r="O766" s="5">
        <f>M766*E766</f>
        <v>178.70999999999998</v>
      </c>
      <c r="P766" t="str">
        <f t="shared" si="22"/>
        <v>Arabica</v>
      </c>
      <c r="Q766" t="str">
        <f t="shared" si="23"/>
        <v>Light</v>
      </c>
      <c r="R766" t="str">
        <f>_xlfn.XLOOKUP(Orders[[#This Row],[Customer ID]],customers!$A$1:$A$1001,customers!$I$1:$I$1001,,0)</f>
        <v>Yes</v>
      </c>
    </row>
    <row r="767" spans="1:18" x14ac:dyDescent="0.35">
      <c r="A767" s="2" t="s">
        <v>4814</v>
      </c>
      <c r="B767" s="3">
        <v>43667</v>
      </c>
      <c r="C767" s="2" t="s">
        <v>4815</v>
      </c>
      <c r="D767" t="s">
        <v>6138</v>
      </c>
      <c r="E767" s="2">
        <v>6</v>
      </c>
      <c r="F767" s="2" t="str">
        <f>_xlfn.XLOOKUP(Orders[[#This Row],[Customer ID]],customers!$A$1:$A$1001,customers!$B$1:$B$1001,,0)</f>
        <v>Rafferty Pursglove</v>
      </c>
      <c r="G767" s="2" t="str">
        <f>IF(_xlfn.XLOOKUP(C767,customers!$A$1:$A$1001,customers!C766:C1766,,0)=0,"",_xlfn.XLOOKUP(C767,customers!$A$1:$A$1001,customers!C766:C1766,,0))</f>
        <v/>
      </c>
      <c r="H767" s="2" t="str">
        <f>_xlfn.XLOOKUP(Orders[[#This Row],[Customer ID]],customers!$A$1:$A$1001,customers!$G$1:$G$1001,,0)</f>
        <v>United States</v>
      </c>
      <c r="I767" s="2" t="str">
        <f>_xlfn.XLOOKUP(Orders[[#This Row],[Customer ID]],customers!$A$1:$A$1001,customers!$F$1:$F$1001,,0)</f>
        <v>Garland</v>
      </c>
      <c r="J767" t="str">
        <f>INDEX(products!$A$1:$G$49,MATCH(orders!$D767,products!$A$1:$A$49,0),MATCH(orders!J$1,products!$A$1:$G$1,0))</f>
        <v>Rob</v>
      </c>
      <c r="K767" t="str">
        <f>INDEX(products!$A$1:$G$49,MATCH(orders!$D767,products!$A$1:$A$49,0),MATCH(orders!K$1,products!$A$1:$G$1,0))</f>
        <v>M</v>
      </c>
      <c r="L767" s="4">
        <f>INDEX(products!$A$1:$G$49,MATCH(orders!$D767,products!$A$1:$A$49,0),MATCH(orders!L$1,products!$A$1:$G$1,0))</f>
        <v>1</v>
      </c>
      <c r="M767" s="5">
        <f>INDEX(products!$A$1:$G$49,MATCH(orders!$D767,products!$A$1:$A$49,0),MATCH(orders!M$1,products!$A$1:$G$1,0))</f>
        <v>9.9499999999999993</v>
      </c>
      <c r="N767" s="5">
        <f>Orders[[#This Row],[Quantity]]*(INDEX(products!$A$1:$G$49,MATCH(orders!$D767,products!$A$1:$A$49,0),MATCH(orders!N$1,products!$A$1:$G$1,0)))</f>
        <v>3.5819999999999999</v>
      </c>
      <c r="O767" s="5">
        <f>M767*E767</f>
        <v>59.699999999999996</v>
      </c>
      <c r="P767" t="str">
        <f t="shared" si="22"/>
        <v>Robusta</v>
      </c>
      <c r="Q767" t="str">
        <f t="shared" si="23"/>
        <v>Medium</v>
      </c>
      <c r="R767" t="str">
        <f>_xlfn.XLOOKUP(Orders[[#This Row],[Customer ID]],customers!$A$1:$A$1001,customers!$I$1:$I$1001,,0)</f>
        <v>Yes</v>
      </c>
    </row>
    <row r="768" spans="1:18" x14ac:dyDescent="0.35">
      <c r="A768" s="2" t="s">
        <v>4814</v>
      </c>
      <c r="B768" s="3">
        <v>43667</v>
      </c>
      <c r="C768" s="2" t="s">
        <v>4815</v>
      </c>
      <c r="D768" t="s">
        <v>6180</v>
      </c>
      <c r="E768" s="2">
        <v>2</v>
      </c>
      <c r="F768" s="2" t="str">
        <f>_xlfn.XLOOKUP(Orders[[#This Row],[Customer ID]],customers!$A$1:$A$1001,customers!$B$1:$B$1001,,0)</f>
        <v>Rafferty Pursglove</v>
      </c>
      <c r="G768" s="2" t="str">
        <f>IF(_xlfn.XLOOKUP(C768,customers!$A$1:$A$1001,customers!C767:C1767,,0)=0,"",_xlfn.XLOOKUP(C768,customers!$A$1:$A$1001,customers!C767:C1767,,0))</f>
        <v/>
      </c>
      <c r="H768" s="2" t="str">
        <f>_xlfn.XLOOKUP(Orders[[#This Row],[Customer ID]],customers!$A$1:$A$1001,customers!$G$1:$G$1001,,0)</f>
        <v>United States</v>
      </c>
      <c r="I768" s="2" t="str">
        <f>_xlfn.XLOOKUP(Orders[[#This Row],[Customer ID]],customers!$A$1:$A$1001,customers!$F$1:$F$1001,,0)</f>
        <v>Garland</v>
      </c>
      <c r="J768" t="str">
        <f>INDEX(products!$A$1:$G$49,MATCH(orders!$D768,products!$A$1:$A$49,0),MATCH(orders!J$1,products!$A$1:$G$1,0))</f>
        <v>Ara</v>
      </c>
      <c r="K768" t="str">
        <f>INDEX(products!$A$1:$G$49,MATCH(orders!$D768,products!$A$1:$A$49,0),MATCH(orders!K$1,products!$A$1:$G$1,0))</f>
        <v>L</v>
      </c>
      <c r="L768" s="4">
        <f>INDEX(products!$A$1:$G$49,MATCH(orders!$D768,products!$A$1:$A$49,0),MATCH(orders!L$1,products!$A$1:$G$1,0))</f>
        <v>0.5</v>
      </c>
      <c r="M768" s="5">
        <f>INDEX(products!$A$1:$G$49,MATCH(orders!$D768,products!$A$1:$A$49,0),MATCH(orders!M$1,products!$A$1:$G$1,0))</f>
        <v>7.77</v>
      </c>
      <c r="N768" s="5">
        <f>Orders[[#This Row],[Quantity]]*(INDEX(products!$A$1:$G$49,MATCH(orders!$D768,products!$A$1:$A$49,0),MATCH(orders!N$1,products!$A$1:$G$1,0)))</f>
        <v>1.3985999999999998</v>
      </c>
      <c r="O768" s="5">
        <f>M768*E768</f>
        <v>15.54</v>
      </c>
      <c r="P768" t="str">
        <f t="shared" si="22"/>
        <v>Arabica</v>
      </c>
      <c r="Q768" t="str">
        <f t="shared" si="23"/>
        <v>Light</v>
      </c>
      <c r="R768" t="str">
        <f>_xlfn.XLOOKUP(Orders[[#This Row],[Customer ID]],customers!$A$1:$A$1001,customers!$I$1:$I$1001,,0)</f>
        <v>Yes</v>
      </c>
    </row>
    <row r="769" spans="1:18" x14ac:dyDescent="0.35">
      <c r="A769" s="2" t="s">
        <v>4825</v>
      </c>
      <c r="B769" s="3">
        <v>44267</v>
      </c>
      <c r="C769" s="2" t="s">
        <v>4759</v>
      </c>
      <c r="D769" t="s">
        <v>6182</v>
      </c>
      <c r="E769" s="2">
        <v>3</v>
      </c>
      <c r="F769" s="2" t="str">
        <f>_xlfn.XLOOKUP(Orders[[#This Row],[Customer ID]],customers!$A$1:$A$1001,customers!$B$1:$B$1001,,0)</f>
        <v>Foster Constance</v>
      </c>
      <c r="G769" s="2" t="str">
        <f>IF(_xlfn.XLOOKUP(C769,customers!$A$1:$A$1001,customers!C768:C1768,,0)=0,"",_xlfn.XLOOKUP(C769,customers!$A$1:$A$1001,customers!C768:C1768,,0))</f>
        <v/>
      </c>
      <c r="H769" s="2" t="str">
        <f>_xlfn.XLOOKUP(Orders[[#This Row],[Customer ID]],customers!$A$1:$A$1001,customers!$G$1:$G$1001,,0)</f>
        <v>United States</v>
      </c>
      <c r="I769" s="2" t="str">
        <f>_xlfn.XLOOKUP(Orders[[#This Row],[Customer ID]],customers!$A$1:$A$1001,customers!$F$1:$F$1001,,0)</f>
        <v>Dallas</v>
      </c>
      <c r="J769" t="str">
        <f>INDEX(products!$A$1:$G$49,MATCH(orders!$D769,products!$A$1:$A$49,0),MATCH(orders!J$1,products!$A$1:$G$1,0))</f>
        <v>Ara</v>
      </c>
      <c r="K769" t="str">
        <f>INDEX(products!$A$1:$G$49,MATCH(orders!$D769,products!$A$1:$A$49,0),MATCH(orders!K$1,products!$A$1:$G$1,0))</f>
        <v>L</v>
      </c>
      <c r="L769" s="4">
        <f>INDEX(products!$A$1:$G$49,MATCH(orders!$D769,products!$A$1:$A$49,0),MATCH(orders!L$1,products!$A$1:$G$1,0))</f>
        <v>2.5</v>
      </c>
      <c r="M769" s="5">
        <f>INDEX(products!$A$1:$G$49,MATCH(orders!$D769,products!$A$1:$A$49,0),MATCH(orders!M$1,products!$A$1:$G$1,0))</f>
        <v>29.784999999999997</v>
      </c>
      <c r="N769" s="5">
        <f>Orders[[#This Row],[Quantity]]*(INDEX(products!$A$1:$G$49,MATCH(orders!$D769,products!$A$1:$A$49,0),MATCH(orders!N$1,products!$A$1:$G$1,0)))</f>
        <v>8.0419499999999982</v>
      </c>
      <c r="O769" s="5">
        <f>M769*E769</f>
        <v>89.35499999999999</v>
      </c>
      <c r="P769" t="str">
        <f t="shared" si="22"/>
        <v>Arabica</v>
      </c>
      <c r="Q769" t="str">
        <f t="shared" si="23"/>
        <v>Light</v>
      </c>
      <c r="R769" t="str">
        <f>_xlfn.XLOOKUP(Orders[[#This Row],[Customer ID]],customers!$A$1:$A$1001,customers!$I$1:$I$1001,,0)</f>
        <v>No</v>
      </c>
    </row>
    <row r="770" spans="1:18" x14ac:dyDescent="0.35">
      <c r="A770" s="2" t="s">
        <v>4831</v>
      </c>
      <c r="B770" s="3">
        <v>44562</v>
      </c>
      <c r="C770" s="2" t="s">
        <v>4759</v>
      </c>
      <c r="D770" t="s">
        <v>6179</v>
      </c>
      <c r="E770" s="2">
        <v>2</v>
      </c>
      <c r="F770" s="2" t="str">
        <f>_xlfn.XLOOKUP(Orders[[#This Row],[Customer ID]],customers!$A$1:$A$1001,customers!$B$1:$B$1001,,0)</f>
        <v>Foster Constance</v>
      </c>
      <c r="G770" s="2" t="str">
        <f>IF(_xlfn.XLOOKUP(C770,customers!$A$1:$A$1001,customers!C769:C1769,,0)=0,"",_xlfn.XLOOKUP(C770,customers!$A$1:$A$1001,customers!C769:C1769,,0))</f>
        <v/>
      </c>
      <c r="H770" s="2" t="str">
        <f>_xlfn.XLOOKUP(Orders[[#This Row],[Customer ID]],customers!$A$1:$A$1001,customers!$G$1:$G$1001,,0)</f>
        <v>United States</v>
      </c>
      <c r="I770" s="2" t="str">
        <f>_xlfn.XLOOKUP(Orders[[#This Row],[Customer ID]],customers!$A$1:$A$1001,customers!$F$1:$F$1001,,0)</f>
        <v>Dallas</v>
      </c>
      <c r="J770" t="str">
        <f>INDEX(products!$A$1:$G$49,MATCH(orders!$D770,products!$A$1:$A$49,0),MATCH(orders!J$1,products!$A$1:$G$1,0))</f>
        <v>Rob</v>
      </c>
      <c r="K770" t="str">
        <f>INDEX(products!$A$1:$G$49,MATCH(orders!$D770,products!$A$1:$A$49,0),MATCH(orders!K$1,products!$A$1:$G$1,0))</f>
        <v>L</v>
      </c>
      <c r="L770" s="4">
        <f>INDEX(products!$A$1:$G$49,MATCH(orders!$D770,products!$A$1:$A$49,0),MATCH(orders!L$1,products!$A$1:$G$1,0))</f>
        <v>1</v>
      </c>
      <c r="M770" s="5">
        <f>INDEX(products!$A$1:$G$49,MATCH(orders!$D770,products!$A$1:$A$49,0),MATCH(orders!M$1,products!$A$1:$G$1,0))</f>
        <v>11.95</v>
      </c>
      <c r="N770" s="5">
        <f>Orders[[#This Row],[Quantity]]*(INDEX(products!$A$1:$G$49,MATCH(orders!$D770,products!$A$1:$A$49,0),MATCH(orders!N$1,products!$A$1:$G$1,0)))</f>
        <v>1.4339999999999999</v>
      </c>
      <c r="O770" s="5">
        <f>M770*E770</f>
        <v>23.9</v>
      </c>
      <c r="P770" t="str">
        <f t="shared" si="22"/>
        <v>Robusta</v>
      </c>
      <c r="Q770" t="str">
        <f t="shared" si="23"/>
        <v>Light</v>
      </c>
      <c r="R770" t="str">
        <f>_xlfn.XLOOKUP(Orders[[#This Row],[Customer ID]],customers!$A$1:$A$1001,customers!$I$1:$I$1001,,0)</f>
        <v>No</v>
      </c>
    </row>
    <row r="771" spans="1:18" x14ac:dyDescent="0.35">
      <c r="A771" s="2" t="s">
        <v>4836</v>
      </c>
      <c r="B771" s="3">
        <v>43912</v>
      </c>
      <c r="C771" s="2" t="s">
        <v>4837</v>
      </c>
      <c r="D771" t="s">
        <v>6151</v>
      </c>
      <c r="E771" s="2">
        <v>6</v>
      </c>
      <c r="F771" s="2" t="str">
        <f>_xlfn.XLOOKUP(Orders[[#This Row],[Customer ID]],customers!$A$1:$A$1001,customers!$B$1:$B$1001,,0)</f>
        <v>Dalia Eburah</v>
      </c>
      <c r="G771" s="2" t="str">
        <f>IF(_xlfn.XLOOKUP(C771,customers!$A$1:$A$1001,customers!C770:C1770,,0)=0,"",_xlfn.XLOOKUP(C771,customers!$A$1:$A$1001,customers!C770:C1770,,0))</f>
        <v/>
      </c>
      <c r="H771" s="2" t="str">
        <f>_xlfn.XLOOKUP(Orders[[#This Row],[Customer ID]],customers!$A$1:$A$1001,customers!$G$1:$G$1001,,0)</f>
        <v>United Kingdom</v>
      </c>
      <c r="I771" s="2" t="str">
        <f>_xlfn.XLOOKUP(Orders[[#This Row],[Customer ID]],customers!$A$1:$A$1001,customers!$F$1:$F$1001,,0)</f>
        <v>Birmingham</v>
      </c>
      <c r="J771" t="str">
        <f>INDEX(products!$A$1:$G$49,MATCH(orders!$D771,products!$A$1:$A$49,0),MATCH(orders!J$1,products!$A$1:$G$1,0))</f>
        <v>Rob</v>
      </c>
      <c r="K771" t="str">
        <f>INDEX(products!$A$1:$G$49,MATCH(orders!$D771,products!$A$1:$A$49,0),MATCH(orders!K$1,products!$A$1:$G$1,0))</f>
        <v>M</v>
      </c>
      <c r="L771" s="4">
        <f>INDEX(products!$A$1:$G$49,MATCH(orders!$D771,products!$A$1:$A$49,0),MATCH(orders!L$1,products!$A$1:$G$1,0))</f>
        <v>2.5</v>
      </c>
      <c r="M771" s="5">
        <f>INDEX(products!$A$1:$G$49,MATCH(orders!$D771,products!$A$1:$A$49,0),MATCH(orders!M$1,products!$A$1:$G$1,0))</f>
        <v>22.884999999999998</v>
      </c>
      <c r="N771" s="5">
        <f>Orders[[#This Row],[Quantity]]*(INDEX(products!$A$1:$G$49,MATCH(orders!$D771,products!$A$1:$A$49,0),MATCH(orders!N$1,products!$A$1:$G$1,0)))</f>
        <v>8.2385999999999981</v>
      </c>
      <c r="O771" s="5">
        <f>M771*E771</f>
        <v>137.31</v>
      </c>
      <c r="P771" t="str">
        <f t="shared" ref="P771:P834" si="24">IF(J771="Rob","Robusta",IF(J771="Exc","Excelsa",IF(J771="Ara","Arabica",IF(J771="Lib","Liberica",""))))</f>
        <v>Robusta</v>
      </c>
      <c r="Q771" t="str">
        <f t="shared" ref="Q771:Q834" si="25">IF(K771="M", "Medium", IF(K771="L", "Light", IF(K771="D", "Dark", "")))</f>
        <v>Medium</v>
      </c>
      <c r="R771" t="str">
        <f>_xlfn.XLOOKUP(Orders[[#This Row],[Customer ID]],customers!$A$1:$A$1001,customers!$I$1:$I$1001,,0)</f>
        <v>No</v>
      </c>
    </row>
    <row r="772" spans="1:18" x14ac:dyDescent="0.35">
      <c r="A772" s="2" t="s">
        <v>4842</v>
      </c>
      <c r="B772" s="3">
        <v>44092</v>
      </c>
      <c r="C772" s="2" t="s">
        <v>4843</v>
      </c>
      <c r="D772" t="s">
        <v>6147</v>
      </c>
      <c r="E772" s="2">
        <v>1</v>
      </c>
      <c r="F772" s="2" t="str">
        <f>_xlfn.XLOOKUP(Orders[[#This Row],[Customer ID]],customers!$A$1:$A$1001,customers!$B$1:$B$1001,,0)</f>
        <v>Martie Brimilcombe</v>
      </c>
      <c r="G772" s="2" t="str">
        <f>IF(_xlfn.XLOOKUP(C772,customers!$A$1:$A$1001,customers!C771:C1771,,0)=0,"",_xlfn.XLOOKUP(C772,customers!$A$1:$A$1001,customers!C771:C1771,,0))</f>
        <v/>
      </c>
      <c r="H772" s="2" t="str">
        <f>_xlfn.XLOOKUP(Orders[[#This Row],[Customer ID]],customers!$A$1:$A$1001,customers!$G$1:$G$1001,,0)</f>
        <v>United States</v>
      </c>
      <c r="I772" s="2" t="str">
        <f>_xlfn.XLOOKUP(Orders[[#This Row],[Customer ID]],customers!$A$1:$A$1001,customers!$F$1:$F$1001,,0)</f>
        <v>Springfield</v>
      </c>
      <c r="J772" t="str">
        <f>INDEX(products!$A$1:$G$49,MATCH(orders!$D772,products!$A$1:$A$49,0),MATCH(orders!J$1,products!$A$1:$G$1,0))</f>
        <v>Ara</v>
      </c>
      <c r="K772" t="str">
        <f>INDEX(products!$A$1:$G$49,MATCH(orders!$D772,products!$A$1:$A$49,0),MATCH(orders!K$1,products!$A$1:$G$1,0))</f>
        <v>D</v>
      </c>
      <c r="L772" s="4">
        <f>INDEX(products!$A$1:$G$49,MATCH(orders!$D772,products!$A$1:$A$49,0),MATCH(orders!L$1,products!$A$1:$G$1,0))</f>
        <v>1</v>
      </c>
      <c r="M772" s="5">
        <f>INDEX(products!$A$1:$G$49,MATCH(orders!$D772,products!$A$1:$A$49,0),MATCH(orders!M$1,products!$A$1:$G$1,0))</f>
        <v>9.9499999999999993</v>
      </c>
      <c r="N772" s="5">
        <f>Orders[[#This Row],[Quantity]]*(INDEX(products!$A$1:$G$49,MATCH(orders!$D772,products!$A$1:$A$49,0),MATCH(orders!N$1,products!$A$1:$G$1,0)))</f>
        <v>0.89549999999999985</v>
      </c>
      <c r="O772" s="5">
        <f>M772*E772</f>
        <v>9.9499999999999993</v>
      </c>
      <c r="P772" t="str">
        <f t="shared" si="24"/>
        <v>Arabica</v>
      </c>
      <c r="Q772" t="str">
        <f t="shared" si="25"/>
        <v>Dark</v>
      </c>
      <c r="R772" t="str">
        <f>_xlfn.XLOOKUP(Orders[[#This Row],[Customer ID]],customers!$A$1:$A$1001,customers!$I$1:$I$1001,,0)</f>
        <v>No</v>
      </c>
    </row>
    <row r="773" spans="1:18" x14ac:dyDescent="0.35">
      <c r="A773" s="2" t="s">
        <v>4847</v>
      </c>
      <c r="B773" s="3">
        <v>43468</v>
      </c>
      <c r="C773" s="2" t="s">
        <v>4848</v>
      </c>
      <c r="D773" t="s">
        <v>6173</v>
      </c>
      <c r="E773" s="2">
        <v>3</v>
      </c>
      <c r="F773" s="2" t="str">
        <f>_xlfn.XLOOKUP(Orders[[#This Row],[Customer ID]],customers!$A$1:$A$1001,customers!$B$1:$B$1001,,0)</f>
        <v>Suzanna Bollam</v>
      </c>
      <c r="G773" s="2" t="str">
        <f>IF(_xlfn.XLOOKUP(C773,customers!$A$1:$A$1001,customers!C772:C1772,,0)=0,"",_xlfn.XLOOKUP(C773,customers!$A$1:$A$1001,customers!C772:C1772,,0))</f>
        <v/>
      </c>
      <c r="H773" s="2" t="str">
        <f>_xlfn.XLOOKUP(Orders[[#This Row],[Customer ID]],customers!$A$1:$A$1001,customers!$G$1:$G$1001,,0)</f>
        <v>United States</v>
      </c>
      <c r="I773" s="2" t="str">
        <f>_xlfn.XLOOKUP(Orders[[#This Row],[Customer ID]],customers!$A$1:$A$1001,customers!$F$1:$F$1001,,0)</f>
        <v>Littleton</v>
      </c>
      <c r="J773" t="str">
        <f>INDEX(products!$A$1:$G$49,MATCH(orders!$D773,products!$A$1:$A$49,0),MATCH(orders!J$1,products!$A$1:$G$1,0))</f>
        <v>Rob</v>
      </c>
      <c r="K773" t="str">
        <f>INDEX(products!$A$1:$G$49,MATCH(orders!$D773,products!$A$1:$A$49,0),MATCH(orders!K$1,products!$A$1:$G$1,0))</f>
        <v>L</v>
      </c>
      <c r="L773" s="4">
        <f>INDEX(products!$A$1:$G$49,MATCH(orders!$D773,products!$A$1:$A$49,0),MATCH(orders!L$1,products!$A$1:$G$1,0))</f>
        <v>0.5</v>
      </c>
      <c r="M773" s="5">
        <f>INDEX(products!$A$1:$G$49,MATCH(orders!$D773,products!$A$1:$A$49,0),MATCH(orders!M$1,products!$A$1:$G$1,0))</f>
        <v>7.169999999999999</v>
      </c>
      <c r="N773" s="5">
        <f>Orders[[#This Row],[Quantity]]*(INDEX(products!$A$1:$G$49,MATCH(orders!$D773,products!$A$1:$A$49,0),MATCH(orders!N$1,products!$A$1:$G$1,0)))</f>
        <v>1.2905999999999997</v>
      </c>
      <c r="O773" s="5">
        <f>M773*E773</f>
        <v>21.509999999999998</v>
      </c>
      <c r="P773" t="str">
        <f t="shared" si="24"/>
        <v>Robusta</v>
      </c>
      <c r="Q773" t="str">
        <f t="shared" si="25"/>
        <v>Light</v>
      </c>
      <c r="R773" t="str">
        <f>_xlfn.XLOOKUP(Orders[[#This Row],[Customer ID]],customers!$A$1:$A$1001,customers!$I$1:$I$1001,,0)</f>
        <v>No</v>
      </c>
    </row>
    <row r="774" spans="1:18" x14ac:dyDescent="0.35">
      <c r="A774" s="2" t="s">
        <v>4853</v>
      </c>
      <c r="B774" s="3">
        <v>44468</v>
      </c>
      <c r="C774" s="2" t="s">
        <v>4854</v>
      </c>
      <c r="D774" t="s">
        <v>6141</v>
      </c>
      <c r="E774" s="2">
        <v>6</v>
      </c>
      <c r="F774" s="2" t="str">
        <f>_xlfn.XLOOKUP(Orders[[#This Row],[Customer ID]],customers!$A$1:$A$1001,customers!$B$1:$B$1001,,0)</f>
        <v>Mellisa Mebes</v>
      </c>
      <c r="G774" s="2" t="str">
        <f>IF(_xlfn.XLOOKUP(C774,customers!$A$1:$A$1001,customers!C773:C1773,,0)=0,"",_xlfn.XLOOKUP(C774,customers!$A$1:$A$1001,customers!C773:C1773,,0))</f>
        <v/>
      </c>
      <c r="H774" s="2" t="str">
        <f>_xlfn.XLOOKUP(Orders[[#This Row],[Customer ID]],customers!$A$1:$A$1001,customers!$G$1:$G$1001,,0)</f>
        <v>United States</v>
      </c>
      <c r="I774" s="2" t="str">
        <f>_xlfn.XLOOKUP(Orders[[#This Row],[Customer ID]],customers!$A$1:$A$1001,customers!$F$1:$F$1001,,0)</f>
        <v>Baltimore</v>
      </c>
      <c r="J774" t="str">
        <f>INDEX(products!$A$1:$G$49,MATCH(orders!$D774,products!$A$1:$A$49,0),MATCH(orders!J$1,products!$A$1:$G$1,0))</f>
        <v>Exc</v>
      </c>
      <c r="K774" t="str">
        <f>INDEX(products!$A$1:$G$49,MATCH(orders!$D774,products!$A$1:$A$49,0),MATCH(orders!K$1,products!$A$1:$G$1,0))</f>
        <v>M</v>
      </c>
      <c r="L774" s="4">
        <f>INDEX(products!$A$1:$G$49,MATCH(orders!$D774,products!$A$1:$A$49,0),MATCH(orders!L$1,products!$A$1:$G$1,0))</f>
        <v>1</v>
      </c>
      <c r="M774" s="5">
        <f>INDEX(products!$A$1:$G$49,MATCH(orders!$D774,products!$A$1:$A$49,0),MATCH(orders!M$1,products!$A$1:$G$1,0))</f>
        <v>13.75</v>
      </c>
      <c r="N774" s="5">
        <f>Orders[[#This Row],[Quantity]]*(INDEX(products!$A$1:$G$49,MATCH(orders!$D774,products!$A$1:$A$49,0),MATCH(orders!N$1,products!$A$1:$G$1,0)))</f>
        <v>9.0749999999999993</v>
      </c>
      <c r="O774" s="5">
        <f>M774*E774</f>
        <v>82.5</v>
      </c>
      <c r="P774" t="str">
        <f t="shared" si="24"/>
        <v>Excelsa</v>
      </c>
      <c r="Q774" t="str">
        <f t="shared" si="25"/>
        <v>Medium</v>
      </c>
      <c r="R774" t="str">
        <f>_xlfn.XLOOKUP(Orders[[#This Row],[Customer ID]],customers!$A$1:$A$1001,customers!$I$1:$I$1001,,0)</f>
        <v>No</v>
      </c>
    </row>
    <row r="775" spans="1:18" x14ac:dyDescent="0.35">
      <c r="A775" s="2" t="s">
        <v>4858</v>
      </c>
      <c r="B775" s="3">
        <v>44488</v>
      </c>
      <c r="C775" s="2" t="s">
        <v>4859</v>
      </c>
      <c r="D775" t="s">
        <v>6159</v>
      </c>
      <c r="E775" s="2">
        <v>2</v>
      </c>
      <c r="F775" s="2" t="str">
        <f>_xlfn.XLOOKUP(Orders[[#This Row],[Customer ID]],customers!$A$1:$A$1001,customers!$B$1:$B$1001,,0)</f>
        <v>Alva Filipczak</v>
      </c>
      <c r="G775" s="2" t="str">
        <f>IF(_xlfn.XLOOKUP(C775,customers!$A$1:$A$1001,customers!C774:C1774,,0)=0,"",_xlfn.XLOOKUP(C775,customers!$A$1:$A$1001,customers!C774:C1774,,0))</f>
        <v/>
      </c>
      <c r="H775" s="2" t="str">
        <f>_xlfn.XLOOKUP(Orders[[#This Row],[Customer ID]],customers!$A$1:$A$1001,customers!$G$1:$G$1001,,0)</f>
        <v>Ireland</v>
      </c>
      <c r="I775" s="2" t="str">
        <f>_xlfn.XLOOKUP(Orders[[#This Row],[Customer ID]],customers!$A$1:$A$1001,customers!$F$1:$F$1001,,0)</f>
        <v>Moycullen</v>
      </c>
      <c r="J775" t="str">
        <f>INDEX(products!$A$1:$G$49,MATCH(orders!$D775,products!$A$1:$A$49,0),MATCH(orders!J$1,products!$A$1:$G$1,0))</f>
        <v>Lib</v>
      </c>
      <c r="K775" t="str">
        <f>INDEX(products!$A$1:$G$49,MATCH(orders!$D775,products!$A$1:$A$49,0),MATCH(orders!K$1,products!$A$1:$G$1,0))</f>
        <v>M</v>
      </c>
      <c r="L775" s="4">
        <f>INDEX(products!$A$1:$G$49,MATCH(orders!$D775,products!$A$1:$A$49,0),MATCH(orders!L$1,products!$A$1:$G$1,0))</f>
        <v>0.2</v>
      </c>
      <c r="M775" s="5">
        <f>INDEX(products!$A$1:$G$49,MATCH(orders!$D775,products!$A$1:$A$49,0),MATCH(orders!M$1,products!$A$1:$G$1,0))</f>
        <v>4.3650000000000002</v>
      </c>
      <c r="N775" s="5">
        <f>Orders[[#This Row],[Quantity]]*(INDEX(products!$A$1:$G$49,MATCH(orders!$D775,products!$A$1:$A$49,0),MATCH(orders!N$1,products!$A$1:$G$1,0)))</f>
        <v>1.1349</v>
      </c>
      <c r="O775" s="5">
        <f>M775*E775</f>
        <v>8.73</v>
      </c>
      <c r="P775" t="str">
        <f t="shared" si="24"/>
        <v>Liberica</v>
      </c>
      <c r="Q775" t="str">
        <f t="shared" si="25"/>
        <v>Medium</v>
      </c>
      <c r="R775" t="str">
        <f>_xlfn.XLOOKUP(Orders[[#This Row],[Customer ID]],customers!$A$1:$A$1001,customers!$I$1:$I$1001,,0)</f>
        <v>No</v>
      </c>
    </row>
    <row r="776" spans="1:18" x14ac:dyDescent="0.35">
      <c r="A776" s="2" t="s">
        <v>4864</v>
      </c>
      <c r="B776" s="3">
        <v>44756</v>
      </c>
      <c r="C776" s="2" t="s">
        <v>4865</v>
      </c>
      <c r="D776" t="s">
        <v>6138</v>
      </c>
      <c r="E776" s="2">
        <v>2</v>
      </c>
      <c r="F776" s="2" t="str">
        <f>_xlfn.XLOOKUP(Orders[[#This Row],[Customer ID]],customers!$A$1:$A$1001,customers!$B$1:$B$1001,,0)</f>
        <v>Dorette Hinemoor</v>
      </c>
      <c r="G776" s="2" t="str">
        <f>IF(_xlfn.XLOOKUP(C776,customers!$A$1:$A$1001,customers!C775:C1775,,0)=0,"",_xlfn.XLOOKUP(C776,customers!$A$1:$A$1001,customers!C775:C1775,,0))</f>
        <v/>
      </c>
      <c r="H776" s="2" t="str">
        <f>_xlfn.XLOOKUP(Orders[[#This Row],[Customer ID]],customers!$A$1:$A$1001,customers!$G$1:$G$1001,,0)</f>
        <v>United States</v>
      </c>
      <c r="I776" s="2" t="str">
        <f>_xlfn.XLOOKUP(Orders[[#This Row],[Customer ID]],customers!$A$1:$A$1001,customers!$F$1:$F$1001,,0)</f>
        <v>Fort Lauderdale</v>
      </c>
      <c r="J776" t="str">
        <f>INDEX(products!$A$1:$G$49,MATCH(orders!$D776,products!$A$1:$A$49,0),MATCH(orders!J$1,products!$A$1:$G$1,0))</f>
        <v>Rob</v>
      </c>
      <c r="K776" t="str">
        <f>INDEX(products!$A$1:$G$49,MATCH(orders!$D776,products!$A$1:$A$49,0),MATCH(orders!K$1,products!$A$1:$G$1,0))</f>
        <v>M</v>
      </c>
      <c r="L776" s="4">
        <f>INDEX(products!$A$1:$G$49,MATCH(orders!$D776,products!$A$1:$A$49,0),MATCH(orders!L$1,products!$A$1:$G$1,0))</f>
        <v>1</v>
      </c>
      <c r="M776" s="5">
        <f>INDEX(products!$A$1:$G$49,MATCH(orders!$D776,products!$A$1:$A$49,0),MATCH(orders!M$1,products!$A$1:$G$1,0))</f>
        <v>9.9499999999999993</v>
      </c>
      <c r="N776" s="5">
        <f>Orders[[#This Row],[Quantity]]*(INDEX(products!$A$1:$G$49,MATCH(orders!$D776,products!$A$1:$A$49,0),MATCH(orders!N$1,products!$A$1:$G$1,0)))</f>
        <v>1.194</v>
      </c>
      <c r="O776" s="5">
        <f>M776*E776</f>
        <v>19.899999999999999</v>
      </c>
      <c r="P776" t="str">
        <f t="shared" si="24"/>
        <v>Robusta</v>
      </c>
      <c r="Q776" t="str">
        <f t="shared" si="25"/>
        <v>Medium</v>
      </c>
      <c r="R776" t="str">
        <f>_xlfn.XLOOKUP(Orders[[#This Row],[Customer ID]],customers!$A$1:$A$1001,customers!$I$1:$I$1001,,0)</f>
        <v>Yes</v>
      </c>
    </row>
    <row r="777" spans="1:18" x14ac:dyDescent="0.35">
      <c r="A777" s="2" t="s">
        <v>4869</v>
      </c>
      <c r="B777" s="3">
        <v>44396</v>
      </c>
      <c r="C777" s="2" t="s">
        <v>4870</v>
      </c>
      <c r="D777" t="s">
        <v>6176</v>
      </c>
      <c r="E777" s="2">
        <v>2</v>
      </c>
      <c r="F777" s="2" t="str">
        <f>_xlfn.XLOOKUP(Orders[[#This Row],[Customer ID]],customers!$A$1:$A$1001,customers!$B$1:$B$1001,,0)</f>
        <v>Rhetta Elnaugh</v>
      </c>
      <c r="G777" s="2" t="str">
        <f>IF(_xlfn.XLOOKUP(C777,customers!$A$1:$A$1001,customers!C776:C1776,,0)=0,"",_xlfn.XLOOKUP(C777,customers!$A$1:$A$1001,customers!C776:C1776,,0))</f>
        <v/>
      </c>
      <c r="H777" s="2" t="str">
        <f>_xlfn.XLOOKUP(Orders[[#This Row],[Customer ID]],customers!$A$1:$A$1001,customers!$G$1:$G$1001,,0)</f>
        <v>United States</v>
      </c>
      <c r="I777" s="2" t="str">
        <f>_xlfn.XLOOKUP(Orders[[#This Row],[Customer ID]],customers!$A$1:$A$1001,customers!$F$1:$F$1001,,0)</f>
        <v>San Diego</v>
      </c>
      <c r="J777" t="str">
        <f>INDEX(products!$A$1:$G$49,MATCH(orders!$D777,products!$A$1:$A$49,0),MATCH(orders!J$1,products!$A$1:$G$1,0))</f>
        <v>Exc</v>
      </c>
      <c r="K777" t="str">
        <f>INDEX(products!$A$1:$G$49,MATCH(orders!$D777,products!$A$1:$A$49,0),MATCH(orders!K$1,products!$A$1:$G$1,0))</f>
        <v>L</v>
      </c>
      <c r="L777" s="4">
        <f>INDEX(products!$A$1:$G$49,MATCH(orders!$D777,products!$A$1:$A$49,0),MATCH(orders!L$1,products!$A$1:$G$1,0))</f>
        <v>0.5</v>
      </c>
      <c r="M777" s="5">
        <f>INDEX(products!$A$1:$G$49,MATCH(orders!$D777,products!$A$1:$A$49,0),MATCH(orders!M$1,products!$A$1:$G$1,0))</f>
        <v>8.91</v>
      </c>
      <c r="N777" s="5">
        <f>Orders[[#This Row],[Quantity]]*(INDEX(products!$A$1:$G$49,MATCH(orders!$D777,products!$A$1:$A$49,0),MATCH(orders!N$1,products!$A$1:$G$1,0)))</f>
        <v>1.9601999999999999</v>
      </c>
      <c r="O777" s="5">
        <f>M777*E777</f>
        <v>17.82</v>
      </c>
      <c r="P777" t="str">
        <f t="shared" si="24"/>
        <v>Excelsa</v>
      </c>
      <c r="Q777" t="str">
        <f t="shared" si="25"/>
        <v>Light</v>
      </c>
      <c r="R777" t="str">
        <f>_xlfn.XLOOKUP(Orders[[#This Row],[Customer ID]],customers!$A$1:$A$1001,customers!$I$1:$I$1001,,0)</f>
        <v>Yes</v>
      </c>
    </row>
    <row r="778" spans="1:18" x14ac:dyDescent="0.35">
      <c r="A778" s="2" t="s">
        <v>4875</v>
      </c>
      <c r="B778" s="3">
        <v>44540</v>
      </c>
      <c r="C778" s="2" t="s">
        <v>4876</v>
      </c>
      <c r="D778" t="s">
        <v>6157</v>
      </c>
      <c r="E778" s="2">
        <v>3</v>
      </c>
      <c r="F778" s="2" t="str">
        <f>_xlfn.XLOOKUP(Orders[[#This Row],[Customer ID]],customers!$A$1:$A$1001,customers!$B$1:$B$1001,,0)</f>
        <v>Jule Deehan</v>
      </c>
      <c r="G778" s="2" t="str">
        <f>IF(_xlfn.XLOOKUP(C778,customers!$A$1:$A$1001,customers!C777:C1777,,0)=0,"",_xlfn.XLOOKUP(C778,customers!$A$1:$A$1001,customers!C777:C1777,,0))</f>
        <v/>
      </c>
      <c r="H778" s="2" t="str">
        <f>_xlfn.XLOOKUP(Orders[[#This Row],[Customer ID]],customers!$A$1:$A$1001,customers!$G$1:$G$1001,,0)</f>
        <v>United States</v>
      </c>
      <c r="I778" s="2" t="str">
        <f>_xlfn.XLOOKUP(Orders[[#This Row],[Customer ID]],customers!$A$1:$A$1001,customers!$F$1:$F$1001,,0)</f>
        <v>Dallas</v>
      </c>
      <c r="J778" t="str">
        <f>INDEX(products!$A$1:$G$49,MATCH(orders!$D778,products!$A$1:$A$49,0),MATCH(orders!J$1,products!$A$1:$G$1,0))</f>
        <v>Ara</v>
      </c>
      <c r="K778" t="str">
        <f>INDEX(products!$A$1:$G$49,MATCH(orders!$D778,products!$A$1:$A$49,0),MATCH(orders!K$1,products!$A$1:$G$1,0))</f>
        <v>M</v>
      </c>
      <c r="L778" s="4">
        <f>INDEX(products!$A$1:$G$49,MATCH(orders!$D778,products!$A$1:$A$49,0),MATCH(orders!L$1,products!$A$1:$G$1,0))</f>
        <v>0.5</v>
      </c>
      <c r="M778" s="5">
        <f>INDEX(products!$A$1:$G$49,MATCH(orders!$D778,products!$A$1:$A$49,0),MATCH(orders!M$1,products!$A$1:$G$1,0))</f>
        <v>6.75</v>
      </c>
      <c r="N778" s="5">
        <f>Orders[[#This Row],[Quantity]]*(INDEX(products!$A$1:$G$49,MATCH(orders!$D778,products!$A$1:$A$49,0),MATCH(orders!N$1,products!$A$1:$G$1,0)))</f>
        <v>1.8224999999999998</v>
      </c>
      <c r="O778" s="5">
        <f>M778*E778</f>
        <v>20.25</v>
      </c>
      <c r="P778" t="str">
        <f t="shared" si="24"/>
        <v>Arabica</v>
      </c>
      <c r="Q778" t="str">
        <f t="shared" si="25"/>
        <v>Medium</v>
      </c>
      <c r="R778" t="str">
        <f>_xlfn.XLOOKUP(Orders[[#This Row],[Customer ID]],customers!$A$1:$A$1001,customers!$I$1:$I$1001,,0)</f>
        <v>No</v>
      </c>
    </row>
    <row r="779" spans="1:18" x14ac:dyDescent="0.35">
      <c r="A779" s="2" t="s">
        <v>4881</v>
      </c>
      <c r="B779" s="3">
        <v>43541</v>
      </c>
      <c r="C779" s="2" t="s">
        <v>4882</v>
      </c>
      <c r="D779" t="s">
        <v>6182</v>
      </c>
      <c r="E779" s="2">
        <v>2</v>
      </c>
      <c r="F779" s="2" t="str">
        <f>_xlfn.XLOOKUP(Orders[[#This Row],[Customer ID]],customers!$A$1:$A$1001,customers!$B$1:$B$1001,,0)</f>
        <v>Janella Eden</v>
      </c>
      <c r="G779" s="2" t="str">
        <f>IF(_xlfn.XLOOKUP(C779,customers!$A$1:$A$1001,customers!C778:C1778,,0)=0,"",_xlfn.XLOOKUP(C779,customers!$A$1:$A$1001,customers!C778:C1778,,0))</f>
        <v/>
      </c>
      <c r="H779" s="2" t="str">
        <f>_xlfn.XLOOKUP(Orders[[#This Row],[Customer ID]],customers!$A$1:$A$1001,customers!$G$1:$G$1001,,0)</f>
        <v>United States</v>
      </c>
      <c r="I779" s="2" t="str">
        <f>_xlfn.XLOOKUP(Orders[[#This Row],[Customer ID]],customers!$A$1:$A$1001,customers!$F$1:$F$1001,,0)</f>
        <v>Joliet</v>
      </c>
      <c r="J779" t="str">
        <f>INDEX(products!$A$1:$G$49,MATCH(orders!$D779,products!$A$1:$A$49,0),MATCH(orders!J$1,products!$A$1:$G$1,0))</f>
        <v>Ara</v>
      </c>
      <c r="K779" t="str">
        <f>INDEX(products!$A$1:$G$49,MATCH(orders!$D779,products!$A$1:$A$49,0),MATCH(orders!K$1,products!$A$1:$G$1,0))</f>
        <v>L</v>
      </c>
      <c r="L779" s="4">
        <f>INDEX(products!$A$1:$G$49,MATCH(orders!$D779,products!$A$1:$A$49,0),MATCH(orders!L$1,products!$A$1:$G$1,0))</f>
        <v>2.5</v>
      </c>
      <c r="M779" s="5">
        <f>INDEX(products!$A$1:$G$49,MATCH(orders!$D779,products!$A$1:$A$49,0),MATCH(orders!M$1,products!$A$1:$G$1,0))</f>
        <v>29.784999999999997</v>
      </c>
      <c r="N779" s="5">
        <f>Orders[[#This Row],[Quantity]]*(INDEX(products!$A$1:$G$49,MATCH(orders!$D779,products!$A$1:$A$49,0),MATCH(orders!N$1,products!$A$1:$G$1,0)))</f>
        <v>5.3612999999999991</v>
      </c>
      <c r="O779" s="5">
        <f>M779*E779</f>
        <v>59.569999999999993</v>
      </c>
      <c r="P779" t="str">
        <f t="shared" si="24"/>
        <v>Arabica</v>
      </c>
      <c r="Q779" t="str">
        <f t="shared" si="25"/>
        <v>Light</v>
      </c>
      <c r="R779" t="str">
        <f>_xlfn.XLOOKUP(Orders[[#This Row],[Customer ID]],customers!$A$1:$A$1001,customers!$I$1:$I$1001,,0)</f>
        <v>No</v>
      </c>
    </row>
    <row r="780" spans="1:18" x14ac:dyDescent="0.35">
      <c r="A780" s="2" t="s">
        <v>4886</v>
      </c>
      <c r="B780" s="3">
        <v>43889</v>
      </c>
      <c r="C780" s="2" t="s">
        <v>4933</v>
      </c>
      <c r="D780" t="s">
        <v>6161</v>
      </c>
      <c r="E780" s="2">
        <v>2</v>
      </c>
      <c r="F780" s="2" t="str">
        <f>_xlfn.XLOOKUP(Orders[[#This Row],[Customer ID]],customers!$A$1:$A$1001,customers!$B$1:$B$1001,,0)</f>
        <v>Cam Jewster</v>
      </c>
      <c r="G780" s="2" t="str">
        <f>IF(_xlfn.XLOOKUP(C780,customers!$A$1:$A$1001,customers!C779:C1779,,0)=0,"",_xlfn.XLOOKUP(C780,customers!$A$1:$A$1001,customers!C779:C1779,,0))</f>
        <v/>
      </c>
      <c r="H780" s="2" t="str">
        <f>_xlfn.XLOOKUP(Orders[[#This Row],[Customer ID]],customers!$A$1:$A$1001,customers!$G$1:$G$1001,,0)</f>
        <v>United States</v>
      </c>
      <c r="I780" s="2" t="str">
        <f>_xlfn.XLOOKUP(Orders[[#This Row],[Customer ID]],customers!$A$1:$A$1001,customers!$F$1:$F$1001,,0)</f>
        <v>Dayton</v>
      </c>
      <c r="J780" t="str">
        <f>INDEX(products!$A$1:$G$49,MATCH(orders!$D780,products!$A$1:$A$49,0),MATCH(orders!J$1,products!$A$1:$G$1,0))</f>
        <v>Lib</v>
      </c>
      <c r="K780" t="str">
        <f>INDEX(products!$A$1:$G$49,MATCH(orders!$D780,products!$A$1:$A$49,0),MATCH(orders!K$1,products!$A$1:$G$1,0))</f>
        <v>L</v>
      </c>
      <c r="L780" s="4">
        <f>INDEX(products!$A$1:$G$49,MATCH(orders!$D780,products!$A$1:$A$49,0),MATCH(orders!L$1,products!$A$1:$G$1,0))</f>
        <v>0.5</v>
      </c>
      <c r="M780" s="5">
        <f>INDEX(products!$A$1:$G$49,MATCH(orders!$D780,products!$A$1:$A$49,0),MATCH(orders!M$1,products!$A$1:$G$1,0))</f>
        <v>9.51</v>
      </c>
      <c r="N780" s="5">
        <f>Orders[[#This Row],[Quantity]]*(INDEX(products!$A$1:$G$49,MATCH(orders!$D780,products!$A$1:$A$49,0),MATCH(orders!N$1,products!$A$1:$G$1,0)))</f>
        <v>2.4725999999999999</v>
      </c>
      <c r="O780" s="5">
        <f>M780*E780</f>
        <v>19.02</v>
      </c>
      <c r="P780" t="str">
        <f t="shared" si="24"/>
        <v>Liberica</v>
      </c>
      <c r="Q780" t="str">
        <f t="shared" si="25"/>
        <v>Light</v>
      </c>
      <c r="R780" t="str">
        <f>_xlfn.XLOOKUP(Orders[[#This Row],[Customer ID]],customers!$A$1:$A$1001,customers!$I$1:$I$1001,,0)</f>
        <v>Yes</v>
      </c>
    </row>
    <row r="781" spans="1:18" x14ac:dyDescent="0.35">
      <c r="A781" s="2" t="s">
        <v>4892</v>
      </c>
      <c r="B781" s="3">
        <v>43985</v>
      </c>
      <c r="C781" s="2" t="s">
        <v>4893</v>
      </c>
      <c r="D781" t="s">
        <v>6143</v>
      </c>
      <c r="E781" s="2">
        <v>6</v>
      </c>
      <c r="F781" s="2" t="str">
        <f>_xlfn.XLOOKUP(Orders[[#This Row],[Customer ID]],customers!$A$1:$A$1001,customers!$B$1:$B$1001,,0)</f>
        <v>Ugo Southerden</v>
      </c>
      <c r="G781" s="2" t="str">
        <f>IF(_xlfn.XLOOKUP(C781,customers!$A$1:$A$1001,customers!C780:C1780,,0)=0,"",_xlfn.XLOOKUP(C781,customers!$A$1:$A$1001,customers!C780:C1780,,0))</f>
        <v/>
      </c>
      <c r="H781" s="2" t="str">
        <f>_xlfn.XLOOKUP(Orders[[#This Row],[Customer ID]],customers!$A$1:$A$1001,customers!$G$1:$G$1001,,0)</f>
        <v>United States</v>
      </c>
      <c r="I781" s="2" t="str">
        <f>_xlfn.XLOOKUP(Orders[[#This Row],[Customer ID]],customers!$A$1:$A$1001,customers!$F$1:$F$1001,,0)</f>
        <v>Clearwater</v>
      </c>
      <c r="J781" t="str">
        <f>INDEX(products!$A$1:$G$49,MATCH(orders!$D781,products!$A$1:$A$49,0),MATCH(orders!J$1,products!$A$1:$G$1,0))</f>
        <v>Lib</v>
      </c>
      <c r="K781" t="str">
        <f>INDEX(products!$A$1:$G$49,MATCH(orders!$D781,products!$A$1:$A$49,0),MATCH(orders!K$1,products!$A$1:$G$1,0))</f>
        <v>D</v>
      </c>
      <c r="L781" s="4">
        <f>INDEX(products!$A$1:$G$49,MATCH(orders!$D781,products!$A$1:$A$49,0),MATCH(orders!L$1,products!$A$1:$G$1,0))</f>
        <v>1</v>
      </c>
      <c r="M781" s="5">
        <f>INDEX(products!$A$1:$G$49,MATCH(orders!$D781,products!$A$1:$A$49,0),MATCH(orders!M$1,products!$A$1:$G$1,0))</f>
        <v>12.95</v>
      </c>
      <c r="N781" s="5">
        <f>Orders[[#This Row],[Quantity]]*(INDEX(products!$A$1:$G$49,MATCH(orders!$D781,products!$A$1:$A$49,0),MATCH(orders!N$1,products!$A$1:$G$1,0)))</f>
        <v>10.100999999999999</v>
      </c>
      <c r="O781" s="5">
        <f>M781*E781</f>
        <v>77.699999999999989</v>
      </c>
      <c r="P781" t="str">
        <f t="shared" si="24"/>
        <v>Liberica</v>
      </c>
      <c r="Q781" t="str">
        <f t="shared" si="25"/>
        <v>Dark</v>
      </c>
      <c r="R781" t="str">
        <f>_xlfn.XLOOKUP(Orders[[#This Row],[Customer ID]],customers!$A$1:$A$1001,customers!$I$1:$I$1001,,0)</f>
        <v>Yes</v>
      </c>
    </row>
    <row r="782" spans="1:18" x14ac:dyDescent="0.35">
      <c r="A782" s="2" t="s">
        <v>4898</v>
      </c>
      <c r="B782" s="3">
        <v>43883</v>
      </c>
      <c r="C782" s="2" t="s">
        <v>4899</v>
      </c>
      <c r="D782" t="s">
        <v>6141</v>
      </c>
      <c r="E782" s="2">
        <v>3</v>
      </c>
      <c r="F782" s="2" t="str">
        <f>_xlfn.XLOOKUP(Orders[[#This Row],[Customer ID]],customers!$A$1:$A$1001,customers!$B$1:$B$1001,,0)</f>
        <v>Verne Dunkerley</v>
      </c>
      <c r="G782" s="2" t="str">
        <f>IF(_xlfn.XLOOKUP(C782,customers!$A$1:$A$1001,customers!C781:C1781,,0)=0,"",_xlfn.XLOOKUP(C782,customers!$A$1:$A$1001,customers!C781:C1781,,0))</f>
        <v/>
      </c>
      <c r="H782" s="2" t="str">
        <f>_xlfn.XLOOKUP(Orders[[#This Row],[Customer ID]],customers!$A$1:$A$1001,customers!$G$1:$G$1001,,0)</f>
        <v>United States</v>
      </c>
      <c r="I782" s="2" t="str">
        <f>_xlfn.XLOOKUP(Orders[[#This Row],[Customer ID]],customers!$A$1:$A$1001,customers!$F$1:$F$1001,,0)</f>
        <v>Minneapolis</v>
      </c>
      <c r="J782" t="str">
        <f>INDEX(products!$A$1:$G$49,MATCH(orders!$D782,products!$A$1:$A$49,0),MATCH(orders!J$1,products!$A$1:$G$1,0))</f>
        <v>Exc</v>
      </c>
      <c r="K782" t="str">
        <f>INDEX(products!$A$1:$G$49,MATCH(orders!$D782,products!$A$1:$A$49,0),MATCH(orders!K$1,products!$A$1:$G$1,0))</f>
        <v>M</v>
      </c>
      <c r="L782" s="4">
        <f>INDEX(products!$A$1:$G$49,MATCH(orders!$D782,products!$A$1:$A$49,0),MATCH(orders!L$1,products!$A$1:$G$1,0))</f>
        <v>1</v>
      </c>
      <c r="M782" s="5">
        <f>INDEX(products!$A$1:$G$49,MATCH(orders!$D782,products!$A$1:$A$49,0),MATCH(orders!M$1,products!$A$1:$G$1,0))</f>
        <v>13.75</v>
      </c>
      <c r="N782" s="5">
        <f>Orders[[#This Row],[Quantity]]*(INDEX(products!$A$1:$G$49,MATCH(orders!$D782,products!$A$1:$A$49,0),MATCH(orders!N$1,products!$A$1:$G$1,0)))</f>
        <v>4.5374999999999996</v>
      </c>
      <c r="O782" s="5">
        <f>M782*E782</f>
        <v>41.25</v>
      </c>
      <c r="P782" t="str">
        <f t="shared" si="24"/>
        <v>Excelsa</v>
      </c>
      <c r="Q782" t="str">
        <f t="shared" si="25"/>
        <v>Medium</v>
      </c>
      <c r="R782" t="str">
        <f>_xlfn.XLOOKUP(Orders[[#This Row],[Customer ID]],customers!$A$1:$A$1001,customers!$I$1:$I$1001,,0)</f>
        <v>No</v>
      </c>
    </row>
    <row r="783" spans="1:18" x14ac:dyDescent="0.35">
      <c r="A783" s="2" t="s">
        <v>4903</v>
      </c>
      <c r="B783" s="3">
        <v>43778</v>
      </c>
      <c r="C783" s="2" t="s">
        <v>4904</v>
      </c>
      <c r="D783" t="s">
        <v>6164</v>
      </c>
      <c r="E783" s="2">
        <v>4</v>
      </c>
      <c r="F783" s="2" t="str">
        <f>_xlfn.XLOOKUP(Orders[[#This Row],[Customer ID]],customers!$A$1:$A$1001,customers!$B$1:$B$1001,,0)</f>
        <v>Lacee Burtenshaw</v>
      </c>
      <c r="G783" s="2" t="str">
        <f>IF(_xlfn.XLOOKUP(C783,customers!$A$1:$A$1001,customers!C782:C1782,,0)=0,"",_xlfn.XLOOKUP(C783,customers!$A$1:$A$1001,customers!C782:C1782,,0))</f>
        <v/>
      </c>
      <c r="H783" s="2" t="str">
        <f>_xlfn.XLOOKUP(Orders[[#This Row],[Customer ID]],customers!$A$1:$A$1001,customers!$G$1:$G$1001,,0)</f>
        <v>United States</v>
      </c>
      <c r="I783" s="2" t="str">
        <f>_xlfn.XLOOKUP(Orders[[#This Row],[Customer ID]],customers!$A$1:$A$1001,customers!$F$1:$F$1001,,0)</f>
        <v>Lawrenceville</v>
      </c>
      <c r="J783" t="str">
        <f>INDEX(products!$A$1:$G$49,MATCH(orders!$D783,products!$A$1:$A$49,0),MATCH(orders!J$1,products!$A$1:$G$1,0))</f>
        <v>Lib</v>
      </c>
      <c r="K783" t="str">
        <f>INDEX(products!$A$1:$G$49,MATCH(orders!$D783,products!$A$1:$A$49,0),MATCH(orders!K$1,products!$A$1:$G$1,0))</f>
        <v>L</v>
      </c>
      <c r="L783" s="4">
        <f>INDEX(products!$A$1:$G$49,MATCH(orders!$D783,products!$A$1:$A$49,0),MATCH(orders!L$1,products!$A$1:$G$1,0))</f>
        <v>2.5</v>
      </c>
      <c r="M783" s="5">
        <f>INDEX(products!$A$1:$G$49,MATCH(orders!$D783,products!$A$1:$A$49,0),MATCH(orders!M$1,products!$A$1:$G$1,0))</f>
        <v>36.454999999999998</v>
      </c>
      <c r="N783" s="5">
        <f>Orders[[#This Row],[Quantity]]*(INDEX(products!$A$1:$G$49,MATCH(orders!$D783,products!$A$1:$A$49,0),MATCH(orders!N$1,products!$A$1:$G$1,0)))</f>
        <v>18.956599999999998</v>
      </c>
      <c r="O783" s="5">
        <f>M783*E783</f>
        <v>145.82</v>
      </c>
      <c r="P783" t="str">
        <f t="shared" si="24"/>
        <v>Liberica</v>
      </c>
      <c r="Q783" t="str">
        <f t="shared" si="25"/>
        <v>Light</v>
      </c>
      <c r="R783" t="str">
        <f>_xlfn.XLOOKUP(Orders[[#This Row],[Customer ID]],customers!$A$1:$A$1001,customers!$I$1:$I$1001,,0)</f>
        <v>No</v>
      </c>
    </row>
    <row r="784" spans="1:18" x14ac:dyDescent="0.35">
      <c r="A784" s="2" t="s">
        <v>4909</v>
      </c>
      <c r="B784" s="3">
        <v>43897</v>
      </c>
      <c r="C784" s="2" t="s">
        <v>4910</v>
      </c>
      <c r="D784" t="s">
        <v>6184</v>
      </c>
      <c r="E784" s="2">
        <v>6</v>
      </c>
      <c r="F784" s="2" t="str">
        <f>_xlfn.XLOOKUP(Orders[[#This Row],[Customer ID]],customers!$A$1:$A$1001,customers!$B$1:$B$1001,,0)</f>
        <v>Adorne Gregoratti</v>
      </c>
      <c r="G784" s="2" t="str">
        <f>IF(_xlfn.XLOOKUP(C784,customers!$A$1:$A$1001,customers!C783:C1783,,0)=0,"",_xlfn.XLOOKUP(C784,customers!$A$1:$A$1001,customers!C783:C1783,,0))</f>
        <v/>
      </c>
      <c r="H784" s="2" t="str">
        <f>_xlfn.XLOOKUP(Orders[[#This Row],[Customer ID]],customers!$A$1:$A$1001,customers!$G$1:$G$1001,,0)</f>
        <v>Ireland</v>
      </c>
      <c r="I784" s="2" t="str">
        <f>_xlfn.XLOOKUP(Orders[[#This Row],[Customer ID]],customers!$A$1:$A$1001,customers!$F$1:$F$1001,,0)</f>
        <v>Malahide</v>
      </c>
      <c r="J784" t="str">
        <f>INDEX(products!$A$1:$G$49,MATCH(orders!$D784,products!$A$1:$A$49,0),MATCH(orders!J$1,products!$A$1:$G$1,0))</f>
        <v>Exc</v>
      </c>
      <c r="K784" t="str">
        <f>INDEX(products!$A$1:$G$49,MATCH(orders!$D784,products!$A$1:$A$49,0),MATCH(orders!K$1,products!$A$1:$G$1,0))</f>
        <v>L</v>
      </c>
      <c r="L784" s="4">
        <f>INDEX(products!$A$1:$G$49,MATCH(orders!$D784,products!$A$1:$A$49,0),MATCH(orders!L$1,products!$A$1:$G$1,0))</f>
        <v>0.2</v>
      </c>
      <c r="M784" s="5">
        <f>INDEX(products!$A$1:$G$49,MATCH(orders!$D784,products!$A$1:$A$49,0),MATCH(orders!M$1,products!$A$1:$G$1,0))</f>
        <v>4.4550000000000001</v>
      </c>
      <c r="N784" s="5">
        <f>Orders[[#This Row],[Quantity]]*(INDEX(products!$A$1:$G$49,MATCH(orders!$D784,products!$A$1:$A$49,0),MATCH(orders!N$1,products!$A$1:$G$1,0)))</f>
        <v>2.9402999999999997</v>
      </c>
      <c r="O784" s="5">
        <f>M784*E784</f>
        <v>26.73</v>
      </c>
      <c r="P784" t="str">
        <f t="shared" si="24"/>
        <v>Excelsa</v>
      </c>
      <c r="Q784" t="str">
        <f t="shared" si="25"/>
        <v>Light</v>
      </c>
      <c r="R784" t="str">
        <f>_xlfn.XLOOKUP(Orders[[#This Row],[Customer ID]],customers!$A$1:$A$1001,customers!$I$1:$I$1001,,0)</f>
        <v>No</v>
      </c>
    </row>
    <row r="785" spans="1:18" x14ac:dyDescent="0.35">
      <c r="A785" s="2" t="s">
        <v>4915</v>
      </c>
      <c r="B785" s="3">
        <v>44312</v>
      </c>
      <c r="C785" s="2" t="s">
        <v>4916</v>
      </c>
      <c r="D785" t="s">
        <v>6160</v>
      </c>
      <c r="E785" s="2">
        <v>5</v>
      </c>
      <c r="F785" s="2" t="str">
        <f>_xlfn.XLOOKUP(Orders[[#This Row],[Customer ID]],customers!$A$1:$A$1001,customers!$B$1:$B$1001,,0)</f>
        <v>Chris Croster</v>
      </c>
      <c r="G785" s="2" t="str">
        <f>IF(_xlfn.XLOOKUP(C785,customers!$A$1:$A$1001,customers!C784:C1784,,0)=0,"",_xlfn.XLOOKUP(C785,customers!$A$1:$A$1001,customers!C784:C1784,,0))</f>
        <v/>
      </c>
      <c r="H785" s="2" t="str">
        <f>_xlfn.XLOOKUP(Orders[[#This Row],[Customer ID]],customers!$A$1:$A$1001,customers!$G$1:$G$1001,,0)</f>
        <v>United States</v>
      </c>
      <c r="I785" s="2" t="str">
        <f>_xlfn.XLOOKUP(Orders[[#This Row],[Customer ID]],customers!$A$1:$A$1001,customers!$F$1:$F$1001,,0)</f>
        <v>Tampa</v>
      </c>
      <c r="J785" t="str">
        <f>INDEX(products!$A$1:$G$49,MATCH(orders!$D785,products!$A$1:$A$49,0),MATCH(orders!J$1,products!$A$1:$G$1,0))</f>
        <v>Lib</v>
      </c>
      <c r="K785" t="str">
        <f>INDEX(products!$A$1:$G$49,MATCH(orders!$D785,products!$A$1:$A$49,0),MATCH(orders!K$1,products!$A$1:$G$1,0))</f>
        <v>M</v>
      </c>
      <c r="L785" s="4">
        <f>INDEX(products!$A$1:$G$49,MATCH(orders!$D785,products!$A$1:$A$49,0),MATCH(orders!L$1,products!$A$1:$G$1,0))</f>
        <v>0.5</v>
      </c>
      <c r="M785" s="5">
        <f>INDEX(products!$A$1:$G$49,MATCH(orders!$D785,products!$A$1:$A$49,0),MATCH(orders!M$1,products!$A$1:$G$1,0))</f>
        <v>8.73</v>
      </c>
      <c r="N785" s="5">
        <f>Orders[[#This Row],[Quantity]]*(INDEX(products!$A$1:$G$49,MATCH(orders!$D785,products!$A$1:$A$49,0),MATCH(orders!N$1,products!$A$1:$G$1,0)))</f>
        <v>5.6745000000000001</v>
      </c>
      <c r="O785" s="5">
        <f>M785*E785</f>
        <v>43.650000000000006</v>
      </c>
      <c r="P785" t="str">
        <f t="shared" si="24"/>
        <v>Liberica</v>
      </c>
      <c r="Q785" t="str">
        <f t="shared" si="25"/>
        <v>Medium</v>
      </c>
      <c r="R785" t="str">
        <f>_xlfn.XLOOKUP(Orders[[#This Row],[Customer ID]],customers!$A$1:$A$1001,customers!$I$1:$I$1001,,0)</f>
        <v>Yes</v>
      </c>
    </row>
    <row r="786" spans="1:18" x14ac:dyDescent="0.35">
      <c r="A786" s="2" t="s">
        <v>4921</v>
      </c>
      <c r="B786" s="3">
        <v>44511</v>
      </c>
      <c r="C786" s="2" t="s">
        <v>4922</v>
      </c>
      <c r="D786" t="s">
        <v>6170</v>
      </c>
      <c r="E786" s="2">
        <v>2</v>
      </c>
      <c r="F786" s="2" t="str">
        <f>_xlfn.XLOOKUP(Orders[[#This Row],[Customer ID]],customers!$A$1:$A$1001,customers!$B$1:$B$1001,,0)</f>
        <v>Graeme Whitehead</v>
      </c>
      <c r="G786" s="2" t="str">
        <f>IF(_xlfn.XLOOKUP(C786,customers!$A$1:$A$1001,customers!C785:C1785,,0)=0,"",_xlfn.XLOOKUP(C786,customers!$A$1:$A$1001,customers!C785:C1785,,0))</f>
        <v/>
      </c>
      <c r="H786" s="2" t="str">
        <f>_xlfn.XLOOKUP(Orders[[#This Row],[Customer ID]],customers!$A$1:$A$1001,customers!$G$1:$G$1001,,0)</f>
        <v>United States</v>
      </c>
      <c r="I786" s="2" t="str">
        <f>_xlfn.XLOOKUP(Orders[[#This Row],[Customer ID]],customers!$A$1:$A$1001,customers!$F$1:$F$1001,,0)</f>
        <v>Nashville</v>
      </c>
      <c r="J786" t="str">
        <f>INDEX(products!$A$1:$G$49,MATCH(orders!$D786,products!$A$1:$A$49,0),MATCH(orders!J$1,products!$A$1:$G$1,0))</f>
        <v>Lib</v>
      </c>
      <c r="K786" t="str">
        <f>INDEX(products!$A$1:$G$49,MATCH(orders!$D786,products!$A$1:$A$49,0),MATCH(orders!K$1,products!$A$1:$G$1,0))</f>
        <v>L</v>
      </c>
      <c r="L786" s="4">
        <f>INDEX(products!$A$1:$G$49,MATCH(orders!$D786,products!$A$1:$A$49,0),MATCH(orders!L$1,products!$A$1:$G$1,0))</f>
        <v>1</v>
      </c>
      <c r="M786" s="5">
        <f>INDEX(products!$A$1:$G$49,MATCH(orders!$D786,products!$A$1:$A$49,0),MATCH(orders!M$1,products!$A$1:$G$1,0))</f>
        <v>15.85</v>
      </c>
      <c r="N786" s="5">
        <f>Orders[[#This Row],[Quantity]]*(INDEX(products!$A$1:$G$49,MATCH(orders!$D786,products!$A$1:$A$49,0),MATCH(orders!N$1,products!$A$1:$G$1,0)))</f>
        <v>4.1210000000000004</v>
      </c>
      <c r="O786" s="5">
        <f>M786*E786</f>
        <v>31.7</v>
      </c>
      <c r="P786" t="str">
        <f t="shared" si="24"/>
        <v>Liberica</v>
      </c>
      <c r="Q786" t="str">
        <f t="shared" si="25"/>
        <v>Light</v>
      </c>
      <c r="R786" t="str">
        <f>_xlfn.XLOOKUP(Orders[[#This Row],[Customer ID]],customers!$A$1:$A$1001,customers!$I$1:$I$1001,,0)</f>
        <v>No</v>
      </c>
    </row>
    <row r="787" spans="1:18" x14ac:dyDescent="0.35">
      <c r="A787" s="2" t="s">
        <v>4926</v>
      </c>
      <c r="B787" s="3">
        <v>44362</v>
      </c>
      <c r="C787" s="2" t="s">
        <v>4927</v>
      </c>
      <c r="D787" t="s">
        <v>6168</v>
      </c>
      <c r="E787" s="2">
        <v>1</v>
      </c>
      <c r="F787" s="2" t="str">
        <f>_xlfn.XLOOKUP(Orders[[#This Row],[Customer ID]],customers!$A$1:$A$1001,customers!$B$1:$B$1001,,0)</f>
        <v>Haslett Jodrelle</v>
      </c>
      <c r="G787" s="2" t="str">
        <f>IF(_xlfn.XLOOKUP(C787,customers!$A$1:$A$1001,customers!C786:C1786,,0)=0,"",_xlfn.XLOOKUP(C787,customers!$A$1:$A$1001,customers!C786:C1786,,0))</f>
        <v/>
      </c>
      <c r="H787" s="2" t="str">
        <f>_xlfn.XLOOKUP(Orders[[#This Row],[Customer ID]],customers!$A$1:$A$1001,customers!$G$1:$G$1001,,0)</f>
        <v>United States</v>
      </c>
      <c r="I787" s="2" t="str">
        <f>_xlfn.XLOOKUP(Orders[[#This Row],[Customer ID]],customers!$A$1:$A$1001,customers!$F$1:$F$1001,,0)</f>
        <v>Miami</v>
      </c>
      <c r="J787" t="str">
        <f>INDEX(products!$A$1:$G$49,MATCH(orders!$D787,products!$A$1:$A$49,0),MATCH(orders!J$1,products!$A$1:$G$1,0))</f>
        <v>Ara</v>
      </c>
      <c r="K787" t="str">
        <f>INDEX(products!$A$1:$G$49,MATCH(orders!$D787,products!$A$1:$A$49,0),MATCH(orders!K$1,products!$A$1:$G$1,0))</f>
        <v>D</v>
      </c>
      <c r="L787" s="4">
        <f>INDEX(products!$A$1:$G$49,MATCH(orders!$D787,products!$A$1:$A$49,0),MATCH(orders!L$1,products!$A$1:$G$1,0))</f>
        <v>2.5</v>
      </c>
      <c r="M787" s="5">
        <f>INDEX(products!$A$1:$G$49,MATCH(orders!$D787,products!$A$1:$A$49,0),MATCH(orders!M$1,products!$A$1:$G$1,0))</f>
        <v>22.884999999999998</v>
      </c>
      <c r="N787" s="5">
        <f>Orders[[#This Row],[Quantity]]*(INDEX(products!$A$1:$G$49,MATCH(orders!$D787,products!$A$1:$A$49,0),MATCH(orders!N$1,products!$A$1:$G$1,0)))</f>
        <v>2.0596499999999995</v>
      </c>
      <c r="O787" s="5">
        <f>M787*E787</f>
        <v>22.884999999999998</v>
      </c>
      <c r="P787" t="str">
        <f t="shared" si="24"/>
        <v>Arabica</v>
      </c>
      <c r="Q787" t="str">
        <f t="shared" si="25"/>
        <v>Dark</v>
      </c>
      <c r="R787" t="str">
        <f>_xlfn.XLOOKUP(Orders[[#This Row],[Customer ID]],customers!$A$1:$A$1001,customers!$I$1:$I$1001,,0)</f>
        <v>No</v>
      </c>
    </row>
    <row r="788" spans="1:18" x14ac:dyDescent="0.35">
      <c r="A788" s="2" t="s">
        <v>4932</v>
      </c>
      <c r="B788" s="3">
        <v>43888</v>
      </c>
      <c r="C788" s="2" t="s">
        <v>4933</v>
      </c>
      <c r="D788" t="s">
        <v>6185</v>
      </c>
      <c r="E788" s="2">
        <v>1</v>
      </c>
      <c r="F788" s="2" t="str">
        <f>_xlfn.XLOOKUP(Orders[[#This Row],[Customer ID]],customers!$A$1:$A$1001,customers!$B$1:$B$1001,,0)</f>
        <v>Cam Jewster</v>
      </c>
      <c r="G788" s="2" t="str">
        <f>IF(_xlfn.XLOOKUP(C788,customers!$A$1:$A$1001,customers!C787:C1787,,0)=0,"",_xlfn.XLOOKUP(C788,customers!$A$1:$A$1001,customers!C787:C1787,,0))</f>
        <v/>
      </c>
      <c r="H788" s="2" t="str">
        <f>_xlfn.XLOOKUP(Orders[[#This Row],[Customer ID]],customers!$A$1:$A$1001,customers!$G$1:$G$1001,,0)</f>
        <v>United States</v>
      </c>
      <c r="I788" s="2" t="str">
        <f>_xlfn.XLOOKUP(Orders[[#This Row],[Customer ID]],customers!$A$1:$A$1001,customers!$F$1:$F$1001,,0)</f>
        <v>Dayton</v>
      </c>
      <c r="J788" t="str">
        <f>INDEX(products!$A$1:$G$49,MATCH(orders!$D788,products!$A$1:$A$49,0),MATCH(orders!J$1,products!$A$1:$G$1,0))</f>
        <v>Exc</v>
      </c>
      <c r="K788" t="str">
        <f>INDEX(products!$A$1:$G$49,MATCH(orders!$D788,products!$A$1:$A$49,0),MATCH(orders!K$1,products!$A$1:$G$1,0))</f>
        <v>D</v>
      </c>
      <c r="L788" s="4">
        <f>INDEX(products!$A$1:$G$49,MATCH(orders!$D788,products!$A$1:$A$49,0),MATCH(orders!L$1,products!$A$1:$G$1,0))</f>
        <v>2.5</v>
      </c>
      <c r="M788" s="5">
        <f>INDEX(products!$A$1:$G$49,MATCH(orders!$D788,products!$A$1:$A$49,0),MATCH(orders!M$1,products!$A$1:$G$1,0))</f>
        <v>27.945</v>
      </c>
      <c r="N788" s="5">
        <f>Orders[[#This Row],[Quantity]]*(INDEX(products!$A$1:$G$49,MATCH(orders!$D788,products!$A$1:$A$49,0),MATCH(orders!N$1,products!$A$1:$G$1,0)))</f>
        <v>3.07395</v>
      </c>
      <c r="O788" s="5">
        <f>M788*E788</f>
        <v>27.945</v>
      </c>
      <c r="P788" t="str">
        <f t="shared" si="24"/>
        <v>Excelsa</v>
      </c>
      <c r="Q788" t="str">
        <f t="shared" si="25"/>
        <v>Dark</v>
      </c>
      <c r="R788" t="str">
        <f>_xlfn.XLOOKUP(Orders[[#This Row],[Customer ID]],customers!$A$1:$A$1001,customers!$I$1:$I$1001,,0)</f>
        <v>Yes</v>
      </c>
    </row>
    <row r="789" spans="1:18" x14ac:dyDescent="0.35">
      <c r="A789" s="2" t="s">
        <v>4938</v>
      </c>
      <c r="B789" s="3">
        <v>44305</v>
      </c>
      <c r="C789" s="2" t="s">
        <v>4939</v>
      </c>
      <c r="D789" t="s">
        <v>6141</v>
      </c>
      <c r="E789" s="2">
        <v>6</v>
      </c>
      <c r="F789" s="2" t="str">
        <f>_xlfn.XLOOKUP(Orders[[#This Row],[Customer ID]],customers!$A$1:$A$1001,customers!$B$1:$B$1001,,0)</f>
        <v>Beryl Osborn</v>
      </c>
      <c r="G789" s="2" t="str">
        <f>IF(_xlfn.XLOOKUP(C789,customers!$A$1:$A$1001,customers!C788:C1788,,0)=0,"",_xlfn.XLOOKUP(C789,customers!$A$1:$A$1001,customers!C788:C1788,,0))</f>
        <v/>
      </c>
      <c r="H789" s="2" t="str">
        <f>_xlfn.XLOOKUP(Orders[[#This Row],[Customer ID]],customers!$A$1:$A$1001,customers!$G$1:$G$1001,,0)</f>
        <v>United States</v>
      </c>
      <c r="I789" s="2" t="str">
        <f>_xlfn.XLOOKUP(Orders[[#This Row],[Customer ID]],customers!$A$1:$A$1001,customers!$F$1:$F$1001,,0)</f>
        <v>Chicago</v>
      </c>
      <c r="J789" t="str">
        <f>INDEX(products!$A$1:$G$49,MATCH(orders!$D789,products!$A$1:$A$49,0),MATCH(orders!J$1,products!$A$1:$G$1,0))</f>
        <v>Exc</v>
      </c>
      <c r="K789" t="str">
        <f>INDEX(products!$A$1:$G$49,MATCH(orders!$D789,products!$A$1:$A$49,0),MATCH(orders!K$1,products!$A$1:$G$1,0))</f>
        <v>M</v>
      </c>
      <c r="L789" s="4">
        <f>INDEX(products!$A$1:$G$49,MATCH(orders!$D789,products!$A$1:$A$49,0),MATCH(orders!L$1,products!$A$1:$G$1,0))</f>
        <v>1</v>
      </c>
      <c r="M789" s="5">
        <f>INDEX(products!$A$1:$G$49,MATCH(orders!$D789,products!$A$1:$A$49,0),MATCH(orders!M$1,products!$A$1:$G$1,0))</f>
        <v>13.75</v>
      </c>
      <c r="N789" s="5">
        <f>Orders[[#This Row],[Quantity]]*(INDEX(products!$A$1:$G$49,MATCH(orders!$D789,products!$A$1:$A$49,0),MATCH(orders!N$1,products!$A$1:$G$1,0)))</f>
        <v>9.0749999999999993</v>
      </c>
      <c r="O789" s="5">
        <f>M789*E789</f>
        <v>82.5</v>
      </c>
      <c r="P789" t="str">
        <f t="shared" si="24"/>
        <v>Excelsa</v>
      </c>
      <c r="Q789" t="str">
        <f t="shared" si="25"/>
        <v>Medium</v>
      </c>
      <c r="R789" t="str">
        <f>_xlfn.XLOOKUP(Orders[[#This Row],[Customer ID]],customers!$A$1:$A$1001,customers!$I$1:$I$1001,,0)</f>
        <v>Yes</v>
      </c>
    </row>
    <row r="790" spans="1:18" x14ac:dyDescent="0.35">
      <c r="A790" s="2" t="s">
        <v>4943</v>
      </c>
      <c r="B790" s="3">
        <v>44771</v>
      </c>
      <c r="C790" s="2" t="s">
        <v>4944</v>
      </c>
      <c r="D790" t="s">
        <v>6151</v>
      </c>
      <c r="E790" s="2">
        <v>2</v>
      </c>
      <c r="F790" s="2" t="str">
        <f>_xlfn.XLOOKUP(Orders[[#This Row],[Customer ID]],customers!$A$1:$A$1001,customers!$B$1:$B$1001,,0)</f>
        <v>Kaela Nottram</v>
      </c>
      <c r="G790" s="2" t="str">
        <f>IF(_xlfn.XLOOKUP(C790,customers!$A$1:$A$1001,customers!C789:C1789,,0)=0,"",_xlfn.XLOOKUP(C790,customers!$A$1:$A$1001,customers!C789:C1789,,0))</f>
        <v/>
      </c>
      <c r="H790" s="2" t="str">
        <f>_xlfn.XLOOKUP(Orders[[#This Row],[Customer ID]],customers!$A$1:$A$1001,customers!$G$1:$G$1001,,0)</f>
        <v>Ireland</v>
      </c>
      <c r="I790" s="2" t="str">
        <f>_xlfn.XLOOKUP(Orders[[#This Row],[Customer ID]],customers!$A$1:$A$1001,customers!$F$1:$F$1001,,0)</f>
        <v>Arklow</v>
      </c>
      <c r="J790" t="str">
        <f>INDEX(products!$A$1:$G$49,MATCH(orders!$D790,products!$A$1:$A$49,0),MATCH(orders!J$1,products!$A$1:$G$1,0))</f>
        <v>Rob</v>
      </c>
      <c r="K790" t="str">
        <f>INDEX(products!$A$1:$G$49,MATCH(orders!$D790,products!$A$1:$A$49,0),MATCH(orders!K$1,products!$A$1:$G$1,0))</f>
        <v>M</v>
      </c>
      <c r="L790" s="4">
        <f>INDEX(products!$A$1:$G$49,MATCH(orders!$D790,products!$A$1:$A$49,0),MATCH(orders!L$1,products!$A$1:$G$1,0))</f>
        <v>2.5</v>
      </c>
      <c r="M790" s="5">
        <f>INDEX(products!$A$1:$G$49,MATCH(orders!$D790,products!$A$1:$A$49,0),MATCH(orders!M$1,products!$A$1:$G$1,0))</f>
        <v>22.884999999999998</v>
      </c>
      <c r="N790" s="5">
        <f>Orders[[#This Row],[Quantity]]*(INDEX(products!$A$1:$G$49,MATCH(orders!$D790,products!$A$1:$A$49,0),MATCH(orders!N$1,products!$A$1:$G$1,0)))</f>
        <v>2.7461999999999995</v>
      </c>
      <c r="O790" s="5">
        <f>M790*E790</f>
        <v>45.769999999999996</v>
      </c>
      <c r="P790" t="str">
        <f t="shared" si="24"/>
        <v>Robusta</v>
      </c>
      <c r="Q790" t="str">
        <f t="shared" si="25"/>
        <v>Medium</v>
      </c>
      <c r="R790" t="str">
        <f>_xlfn.XLOOKUP(Orders[[#This Row],[Customer ID]],customers!$A$1:$A$1001,customers!$I$1:$I$1001,,0)</f>
        <v>Yes</v>
      </c>
    </row>
    <row r="791" spans="1:18" x14ac:dyDescent="0.35">
      <c r="A791" s="2" t="s">
        <v>4949</v>
      </c>
      <c r="B791" s="3">
        <v>43485</v>
      </c>
      <c r="C791" s="2" t="s">
        <v>4950</v>
      </c>
      <c r="D791" t="s">
        <v>6140</v>
      </c>
      <c r="E791" s="2">
        <v>6</v>
      </c>
      <c r="F791" s="2" t="str">
        <f>_xlfn.XLOOKUP(Orders[[#This Row],[Customer ID]],customers!$A$1:$A$1001,customers!$B$1:$B$1001,,0)</f>
        <v>Nobe Buney</v>
      </c>
      <c r="G791" s="2" t="str">
        <f>IF(_xlfn.XLOOKUP(C791,customers!$A$1:$A$1001,customers!C790:C1790,,0)=0,"",_xlfn.XLOOKUP(C791,customers!$A$1:$A$1001,customers!C790:C1790,,0))</f>
        <v/>
      </c>
      <c r="H791" s="2" t="str">
        <f>_xlfn.XLOOKUP(Orders[[#This Row],[Customer ID]],customers!$A$1:$A$1001,customers!$G$1:$G$1001,,0)</f>
        <v>United States</v>
      </c>
      <c r="I791" s="2" t="str">
        <f>_xlfn.XLOOKUP(Orders[[#This Row],[Customer ID]],customers!$A$1:$A$1001,customers!$F$1:$F$1001,,0)</f>
        <v>Richmond</v>
      </c>
      <c r="J791" t="str">
        <f>INDEX(products!$A$1:$G$49,MATCH(orders!$D791,products!$A$1:$A$49,0),MATCH(orders!J$1,products!$A$1:$G$1,0))</f>
        <v>Ara</v>
      </c>
      <c r="K791" t="str">
        <f>INDEX(products!$A$1:$G$49,MATCH(orders!$D791,products!$A$1:$A$49,0),MATCH(orders!K$1,products!$A$1:$G$1,0))</f>
        <v>L</v>
      </c>
      <c r="L791" s="4">
        <f>INDEX(products!$A$1:$G$49,MATCH(orders!$D791,products!$A$1:$A$49,0),MATCH(orders!L$1,products!$A$1:$G$1,0))</f>
        <v>1</v>
      </c>
      <c r="M791" s="5">
        <f>INDEX(products!$A$1:$G$49,MATCH(orders!$D791,products!$A$1:$A$49,0),MATCH(orders!M$1,products!$A$1:$G$1,0))</f>
        <v>12.95</v>
      </c>
      <c r="N791" s="5">
        <f>Orders[[#This Row],[Quantity]]*(INDEX(products!$A$1:$G$49,MATCH(orders!$D791,products!$A$1:$A$49,0),MATCH(orders!N$1,products!$A$1:$G$1,0)))</f>
        <v>6.9930000000000003</v>
      </c>
      <c r="O791" s="5">
        <f>M791*E791</f>
        <v>77.699999999999989</v>
      </c>
      <c r="P791" t="str">
        <f t="shared" si="24"/>
        <v>Arabica</v>
      </c>
      <c r="Q791" t="str">
        <f t="shared" si="25"/>
        <v>Light</v>
      </c>
      <c r="R791" t="str">
        <f>_xlfn.XLOOKUP(Orders[[#This Row],[Customer ID]],customers!$A$1:$A$1001,customers!$I$1:$I$1001,,0)</f>
        <v>No</v>
      </c>
    </row>
    <row r="792" spans="1:18" x14ac:dyDescent="0.35">
      <c r="A792" s="2" t="s">
        <v>4955</v>
      </c>
      <c r="B792" s="3">
        <v>44613</v>
      </c>
      <c r="C792" s="2" t="s">
        <v>4956</v>
      </c>
      <c r="D792" t="s">
        <v>6180</v>
      </c>
      <c r="E792" s="2">
        <v>3</v>
      </c>
      <c r="F792" s="2" t="str">
        <f>_xlfn.XLOOKUP(Orders[[#This Row],[Customer ID]],customers!$A$1:$A$1001,customers!$B$1:$B$1001,,0)</f>
        <v>Silvan McShea</v>
      </c>
      <c r="G792" s="2" t="str">
        <f>IF(_xlfn.XLOOKUP(C792,customers!$A$1:$A$1001,customers!C791:C1791,,0)=0,"",_xlfn.XLOOKUP(C792,customers!$A$1:$A$1001,customers!C791:C1791,,0))</f>
        <v/>
      </c>
      <c r="H792" s="2" t="str">
        <f>_xlfn.XLOOKUP(Orders[[#This Row],[Customer ID]],customers!$A$1:$A$1001,customers!$G$1:$G$1001,,0)</f>
        <v>United States</v>
      </c>
      <c r="I792" s="2" t="str">
        <f>_xlfn.XLOOKUP(Orders[[#This Row],[Customer ID]],customers!$A$1:$A$1001,customers!$F$1:$F$1001,,0)</f>
        <v>Olympia</v>
      </c>
      <c r="J792" t="str">
        <f>INDEX(products!$A$1:$G$49,MATCH(orders!$D792,products!$A$1:$A$49,0),MATCH(orders!J$1,products!$A$1:$G$1,0))</f>
        <v>Ara</v>
      </c>
      <c r="K792" t="str">
        <f>INDEX(products!$A$1:$G$49,MATCH(orders!$D792,products!$A$1:$A$49,0),MATCH(orders!K$1,products!$A$1:$G$1,0))</f>
        <v>L</v>
      </c>
      <c r="L792" s="4">
        <f>INDEX(products!$A$1:$G$49,MATCH(orders!$D792,products!$A$1:$A$49,0),MATCH(orders!L$1,products!$A$1:$G$1,0))</f>
        <v>0.5</v>
      </c>
      <c r="M792" s="5">
        <f>INDEX(products!$A$1:$G$49,MATCH(orders!$D792,products!$A$1:$A$49,0),MATCH(orders!M$1,products!$A$1:$G$1,0))</f>
        <v>7.77</v>
      </c>
      <c r="N792" s="5">
        <f>Orders[[#This Row],[Quantity]]*(INDEX(products!$A$1:$G$49,MATCH(orders!$D792,products!$A$1:$A$49,0),MATCH(orders!N$1,products!$A$1:$G$1,0)))</f>
        <v>2.0978999999999997</v>
      </c>
      <c r="O792" s="5">
        <f>M792*E792</f>
        <v>23.31</v>
      </c>
      <c r="P792" t="str">
        <f t="shared" si="24"/>
        <v>Arabica</v>
      </c>
      <c r="Q792" t="str">
        <f t="shared" si="25"/>
        <v>Light</v>
      </c>
      <c r="R792" t="str">
        <f>_xlfn.XLOOKUP(Orders[[#This Row],[Customer ID]],customers!$A$1:$A$1001,customers!$I$1:$I$1001,,0)</f>
        <v>No</v>
      </c>
    </row>
    <row r="793" spans="1:18" x14ac:dyDescent="0.35">
      <c r="A793" s="2" t="s">
        <v>4961</v>
      </c>
      <c r="B793" s="3">
        <v>43954</v>
      </c>
      <c r="C793" s="2" t="s">
        <v>4962</v>
      </c>
      <c r="D793" t="s">
        <v>6145</v>
      </c>
      <c r="E793" s="2">
        <v>5</v>
      </c>
      <c r="F793" s="2" t="str">
        <f>_xlfn.XLOOKUP(Orders[[#This Row],[Customer ID]],customers!$A$1:$A$1001,customers!$B$1:$B$1001,,0)</f>
        <v>Karylin Huddart</v>
      </c>
      <c r="G793" s="2" t="str">
        <f>IF(_xlfn.XLOOKUP(C793,customers!$A$1:$A$1001,customers!C792:C1792,,0)=0,"",_xlfn.XLOOKUP(C793,customers!$A$1:$A$1001,customers!C792:C1792,,0))</f>
        <v/>
      </c>
      <c r="H793" s="2" t="str">
        <f>_xlfn.XLOOKUP(Orders[[#This Row],[Customer ID]],customers!$A$1:$A$1001,customers!$G$1:$G$1001,,0)</f>
        <v>United States</v>
      </c>
      <c r="I793" s="2" t="str">
        <f>_xlfn.XLOOKUP(Orders[[#This Row],[Customer ID]],customers!$A$1:$A$1001,customers!$F$1:$F$1001,,0)</f>
        <v>Arlington</v>
      </c>
      <c r="J793" t="str">
        <f>INDEX(products!$A$1:$G$49,MATCH(orders!$D793,products!$A$1:$A$49,0),MATCH(orders!J$1,products!$A$1:$G$1,0))</f>
        <v>Lib</v>
      </c>
      <c r="K793" t="str">
        <f>INDEX(products!$A$1:$G$49,MATCH(orders!$D793,products!$A$1:$A$49,0),MATCH(orders!K$1,products!$A$1:$G$1,0))</f>
        <v>L</v>
      </c>
      <c r="L793" s="4">
        <f>INDEX(products!$A$1:$G$49,MATCH(orders!$D793,products!$A$1:$A$49,0),MATCH(orders!L$1,products!$A$1:$G$1,0))</f>
        <v>0.2</v>
      </c>
      <c r="M793" s="5">
        <f>INDEX(products!$A$1:$G$49,MATCH(orders!$D793,products!$A$1:$A$49,0),MATCH(orders!M$1,products!$A$1:$G$1,0))</f>
        <v>4.7549999999999999</v>
      </c>
      <c r="N793" s="5">
        <f>Orders[[#This Row],[Quantity]]*(INDEX(products!$A$1:$G$49,MATCH(orders!$D793,products!$A$1:$A$49,0),MATCH(orders!N$1,products!$A$1:$G$1,0)))</f>
        <v>3.0907499999999999</v>
      </c>
      <c r="O793" s="5">
        <f>M793*E793</f>
        <v>23.774999999999999</v>
      </c>
      <c r="P793" t="str">
        <f t="shared" si="24"/>
        <v>Liberica</v>
      </c>
      <c r="Q793" t="str">
        <f t="shared" si="25"/>
        <v>Light</v>
      </c>
      <c r="R793" t="str">
        <f>_xlfn.XLOOKUP(Orders[[#This Row],[Customer ID]],customers!$A$1:$A$1001,customers!$I$1:$I$1001,,0)</f>
        <v>Yes</v>
      </c>
    </row>
    <row r="794" spans="1:18" x14ac:dyDescent="0.35">
      <c r="A794" s="2" t="s">
        <v>4967</v>
      </c>
      <c r="B794" s="3">
        <v>43545</v>
      </c>
      <c r="C794" s="2" t="s">
        <v>4968</v>
      </c>
      <c r="D794" t="s">
        <v>6160</v>
      </c>
      <c r="E794" s="2">
        <v>6</v>
      </c>
      <c r="F794" s="2" t="str">
        <f>_xlfn.XLOOKUP(Orders[[#This Row],[Customer ID]],customers!$A$1:$A$1001,customers!$B$1:$B$1001,,0)</f>
        <v>Jereme Gippes</v>
      </c>
      <c r="G794" s="2" t="str">
        <f>IF(_xlfn.XLOOKUP(C794,customers!$A$1:$A$1001,customers!C793:C1793,,0)=0,"",_xlfn.XLOOKUP(C794,customers!$A$1:$A$1001,customers!C793:C1793,,0))</f>
        <v/>
      </c>
      <c r="H794" s="2" t="str">
        <f>_xlfn.XLOOKUP(Orders[[#This Row],[Customer ID]],customers!$A$1:$A$1001,customers!$G$1:$G$1001,,0)</f>
        <v>United Kingdom</v>
      </c>
      <c r="I794" s="2" t="str">
        <f>_xlfn.XLOOKUP(Orders[[#This Row],[Customer ID]],customers!$A$1:$A$1001,customers!$F$1:$F$1001,,0)</f>
        <v>Twyford</v>
      </c>
      <c r="J794" t="str">
        <f>INDEX(products!$A$1:$G$49,MATCH(orders!$D794,products!$A$1:$A$49,0),MATCH(orders!J$1,products!$A$1:$G$1,0))</f>
        <v>Lib</v>
      </c>
      <c r="K794" t="str">
        <f>INDEX(products!$A$1:$G$49,MATCH(orders!$D794,products!$A$1:$A$49,0),MATCH(orders!K$1,products!$A$1:$G$1,0))</f>
        <v>M</v>
      </c>
      <c r="L794" s="4">
        <f>INDEX(products!$A$1:$G$49,MATCH(orders!$D794,products!$A$1:$A$49,0),MATCH(orders!L$1,products!$A$1:$G$1,0))</f>
        <v>0.5</v>
      </c>
      <c r="M794" s="5">
        <f>INDEX(products!$A$1:$G$49,MATCH(orders!$D794,products!$A$1:$A$49,0),MATCH(orders!M$1,products!$A$1:$G$1,0))</f>
        <v>8.73</v>
      </c>
      <c r="N794" s="5">
        <f>Orders[[#This Row],[Quantity]]*(INDEX(products!$A$1:$G$49,MATCH(orders!$D794,products!$A$1:$A$49,0),MATCH(orders!N$1,products!$A$1:$G$1,0)))</f>
        <v>6.8094000000000001</v>
      </c>
      <c r="O794" s="5">
        <f>M794*E794</f>
        <v>52.38</v>
      </c>
      <c r="P794" t="str">
        <f t="shared" si="24"/>
        <v>Liberica</v>
      </c>
      <c r="Q794" t="str">
        <f t="shared" si="25"/>
        <v>Medium</v>
      </c>
      <c r="R794" t="str">
        <f>_xlfn.XLOOKUP(Orders[[#This Row],[Customer ID]],customers!$A$1:$A$1001,customers!$I$1:$I$1001,,0)</f>
        <v>Yes</v>
      </c>
    </row>
    <row r="795" spans="1:18" x14ac:dyDescent="0.35">
      <c r="A795" s="2" t="s">
        <v>4973</v>
      </c>
      <c r="B795" s="3">
        <v>43629</v>
      </c>
      <c r="C795" s="2" t="s">
        <v>4974</v>
      </c>
      <c r="D795" t="s">
        <v>6178</v>
      </c>
      <c r="E795" s="2">
        <v>5</v>
      </c>
      <c r="F795" s="2" t="str">
        <f>_xlfn.XLOOKUP(Orders[[#This Row],[Customer ID]],customers!$A$1:$A$1001,customers!$B$1:$B$1001,,0)</f>
        <v>Lukas Whittlesee</v>
      </c>
      <c r="G795" s="2" t="str">
        <f>IF(_xlfn.XLOOKUP(C795,customers!$A$1:$A$1001,customers!C794:C1794,,0)=0,"",_xlfn.XLOOKUP(C795,customers!$A$1:$A$1001,customers!C794:C1794,,0))</f>
        <v/>
      </c>
      <c r="H795" s="2" t="str">
        <f>_xlfn.XLOOKUP(Orders[[#This Row],[Customer ID]],customers!$A$1:$A$1001,customers!$G$1:$G$1001,,0)</f>
        <v>United States</v>
      </c>
      <c r="I795" s="2" t="str">
        <f>_xlfn.XLOOKUP(Orders[[#This Row],[Customer ID]],customers!$A$1:$A$1001,customers!$F$1:$F$1001,,0)</f>
        <v>Roanoke</v>
      </c>
      <c r="J795" t="str">
        <f>INDEX(products!$A$1:$G$49,MATCH(orders!$D795,products!$A$1:$A$49,0),MATCH(orders!J$1,products!$A$1:$G$1,0))</f>
        <v>Rob</v>
      </c>
      <c r="K795" t="str">
        <f>INDEX(products!$A$1:$G$49,MATCH(orders!$D795,products!$A$1:$A$49,0),MATCH(orders!K$1,products!$A$1:$G$1,0))</f>
        <v>L</v>
      </c>
      <c r="L795" s="4">
        <f>INDEX(products!$A$1:$G$49,MATCH(orders!$D795,products!$A$1:$A$49,0),MATCH(orders!L$1,products!$A$1:$G$1,0))</f>
        <v>0.2</v>
      </c>
      <c r="M795" s="5">
        <f>INDEX(products!$A$1:$G$49,MATCH(orders!$D795,products!$A$1:$A$49,0),MATCH(orders!M$1,products!$A$1:$G$1,0))</f>
        <v>3.5849999999999995</v>
      </c>
      <c r="N795" s="5">
        <f>Orders[[#This Row],[Quantity]]*(INDEX(products!$A$1:$G$49,MATCH(orders!$D795,products!$A$1:$A$49,0),MATCH(orders!N$1,products!$A$1:$G$1,0)))</f>
        <v>1.0754999999999999</v>
      </c>
      <c r="O795" s="5">
        <f>M795*E795</f>
        <v>17.924999999999997</v>
      </c>
      <c r="P795" t="str">
        <f t="shared" si="24"/>
        <v>Robusta</v>
      </c>
      <c r="Q795" t="str">
        <f t="shared" si="25"/>
        <v>Light</v>
      </c>
      <c r="R795" t="str">
        <f>_xlfn.XLOOKUP(Orders[[#This Row],[Customer ID]],customers!$A$1:$A$1001,customers!$I$1:$I$1001,,0)</f>
        <v>No</v>
      </c>
    </row>
    <row r="796" spans="1:18" x14ac:dyDescent="0.35">
      <c r="A796" s="2" t="s">
        <v>4979</v>
      </c>
      <c r="B796" s="3">
        <v>43987</v>
      </c>
      <c r="C796" s="2" t="s">
        <v>4980</v>
      </c>
      <c r="D796" t="s">
        <v>6182</v>
      </c>
      <c r="E796" s="2">
        <v>5</v>
      </c>
      <c r="F796" s="2" t="str">
        <f>_xlfn.XLOOKUP(Orders[[#This Row],[Customer ID]],customers!$A$1:$A$1001,customers!$B$1:$B$1001,,0)</f>
        <v>Gregorius Trengrove</v>
      </c>
      <c r="G796" s="2" t="str">
        <f>IF(_xlfn.XLOOKUP(C796,customers!$A$1:$A$1001,customers!C795:C1795,,0)=0,"",_xlfn.XLOOKUP(C796,customers!$A$1:$A$1001,customers!C795:C1795,,0))</f>
        <v/>
      </c>
      <c r="H796" s="2" t="str">
        <f>_xlfn.XLOOKUP(Orders[[#This Row],[Customer ID]],customers!$A$1:$A$1001,customers!$G$1:$G$1001,,0)</f>
        <v>United States</v>
      </c>
      <c r="I796" s="2" t="str">
        <f>_xlfn.XLOOKUP(Orders[[#This Row],[Customer ID]],customers!$A$1:$A$1001,customers!$F$1:$F$1001,,0)</f>
        <v>New Hyde Park</v>
      </c>
      <c r="J796" t="str">
        <f>INDEX(products!$A$1:$G$49,MATCH(orders!$D796,products!$A$1:$A$49,0),MATCH(orders!J$1,products!$A$1:$G$1,0))</f>
        <v>Ara</v>
      </c>
      <c r="K796" t="str">
        <f>INDEX(products!$A$1:$G$49,MATCH(orders!$D796,products!$A$1:$A$49,0),MATCH(orders!K$1,products!$A$1:$G$1,0))</f>
        <v>L</v>
      </c>
      <c r="L796" s="4">
        <f>INDEX(products!$A$1:$G$49,MATCH(orders!$D796,products!$A$1:$A$49,0),MATCH(orders!L$1,products!$A$1:$G$1,0))</f>
        <v>2.5</v>
      </c>
      <c r="M796" s="5">
        <f>INDEX(products!$A$1:$G$49,MATCH(orders!$D796,products!$A$1:$A$49,0),MATCH(orders!M$1,products!$A$1:$G$1,0))</f>
        <v>29.784999999999997</v>
      </c>
      <c r="N796" s="5">
        <f>Orders[[#This Row],[Quantity]]*(INDEX(products!$A$1:$G$49,MATCH(orders!$D796,products!$A$1:$A$49,0),MATCH(orders!N$1,products!$A$1:$G$1,0)))</f>
        <v>13.403249999999998</v>
      </c>
      <c r="O796" s="5">
        <f>M796*E796</f>
        <v>148.92499999999998</v>
      </c>
      <c r="P796" t="str">
        <f t="shared" si="24"/>
        <v>Arabica</v>
      </c>
      <c r="Q796" t="str">
        <f t="shared" si="25"/>
        <v>Light</v>
      </c>
      <c r="R796" t="str">
        <f>_xlfn.XLOOKUP(Orders[[#This Row],[Customer ID]],customers!$A$1:$A$1001,customers!$I$1:$I$1001,,0)</f>
        <v>No</v>
      </c>
    </row>
    <row r="797" spans="1:18" x14ac:dyDescent="0.35">
      <c r="A797" s="2" t="s">
        <v>4985</v>
      </c>
      <c r="B797" s="3">
        <v>43540</v>
      </c>
      <c r="C797" s="2" t="s">
        <v>4986</v>
      </c>
      <c r="D797" t="s">
        <v>6173</v>
      </c>
      <c r="E797" s="2">
        <v>4</v>
      </c>
      <c r="F797" s="2" t="str">
        <f>_xlfn.XLOOKUP(Orders[[#This Row],[Customer ID]],customers!$A$1:$A$1001,customers!$B$1:$B$1001,,0)</f>
        <v>Wright Caldero</v>
      </c>
      <c r="G797" s="2" t="str">
        <f>IF(_xlfn.XLOOKUP(C797,customers!$A$1:$A$1001,customers!C796:C1796,,0)=0,"",_xlfn.XLOOKUP(C797,customers!$A$1:$A$1001,customers!C796:C1796,,0))</f>
        <v/>
      </c>
      <c r="H797" s="2" t="str">
        <f>_xlfn.XLOOKUP(Orders[[#This Row],[Customer ID]],customers!$A$1:$A$1001,customers!$G$1:$G$1001,,0)</f>
        <v>United States</v>
      </c>
      <c r="I797" s="2" t="str">
        <f>_xlfn.XLOOKUP(Orders[[#This Row],[Customer ID]],customers!$A$1:$A$1001,customers!$F$1:$F$1001,,0)</f>
        <v>Anaheim</v>
      </c>
      <c r="J797" t="str">
        <f>INDEX(products!$A$1:$G$49,MATCH(orders!$D797,products!$A$1:$A$49,0),MATCH(orders!J$1,products!$A$1:$G$1,0))</f>
        <v>Rob</v>
      </c>
      <c r="K797" t="str">
        <f>INDEX(products!$A$1:$G$49,MATCH(orders!$D797,products!$A$1:$A$49,0),MATCH(orders!K$1,products!$A$1:$G$1,0))</f>
        <v>L</v>
      </c>
      <c r="L797" s="4">
        <f>INDEX(products!$A$1:$G$49,MATCH(orders!$D797,products!$A$1:$A$49,0),MATCH(orders!L$1,products!$A$1:$G$1,0))</f>
        <v>0.5</v>
      </c>
      <c r="M797" s="5">
        <f>INDEX(products!$A$1:$G$49,MATCH(orders!$D797,products!$A$1:$A$49,0),MATCH(orders!M$1,products!$A$1:$G$1,0))</f>
        <v>7.169999999999999</v>
      </c>
      <c r="N797" s="5">
        <f>Orders[[#This Row],[Quantity]]*(INDEX(products!$A$1:$G$49,MATCH(orders!$D797,products!$A$1:$A$49,0),MATCH(orders!N$1,products!$A$1:$G$1,0)))</f>
        <v>1.7207999999999997</v>
      </c>
      <c r="O797" s="5">
        <f>M797*E797</f>
        <v>28.679999999999996</v>
      </c>
      <c r="P797" t="str">
        <f t="shared" si="24"/>
        <v>Robusta</v>
      </c>
      <c r="Q797" t="str">
        <f t="shared" si="25"/>
        <v>Light</v>
      </c>
      <c r="R797" t="str">
        <f>_xlfn.XLOOKUP(Orders[[#This Row],[Customer ID]],customers!$A$1:$A$1001,customers!$I$1:$I$1001,,0)</f>
        <v>No</v>
      </c>
    </row>
    <row r="798" spans="1:18" x14ac:dyDescent="0.35">
      <c r="A798" s="2" t="s">
        <v>4991</v>
      </c>
      <c r="B798" s="3">
        <v>44533</v>
      </c>
      <c r="C798" s="2" t="s">
        <v>4992</v>
      </c>
      <c r="D798" t="s">
        <v>6161</v>
      </c>
      <c r="E798" s="2">
        <v>1</v>
      </c>
      <c r="F798" s="2" t="str">
        <f>_xlfn.XLOOKUP(Orders[[#This Row],[Customer ID]],customers!$A$1:$A$1001,customers!$B$1:$B$1001,,0)</f>
        <v>Merell Zanazzi</v>
      </c>
      <c r="G798" s="2" t="str">
        <f>IF(_xlfn.XLOOKUP(C798,customers!$A$1:$A$1001,customers!C797:C1797,,0)=0,"",_xlfn.XLOOKUP(C798,customers!$A$1:$A$1001,customers!C797:C1797,,0))</f>
        <v/>
      </c>
      <c r="H798" s="2" t="str">
        <f>_xlfn.XLOOKUP(Orders[[#This Row],[Customer ID]],customers!$A$1:$A$1001,customers!$G$1:$G$1001,,0)</f>
        <v>United States</v>
      </c>
      <c r="I798" s="2" t="str">
        <f>_xlfn.XLOOKUP(Orders[[#This Row],[Customer ID]],customers!$A$1:$A$1001,customers!$F$1:$F$1001,,0)</f>
        <v>Lexington</v>
      </c>
      <c r="J798" t="str">
        <f>INDEX(products!$A$1:$G$49,MATCH(orders!$D798,products!$A$1:$A$49,0),MATCH(orders!J$1,products!$A$1:$G$1,0))</f>
        <v>Lib</v>
      </c>
      <c r="K798" t="str">
        <f>INDEX(products!$A$1:$G$49,MATCH(orders!$D798,products!$A$1:$A$49,0),MATCH(orders!K$1,products!$A$1:$G$1,0))</f>
        <v>L</v>
      </c>
      <c r="L798" s="4">
        <f>INDEX(products!$A$1:$G$49,MATCH(orders!$D798,products!$A$1:$A$49,0),MATCH(orders!L$1,products!$A$1:$G$1,0))</f>
        <v>0.5</v>
      </c>
      <c r="M798" s="5">
        <f>INDEX(products!$A$1:$G$49,MATCH(orders!$D798,products!$A$1:$A$49,0),MATCH(orders!M$1,products!$A$1:$G$1,0))</f>
        <v>9.51</v>
      </c>
      <c r="N798" s="5">
        <f>Orders[[#This Row],[Quantity]]*(INDEX(products!$A$1:$G$49,MATCH(orders!$D798,products!$A$1:$A$49,0),MATCH(orders!N$1,products!$A$1:$G$1,0)))</f>
        <v>1.2363</v>
      </c>
      <c r="O798" s="5">
        <f>M798*E798</f>
        <v>9.51</v>
      </c>
      <c r="P798" t="str">
        <f t="shared" si="24"/>
        <v>Liberica</v>
      </c>
      <c r="Q798" t="str">
        <f t="shared" si="25"/>
        <v>Light</v>
      </c>
      <c r="R798" t="str">
        <f>_xlfn.XLOOKUP(Orders[[#This Row],[Customer ID]],customers!$A$1:$A$1001,customers!$I$1:$I$1001,,0)</f>
        <v>No</v>
      </c>
    </row>
    <row r="799" spans="1:18" x14ac:dyDescent="0.35">
      <c r="A799" s="2" t="s">
        <v>4996</v>
      </c>
      <c r="B799" s="3">
        <v>44751</v>
      </c>
      <c r="C799" s="2" t="s">
        <v>4997</v>
      </c>
      <c r="D799" t="s">
        <v>6180</v>
      </c>
      <c r="E799" s="2">
        <v>4</v>
      </c>
      <c r="F799" s="2" t="str">
        <f>_xlfn.XLOOKUP(Orders[[#This Row],[Customer ID]],customers!$A$1:$A$1001,customers!$B$1:$B$1001,,0)</f>
        <v>Jed Kennicott</v>
      </c>
      <c r="G799" s="2" t="str">
        <f>IF(_xlfn.XLOOKUP(C799,customers!$A$1:$A$1001,customers!C798:C1798,,0)=0,"",_xlfn.XLOOKUP(C799,customers!$A$1:$A$1001,customers!C798:C1798,,0))</f>
        <v/>
      </c>
      <c r="H799" s="2" t="str">
        <f>_xlfn.XLOOKUP(Orders[[#This Row],[Customer ID]],customers!$A$1:$A$1001,customers!$G$1:$G$1001,,0)</f>
        <v>United States</v>
      </c>
      <c r="I799" s="2" t="str">
        <f>_xlfn.XLOOKUP(Orders[[#This Row],[Customer ID]],customers!$A$1:$A$1001,customers!$F$1:$F$1001,,0)</f>
        <v>Tampa</v>
      </c>
      <c r="J799" t="str">
        <f>INDEX(products!$A$1:$G$49,MATCH(orders!$D799,products!$A$1:$A$49,0),MATCH(orders!J$1,products!$A$1:$G$1,0))</f>
        <v>Ara</v>
      </c>
      <c r="K799" t="str">
        <f>INDEX(products!$A$1:$G$49,MATCH(orders!$D799,products!$A$1:$A$49,0),MATCH(orders!K$1,products!$A$1:$G$1,0))</f>
        <v>L</v>
      </c>
      <c r="L799" s="4">
        <f>INDEX(products!$A$1:$G$49,MATCH(orders!$D799,products!$A$1:$A$49,0),MATCH(orders!L$1,products!$A$1:$G$1,0))</f>
        <v>0.5</v>
      </c>
      <c r="M799" s="5">
        <f>INDEX(products!$A$1:$G$49,MATCH(orders!$D799,products!$A$1:$A$49,0),MATCH(orders!M$1,products!$A$1:$G$1,0))</f>
        <v>7.77</v>
      </c>
      <c r="N799" s="5">
        <f>Orders[[#This Row],[Quantity]]*(INDEX(products!$A$1:$G$49,MATCH(orders!$D799,products!$A$1:$A$49,0),MATCH(orders!N$1,products!$A$1:$G$1,0)))</f>
        <v>2.7971999999999997</v>
      </c>
      <c r="O799" s="5">
        <f>M799*E799</f>
        <v>31.08</v>
      </c>
      <c r="P799" t="str">
        <f t="shared" si="24"/>
        <v>Arabica</v>
      </c>
      <c r="Q799" t="str">
        <f t="shared" si="25"/>
        <v>Light</v>
      </c>
      <c r="R799" t="str">
        <f>_xlfn.XLOOKUP(Orders[[#This Row],[Customer ID]],customers!$A$1:$A$1001,customers!$I$1:$I$1001,,0)</f>
        <v>No</v>
      </c>
    </row>
    <row r="800" spans="1:18" x14ac:dyDescent="0.35">
      <c r="A800" s="2" t="s">
        <v>5002</v>
      </c>
      <c r="B800" s="3">
        <v>43950</v>
      </c>
      <c r="C800" s="2" t="s">
        <v>5003</v>
      </c>
      <c r="D800" t="s">
        <v>6163</v>
      </c>
      <c r="E800" s="2">
        <v>3</v>
      </c>
      <c r="F800" s="2" t="str">
        <f>_xlfn.XLOOKUP(Orders[[#This Row],[Customer ID]],customers!$A$1:$A$1001,customers!$B$1:$B$1001,,0)</f>
        <v>Guenevere Ruggen</v>
      </c>
      <c r="G800" s="2" t="str">
        <f>IF(_xlfn.XLOOKUP(C800,customers!$A$1:$A$1001,customers!C799:C1799,,0)=0,"",_xlfn.XLOOKUP(C800,customers!$A$1:$A$1001,customers!C799:C1799,,0))</f>
        <v/>
      </c>
      <c r="H800" s="2" t="str">
        <f>_xlfn.XLOOKUP(Orders[[#This Row],[Customer ID]],customers!$A$1:$A$1001,customers!$G$1:$G$1001,,0)</f>
        <v>United States</v>
      </c>
      <c r="I800" s="2" t="str">
        <f>_xlfn.XLOOKUP(Orders[[#This Row],[Customer ID]],customers!$A$1:$A$1001,customers!$F$1:$F$1001,,0)</f>
        <v>San Jose</v>
      </c>
      <c r="J800" t="str">
        <f>INDEX(products!$A$1:$G$49,MATCH(orders!$D800,products!$A$1:$A$49,0),MATCH(orders!J$1,products!$A$1:$G$1,0))</f>
        <v>Rob</v>
      </c>
      <c r="K800" t="str">
        <f>INDEX(products!$A$1:$G$49,MATCH(orders!$D800,products!$A$1:$A$49,0),MATCH(orders!K$1,products!$A$1:$G$1,0))</f>
        <v>D</v>
      </c>
      <c r="L800" s="4">
        <f>INDEX(products!$A$1:$G$49,MATCH(orders!$D800,products!$A$1:$A$49,0),MATCH(orders!L$1,products!$A$1:$G$1,0))</f>
        <v>0.2</v>
      </c>
      <c r="M800" s="5">
        <f>INDEX(products!$A$1:$G$49,MATCH(orders!$D800,products!$A$1:$A$49,0),MATCH(orders!M$1,products!$A$1:$G$1,0))</f>
        <v>2.6849999999999996</v>
      </c>
      <c r="N800" s="5">
        <f>Orders[[#This Row],[Quantity]]*(INDEX(products!$A$1:$G$49,MATCH(orders!$D800,products!$A$1:$A$49,0),MATCH(orders!N$1,products!$A$1:$G$1,0)))</f>
        <v>0.4832999999999999</v>
      </c>
      <c r="O800" s="5">
        <f>M800*E800</f>
        <v>8.0549999999999997</v>
      </c>
      <c r="P800" t="str">
        <f t="shared" si="24"/>
        <v>Robusta</v>
      </c>
      <c r="Q800" t="str">
        <f t="shared" si="25"/>
        <v>Dark</v>
      </c>
      <c r="R800" t="str">
        <f>_xlfn.XLOOKUP(Orders[[#This Row],[Customer ID]],customers!$A$1:$A$1001,customers!$I$1:$I$1001,,0)</f>
        <v>Yes</v>
      </c>
    </row>
    <row r="801" spans="1:18" x14ac:dyDescent="0.35">
      <c r="A801" s="2" t="s">
        <v>5008</v>
      </c>
      <c r="B801" s="3">
        <v>44588</v>
      </c>
      <c r="C801" s="2" t="s">
        <v>5009</v>
      </c>
      <c r="D801" t="s">
        <v>6183</v>
      </c>
      <c r="E801" s="2">
        <v>3</v>
      </c>
      <c r="F801" s="2" t="str">
        <f>_xlfn.XLOOKUP(Orders[[#This Row],[Customer ID]],customers!$A$1:$A$1001,customers!$B$1:$B$1001,,0)</f>
        <v>Gonzales Cicculi</v>
      </c>
      <c r="G801" s="2" t="str">
        <f>IF(_xlfn.XLOOKUP(C801,customers!$A$1:$A$1001,customers!C800:C1800,,0)=0,"",_xlfn.XLOOKUP(C801,customers!$A$1:$A$1001,customers!C800:C1800,,0))</f>
        <v/>
      </c>
      <c r="H801" s="2" t="str">
        <f>_xlfn.XLOOKUP(Orders[[#This Row],[Customer ID]],customers!$A$1:$A$1001,customers!$G$1:$G$1001,,0)</f>
        <v>United States</v>
      </c>
      <c r="I801" s="2" t="str">
        <f>_xlfn.XLOOKUP(Orders[[#This Row],[Customer ID]],customers!$A$1:$A$1001,customers!$F$1:$F$1001,,0)</f>
        <v>Washington</v>
      </c>
      <c r="J801" t="str">
        <f>INDEX(products!$A$1:$G$49,MATCH(orders!$D801,products!$A$1:$A$49,0),MATCH(orders!J$1,products!$A$1:$G$1,0))</f>
        <v>Exc</v>
      </c>
      <c r="K801" t="str">
        <f>INDEX(products!$A$1:$G$49,MATCH(orders!$D801,products!$A$1:$A$49,0),MATCH(orders!K$1,products!$A$1:$G$1,0))</f>
        <v>D</v>
      </c>
      <c r="L801" s="4">
        <f>INDEX(products!$A$1:$G$49,MATCH(orders!$D801,products!$A$1:$A$49,0),MATCH(orders!L$1,products!$A$1:$G$1,0))</f>
        <v>1</v>
      </c>
      <c r="M801" s="5">
        <f>INDEX(products!$A$1:$G$49,MATCH(orders!$D801,products!$A$1:$A$49,0),MATCH(orders!M$1,products!$A$1:$G$1,0))</f>
        <v>12.15</v>
      </c>
      <c r="N801" s="5">
        <f>Orders[[#This Row],[Quantity]]*(INDEX(products!$A$1:$G$49,MATCH(orders!$D801,products!$A$1:$A$49,0),MATCH(orders!N$1,products!$A$1:$G$1,0)))</f>
        <v>4.0095000000000001</v>
      </c>
      <c r="O801" s="5">
        <f>M801*E801</f>
        <v>36.450000000000003</v>
      </c>
      <c r="P801" t="str">
        <f t="shared" si="24"/>
        <v>Excelsa</v>
      </c>
      <c r="Q801" t="str">
        <f t="shared" si="25"/>
        <v>Dark</v>
      </c>
      <c r="R801" t="str">
        <f>_xlfn.XLOOKUP(Orders[[#This Row],[Customer ID]],customers!$A$1:$A$1001,customers!$I$1:$I$1001,,0)</f>
        <v>Yes</v>
      </c>
    </row>
    <row r="802" spans="1:18" x14ac:dyDescent="0.35">
      <c r="A802" s="2" t="s">
        <v>5012</v>
      </c>
      <c r="B802" s="3">
        <v>44240</v>
      </c>
      <c r="C802" s="2" t="s">
        <v>5013</v>
      </c>
      <c r="D802" t="s">
        <v>6163</v>
      </c>
      <c r="E802" s="2">
        <v>6</v>
      </c>
      <c r="F802" s="2" t="str">
        <f>_xlfn.XLOOKUP(Orders[[#This Row],[Customer ID]],customers!$A$1:$A$1001,customers!$B$1:$B$1001,,0)</f>
        <v>Man Fright</v>
      </c>
      <c r="G802" s="2" t="str">
        <f>IF(_xlfn.XLOOKUP(C802,customers!$A$1:$A$1001,customers!C801:C1801,,0)=0,"",_xlfn.XLOOKUP(C802,customers!$A$1:$A$1001,customers!C801:C1801,,0))</f>
        <v/>
      </c>
      <c r="H802" s="2" t="str">
        <f>_xlfn.XLOOKUP(Orders[[#This Row],[Customer ID]],customers!$A$1:$A$1001,customers!$G$1:$G$1001,,0)</f>
        <v>Ireland</v>
      </c>
      <c r="I802" s="2" t="str">
        <f>_xlfn.XLOOKUP(Orders[[#This Row],[Customer ID]],customers!$A$1:$A$1001,customers!$F$1:$F$1001,,0)</f>
        <v>Daingean</v>
      </c>
      <c r="J802" t="str">
        <f>INDEX(products!$A$1:$G$49,MATCH(orders!$D802,products!$A$1:$A$49,0),MATCH(orders!J$1,products!$A$1:$G$1,0))</f>
        <v>Rob</v>
      </c>
      <c r="K802" t="str">
        <f>INDEX(products!$A$1:$G$49,MATCH(orders!$D802,products!$A$1:$A$49,0),MATCH(orders!K$1,products!$A$1:$G$1,0))</f>
        <v>D</v>
      </c>
      <c r="L802" s="4">
        <f>INDEX(products!$A$1:$G$49,MATCH(orders!$D802,products!$A$1:$A$49,0),MATCH(orders!L$1,products!$A$1:$G$1,0))</f>
        <v>0.2</v>
      </c>
      <c r="M802" s="5">
        <f>INDEX(products!$A$1:$G$49,MATCH(orders!$D802,products!$A$1:$A$49,0),MATCH(orders!M$1,products!$A$1:$G$1,0))</f>
        <v>2.6849999999999996</v>
      </c>
      <c r="N802" s="5">
        <f>Orders[[#This Row],[Quantity]]*(INDEX(products!$A$1:$G$49,MATCH(orders!$D802,products!$A$1:$A$49,0),MATCH(orders!N$1,products!$A$1:$G$1,0)))</f>
        <v>0.96659999999999979</v>
      </c>
      <c r="O802" s="5">
        <f>M802*E802</f>
        <v>16.11</v>
      </c>
      <c r="P802" t="str">
        <f t="shared" si="24"/>
        <v>Robusta</v>
      </c>
      <c r="Q802" t="str">
        <f t="shared" si="25"/>
        <v>Dark</v>
      </c>
      <c r="R802" t="str">
        <f>_xlfn.XLOOKUP(Orders[[#This Row],[Customer ID]],customers!$A$1:$A$1001,customers!$I$1:$I$1001,,0)</f>
        <v>No</v>
      </c>
    </row>
    <row r="803" spans="1:18" x14ac:dyDescent="0.35">
      <c r="A803" s="2" t="s">
        <v>5018</v>
      </c>
      <c r="B803" s="3">
        <v>44025</v>
      </c>
      <c r="C803" s="2" t="s">
        <v>5019</v>
      </c>
      <c r="D803" t="s">
        <v>6149</v>
      </c>
      <c r="E803" s="2">
        <v>2</v>
      </c>
      <c r="F803" s="2" t="str">
        <f>_xlfn.XLOOKUP(Orders[[#This Row],[Customer ID]],customers!$A$1:$A$1001,customers!$B$1:$B$1001,,0)</f>
        <v>Boyce Tarte</v>
      </c>
      <c r="G803" s="2" t="str">
        <f>IF(_xlfn.XLOOKUP(C803,customers!$A$1:$A$1001,customers!C802:C1802,,0)=0,"",_xlfn.XLOOKUP(C803,customers!$A$1:$A$1001,customers!C802:C1802,,0))</f>
        <v/>
      </c>
      <c r="H803" s="2" t="str">
        <f>_xlfn.XLOOKUP(Orders[[#This Row],[Customer ID]],customers!$A$1:$A$1001,customers!$G$1:$G$1001,,0)</f>
        <v>United States</v>
      </c>
      <c r="I803" s="2" t="str">
        <f>_xlfn.XLOOKUP(Orders[[#This Row],[Customer ID]],customers!$A$1:$A$1001,customers!$F$1:$F$1001,,0)</f>
        <v>Olympia</v>
      </c>
      <c r="J803" t="str">
        <f>INDEX(products!$A$1:$G$49,MATCH(orders!$D803,products!$A$1:$A$49,0),MATCH(orders!J$1,products!$A$1:$G$1,0))</f>
        <v>Rob</v>
      </c>
      <c r="K803" t="str">
        <f>INDEX(products!$A$1:$G$49,MATCH(orders!$D803,products!$A$1:$A$49,0),MATCH(orders!K$1,products!$A$1:$G$1,0))</f>
        <v>D</v>
      </c>
      <c r="L803" s="4">
        <f>INDEX(products!$A$1:$G$49,MATCH(orders!$D803,products!$A$1:$A$49,0),MATCH(orders!L$1,products!$A$1:$G$1,0))</f>
        <v>2.5</v>
      </c>
      <c r="M803" s="5">
        <f>INDEX(products!$A$1:$G$49,MATCH(orders!$D803,products!$A$1:$A$49,0),MATCH(orders!M$1,products!$A$1:$G$1,0))</f>
        <v>20.584999999999997</v>
      </c>
      <c r="N803" s="5">
        <f>Orders[[#This Row],[Quantity]]*(INDEX(products!$A$1:$G$49,MATCH(orders!$D803,products!$A$1:$A$49,0),MATCH(orders!N$1,products!$A$1:$G$1,0)))</f>
        <v>2.4701999999999997</v>
      </c>
      <c r="O803" s="5">
        <f>M803*E803</f>
        <v>41.169999999999995</v>
      </c>
      <c r="P803" t="str">
        <f t="shared" si="24"/>
        <v>Robusta</v>
      </c>
      <c r="Q803" t="str">
        <f t="shared" si="25"/>
        <v>Dark</v>
      </c>
      <c r="R803" t="str">
        <f>_xlfn.XLOOKUP(Orders[[#This Row],[Customer ID]],customers!$A$1:$A$1001,customers!$I$1:$I$1001,,0)</f>
        <v>Yes</v>
      </c>
    </row>
    <row r="804" spans="1:18" x14ac:dyDescent="0.35">
      <c r="A804" s="2" t="s">
        <v>5024</v>
      </c>
      <c r="B804" s="3">
        <v>43902</v>
      </c>
      <c r="C804" s="2" t="s">
        <v>5025</v>
      </c>
      <c r="D804" t="s">
        <v>6163</v>
      </c>
      <c r="E804" s="2">
        <v>4</v>
      </c>
      <c r="F804" s="2" t="str">
        <f>_xlfn.XLOOKUP(Orders[[#This Row],[Customer ID]],customers!$A$1:$A$1001,customers!$B$1:$B$1001,,0)</f>
        <v>Caddric Krzysztofiak</v>
      </c>
      <c r="G804" s="2" t="str">
        <f>IF(_xlfn.XLOOKUP(C804,customers!$A$1:$A$1001,customers!C803:C1803,,0)=0,"",_xlfn.XLOOKUP(C804,customers!$A$1:$A$1001,customers!C803:C1803,,0))</f>
        <v/>
      </c>
      <c r="H804" s="2" t="str">
        <f>_xlfn.XLOOKUP(Orders[[#This Row],[Customer ID]],customers!$A$1:$A$1001,customers!$G$1:$G$1001,,0)</f>
        <v>United States</v>
      </c>
      <c r="I804" s="2" t="str">
        <f>_xlfn.XLOOKUP(Orders[[#This Row],[Customer ID]],customers!$A$1:$A$1001,customers!$F$1:$F$1001,,0)</f>
        <v>Mesquite</v>
      </c>
      <c r="J804" t="str">
        <f>INDEX(products!$A$1:$G$49,MATCH(orders!$D804,products!$A$1:$A$49,0),MATCH(orders!J$1,products!$A$1:$G$1,0))</f>
        <v>Rob</v>
      </c>
      <c r="K804" t="str">
        <f>INDEX(products!$A$1:$G$49,MATCH(orders!$D804,products!$A$1:$A$49,0),MATCH(orders!K$1,products!$A$1:$G$1,0))</f>
        <v>D</v>
      </c>
      <c r="L804" s="4">
        <f>INDEX(products!$A$1:$G$49,MATCH(orders!$D804,products!$A$1:$A$49,0),MATCH(orders!L$1,products!$A$1:$G$1,0))</f>
        <v>0.2</v>
      </c>
      <c r="M804" s="5">
        <f>INDEX(products!$A$1:$G$49,MATCH(orders!$D804,products!$A$1:$A$49,0),MATCH(orders!M$1,products!$A$1:$G$1,0))</f>
        <v>2.6849999999999996</v>
      </c>
      <c r="N804" s="5">
        <f>Orders[[#This Row],[Quantity]]*(INDEX(products!$A$1:$G$49,MATCH(orders!$D804,products!$A$1:$A$49,0),MATCH(orders!N$1,products!$A$1:$G$1,0)))</f>
        <v>0.64439999999999986</v>
      </c>
      <c r="O804" s="5">
        <f>M804*E804</f>
        <v>10.739999999999998</v>
      </c>
      <c r="P804" t="str">
        <f t="shared" si="24"/>
        <v>Robusta</v>
      </c>
      <c r="Q804" t="str">
        <f t="shared" si="25"/>
        <v>Dark</v>
      </c>
      <c r="R804" t="str">
        <f>_xlfn.XLOOKUP(Orders[[#This Row],[Customer ID]],customers!$A$1:$A$1001,customers!$I$1:$I$1001,,0)</f>
        <v>No</v>
      </c>
    </row>
    <row r="805" spans="1:18" x14ac:dyDescent="0.35">
      <c r="A805" s="2" t="s">
        <v>5030</v>
      </c>
      <c r="B805" s="3">
        <v>43955</v>
      </c>
      <c r="C805" s="2" t="s">
        <v>5031</v>
      </c>
      <c r="D805" t="s">
        <v>6166</v>
      </c>
      <c r="E805" s="2">
        <v>4</v>
      </c>
      <c r="F805" s="2" t="str">
        <f>_xlfn.XLOOKUP(Orders[[#This Row],[Customer ID]],customers!$A$1:$A$1001,customers!$B$1:$B$1001,,0)</f>
        <v>Darn Penquet</v>
      </c>
      <c r="G805" s="2" t="str">
        <f>IF(_xlfn.XLOOKUP(C805,customers!$A$1:$A$1001,customers!C804:C1804,,0)=0,"",_xlfn.XLOOKUP(C805,customers!$A$1:$A$1001,customers!C804:C1804,,0))</f>
        <v/>
      </c>
      <c r="H805" s="2" t="str">
        <f>_xlfn.XLOOKUP(Orders[[#This Row],[Customer ID]],customers!$A$1:$A$1001,customers!$G$1:$G$1001,,0)</f>
        <v>United States</v>
      </c>
      <c r="I805" s="2" t="str">
        <f>_xlfn.XLOOKUP(Orders[[#This Row],[Customer ID]],customers!$A$1:$A$1001,customers!$F$1:$F$1001,,0)</f>
        <v>Sacramento</v>
      </c>
      <c r="J805" t="str">
        <f>INDEX(products!$A$1:$G$49,MATCH(orders!$D805,products!$A$1:$A$49,0),MATCH(orders!J$1,products!$A$1:$G$1,0))</f>
        <v>Exc</v>
      </c>
      <c r="K805" t="str">
        <f>INDEX(products!$A$1:$G$49,MATCH(orders!$D805,products!$A$1:$A$49,0),MATCH(orders!K$1,products!$A$1:$G$1,0))</f>
        <v>M</v>
      </c>
      <c r="L805" s="4">
        <f>INDEX(products!$A$1:$G$49,MATCH(orders!$D805,products!$A$1:$A$49,0),MATCH(orders!L$1,products!$A$1:$G$1,0))</f>
        <v>2.5</v>
      </c>
      <c r="M805" s="5">
        <f>INDEX(products!$A$1:$G$49,MATCH(orders!$D805,products!$A$1:$A$49,0),MATCH(orders!M$1,products!$A$1:$G$1,0))</f>
        <v>31.624999999999996</v>
      </c>
      <c r="N805" s="5">
        <f>Orders[[#This Row],[Quantity]]*(INDEX(products!$A$1:$G$49,MATCH(orders!$D805,products!$A$1:$A$49,0),MATCH(orders!N$1,products!$A$1:$G$1,0)))</f>
        <v>13.914999999999999</v>
      </c>
      <c r="O805" s="5">
        <f>M805*E805</f>
        <v>126.49999999999999</v>
      </c>
      <c r="P805" t="str">
        <f t="shared" si="24"/>
        <v>Excelsa</v>
      </c>
      <c r="Q805" t="str">
        <f t="shared" si="25"/>
        <v>Medium</v>
      </c>
      <c r="R805" t="str">
        <f>_xlfn.XLOOKUP(Orders[[#This Row],[Customer ID]],customers!$A$1:$A$1001,customers!$I$1:$I$1001,,0)</f>
        <v>No</v>
      </c>
    </row>
    <row r="806" spans="1:18" x14ac:dyDescent="0.35">
      <c r="A806" s="2" t="s">
        <v>5035</v>
      </c>
      <c r="B806" s="3">
        <v>44289</v>
      </c>
      <c r="C806" s="2" t="s">
        <v>5036</v>
      </c>
      <c r="D806" t="s">
        <v>6179</v>
      </c>
      <c r="E806" s="2">
        <v>2</v>
      </c>
      <c r="F806" s="2" t="str">
        <f>_xlfn.XLOOKUP(Orders[[#This Row],[Customer ID]],customers!$A$1:$A$1001,customers!$B$1:$B$1001,,0)</f>
        <v>Jammie Cloke</v>
      </c>
      <c r="G806" s="2" t="str">
        <f>IF(_xlfn.XLOOKUP(C806,customers!$A$1:$A$1001,customers!C805:C1805,,0)=0,"",_xlfn.XLOOKUP(C806,customers!$A$1:$A$1001,customers!C805:C1805,,0))</f>
        <v/>
      </c>
      <c r="H806" s="2" t="str">
        <f>_xlfn.XLOOKUP(Orders[[#This Row],[Customer ID]],customers!$A$1:$A$1001,customers!$G$1:$G$1001,,0)</f>
        <v>United Kingdom</v>
      </c>
      <c r="I806" s="2" t="str">
        <f>_xlfn.XLOOKUP(Orders[[#This Row],[Customer ID]],customers!$A$1:$A$1001,customers!$F$1:$F$1001,,0)</f>
        <v>Newton</v>
      </c>
      <c r="J806" t="str">
        <f>INDEX(products!$A$1:$G$49,MATCH(orders!$D806,products!$A$1:$A$49,0),MATCH(orders!J$1,products!$A$1:$G$1,0))</f>
        <v>Rob</v>
      </c>
      <c r="K806" t="str">
        <f>INDEX(products!$A$1:$G$49,MATCH(orders!$D806,products!$A$1:$A$49,0),MATCH(orders!K$1,products!$A$1:$G$1,0))</f>
        <v>L</v>
      </c>
      <c r="L806" s="4">
        <f>INDEX(products!$A$1:$G$49,MATCH(orders!$D806,products!$A$1:$A$49,0),MATCH(orders!L$1,products!$A$1:$G$1,0))</f>
        <v>1</v>
      </c>
      <c r="M806" s="5">
        <f>INDEX(products!$A$1:$G$49,MATCH(orders!$D806,products!$A$1:$A$49,0),MATCH(orders!M$1,products!$A$1:$G$1,0))</f>
        <v>11.95</v>
      </c>
      <c r="N806" s="5">
        <f>Orders[[#This Row],[Quantity]]*(INDEX(products!$A$1:$G$49,MATCH(orders!$D806,products!$A$1:$A$49,0),MATCH(orders!N$1,products!$A$1:$G$1,0)))</f>
        <v>1.4339999999999999</v>
      </c>
      <c r="O806" s="5">
        <f>M806*E806</f>
        <v>23.9</v>
      </c>
      <c r="P806" t="str">
        <f t="shared" si="24"/>
        <v>Robusta</v>
      </c>
      <c r="Q806" t="str">
        <f t="shared" si="25"/>
        <v>Light</v>
      </c>
      <c r="R806" t="str">
        <f>_xlfn.XLOOKUP(Orders[[#This Row],[Customer ID]],customers!$A$1:$A$1001,customers!$I$1:$I$1001,,0)</f>
        <v>No</v>
      </c>
    </row>
    <row r="807" spans="1:18" x14ac:dyDescent="0.35">
      <c r="A807" s="2" t="s">
        <v>5040</v>
      </c>
      <c r="B807" s="3">
        <v>44713</v>
      </c>
      <c r="C807" s="2" t="s">
        <v>5041</v>
      </c>
      <c r="D807" t="s">
        <v>6146</v>
      </c>
      <c r="E807" s="2">
        <v>1</v>
      </c>
      <c r="F807" s="2" t="str">
        <f>_xlfn.XLOOKUP(Orders[[#This Row],[Customer ID]],customers!$A$1:$A$1001,customers!$B$1:$B$1001,,0)</f>
        <v>Chester Clowton</v>
      </c>
      <c r="G807" s="2" t="str">
        <f>IF(_xlfn.XLOOKUP(C807,customers!$A$1:$A$1001,customers!C806:C1806,,0)=0,"",_xlfn.XLOOKUP(C807,customers!$A$1:$A$1001,customers!C806:C1806,,0))</f>
        <v/>
      </c>
      <c r="H807" s="2" t="str">
        <f>_xlfn.XLOOKUP(Orders[[#This Row],[Customer ID]],customers!$A$1:$A$1001,customers!$G$1:$G$1001,,0)</f>
        <v>United States</v>
      </c>
      <c r="I807" s="2" t="str">
        <f>_xlfn.XLOOKUP(Orders[[#This Row],[Customer ID]],customers!$A$1:$A$1001,customers!$F$1:$F$1001,,0)</f>
        <v>Monticello</v>
      </c>
      <c r="J807" t="str">
        <f>INDEX(products!$A$1:$G$49,MATCH(orders!$D807,products!$A$1:$A$49,0),MATCH(orders!J$1,products!$A$1:$G$1,0))</f>
        <v>Rob</v>
      </c>
      <c r="K807" t="str">
        <f>INDEX(products!$A$1:$G$49,MATCH(orders!$D807,products!$A$1:$A$49,0),MATCH(orders!K$1,products!$A$1:$G$1,0))</f>
        <v>M</v>
      </c>
      <c r="L807" s="4">
        <f>INDEX(products!$A$1:$G$49,MATCH(orders!$D807,products!$A$1:$A$49,0),MATCH(orders!L$1,products!$A$1:$G$1,0))</f>
        <v>0.5</v>
      </c>
      <c r="M807" s="5">
        <f>INDEX(products!$A$1:$G$49,MATCH(orders!$D807,products!$A$1:$A$49,0),MATCH(orders!M$1,products!$A$1:$G$1,0))</f>
        <v>5.97</v>
      </c>
      <c r="N807" s="5">
        <f>Orders[[#This Row],[Quantity]]*(INDEX(products!$A$1:$G$49,MATCH(orders!$D807,products!$A$1:$A$49,0),MATCH(orders!N$1,products!$A$1:$G$1,0)))</f>
        <v>0.35819999999999996</v>
      </c>
      <c r="O807" s="5">
        <f>M807*E807</f>
        <v>5.97</v>
      </c>
      <c r="P807" t="str">
        <f t="shared" si="24"/>
        <v>Robusta</v>
      </c>
      <c r="Q807" t="str">
        <f t="shared" si="25"/>
        <v>Medium</v>
      </c>
      <c r="R807" t="str">
        <f>_xlfn.XLOOKUP(Orders[[#This Row],[Customer ID]],customers!$A$1:$A$1001,customers!$I$1:$I$1001,,0)</f>
        <v>No</v>
      </c>
    </row>
    <row r="808" spans="1:18" x14ac:dyDescent="0.35">
      <c r="A808" s="2" t="s">
        <v>5046</v>
      </c>
      <c r="B808" s="3">
        <v>44241</v>
      </c>
      <c r="C808" s="2" t="s">
        <v>5047</v>
      </c>
      <c r="D808" t="s">
        <v>6150</v>
      </c>
      <c r="E808" s="2">
        <v>2</v>
      </c>
      <c r="F808" s="2" t="str">
        <f>_xlfn.XLOOKUP(Orders[[#This Row],[Customer ID]],customers!$A$1:$A$1001,customers!$B$1:$B$1001,,0)</f>
        <v>Kathleen Diable</v>
      </c>
      <c r="G808" s="2" t="str">
        <f>IF(_xlfn.XLOOKUP(C808,customers!$A$1:$A$1001,customers!C807:C1807,,0)=0,"",_xlfn.XLOOKUP(C808,customers!$A$1:$A$1001,customers!C807:C1807,,0))</f>
        <v/>
      </c>
      <c r="H808" s="2" t="str">
        <f>_xlfn.XLOOKUP(Orders[[#This Row],[Customer ID]],customers!$A$1:$A$1001,customers!$G$1:$G$1001,,0)</f>
        <v>United Kingdom</v>
      </c>
      <c r="I808" s="2" t="str">
        <f>_xlfn.XLOOKUP(Orders[[#This Row],[Customer ID]],customers!$A$1:$A$1001,customers!$F$1:$F$1001,,0)</f>
        <v>Kinloch</v>
      </c>
      <c r="J808" t="str">
        <f>INDEX(products!$A$1:$G$49,MATCH(orders!$D808,products!$A$1:$A$49,0),MATCH(orders!J$1,products!$A$1:$G$1,0))</f>
        <v>Lib</v>
      </c>
      <c r="K808" t="str">
        <f>INDEX(products!$A$1:$G$49,MATCH(orders!$D808,products!$A$1:$A$49,0),MATCH(orders!K$1,products!$A$1:$G$1,0))</f>
        <v>D</v>
      </c>
      <c r="L808" s="4">
        <f>INDEX(products!$A$1:$G$49,MATCH(orders!$D808,products!$A$1:$A$49,0),MATCH(orders!L$1,products!$A$1:$G$1,0))</f>
        <v>0.2</v>
      </c>
      <c r="M808" s="5">
        <f>INDEX(products!$A$1:$G$49,MATCH(orders!$D808,products!$A$1:$A$49,0),MATCH(orders!M$1,products!$A$1:$G$1,0))</f>
        <v>3.8849999999999998</v>
      </c>
      <c r="N808" s="5">
        <f>Orders[[#This Row],[Quantity]]*(INDEX(products!$A$1:$G$49,MATCH(orders!$D808,products!$A$1:$A$49,0),MATCH(orders!N$1,products!$A$1:$G$1,0)))</f>
        <v>1.0101</v>
      </c>
      <c r="O808" s="5">
        <f>M808*E808</f>
        <v>7.77</v>
      </c>
      <c r="P808" t="str">
        <f t="shared" si="24"/>
        <v>Liberica</v>
      </c>
      <c r="Q808" t="str">
        <f t="shared" si="25"/>
        <v>Dark</v>
      </c>
      <c r="R808" t="str">
        <f>_xlfn.XLOOKUP(Orders[[#This Row],[Customer ID]],customers!$A$1:$A$1001,customers!$I$1:$I$1001,,0)</f>
        <v>Yes</v>
      </c>
    </row>
    <row r="809" spans="1:18" x14ac:dyDescent="0.35">
      <c r="A809" s="2" t="s">
        <v>5050</v>
      </c>
      <c r="B809" s="3">
        <v>44543</v>
      </c>
      <c r="C809" s="2" t="s">
        <v>5051</v>
      </c>
      <c r="D809" t="s">
        <v>6169</v>
      </c>
      <c r="E809" s="2">
        <v>3</v>
      </c>
      <c r="F809" s="2" t="str">
        <f>_xlfn.XLOOKUP(Orders[[#This Row],[Customer ID]],customers!$A$1:$A$1001,customers!$B$1:$B$1001,,0)</f>
        <v>Koren Ferretti</v>
      </c>
      <c r="G809" s="2" t="str">
        <f>IF(_xlfn.XLOOKUP(C809,customers!$A$1:$A$1001,customers!C808:C1808,,0)=0,"",_xlfn.XLOOKUP(C809,customers!$A$1:$A$1001,customers!C808:C1808,,0))</f>
        <v/>
      </c>
      <c r="H809" s="2" t="str">
        <f>_xlfn.XLOOKUP(Orders[[#This Row],[Customer ID]],customers!$A$1:$A$1001,customers!$G$1:$G$1001,,0)</f>
        <v>Ireland</v>
      </c>
      <c r="I809" s="2" t="str">
        <f>_xlfn.XLOOKUP(Orders[[#This Row],[Customer ID]],customers!$A$1:$A$1001,customers!$F$1:$F$1001,,0)</f>
        <v>Balrothery</v>
      </c>
      <c r="J809" t="str">
        <f>INDEX(products!$A$1:$G$49,MATCH(orders!$D809,products!$A$1:$A$49,0),MATCH(orders!J$1,products!$A$1:$G$1,0))</f>
        <v>Lib</v>
      </c>
      <c r="K809" t="str">
        <f>INDEX(products!$A$1:$G$49,MATCH(orders!$D809,products!$A$1:$A$49,0),MATCH(orders!K$1,products!$A$1:$G$1,0))</f>
        <v>D</v>
      </c>
      <c r="L809" s="4">
        <f>INDEX(products!$A$1:$G$49,MATCH(orders!$D809,products!$A$1:$A$49,0),MATCH(orders!L$1,products!$A$1:$G$1,0))</f>
        <v>0.5</v>
      </c>
      <c r="M809" s="5">
        <f>INDEX(products!$A$1:$G$49,MATCH(orders!$D809,products!$A$1:$A$49,0),MATCH(orders!M$1,products!$A$1:$G$1,0))</f>
        <v>7.77</v>
      </c>
      <c r="N809" s="5">
        <f>Orders[[#This Row],[Quantity]]*(INDEX(products!$A$1:$G$49,MATCH(orders!$D809,products!$A$1:$A$49,0),MATCH(orders!N$1,products!$A$1:$G$1,0)))</f>
        <v>3.0303</v>
      </c>
      <c r="O809" s="5">
        <f>M809*E809</f>
        <v>23.31</v>
      </c>
      <c r="P809" t="str">
        <f t="shared" si="24"/>
        <v>Liberica</v>
      </c>
      <c r="Q809" t="str">
        <f t="shared" si="25"/>
        <v>Dark</v>
      </c>
      <c r="R809" t="str">
        <f>_xlfn.XLOOKUP(Orders[[#This Row],[Customer ID]],customers!$A$1:$A$1001,customers!$I$1:$I$1001,,0)</f>
        <v>No</v>
      </c>
    </row>
    <row r="810" spans="1:18" x14ac:dyDescent="0.35">
      <c r="A810" s="2" t="s">
        <v>5056</v>
      </c>
      <c r="B810" s="3">
        <v>43868</v>
      </c>
      <c r="C810" s="2" t="s">
        <v>5113</v>
      </c>
      <c r="D810" t="s">
        <v>6142</v>
      </c>
      <c r="E810" s="2">
        <v>5</v>
      </c>
      <c r="F810" s="2" t="str">
        <f>_xlfn.XLOOKUP(Orders[[#This Row],[Customer ID]],customers!$A$1:$A$1001,customers!$B$1:$B$1001,,0)</f>
        <v>Allis Wilmore</v>
      </c>
      <c r="G810" s="2" t="str">
        <f>IF(_xlfn.XLOOKUP(C810,customers!$A$1:$A$1001,customers!C809:C1809,,0)=0,"",_xlfn.XLOOKUP(C810,customers!$A$1:$A$1001,customers!C809:C1809,,0))</f>
        <v/>
      </c>
      <c r="H810" s="2" t="str">
        <f>_xlfn.XLOOKUP(Orders[[#This Row],[Customer ID]],customers!$A$1:$A$1001,customers!$G$1:$G$1001,,0)</f>
        <v>United States</v>
      </c>
      <c r="I810" s="2" t="str">
        <f>_xlfn.XLOOKUP(Orders[[#This Row],[Customer ID]],customers!$A$1:$A$1001,customers!$F$1:$F$1001,,0)</f>
        <v>Houston</v>
      </c>
      <c r="J810" t="str">
        <f>INDEX(products!$A$1:$G$49,MATCH(orders!$D810,products!$A$1:$A$49,0),MATCH(orders!J$1,products!$A$1:$G$1,0))</f>
        <v>Rob</v>
      </c>
      <c r="K810" t="str">
        <f>INDEX(products!$A$1:$G$49,MATCH(orders!$D810,products!$A$1:$A$49,0),MATCH(orders!K$1,products!$A$1:$G$1,0))</f>
        <v>L</v>
      </c>
      <c r="L810" s="4">
        <f>INDEX(products!$A$1:$G$49,MATCH(orders!$D810,products!$A$1:$A$49,0),MATCH(orders!L$1,products!$A$1:$G$1,0))</f>
        <v>2.5</v>
      </c>
      <c r="M810" s="5">
        <f>INDEX(products!$A$1:$G$49,MATCH(orders!$D810,products!$A$1:$A$49,0),MATCH(orders!M$1,products!$A$1:$G$1,0))</f>
        <v>27.484999999999996</v>
      </c>
      <c r="N810" s="5">
        <f>Orders[[#This Row],[Quantity]]*(INDEX(products!$A$1:$G$49,MATCH(orders!$D810,products!$A$1:$A$49,0),MATCH(orders!N$1,products!$A$1:$G$1,0)))</f>
        <v>8.2454999999999998</v>
      </c>
      <c r="O810" s="5">
        <f>M810*E810</f>
        <v>137.42499999999998</v>
      </c>
      <c r="P810" t="str">
        <f t="shared" si="24"/>
        <v>Robusta</v>
      </c>
      <c r="Q810" t="str">
        <f t="shared" si="25"/>
        <v>Light</v>
      </c>
      <c r="R810" t="str">
        <f>_xlfn.XLOOKUP(Orders[[#This Row],[Customer ID]],customers!$A$1:$A$1001,customers!$I$1:$I$1001,,0)</f>
        <v>No</v>
      </c>
    </row>
    <row r="811" spans="1:18" x14ac:dyDescent="0.35">
      <c r="A811" s="2" t="s">
        <v>5062</v>
      </c>
      <c r="B811" s="3">
        <v>44235</v>
      </c>
      <c r="C811" s="2" t="s">
        <v>5063</v>
      </c>
      <c r="D811" t="s">
        <v>6163</v>
      </c>
      <c r="E811" s="2">
        <v>3</v>
      </c>
      <c r="F811" s="2" t="str">
        <f>_xlfn.XLOOKUP(Orders[[#This Row],[Customer ID]],customers!$A$1:$A$1001,customers!$B$1:$B$1001,,0)</f>
        <v>Chaddie Bennie</v>
      </c>
      <c r="G811" s="2" t="str">
        <f>IF(_xlfn.XLOOKUP(C811,customers!$A$1:$A$1001,customers!C810:C1810,,0)=0,"",_xlfn.XLOOKUP(C811,customers!$A$1:$A$1001,customers!C810:C1810,,0))</f>
        <v/>
      </c>
      <c r="H811" s="2" t="str">
        <f>_xlfn.XLOOKUP(Orders[[#This Row],[Customer ID]],customers!$A$1:$A$1001,customers!$G$1:$G$1001,,0)</f>
        <v>United States</v>
      </c>
      <c r="I811" s="2" t="str">
        <f>_xlfn.XLOOKUP(Orders[[#This Row],[Customer ID]],customers!$A$1:$A$1001,customers!$F$1:$F$1001,,0)</f>
        <v>El Paso</v>
      </c>
      <c r="J811" t="str">
        <f>INDEX(products!$A$1:$G$49,MATCH(orders!$D811,products!$A$1:$A$49,0),MATCH(orders!J$1,products!$A$1:$G$1,0))</f>
        <v>Rob</v>
      </c>
      <c r="K811" t="str">
        <f>INDEX(products!$A$1:$G$49,MATCH(orders!$D811,products!$A$1:$A$49,0),MATCH(orders!K$1,products!$A$1:$G$1,0))</f>
        <v>D</v>
      </c>
      <c r="L811" s="4">
        <f>INDEX(products!$A$1:$G$49,MATCH(orders!$D811,products!$A$1:$A$49,0),MATCH(orders!L$1,products!$A$1:$G$1,0))</f>
        <v>0.2</v>
      </c>
      <c r="M811" s="5">
        <f>INDEX(products!$A$1:$G$49,MATCH(orders!$D811,products!$A$1:$A$49,0),MATCH(orders!M$1,products!$A$1:$G$1,0))</f>
        <v>2.6849999999999996</v>
      </c>
      <c r="N811" s="5">
        <f>Orders[[#This Row],[Quantity]]*(INDEX(products!$A$1:$G$49,MATCH(orders!$D811,products!$A$1:$A$49,0),MATCH(orders!N$1,products!$A$1:$G$1,0)))</f>
        <v>0.4832999999999999</v>
      </c>
      <c r="O811" s="5">
        <f>M811*E811</f>
        <v>8.0549999999999997</v>
      </c>
      <c r="P811" t="str">
        <f t="shared" si="24"/>
        <v>Robusta</v>
      </c>
      <c r="Q811" t="str">
        <f t="shared" si="25"/>
        <v>Dark</v>
      </c>
      <c r="R811" t="str">
        <f>_xlfn.XLOOKUP(Orders[[#This Row],[Customer ID]],customers!$A$1:$A$1001,customers!$I$1:$I$1001,,0)</f>
        <v>Yes</v>
      </c>
    </row>
    <row r="812" spans="1:18" x14ac:dyDescent="0.35">
      <c r="A812" s="2" t="s">
        <v>5067</v>
      </c>
      <c r="B812" s="3">
        <v>44054</v>
      </c>
      <c r="C812" s="2" t="s">
        <v>5068</v>
      </c>
      <c r="D812" t="s">
        <v>6161</v>
      </c>
      <c r="E812" s="2">
        <v>3</v>
      </c>
      <c r="F812" s="2" t="str">
        <f>_xlfn.XLOOKUP(Orders[[#This Row],[Customer ID]],customers!$A$1:$A$1001,customers!$B$1:$B$1001,,0)</f>
        <v>Alberta Balsdone</v>
      </c>
      <c r="G812" s="2" t="str">
        <f>IF(_xlfn.XLOOKUP(C812,customers!$A$1:$A$1001,customers!C811:C1811,,0)=0,"",_xlfn.XLOOKUP(C812,customers!$A$1:$A$1001,customers!C811:C1811,,0))</f>
        <v/>
      </c>
      <c r="H812" s="2" t="str">
        <f>_xlfn.XLOOKUP(Orders[[#This Row],[Customer ID]],customers!$A$1:$A$1001,customers!$G$1:$G$1001,,0)</f>
        <v>United States</v>
      </c>
      <c r="I812" s="2" t="str">
        <f>_xlfn.XLOOKUP(Orders[[#This Row],[Customer ID]],customers!$A$1:$A$1001,customers!$F$1:$F$1001,,0)</f>
        <v>Largo</v>
      </c>
      <c r="J812" t="str">
        <f>INDEX(products!$A$1:$G$49,MATCH(orders!$D812,products!$A$1:$A$49,0),MATCH(orders!J$1,products!$A$1:$G$1,0))</f>
        <v>Lib</v>
      </c>
      <c r="K812" t="str">
        <f>INDEX(products!$A$1:$G$49,MATCH(orders!$D812,products!$A$1:$A$49,0),MATCH(orders!K$1,products!$A$1:$G$1,0))</f>
        <v>L</v>
      </c>
      <c r="L812" s="4">
        <f>INDEX(products!$A$1:$G$49,MATCH(orders!$D812,products!$A$1:$A$49,0),MATCH(orders!L$1,products!$A$1:$G$1,0))</f>
        <v>0.5</v>
      </c>
      <c r="M812" s="5">
        <f>INDEX(products!$A$1:$G$49,MATCH(orders!$D812,products!$A$1:$A$49,0),MATCH(orders!M$1,products!$A$1:$G$1,0))</f>
        <v>9.51</v>
      </c>
      <c r="N812" s="5">
        <f>Orders[[#This Row],[Quantity]]*(INDEX(products!$A$1:$G$49,MATCH(orders!$D812,products!$A$1:$A$49,0),MATCH(orders!N$1,products!$A$1:$G$1,0)))</f>
        <v>3.7088999999999999</v>
      </c>
      <c r="O812" s="5">
        <f>M812*E812</f>
        <v>28.53</v>
      </c>
      <c r="P812" t="str">
        <f t="shared" si="24"/>
        <v>Liberica</v>
      </c>
      <c r="Q812" t="str">
        <f t="shared" si="25"/>
        <v>Light</v>
      </c>
      <c r="R812" t="str">
        <f>_xlfn.XLOOKUP(Orders[[#This Row],[Customer ID]],customers!$A$1:$A$1001,customers!$I$1:$I$1001,,0)</f>
        <v>No</v>
      </c>
    </row>
    <row r="813" spans="1:18" x14ac:dyDescent="0.35">
      <c r="A813" s="2" t="s">
        <v>5073</v>
      </c>
      <c r="B813" s="3">
        <v>44114</v>
      </c>
      <c r="C813" s="2" t="s">
        <v>5074</v>
      </c>
      <c r="D813" t="s">
        <v>6155</v>
      </c>
      <c r="E813" s="2">
        <v>6</v>
      </c>
      <c r="F813" s="2" t="str">
        <f>_xlfn.XLOOKUP(Orders[[#This Row],[Customer ID]],customers!$A$1:$A$1001,customers!$B$1:$B$1001,,0)</f>
        <v>Brice Romera</v>
      </c>
      <c r="G813" s="2" t="str">
        <f>IF(_xlfn.XLOOKUP(C813,customers!$A$1:$A$1001,customers!C812:C1812,,0)=0,"",_xlfn.XLOOKUP(C813,customers!$A$1:$A$1001,customers!C812:C1812,,0))</f>
        <v/>
      </c>
      <c r="H813" s="2" t="str">
        <f>_xlfn.XLOOKUP(Orders[[#This Row],[Customer ID]],customers!$A$1:$A$1001,customers!$G$1:$G$1001,,0)</f>
        <v>Ireland</v>
      </c>
      <c r="I813" s="2" t="str">
        <f>_xlfn.XLOOKUP(Orders[[#This Row],[Customer ID]],customers!$A$1:$A$1001,customers!$F$1:$F$1001,,0)</f>
        <v>Foxrock</v>
      </c>
      <c r="J813" t="str">
        <f>INDEX(products!$A$1:$G$49,MATCH(orders!$D813,products!$A$1:$A$49,0),MATCH(orders!J$1,products!$A$1:$G$1,0))</f>
        <v>Ara</v>
      </c>
      <c r="K813" t="str">
        <f>INDEX(products!$A$1:$G$49,MATCH(orders!$D813,products!$A$1:$A$49,0),MATCH(orders!K$1,products!$A$1:$G$1,0))</f>
        <v>M</v>
      </c>
      <c r="L813" s="4">
        <f>INDEX(products!$A$1:$G$49,MATCH(orders!$D813,products!$A$1:$A$49,0),MATCH(orders!L$1,products!$A$1:$G$1,0))</f>
        <v>1</v>
      </c>
      <c r="M813" s="5">
        <f>INDEX(products!$A$1:$G$49,MATCH(orders!$D813,products!$A$1:$A$49,0),MATCH(orders!M$1,products!$A$1:$G$1,0))</f>
        <v>11.25</v>
      </c>
      <c r="N813" s="5">
        <f>Orders[[#This Row],[Quantity]]*(INDEX(products!$A$1:$G$49,MATCH(orders!$D813,products!$A$1:$A$49,0),MATCH(orders!N$1,products!$A$1:$G$1,0)))</f>
        <v>6.0749999999999993</v>
      </c>
      <c r="O813" s="5">
        <f>M813*E813</f>
        <v>67.5</v>
      </c>
      <c r="P813" t="str">
        <f t="shared" si="24"/>
        <v>Arabica</v>
      </c>
      <c r="Q813" t="str">
        <f t="shared" si="25"/>
        <v>Medium</v>
      </c>
      <c r="R813" t="str">
        <f>_xlfn.XLOOKUP(Orders[[#This Row],[Customer ID]],customers!$A$1:$A$1001,customers!$I$1:$I$1001,,0)</f>
        <v>Yes</v>
      </c>
    </row>
    <row r="814" spans="1:18" x14ac:dyDescent="0.35">
      <c r="A814" s="2" t="s">
        <v>5073</v>
      </c>
      <c r="B814" s="3">
        <v>44114</v>
      </c>
      <c r="C814" s="2" t="s">
        <v>5074</v>
      </c>
      <c r="D814" t="s">
        <v>6165</v>
      </c>
      <c r="E814" s="2">
        <v>6</v>
      </c>
      <c r="F814" s="2" t="str">
        <f>_xlfn.XLOOKUP(Orders[[#This Row],[Customer ID]],customers!$A$1:$A$1001,customers!$B$1:$B$1001,,0)</f>
        <v>Brice Romera</v>
      </c>
      <c r="G814" s="2" t="str">
        <f>IF(_xlfn.XLOOKUP(C814,customers!$A$1:$A$1001,customers!C813:C1813,,0)=0,"",_xlfn.XLOOKUP(C814,customers!$A$1:$A$1001,customers!C813:C1813,,0))</f>
        <v/>
      </c>
      <c r="H814" s="2" t="str">
        <f>_xlfn.XLOOKUP(Orders[[#This Row],[Customer ID]],customers!$A$1:$A$1001,customers!$G$1:$G$1001,,0)</f>
        <v>Ireland</v>
      </c>
      <c r="I814" s="2" t="str">
        <f>_xlfn.XLOOKUP(Orders[[#This Row],[Customer ID]],customers!$A$1:$A$1001,customers!$F$1:$F$1001,,0)</f>
        <v>Foxrock</v>
      </c>
      <c r="J814" t="str">
        <f>INDEX(products!$A$1:$G$49,MATCH(orders!$D814,products!$A$1:$A$49,0),MATCH(orders!J$1,products!$A$1:$G$1,0))</f>
        <v>Lib</v>
      </c>
      <c r="K814" t="str">
        <f>INDEX(products!$A$1:$G$49,MATCH(orders!$D814,products!$A$1:$A$49,0),MATCH(orders!K$1,products!$A$1:$G$1,0))</f>
        <v>D</v>
      </c>
      <c r="L814" s="4">
        <f>INDEX(products!$A$1:$G$49,MATCH(orders!$D814,products!$A$1:$A$49,0),MATCH(orders!L$1,products!$A$1:$G$1,0))</f>
        <v>2.5</v>
      </c>
      <c r="M814" s="5">
        <f>INDEX(products!$A$1:$G$49,MATCH(orders!$D814,products!$A$1:$A$49,0),MATCH(orders!M$1,products!$A$1:$G$1,0))</f>
        <v>29.784999999999997</v>
      </c>
      <c r="N814" s="5">
        <f>Orders[[#This Row],[Quantity]]*(INDEX(products!$A$1:$G$49,MATCH(orders!$D814,products!$A$1:$A$49,0),MATCH(orders!N$1,products!$A$1:$G$1,0)))</f>
        <v>23.232299999999999</v>
      </c>
      <c r="O814" s="5">
        <f>M814*E814</f>
        <v>178.70999999999998</v>
      </c>
      <c r="P814" t="str">
        <f t="shared" si="24"/>
        <v>Liberica</v>
      </c>
      <c r="Q814" t="str">
        <f t="shared" si="25"/>
        <v>Dark</v>
      </c>
      <c r="R814" t="str">
        <f>_xlfn.XLOOKUP(Orders[[#This Row],[Customer ID]],customers!$A$1:$A$1001,customers!$I$1:$I$1001,,0)</f>
        <v>Yes</v>
      </c>
    </row>
    <row r="815" spans="1:18" x14ac:dyDescent="0.35">
      <c r="A815" s="2" t="s">
        <v>5084</v>
      </c>
      <c r="B815" s="3">
        <v>44173</v>
      </c>
      <c r="C815" s="2" t="s">
        <v>5085</v>
      </c>
      <c r="D815" t="s">
        <v>6166</v>
      </c>
      <c r="E815" s="2">
        <v>1</v>
      </c>
      <c r="F815" s="2" t="str">
        <f>_xlfn.XLOOKUP(Orders[[#This Row],[Customer ID]],customers!$A$1:$A$1001,customers!$B$1:$B$1001,,0)</f>
        <v>Conchita Bryde</v>
      </c>
      <c r="G815" s="2" t="str">
        <f>IF(_xlfn.XLOOKUP(C815,customers!$A$1:$A$1001,customers!C814:C1814,,0)=0,"",_xlfn.XLOOKUP(C815,customers!$A$1:$A$1001,customers!C814:C1814,,0))</f>
        <v/>
      </c>
      <c r="H815" s="2" t="str">
        <f>_xlfn.XLOOKUP(Orders[[#This Row],[Customer ID]],customers!$A$1:$A$1001,customers!$G$1:$G$1001,,0)</f>
        <v>United States</v>
      </c>
      <c r="I815" s="2" t="str">
        <f>_xlfn.XLOOKUP(Orders[[#This Row],[Customer ID]],customers!$A$1:$A$1001,customers!$F$1:$F$1001,,0)</f>
        <v>Oklahoma City</v>
      </c>
      <c r="J815" t="str">
        <f>INDEX(products!$A$1:$G$49,MATCH(orders!$D815,products!$A$1:$A$49,0),MATCH(orders!J$1,products!$A$1:$G$1,0))</f>
        <v>Exc</v>
      </c>
      <c r="K815" t="str">
        <f>INDEX(products!$A$1:$G$49,MATCH(orders!$D815,products!$A$1:$A$49,0),MATCH(orders!K$1,products!$A$1:$G$1,0))</f>
        <v>M</v>
      </c>
      <c r="L815" s="4">
        <f>INDEX(products!$A$1:$G$49,MATCH(orders!$D815,products!$A$1:$A$49,0),MATCH(orders!L$1,products!$A$1:$G$1,0))</f>
        <v>2.5</v>
      </c>
      <c r="M815" s="5">
        <f>INDEX(products!$A$1:$G$49,MATCH(orders!$D815,products!$A$1:$A$49,0),MATCH(orders!M$1,products!$A$1:$G$1,0))</f>
        <v>31.624999999999996</v>
      </c>
      <c r="N815" s="5">
        <f>Orders[[#This Row],[Quantity]]*(INDEX(products!$A$1:$G$49,MATCH(orders!$D815,products!$A$1:$A$49,0),MATCH(orders!N$1,products!$A$1:$G$1,0)))</f>
        <v>3.4787499999999998</v>
      </c>
      <c r="O815" s="5">
        <f>M815*E815</f>
        <v>31.624999999999996</v>
      </c>
      <c r="P815" t="str">
        <f t="shared" si="24"/>
        <v>Excelsa</v>
      </c>
      <c r="Q815" t="str">
        <f t="shared" si="25"/>
        <v>Medium</v>
      </c>
      <c r="R815" t="str">
        <f>_xlfn.XLOOKUP(Orders[[#This Row],[Customer ID]],customers!$A$1:$A$1001,customers!$I$1:$I$1001,,0)</f>
        <v>Yes</v>
      </c>
    </row>
    <row r="816" spans="1:18" x14ac:dyDescent="0.35">
      <c r="A816" s="2" t="s">
        <v>5090</v>
      </c>
      <c r="B816" s="3">
        <v>43573</v>
      </c>
      <c r="C816" s="2" t="s">
        <v>5091</v>
      </c>
      <c r="D816" t="s">
        <v>6184</v>
      </c>
      <c r="E816" s="2">
        <v>2</v>
      </c>
      <c r="F816" s="2" t="str">
        <f>_xlfn.XLOOKUP(Orders[[#This Row],[Customer ID]],customers!$A$1:$A$1001,customers!$B$1:$B$1001,,0)</f>
        <v>Silvanus Enefer</v>
      </c>
      <c r="G816" s="2" t="str">
        <f>IF(_xlfn.XLOOKUP(C816,customers!$A$1:$A$1001,customers!C815:C1815,,0)=0,"",_xlfn.XLOOKUP(C816,customers!$A$1:$A$1001,customers!C815:C1815,,0))</f>
        <v/>
      </c>
      <c r="H816" s="2" t="str">
        <f>_xlfn.XLOOKUP(Orders[[#This Row],[Customer ID]],customers!$A$1:$A$1001,customers!$G$1:$G$1001,,0)</f>
        <v>United States</v>
      </c>
      <c r="I816" s="2" t="str">
        <f>_xlfn.XLOOKUP(Orders[[#This Row],[Customer ID]],customers!$A$1:$A$1001,customers!$F$1:$F$1001,,0)</f>
        <v>Washington</v>
      </c>
      <c r="J816" t="str">
        <f>INDEX(products!$A$1:$G$49,MATCH(orders!$D816,products!$A$1:$A$49,0),MATCH(orders!J$1,products!$A$1:$G$1,0))</f>
        <v>Exc</v>
      </c>
      <c r="K816" t="str">
        <f>INDEX(products!$A$1:$G$49,MATCH(orders!$D816,products!$A$1:$A$49,0),MATCH(orders!K$1,products!$A$1:$G$1,0))</f>
        <v>L</v>
      </c>
      <c r="L816" s="4">
        <f>INDEX(products!$A$1:$G$49,MATCH(orders!$D816,products!$A$1:$A$49,0),MATCH(orders!L$1,products!$A$1:$G$1,0))</f>
        <v>0.2</v>
      </c>
      <c r="M816" s="5">
        <f>INDEX(products!$A$1:$G$49,MATCH(orders!$D816,products!$A$1:$A$49,0),MATCH(orders!M$1,products!$A$1:$G$1,0))</f>
        <v>4.4550000000000001</v>
      </c>
      <c r="N816" s="5">
        <f>Orders[[#This Row],[Quantity]]*(INDEX(products!$A$1:$G$49,MATCH(orders!$D816,products!$A$1:$A$49,0),MATCH(orders!N$1,products!$A$1:$G$1,0)))</f>
        <v>0.98009999999999997</v>
      </c>
      <c r="O816" s="5">
        <f>M816*E816</f>
        <v>8.91</v>
      </c>
      <c r="P816" t="str">
        <f t="shared" si="24"/>
        <v>Excelsa</v>
      </c>
      <c r="Q816" t="str">
        <f t="shared" si="25"/>
        <v>Light</v>
      </c>
      <c r="R816" t="str">
        <f>_xlfn.XLOOKUP(Orders[[#This Row],[Customer ID]],customers!$A$1:$A$1001,customers!$I$1:$I$1001,,0)</f>
        <v>No</v>
      </c>
    </row>
    <row r="817" spans="1:18" x14ac:dyDescent="0.35">
      <c r="A817" s="2" t="s">
        <v>5096</v>
      </c>
      <c r="B817" s="3">
        <v>44200</v>
      </c>
      <c r="C817" s="2" t="s">
        <v>5097</v>
      </c>
      <c r="D817" t="s">
        <v>6146</v>
      </c>
      <c r="E817" s="2">
        <v>6</v>
      </c>
      <c r="F817" s="2" t="str">
        <f>_xlfn.XLOOKUP(Orders[[#This Row],[Customer ID]],customers!$A$1:$A$1001,customers!$B$1:$B$1001,,0)</f>
        <v>Lenci Haggerstone</v>
      </c>
      <c r="G817" s="2" t="str">
        <f>IF(_xlfn.XLOOKUP(C817,customers!$A$1:$A$1001,customers!C816:C1816,,0)=0,"",_xlfn.XLOOKUP(C817,customers!$A$1:$A$1001,customers!C816:C1816,,0))</f>
        <v/>
      </c>
      <c r="H817" s="2" t="str">
        <f>_xlfn.XLOOKUP(Orders[[#This Row],[Customer ID]],customers!$A$1:$A$1001,customers!$G$1:$G$1001,,0)</f>
        <v>United States</v>
      </c>
      <c r="I817" s="2" t="str">
        <f>_xlfn.XLOOKUP(Orders[[#This Row],[Customer ID]],customers!$A$1:$A$1001,customers!$F$1:$F$1001,,0)</f>
        <v>Atlanta</v>
      </c>
      <c r="J817" t="str">
        <f>INDEX(products!$A$1:$G$49,MATCH(orders!$D817,products!$A$1:$A$49,0),MATCH(orders!J$1,products!$A$1:$G$1,0))</f>
        <v>Rob</v>
      </c>
      <c r="K817" t="str">
        <f>INDEX(products!$A$1:$G$49,MATCH(orders!$D817,products!$A$1:$A$49,0),MATCH(orders!K$1,products!$A$1:$G$1,0))</f>
        <v>M</v>
      </c>
      <c r="L817" s="4">
        <f>INDEX(products!$A$1:$G$49,MATCH(orders!$D817,products!$A$1:$A$49,0),MATCH(orders!L$1,products!$A$1:$G$1,0))</f>
        <v>0.5</v>
      </c>
      <c r="M817" s="5">
        <f>INDEX(products!$A$1:$G$49,MATCH(orders!$D817,products!$A$1:$A$49,0),MATCH(orders!M$1,products!$A$1:$G$1,0))</f>
        <v>5.97</v>
      </c>
      <c r="N817" s="5">
        <f>Orders[[#This Row],[Quantity]]*(INDEX(products!$A$1:$G$49,MATCH(orders!$D817,products!$A$1:$A$49,0),MATCH(orders!N$1,products!$A$1:$G$1,0)))</f>
        <v>2.1491999999999996</v>
      </c>
      <c r="O817" s="5">
        <f>M817*E817</f>
        <v>35.82</v>
      </c>
      <c r="P817" t="str">
        <f t="shared" si="24"/>
        <v>Robusta</v>
      </c>
      <c r="Q817" t="str">
        <f t="shared" si="25"/>
        <v>Medium</v>
      </c>
      <c r="R817" t="str">
        <f>_xlfn.XLOOKUP(Orders[[#This Row],[Customer ID]],customers!$A$1:$A$1001,customers!$I$1:$I$1001,,0)</f>
        <v>No</v>
      </c>
    </row>
    <row r="818" spans="1:18" x14ac:dyDescent="0.35">
      <c r="A818" s="2" t="s">
        <v>5102</v>
      </c>
      <c r="B818" s="3">
        <v>43534</v>
      </c>
      <c r="C818" s="2" t="s">
        <v>5103</v>
      </c>
      <c r="D818" t="s">
        <v>6161</v>
      </c>
      <c r="E818" s="2">
        <v>4</v>
      </c>
      <c r="F818" s="2" t="str">
        <f>_xlfn.XLOOKUP(Orders[[#This Row],[Customer ID]],customers!$A$1:$A$1001,customers!$B$1:$B$1001,,0)</f>
        <v>Marvin Gundry</v>
      </c>
      <c r="G818" s="2" t="str">
        <f>IF(_xlfn.XLOOKUP(C818,customers!$A$1:$A$1001,customers!C817:C1817,,0)=0,"",_xlfn.XLOOKUP(C818,customers!$A$1:$A$1001,customers!C817:C1817,,0))</f>
        <v/>
      </c>
      <c r="H818" s="2" t="str">
        <f>_xlfn.XLOOKUP(Orders[[#This Row],[Customer ID]],customers!$A$1:$A$1001,customers!$G$1:$G$1001,,0)</f>
        <v>Ireland</v>
      </c>
      <c r="I818" s="2" t="str">
        <f>_xlfn.XLOOKUP(Orders[[#This Row],[Customer ID]],customers!$A$1:$A$1001,customers!$F$1:$F$1001,,0)</f>
        <v>Castlebridge</v>
      </c>
      <c r="J818" t="str">
        <f>INDEX(products!$A$1:$G$49,MATCH(orders!$D818,products!$A$1:$A$49,0),MATCH(orders!J$1,products!$A$1:$G$1,0))</f>
        <v>Lib</v>
      </c>
      <c r="K818" t="str">
        <f>INDEX(products!$A$1:$G$49,MATCH(orders!$D818,products!$A$1:$A$49,0),MATCH(orders!K$1,products!$A$1:$G$1,0))</f>
        <v>L</v>
      </c>
      <c r="L818" s="4">
        <f>INDEX(products!$A$1:$G$49,MATCH(orders!$D818,products!$A$1:$A$49,0),MATCH(orders!L$1,products!$A$1:$G$1,0))</f>
        <v>0.5</v>
      </c>
      <c r="M818" s="5">
        <f>INDEX(products!$A$1:$G$49,MATCH(orders!$D818,products!$A$1:$A$49,0),MATCH(orders!M$1,products!$A$1:$G$1,0))</f>
        <v>9.51</v>
      </c>
      <c r="N818" s="5">
        <f>Orders[[#This Row],[Quantity]]*(INDEX(products!$A$1:$G$49,MATCH(orders!$D818,products!$A$1:$A$49,0),MATCH(orders!N$1,products!$A$1:$G$1,0)))</f>
        <v>4.9451999999999998</v>
      </c>
      <c r="O818" s="5">
        <f>M818*E818</f>
        <v>38.04</v>
      </c>
      <c r="P818" t="str">
        <f t="shared" si="24"/>
        <v>Liberica</v>
      </c>
      <c r="Q818" t="str">
        <f t="shared" si="25"/>
        <v>Light</v>
      </c>
      <c r="R818" t="str">
        <f>_xlfn.XLOOKUP(Orders[[#This Row],[Customer ID]],customers!$A$1:$A$1001,customers!$I$1:$I$1001,,0)</f>
        <v>No</v>
      </c>
    </row>
    <row r="819" spans="1:18" x14ac:dyDescent="0.35">
      <c r="A819" s="2" t="s">
        <v>5107</v>
      </c>
      <c r="B819" s="3">
        <v>43798</v>
      </c>
      <c r="C819" s="2" t="s">
        <v>5108</v>
      </c>
      <c r="D819" t="s">
        <v>6169</v>
      </c>
      <c r="E819" s="2">
        <v>2</v>
      </c>
      <c r="F819" s="2" t="str">
        <f>_xlfn.XLOOKUP(Orders[[#This Row],[Customer ID]],customers!$A$1:$A$1001,customers!$B$1:$B$1001,,0)</f>
        <v>Bayard Wellan</v>
      </c>
      <c r="G819" s="2" t="str">
        <f>IF(_xlfn.XLOOKUP(C819,customers!$A$1:$A$1001,customers!C818:C1818,,0)=0,"",_xlfn.XLOOKUP(C819,customers!$A$1:$A$1001,customers!C818:C1818,,0))</f>
        <v/>
      </c>
      <c r="H819" s="2" t="str">
        <f>_xlfn.XLOOKUP(Orders[[#This Row],[Customer ID]],customers!$A$1:$A$1001,customers!$G$1:$G$1001,,0)</f>
        <v>United States</v>
      </c>
      <c r="I819" s="2" t="str">
        <f>_xlfn.XLOOKUP(Orders[[#This Row],[Customer ID]],customers!$A$1:$A$1001,customers!$F$1:$F$1001,,0)</f>
        <v>Buffalo</v>
      </c>
      <c r="J819" t="str">
        <f>INDEX(products!$A$1:$G$49,MATCH(orders!$D819,products!$A$1:$A$49,0),MATCH(orders!J$1,products!$A$1:$G$1,0))</f>
        <v>Lib</v>
      </c>
      <c r="K819" t="str">
        <f>INDEX(products!$A$1:$G$49,MATCH(orders!$D819,products!$A$1:$A$49,0),MATCH(orders!K$1,products!$A$1:$G$1,0))</f>
        <v>D</v>
      </c>
      <c r="L819" s="4">
        <f>INDEX(products!$A$1:$G$49,MATCH(orders!$D819,products!$A$1:$A$49,0),MATCH(orders!L$1,products!$A$1:$G$1,0))</f>
        <v>0.5</v>
      </c>
      <c r="M819" s="5">
        <f>INDEX(products!$A$1:$G$49,MATCH(orders!$D819,products!$A$1:$A$49,0),MATCH(orders!M$1,products!$A$1:$G$1,0))</f>
        <v>7.77</v>
      </c>
      <c r="N819" s="5">
        <f>Orders[[#This Row],[Quantity]]*(INDEX(products!$A$1:$G$49,MATCH(orders!$D819,products!$A$1:$A$49,0),MATCH(orders!N$1,products!$A$1:$G$1,0)))</f>
        <v>2.0202</v>
      </c>
      <c r="O819" s="5">
        <f>M819*E819</f>
        <v>15.54</v>
      </c>
      <c r="P819" t="str">
        <f t="shared" si="24"/>
        <v>Liberica</v>
      </c>
      <c r="Q819" t="str">
        <f t="shared" si="25"/>
        <v>Dark</v>
      </c>
      <c r="R819" t="str">
        <f>_xlfn.XLOOKUP(Orders[[#This Row],[Customer ID]],customers!$A$1:$A$1001,customers!$I$1:$I$1001,,0)</f>
        <v>No</v>
      </c>
    </row>
    <row r="820" spans="1:18" x14ac:dyDescent="0.35">
      <c r="A820" s="2" t="s">
        <v>5112</v>
      </c>
      <c r="B820" s="3">
        <v>44761</v>
      </c>
      <c r="C820" s="2" t="s">
        <v>5113</v>
      </c>
      <c r="D820" t="s">
        <v>6170</v>
      </c>
      <c r="E820" s="2">
        <v>5</v>
      </c>
      <c r="F820" s="2" t="str">
        <f>_xlfn.XLOOKUP(Orders[[#This Row],[Customer ID]],customers!$A$1:$A$1001,customers!$B$1:$B$1001,,0)</f>
        <v>Allis Wilmore</v>
      </c>
      <c r="G820" s="2" t="str">
        <f>IF(_xlfn.XLOOKUP(C820,customers!$A$1:$A$1001,customers!C819:C1819,,0)=0,"",_xlfn.XLOOKUP(C820,customers!$A$1:$A$1001,customers!C819:C1819,,0))</f>
        <v/>
      </c>
      <c r="H820" s="2" t="str">
        <f>_xlfn.XLOOKUP(Orders[[#This Row],[Customer ID]],customers!$A$1:$A$1001,customers!$G$1:$G$1001,,0)</f>
        <v>United States</v>
      </c>
      <c r="I820" s="2" t="str">
        <f>_xlfn.XLOOKUP(Orders[[#This Row],[Customer ID]],customers!$A$1:$A$1001,customers!$F$1:$F$1001,,0)</f>
        <v>Houston</v>
      </c>
      <c r="J820" t="str">
        <f>INDEX(products!$A$1:$G$49,MATCH(orders!$D820,products!$A$1:$A$49,0),MATCH(orders!J$1,products!$A$1:$G$1,0))</f>
        <v>Lib</v>
      </c>
      <c r="K820" t="str">
        <f>INDEX(products!$A$1:$G$49,MATCH(orders!$D820,products!$A$1:$A$49,0),MATCH(orders!K$1,products!$A$1:$G$1,0))</f>
        <v>L</v>
      </c>
      <c r="L820" s="4">
        <f>INDEX(products!$A$1:$G$49,MATCH(orders!$D820,products!$A$1:$A$49,0),MATCH(orders!L$1,products!$A$1:$G$1,0))</f>
        <v>1</v>
      </c>
      <c r="M820" s="5">
        <f>INDEX(products!$A$1:$G$49,MATCH(orders!$D820,products!$A$1:$A$49,0),MATCH(orders!M$1,products!$A$1:$G$1,0))</f>
        <v>15.85</v>
      </c>
      <c r="N820" s="5">
        <f>Orders[[#This Row],[Quantity]]*(INDEX(products!$A$1:$G$49,MATCH(orders!$D820,products!$A$1:$A$49,0),MATCH(orders!N$1,products!$A$1:$G$1,0)))</f>
        <v>10.302500000000002</v>
      </c>
      <c r="O820" s="5">
        <f>M820*E820</f>
        <v>79.25</v>
      </c>
      <c r="P820" t="str">
        <f t="shared" si="24"/>
        <v>Liberica</v>
      </c>
      <c r="Q820" t="str">
        <f t="shared" si="25"/>
        <v>Light</v>
      </c>
      <c r="R820" t="str">
        <f>_xlfn.XLOOKUP(Orders[[#This Row],[Customer ID]],customers!$A$1:$A$1001,customers!$I$1:$I$1001,,0)</f>
        <v>No</v>
      </c>
    </row>
    <row r="821" spans="1:18" x14ac:dyDescent="0.35">
      <c r="A821" s="2" t="s">
        <v>5117</v>
      </c>
      <c r="B821" s="3">
        <v>44008</v>
      </c>
      <c r="C821" s="2" t="s">
        <v>5118</v>
      </c>
      <c r="D821" t="s">
        <v>6145</v>
      </c>
      <c r="E821" s="2">
        <v>1</v>
      </c>
      <c r="F821" s="2" t="str">
        <f>_xlfn.XLOOKUP(Orders[[#This Row],[Customer ID]],customers!$A$1:$A$1001,customers!$B$1:$B$1001,,0)</f>
        <v>Caddric Atcheson</v>
      </c>
      <c r="G821" s="2" t="str">
        <f>IF(_xlfn.XLOOKUP(C821,customers!$A$1:$A$1001,customers!C820:C1820,,0)=0,"",_xlfn.XLOOKUP(C821,customers!$A$1:$A$1001,customers!C820:C1820,,0))</f>
        <v/>
      </c>
      <c r="H821" s="2" t="str">
        <f>_xlfn.XLOOKUP(Orders[[#This Row],[Customer ID]],customers!$A$1:$A$1001,customers!$G$1:$G$1001,,0)</f>
        <v>United States</v>
      </c>
      <c r="I821" s="2" t="str">
        <f>_xlfn.XLOOKUP(Orders[[#This Row],[Customer ID]],customers!$A$1:$A$1001,customers!$F$1:$F$1001,,0)</f>
        <v>Washington</v>
      </c>
      <c r="J821" t="str">
        <f>INDEX(products!$A$1:$G$49,MATCH(orders!$D821,products!$A$1:$A$49,0),MATCH(orders!J$1,products!$A$1:$G$1,0))</f>
        <v>Lib</v>
      </c>
      <c r="K821" t="str">
        <f>INDEX(products!$A$1:$G$49,MATCH(orders!$D821,products!$A$1:$A$49,0),MATCH(orders!K$1,products!$A$1:$G$1,0))</f>
        <v>L</v>
      </c>
      <c r="L821" s="4">
        <f>INDEX(products!$A$1:$G$49,MATCH(orders!$D821,products!$A$1:$A$49,0),MATCH(orders!L$1,products!$A$1:$G$1,0))</f>
        <v>0.2</v>
      </c>
      <c r="M821" s="5">
        <f>INDEX(products!$A$1:$G$49,MATCH(orders!$D821,products!$A$1:$A$49,0),MATCH(orders!M$1,products!$A$1:$G$1,0))</f>
        <v>4.7549999999999999</v>
      </c>
      <c r="N821" s="5">
        <f>Orders[[#This Row],[Quantity]]*(INDEX(products!$A$1:$G$49,MATCH(orders!$D821,products!$A$1:$A$49,0),MATCH(orders!N$1,products!$A$1:$G$1,0)))</f>
        <v>0.61814999999999998</v>
      </c>
      <c r="O821" s="5">
        <f>M821*E821</f>
        <v>4.7549999999999999</v>
      </c>
      <c r="P821" t="str">
        <f t="shared" si="24"/>
        <v>Liberica</v>
      </c>
      <c r="Q821" t="str">
        <f t="shared" si="25"/>
        <v>Light</v>
      </c>
      <c r="R821" t="str">
        <f>_xlfn.XLOOKUP(Orders[[#This Row],[Customer ID]],customers!$A$1:$A$1001,customers!$I$1:$I$1001,,0)</f>
        <v>Yes</v>
      </c>
    </row>
    <row r="822" spans="1:18" x14ac:dyDescent="0.35">
      <c r="A822" s="2" t="s">
        <v>5123</v>
      </c>
      <c r="B822" s="3">
        <v>43510</v>
      </c>
      <c r="C822" s="2" t="s">
        <v>5124</v>
      </c>
      <c r="D822" t="s">
        <v>6141</v>
      </c>
      <c r="E822" s="2">
        <v>4</v>
      </c>
      <c r="F822" s="2" t="str">
        <f>_xlfn.XLOOKUP(Orders[[#This Row],[Customer ID]],customers!$A$1:$A$1001,customers!$B$1:$B$1001,,0)</f>
        <v>Eustace Stenton</v>
      </c>
      <c r="G822" s="2" t="str">
        <f>IF(_xlfn.XLOOKUP(C822,customers!$A$1:$A$1001,customers!C821:C1821,,0)=0,"",_xlfn.XLOOKUP(C822,customers!$A$1:$A$1001,customers!C821:C1821,,0))</f>
        <v/>
      </c>
      <c r="H822" s="2" t="str">
        <f>_xlfn.XLOOKUP(Orders[[#This Row],[Customer ID]],customers!$A$1:$A$1001,customers!$G$1:$G$1001,,0)</f>
        <v>United States</v>
      </c>
      <c r="I822" s="2" t="str">
        <f>_xlfn.XLOOKUP(Orders[[#This Row],[Customer ID]],customers!$A$1:$A$1001,customers!$F$1:$F$1001,,0)</f>
        <v>Austin</v>
      </c>
      <c r="J822" t="str">
        <f>INDEX(products!$A$1:$G$49,MATCH(orders!$D822,products!$A$1:$A$49,0),MATCH(orders!J$1,products!$A$1:$G$1,0))</f>
        <v>Exc</v>
      </c>
      <c r="K822" t="str">
        <f>INDEX(products!$A$1:$G$49,MATCH(orders!$D822,products!$A$1:$A$49,0),MATCH(orders!K$1,products!$A$1:$G$1,0))</f>
        <v>M</v>
      </c>
      <c r="L822" s="4">
        <f>INDEX(products!$A$1:$G$49,MATCH(orders!$D822,products!$A$1:$A$49,0),MATCH(orders!L$1,products!$A$1:$G$1,0))</f>
        <v>1</v>
      </c>
      <c r="M822" s="5">
        <f>INDEX(products!$A$1:$G$49,MATCH(orders!$D822,products!$A$1:$A$49,0),MATCH(orders!M$1,products!$A$1:$G$1,0))</f>
        <v>13.75</v>
      </c>
      <c r="N822" s="5">
        <f>Orders[[#This Row],[Quantity]]*(INDEX(products!$A$1:$G$49,MATCH(orders!$D822,products!$A$1:$A$49,0),MATCH(orders!N$1,products!$A$1:$G$1,0)))</f>
        <v>6.05</v>
      </c>
      <c r="O822" s="5">
        <f>M822*E822</f>
        <v>55</v>
      </c>
      <c r="P822" t="str">
        <f t="shared" si="24"/>
        <v>Excelsa</v>
      </c>
      <c r="Q822" t="str">
        <f t="shared" si="25"/>
        <v>Medium</v>
      </c>
      <c r="R822" t="str">
        <f>_xlfn.XLOOKUP(Orders[[#This Row],[Customer ID]],customers!$A$1:$A$1001,customers!$I$1:$I$1001,,0)</f>
        <v>Yes</v>
      </c>
    </row>
    <row r="823" spans="1:18" x14ac:dyDescent="0.35">
      <c r="A823" s="2" t="s">
        <v>5129</v>
      </c>
      <c r="B823" s="3">
        <v>44144</v>
      </c>
      <c r="C823" s="2" t="s">
        <v>5130</v>
      </c>
      <c r="D823" t="s">
        <v>6172</v>
      </c>
      <c r="E823" s="2">
        <v>5</v>
      </c>
      <c r="F823" s="2" t="str">
        <f>_xlfn.XLOOKUP(Orders[[#This Row],[Customer ID]],customers!$A$1:$A$1001,customers!$B$1:$B$1001,,0)</f>
        <v>Ericka Tripp</v>
      </c>
      <c r="G823" s="2" t="str">
        <f>IF(_xlfn.XLOOKUP(C823,customers!$A$1:$A$1001,customers!C822:C1822,,0)=0,"",_xlfn.XLOOKUP(C823,customers!$A$1:$A$1001,customers!C822:C1822,,0))</f>
        <v/>
      </c>
      <c r="H823" s="2" t="str">
        <f>_xlfn.XLOOKUP(Orders[[#This Row],[Customer ID]],customers!$A$1:$A$1001,customers!$G$1:$G$1001,,0)</f>
        <v>United States</v>
      </c>
      <c r="I823" s="2" t="str">
        <f>_xlfn.XLOOKUP(Orders[[#This Row],[Customer ID]],customers!$A$1:$A$1001,customers!$F$1:$F$1001,,0)</f>
        <v>Mesa</v>
      </c>
      <c r="J823" t="str">
        <f>INDEX(products!$A$1:$G$49,MATCH(orders!$D823,products!$A$1:$A$49,0),MATCH(orders!J$1,products!$A$1:$G$1,0))</f>
        <v>Rob</v>
      </c>
      <c r="K823" t="str">
        <f>INDEX(products!$A$1:$G$49,MATCH(orders!$D823,products!$A$1:$A$49,0),MATCH(orders!K$1,products!$A$1:$G$1,0))</f>
        <v>D</v>
      </c>
      <c r="L823" s="4">
        <f>INDEX(products!$A$1:$G$49,MATCH(orders!$D823,products!$A$1:$A$49,0),MATCH(orders!L$1,products!$A$1:$G$1,0))</f>
        <v>0.5</v>
      </c>
      <c r="M823" s="5">
        <f>INDEX(products!$A$1:$G$49,MATCH(orders!$D823,products!$A$1:$A$49,0),MATCH(orders!M$1,products!$A$1:$G$1,0))</f>
        <v>5.3699999999999992</v>
      </c>
      <c r="N823" s="5">
        <f>Orders[[#This Row],[Quantity]]*(INDEX(products!$A$1:$G$49,MATCH(orders!$D823,products!$A$1:$A$49,0),MATCH(orders!N$1,products!$A$1:$G$1,0)))</f>
        <v>1.6109999999999998</v>
      </c>
      <c r="O823" s="5">
        <f>M823*E823</f>
        <v>26.849999999999994</v>
      </c>
      <c r="P823" t="str">
        <f t="shared" si="24"/>
        <v>Robusta</v>
      </c>
      <c r="Q823" t="str">
        <f t="shared" si="25"/>
        <v>Dark</v>
      </c>
      <c r="R823" t="str">
        <f>_xlfn.XLOOKUP(Orders[[#This Row],[Customer ID]],customers!$A$1:$A$1001,customers!$I$1:$I$1001,,0)</f>
        <v>No</v>
      </c>
    </row>
    <row r="824" spans="1:18" x14ac:dyDescent="0.35">
      <c r="A824" s="2" t="s">
        <v>5135</v>
      </c>
      <c r="B824" s="3">
        <v>43585</v>
      </c>
      <c r="C824" s="2" t="s">
        <v>5136</v>
      </c>
      <c r="D824" t="s">
        <v>6148</v>
      </c>
      <c r="E824" s="2">
        <v>4</v>
      </c>
      <c r="F824" s="2" t="str">
        <f>_xlfn.XLOOKUP(Orders[[#This Row],[Customer ID]],customers!$A$1:$A$1001,customers!$B$1:$B$1001,,0)</f>
        <v>Lyndsey MacManus</v>
      </c>
      <c r="G824" s="2" t="str">
        <f>IF(_xlfn.XLOOKUP(C824,customers!$A$1:$A$1001,customers!C823:C1823,,0)=0,"",_xlfn.XLOOKUP(C824,customers!$A$1:$A$1001,customers!C823:C1823,,0))</f>
        <v/>
      </c>
      <c r="H824" s="2" t="str">
        <f>_xlfn.XLOOKUP(Orders[[#This Row],[Customer ID]],customers!$A$1:$A$1001,customers!$G$1:$G$1001,,0)</f>
        <v>United States</v>
      </c>
      <c r="I824" s="2" t="str">
        <f>_xlfn.XLOOKUP(Orders[[#This Row],[Customer ID]],customers!$A$1:$A$1001,customers!$F$1:$F$1001,,0)</f>
        <v>Savannah</v>
      </c>
      <c r="J824" t="str">
        <f>INDEX(products!$A$1:$G$49,MATCH(orders!$D824,products!$A$1:$A$49,0),MATCH(orders!J$1,products!$A$1:$G$1,0))</f>
        <v>Exc</v>
      </c>
      <c r="K824" t="str">
        <f>INDEX(products!$A$1:$G$49,MATCH(orders!$D824,products!$A$1:$A$49,0),MATCH(orders!K$1,products!$A$1:$G$1,0))</f>
        <v>L</v>
      </c>
      <c r="L824" s="4">
        <f>INDEX(products!$A$1:$G$49,MATCH(orders!$D824,products!$A$1:$A$49,0),MATCH(orders!L$1,products!$A$1:$G$1,0))</f>
        <v>2.5</v>
      </c>
      <c r="M824" s="5">
        <f>INDEX(products!$A$1:$G$49,MATCH(orders!$D824,products!$A$1:$A$49,0),MATCH(orders!M$1,products!$A$1:$G$1,0))</f>
        <v>34.154999999999994</v>
      </c>
      <c r="N824" s="5">
        <f>Orders[[#This Row],[Quantity]]*(INDEX(products!$A$1:$G$49,MATCH(orders!$D824,products!$A$1:$A$49,0),MATCH(orders!N$1,products!$A$1:$G$1,0)))</f>
        <v>15.028199999999998</v>
      </c>
      <c r="O824" s="5">
        <f>M824*E824</f>
        <v>136.61999999999998</v>
      </c>
      <c r="P824" t="str">
        <f t="shared" si="24"/>
        <v>Excelsa</v>
      </c>
      <c r="Q824" t="str">
        <f t="shared" si="25"/>
        <v>Light</v>
      </c>
      <c r="R824" t="str">
        <f>_xlfn.XLOOKUP(Orders[[#This Row],[Customer ID]],customers!$A$1:$A$1001,customers!$I$1:$I$1001,,0)</f>
        <v>No</v>
      </c>
    </row>
    <row r="825" spans="1:18" x14ac:dyDescent="0.35">
      <c r="A825" s="2" t="s">
        <v>5141</v>
      </c>
      <c r="B825" s="3">
        <v>44134</v>
      </c>
      <c r="C825" s="2" t="s">
        <v>5142</v>
      </c>
      <c r="D825" t="s">
        <v>6170</v>
      </c>
      <c r="E825" s="2">
        <v>3</v>
      </c>
      <c r="F825" s="2" t="str">
        <f>_xlfn.XLOOKUP(Orders[[#This Row],[Customer ID]],customers!$A$1:$A$1001,customers!$B$1:$B$1001,,0)</f>
        <v>Tess Benediktovich</v>
      </c>
      <c r="G825" s="2" t="str">
        <f>IF(_xlfn.XLOOKUP(C825,customers!$A$1:$A$1001,customers!C824:C1824,,0)=0,"",_xlfn.XLOOKUP(C825,customers!$A$1:$A$1001,customers!C824:C1824,,0))</f>
        <v/>
      </c>
      <c r="H825" s="2" t="str">
        <f>_xlfn.XLOOKUP(Orders[[#This Row],[Customer ID]],customers!$A$1:$A$1001,customers!$G$1:$G$1001,,0)</f>
        <v>United States</v>
      </c>
      <c r="I825" s="2" t="str">
        <f>_xlfn.XLOOKUP(Orders[[#This Row],[Customer ID]],customers!$A$1:$A$1001,customers!$F$1:$F$1001,,0)</f>
        <v>Albuquerque</v>
      </c>
      <c r="J825" t="str">
        <f>INDEX(products!$A$1:$G$49,MATCH(orders!$D825,products!$A$1:$A$49,0),MATCH(orders!J$1,products!$A$1:$G$1,0))</f>
        <v>Lib</v>
      </c>
      <c r="K825" t="str">
        <f>INDEX(products!$A$1:$G$49,MATCH(orders!$D825,products!$A$1:$A$49,0),MATCH(orders!K$1,products!$A$1:$G$1,0))</f>
        <v>L</v>
      </c>
      <c r="L825" s="4">
        <f>INDEX(products!$A$1:$G$49,MATCH(orders!$D825,products!$A$1:$A$49,0),MATCH(orders!L$1,products!$A$1:$G$1,0))</f>
        <v>1</v>
      </c>
      <c r="M825" s="5">
        <f>INDEX(products!$A$1:$G$49,MATCH(orders!$D825,products!$A$1:$A$49,0),MATCH(orders!M$1,products!$A$1:$G$1,0))</f>
        <v>15.85</v>
      </c>
      <c r="N825" s="5">
        <f>Orders[[#This Row],[Quantity]]*(INDEX(products!$A$1:$G$49,MATCH(orders!$D825,products!$A$1:$A$49,0),MATCH(orders!N$1,products!$A$1:$G$1,0)))</f>
        <v>6.1815000000000007</v>
      </c>
      <c r="O825" s="5">
        <f>M825*E825</f>
        <v>47.55</v>
      </c>
      <c r="P825" t="str">
        <f t="shared" si="24"/>
        <v>Liberica</v>
      </c>
      <c r="Q825" t="str">
        <f t="shared" si="25"/>
        <v>Light</v>
      </c>
      <c r="R825" t="str">
        <f>_xlfn.XLOOKUP(Orders[[#This Row],[Customer ID]],customers!$A$1:$A$1001,customers!$I$1:$I$1001,,0)</f>
        <v>Yes</v>
      </c>
    </row>
    <row r="826" spans="1:18" x14ac:dyDescent="0.35">
      <c r="A826" s="2" t="s">
        <v>5147</v>
      </c>
      <c r="B826" s="3">
        <v>43781</v>
      </c>
      <c r="C826" s="2" t="s">
        <v>5148</v>
      </c>
      <c r="D826" t="s">
        <v>6152</v>
      </c>
      <c r="E826" s="2">
        <v>5</v>
      </c>
      <c r="F826" s="2" t="str">
        <f>_xlfn.XLOOKUP(Orders[[#This Row],[Customer ID]],customers!$A$1:$A$1001,customers!$B$1:$B$1001,,0)</f>
        <v>Correy Bourner</v>
      </c>
      <c r="G826" s="2" t="str">
        <f>IF(_xlfn.XLOOKUP(C826,customers!$A$1:$A$1001,customers!C825:C1825,,0)=0,"",_xlfn.XLOOKUP(C826,customers!$A$1:$A$1001,customers!C825:C1825,,0))</f>
        <v/>
      </c>
      <c r="H826" s="2" t="str">
        <f>_xlfn.XLOOKUP(Orders[[#This Row],[Customer ID]],customers!$A$1:$A$1001,customers!$G$1:$G$1001,,0)</f>
        <v>United States</v>
      </c>
      <c r="I826" s="2" t="str">
        <f>_xlfn.XLOOKUP(Orders[[#This Row],[Customer ID]],customers!$A$1:$A$1001,customers!$F$1:$F$1001,,0)</f>
        <v>Charlotte</v>
      </c>
      <c r="J826" t="str">
        <f>INDEX(products!$A$1:$G$49,MATCH(orders!$D826,products!$A$1:$A$49,0),MATCH(orders!J$1,products!$A$1:$G$1,0))</f>
        <v>Ara</v>
      </c>
      <c r="K826" t="str">
        <f>INDEX(products!$A$1:$G$49,MATCH(orders!$D826,products!$A$1:$A$49,0),MATCH(orders!K$1,products!$A$1:$G$1,0))</f>
        <v>M</v>
      </c>
      <c r="L826" s="4">
        <f>INDEX(products!$A$1:$G$49,MATCH(orders!$D826,products!$A$1:$A$49,0),MATCH(orders!L$1,products!$A$1:$G$1,0))</f>
        <v>0.2</v>
      </c>
      <c r="M826" s="5">
        <f>INDEX(products!$A$1:$G$49,MATCH(orders!$D826,products!$A$1:$A$49,0),MATCH(orders!M$1,products!$A$1:$G$1,0))</f>
        <v>3.375</v>
      </c>
      <c r="N826" s="5">
        <f>Orders[[#This Row],[Quantity]]*(INDEX(products!$A$1:$G$49,MATCH(orders!$D826,products!$A$1:$A$49,0),MATCH(orders!N$1,products!$A$1:$G$1,0)))</f>
        <v>1.5187499999999998</v>
      </c>
      <c r="O826" s="5">
        <f>M826*E826</f>
        <v>16.875</v>
      </c>
      <c r="P826" t="str">
        <f t="shared" si="24"/>
        <v>Arabica</v>
      </c>
      <c r="Q826" t="str">
        <f t="shared" si="25"/>
        <v>Medium</v>
      </c>
      <c r="R826" t="str">
        <f>_xlfn.XLOOKUP(Orders[[#This Row],[Customer ID]],customers!$A$1:$A$1001,customers!$I$1:$I$1001,,0)</f>
        <v>Yes</v>
      </c>
    </row>
    <row r="827" spans="1:18" x14ac:dyDescent="0.35">
      <c r="A827" s="2" t="s">
        <v>5152</v>
      </c>
      <c r="B827" s="3">
        <v>44603</v>
      </c>
      <c r="C827" s="2" t="s">
        <v>5188</v>
      </c>
      <c r="D827" t="s">
        <v>6147</v>
      </c>
      <c r="E827" s="2">
        <v>3</v>
      </c>
      <c r="F827" s="2" t="str">
        <f>_xlfn.XLOOKUP(Orders[[#This Row],[Customer ID]],customers!$A$1:$A$1001,customers!$B$1:$B$1001,,0)</f>
        <v>Odelia Skerme</v>
      </c>
      <c r="G827" s="2" t="str">
        <f>IF(_xlfn.XLOOKUP(C827,customers!$A$1:$A$1001,customers!C826:C1826,,0)=0,"",_xlfn.XLOOKUP(C827,customers!$A$1:$A$1001,customers!C826:C1826,,0))</f>
        <v/>
      </c>
      <c r="H827" s="2" t="str">
        <f>_xlfn.XLOOKUP(Orders[[#This Row],[Customer ID]],customers!$A$1:$A$1001,customers!$G$1:$G$1001,,0)</f>
        <v>United States</v>
      </c>
      <c r="I827" s="2" t="str">
        <f>_xlfn.XLOOKUP(Orders[[#This Row],[Customer ID]],customers!$A$1:$A$1001,customers!$F$1:$F$1001,,0)</f>
        <v>Oklahoma City</v>
      </c>
      <c r="J827" t="str">
        <f>INDEX(products!$A$1:$G$49,MATCH(orders!$D827,products!$A$1:$A$49,0),MATCH(orders!J$1,products!$A$1:$G$1,0))</f>
        <v>Ara</v>
      </c>
      <c r="K827" t="str">
        <f>INDEX(products!$A$1:$G$49,MATCH(orders!$D827,products!$A$1:$A$49,0),MATCH(orders!K$1,products!$A$1:$G$1,0))</f>
        <v>D</v>
      </c>
      <c r="L827" s="4">
        <f>INDEX(products!$A$1:$G$49,MATCH(orders!$D827,products!$A$1:$A$49,0),MATCH(orders!L$1,products!$A$1:$G$1,0))</f>
        <v>1</v>
      </c>
      <c r="M827" s="5">
        <f>INDEX(products!$A$1:$G$49,MATCH(orders!$D827,products!$A$1:$A$49,0),MATCH(orders!M$1,products!$A$1:$G$1,0))</f>
        <v>9.9499999999999993</v>
      </c>
      <c r="N827" s="5">
        <f>Orders[[#This Row],[Quantity]]*(INDEX(products!$A$1:$G$49,MATCH(orders!$D827,products!$A$1:$A$49,0),MATCH(orders!N$1,products!$A$1:$G$1,0)))</f>
        <v>2.6864999999999997</v>
      </c>
      <c r="O827" s="5">
        <f>M827*E827</f>
        <v>29.849999999999998</v>
      </c>
      <c r="P827" t="str">
        <f t="shared" si="24"/>
        <v>Arabica</v>
      </c>
      <c r="Q827" t="str">
        <f t="shared" si="25"/>
        <v>Dark</v>
      </c>
      <c r="R827" t="str">
        <f>_xlfn.XLOOKUP(Orders[[#This Row],[Customer ID]],customers!$A$1:$A$1001,customers!$I$1:$I$1001,,0)</f>
        <v>Yes</v>
      </c>
    </row>
    <row r="828" spans="1:18" x14ac:dyDescent="0.35">
      <c r="A828" s="2" t="s">
        <v>5158</v>
      </c>
      <c r="B828" s="3">
        <v>44283</v>
      </c>
      <c r="C828" s="2" t="s">
        <v>5159</v>
      </c>
      <c r="D828" t="s">
        <v>6139</v>
      </c>
      <c r="E828" s="2">
        <v>5</v>
      </c>
      <c r="F828" s="2" t="str">
        <f>_xlfn.XLOOKUP(Orders[[#This Row],[Customer ID]],customers!$A$1:$A$1001,customers!$B$1:$B$1001,,0)</f>
        <v>Kandy Heddan</v>
      </c>
      <c r="G828" s="2" t="str">
        <f>IF(_xlfn.XLOOKUP(C828,customers!$A$1:$A$1001,customers!C827:C1827,,0)=0,"",_xlfn.XLOOKUP(C828,customers!$A$1:$A$1001,customers!C827:C1827,,0))</f>
        <v/>
      </c>
      <c r="H828" s="2" t="str">
        <f>_xlfn.XLOOKUP(Orders[[#This Row],[Customer ID]],customers!$A$1:$A$1001,customers!$G$1:$G$1001,,0)</f>
        <v>United States</v>
      </c>
      <c r="I828" s="2" t="str">
        <f>_xlfn.XLOOKUP(Orders[[#This Row],[Customer ID]],customers!$A$1:$A$1001,customers!$F$1:$F$1001,,0)</f>
        <v>Pensacola</v>
      </c>
      <c r="J828" t="str">
        <f>INDEX(products!$A$1:$G$49,MATCH(orders!$D828,products!$A$1:$A$49,0),MATCH(orders!J$1,products!$A$1:$G$1,0))</f>
        <v>Exc</v>
      </c>
      <c r="K828" t="str">
        <f>INDEX(products!$A$1:$G$49,MATCH(orders!$D828,products!$A$1:$A$49,0),MATCH(orders!K$1,products!$A$1:$G$1,0))</f>
        <v>M</v>
      </c>
      <c r="L828" s="4">
        <f>INDEX(products!$A$1:$G$49,MATCH(orders!$D828,products!$A$1:$A$49,0),MATCH(orders!L$1,products!$A$1:$G$1,0))</f>
        <v>0.5</v>
      </c>
      <c r="M828" s="5">
        <f>INDEX(products!$A$1:$G$49,MATCH(orders!$D828,products!$A$1:$A$49,0),MATCH(orders!M$1,products!$A$1:$G$1,0))</f>
        <v>8.25</v>
      </c>
      <c r="N828" s="5">
        <f>Orders[[#This Row],[Quantity]]*(INDEX(products!$A$1:$G$49,MATCH(orders!$D828,products!$A$1:$A$49,0),MATCH(orders!N$1,products!$A$1:$G$1,0)))</f>
        <v>4.5374999999999996</v>
      </c>
      <c r="O828" s="5">
        <f>M828*E828</f>
        <v>41.25</v>
      </c>
      <c r="P828" t="str">
        <f t="shared" si="24"/>
        <v>Excelsa</v>
      </c>
      <c r="Q828" t="str">
        <f t="shared" si="25"/>
        <v>Medium</v>
      </c>
      <c r="R828" t="str">
        <f>_xlfn.XLOOKUP(Orders[[#This Row],[Customer ID]],customers!$A$1:$A$1001,customers!$I$1:$I$1001,,0)</f>
        <v>Yes</v>
      </c>
    </row>
    <row r="829" spans="1:18" x14ac:dyDescent="0.35">
      <c r="A829" s="2" t="s">
        <v>5164</v>
      </c>
      <c r="B829" s="3">
        <v>44540</v>
      </c>
      <c r="C829" s="2" t="s">
        <v>5165</v>
      </c>
      <c r="D829" t="s">
        <v>6156</v>
      </c>
      <c r="E829" s="2">
        <v>5</v>
      </c>
      <c r="F829" s="2" t="str">
        <f>_xlfn.XLOOKUP(Orders[[#This Row],[Customer ID]],customers!$A$1:$A$1001,customers!$B$1:$B$1001,,0)</f>
        <v>Ibby Charters</v>
      </c>
      <c r="G829" s="2" t="str">
        <f>IF(_xlfn.XLOOKUP(C829,customers!$A$1:$A$1001,customers!C828:C1828,,0)=0,"",_xlfn.XLOOKUP(C829,customers!$A$1:$A$1001,customers!C828:C1828,,0))</f>
        <v/>
      </c>
      <c r="H829" s="2" t="str">
        <f>_xlfn.XLOOKUP(Orders[[#This Row],[Customer ID]],customers!$A$1:$A$1001,customers!$G$1:$G$1001,,0)</f>
        <v>United States</v>
      </c>
      <c r="I829" s="2" t="str">
        <f>_xlfn.XLOOKUP(Orders[[#This Row],[Customer ID]],customers!$A$1:$A$1001,customers!$F$1:$F$1001,,0)</f>
        <v>Washington</v>
      </c>
      <c r="J829" t="str">
        <f>INDEX(products!$A$1:$G$49,MATCH(orders!$D829,products!$A$1:$A$49,0),MATCH(orders!J$1,products!$A$1:$G$1,0))</f>
        <v>Exc</v>
      </c>
      <c r="K829" t="str">
        <f>INDEX(products!$A$1:$G$49,MATCH(orders!$D829,products!$A$1:$A$49,0),MATCH(orders!K$1,products!$A$1:$G$1,0))</f>
        <v>M</v>
      </c>
      <c r="L829" s="4">
        <f>INDEX(products!$A$1:$G$49,MATCH(orders!$D829,products!$A$1:$A$49,0),MATCH(orders!L$1,products!$A$1:$G$1,0))</f>
        <v>0.2</v>
      </c>
      <c r="M829" s="5">
        <f>INDEX(products!$A$1:$G$49,MATCH(orders!$D829,products!$A$1:$A$49,0),MATCH(orders!M$1,products!$A$1:$G$1,0))</f>
        <v>4.125</v>
      </c>
      <c r="N829" s="5">
        <f>Orders[[#This Row],[Quantity]]*(INDEX(products!$A$1:$G$49,MATCH(orders!$D829,products!$A$1:$A$49,0),MATCH(orders!N$1,products!$A$1:$G$1,0)))</f>
        <v>2.2687499999999998</v>
      </c>
      <c r="O829" s="5">
        <f>M829*E829</f>
        <v>20.625</v>
      </c>
      <c r="P829" t="str">
        <f t="shared" si="24"/>
        <v>Excelsa</v>
      </c>
      <c r="Q829" t="str">
        <f t="shared" si="25"/>
        <v>Medium</v>
      </c>
      <c r="R829" t="str">
        <f>_xlfn.XLOOKUP(Orders[[#This Row],[Customer ID]],customers!$A$1:$A$1001,customers!$I$1:$I$1001,,0)</f>
        <v>No</v>
      </c>
    </row>
    <row r="830" spans="1:18" x14ac:dyDescent="0.35">
      <c r="A830" s="2" t="s">
        <v>5170</v>
      </c>
      <c r="B830" s="3">
        <v>44505</v>
      </c>
      <c r="C830" s="2" t="s">
        <v>5171</v>
      </c>
      <c r="D830" t="s">
        <v>6168</v>
      </c>
      <c r="E830" s="2">
        <v>6</v>
      </c>
      <c r="F830" s="2" t="str">
        <f>_xlfn.XLOOKUP(Orders[[#This Row],[Customer ID]],customers!$A$1:$A$1001,customers!$B$1:$B$1001,,0)</f>
        <v>Adora Roubert</v>
      </c>
      <c r="G830" s="2" t="str">
        <f>IF(_xlfn.XLOOKUP(C830,customers!$A$1:$A$1001,customers!C829:C1829,,0)=0,"",_xlfn.XLOOKUP(C830,customers!$A$1:$A$1001,customers!C829:C1829,,0))</f>
        <v/>
      </c>
      <c r="H830" s="2" t="str">
        <f>_xlfn.XLOOKUP(Orders[[#This Row],[Customer ID]],customers!$A$1:$A$1001,customers!$G$1:$G$1001,,0)</f>
        <v>United States</v>
      </c>
      <c r="I830" s="2" t="str">
        <f>_xlfn.XLOOKUP(Orders[[#This Row],[Customer ID]],customers!$A$1:$A$1001,customers!$F$1:$F$1001,,0)</f>
        <v>Port Saint Lucie</v>
      </c>
      <c r="J830" t="str">
        <f>INDEX(products!$A$1:$G$49,MATCH(orders!$D830,products!$A$1:$A$49,0),MATCH(orders!J$1,products!$A$1:$G$1,0))</f>
        <v>Ara</v>
      </c>
      <c r="K830" t="str">
        <f>INDEX(products!$A$1:$G$49,MATCH(orders!$D830,products!$A$1:$A$49,0),MATCH(orders!K$1,products!$A$1:$G$1,0))</f>
        <v>D</v>
      </c>
      <c r="L830" s="4">
        <f>INDEX(products!$A$1:$G$49,MATCH(orders!$D830,products!$A$1:$A$49,0),MATCH(orders!L$1,products!$A$1:$G$1,0))</f>
        <v>2.5</v>
      </c>
      <c r="M830" s="5">
        <f>INDEX(products!$A$1:$G$49,MATCH(orders!$D830,products!$A$1:$A$49,0),MATCH(orders!M$1,products!$A$1:$G$1,0))</f>
        <v>22.884999999999998</v>
      </c>
      <c r="N830" s="5">
        <f>Orders[[#This Row],[Quantity]]*(INDEX(products!$A$1:$G$49,MATCH(orders!$D830,products!$A$1:$A$49,0),MATCH(orders!N$1,products!$A$1:$G$1,0)))</f>
        <v>12.357899999999997</v>
      </c>
      <c r="O830" s="5">
        <f>M830*E830</f>
        <v>137.31</v>
      </c>
      <c r="P830" t="str">
        <f t="shared" si="24"/>
        <v>Arabica</v>
      </c>
      <c r="Q830" t="str">
        <f t="shared" si="25"/>
        <v>Dark</v>
      </c>
      <c r="R830" t="str">
        <f>_xlfn.XLOOKUP(Orders[[#This Row],[Customer ID]],customers!$A$1:$A$1001,customers!$I$1:$I$1001,,0)</f>
        <v>Yes</v>
      </c>
    </row>
    <row r="831" spans="1:18" x14ac:dyDescent="0.35">
      <c r="A831" s="2" t="s">
        <v>5176</v>
      </c>
      <c r="B831" s="3">
        <v>43890</v>
      </c>
      <c r="C831" s="2" t="s">
        <v>5177</v>
      </c>
      <c r="D831" t="s">
        <v>6154</v>
      </c>
      <c r="E831" s="2">
        <v>1</v>
      </c>
      <c r="F831" s="2" t="str">
        <f>_xlfn.XLOOKUP(Orders[[#This Row],[Customer ID]],customers!$A$1:$A$1001,customers!$B$1:$B$1001,,0)</f>
        <v>Hillel Mairs</v>
      </c>
      <c r="G831" s="2" t="str">
        <f>IF(_xlfn.XLOOKUP(C831,customers!$A$1:$A$1001,customers!C830:C1830,,0)=0,"",_xlfn.XLOOKUP(C831,customers!$A$1:$A$1001,customers!C830:C1830,,0))</f>
        <v/>
      </c>
      <c r="H831" s="2" t="str">
        <f>_xlfn.XLOOKUP(Orders[[#This Row],[Customer ID]],customers!$A$1:$A$1001,customers!$G$1:$G$1001,,0)</f>
        <v>United States</v>
      </c>
      <c r="I831" s="2" t="str">
        <f>_xlfn.XLOOKUP(Orders[[#This Row],[Customer ID]],customers!$A$1:$A$1001,customers!$F$1:$F$1001,,0)</f>
        <v>Huntington</v>
      </c>
      <c r="J831" t="str">
        <f>INDEX(products!$A$1:$G$49,MATCH(orders!$D831,products!$A$1:$A$49,0),MATCH(orders!J$1,products!$A$1:$G$1,0))</f>
        <v>Ara</v>
      </c>
      <c r="K831" t="str">
        <f>INDEX(products!$A$1:$G$49,MATCH(orders!$D831,products!$A$1:$A$49,0),MATCH(orders!K$1,products!$A$1:$G$1,0))</f>
        <v>D</v>
      </c>
      <c r="L831" s="4">
        <f>INDEX(products!$A$1:$G$49,MATCH(orders!$D831,products!$A$1:$A$49,0),MATCH(orders!L$1,products!$A$1:$G$1,0))</f>
        <v>0.2</v>
      </c>
      <c r="M831" s="5">
        <f>INDEX(products!$A$1:$G$49,MATCH(orders!$D831,products!$A$1:$A$49,0),MATCH(orders!M$1,products!$A$1:$G$1,0))</f>
        <v>2.9849999999999999</v>
      </c>
      <c r="N831" s="5">
        <f>Orders[[#This Row],[Quantity]]*(INDEX(products!$A$1:$G$49,MATCH(orders!$D831,products!$A$1:$A$49,0),MATCH(orders!N$1,products!$A$1:$G$1,0)))</f>
        <v>0.26865</v>
      </c>
      <c r="O831" s="5">
        <f>M831*E831</f>
        <v>2.9849999999999999</v>
      </c>
      <c r="P831" t="str">
        <f t="shared" si="24"/>
        <v>Arabica</v>
      </c>
      <c r="Q831" t="str">
        <f t="shared" si="25"/>
        <v>Dark</v>
      </c>
      <c r="R831" t="str">
        <f>_xlfn.XLOOKUP(Orders[[#This Row],[Customer ID]],customers!$A$1:$A$1001,customers!$I$1:$I$1001,,0)</f>
        <v>No</v>
      </c>
    </row>
    <row r="832" spans="1:18" x14ac:dyDescent="0.35">
      <c r="A832" s="2" t="s">
        <v>5182</v>
      </c>
      <c r="B832" s="3">
        <v>44414</v>
      </c>
      <c r="C832" s="2" t="s">
        <v>5183</v>
      </c>
      <c r="D832" t="s">
        <v>6141</v>
      </c>
      <c r="E832" s="2">
        <v>2</v>
      </c>
      <c r="F832" s="2" t="str">
        <f>_xlfn.XLOOKUP(Orders[[#This Row],[Customer ID]],customers!$A$1:$A$1001,customers!$B$1:$B$1001,,0)</f>
        <v>Helaina Rainforth</v>
      </c>
      <c r="G832" s="2" t="str">
        <f>IF(_xlfn.XLOOKUP(C832,customers!$A$1:$A$1001,customers!C831:C1831,,0)=0,"",_xlfn.XLOOKUP(C832,customers!$A$1:$A$1001,customers!C831:C1831,,0))</f>
        <v/>
      </c>
      <c r="H832" s="2" t="str">
        <f>_xlfn.XLOOKUP(Orders[[#This Row],[Customer ID]],customers!$A$1:$A$1001,customers!$G$1:$G$1001,,0)</f>
        <v>United States</v>
      </c>
      <c r="I832" s="2" t="str">
        <f>_xlfn.XLOOKUP(Orders[[#This Row],[Customer ID]],customers!$A$1:$A$1001,customers!$F$1:$F$1001,,0)</f>
        <v>Philadelphia</v>
      </c>
      <c r="J832" t="str">
        <f>INDEX(products!$A$1:$G$49,MATCH(orders!$D832,products!$A$1:$A$49,0),MATCH(orders!J$1,products!$A$1:$G$1,0))</f>
        <v>Exc</v>
      </c>
      <c r="K832" t="str">
        <f>INDEX(products!$A$1:$G$49,MATCH(orders!$D832,products!$A$1:$A$49,0),MATCH(orders!K$1,products!$A$1:$G$1,0))</f>
        <v>M</v>
      </c>
      <c r="L832" s="4">
        <f>INDEX(products!$A$1:$G$49,MATCH(orders!$D832,products!$A$1:$A$49,0),MATCH(orders!L$1,products!$A$1:$G$1,0))</f>
        <v>1</v>
      </c>
      <c r="M832" s="5">
        <f>INDEX(products!$A$1:$G$49,MATCH(orders!$D832,products!$A$1:$A$49,0),MATCH(orders!M$1,products!$A$1:$G$1,0))</f>
        <v>13.75</v>
      </c>
      <c r="N832" s="5">
        <f>Orders[[#This Row],[Quantity]]*(INDEX(products!$A$1:$G$49,MATCH(orders!$D832,products!$A$1:$A$49,0),MATCH(orders!N$1,products!$A$1:$G$1,0)))</f>
        <v>3.0249999999999999</v>
      </c>
      <c r="O832" s="5">
        <f>M832*E832</f>
        <v>27.5</v>
      </c>
      <c r="P832" t="str">
        <f t="shared" si="24"/>
        <v>Excelsa</v>
      </c>
      <c r="Q832" t="str">
        <f t="shared" si="25"/>
        <v>Medium</v>
      </c>
      <c r="R832" t="str">
        <f>_xlfn.XLOOKUP(Orders[[#This Row],[Customer ID]],customers!$A$1:$A$1001,customers!$I$1:$I$1001,,0)</f>
        <v>No</v>
      </c>
    </row>
    <row r="833" spans="1:18" x14ac:dyDescent="0.35">
      <c r="A833" s="2" t="s">
        <v>5182</v>
      </c>
      <c r="B833" s="3">
        <v>44414</v>
      </c>
      <c r="C833" s="2" t="s">
        <v>5183</v>
      </c>
      <c r="D833" t="s">
        <v>6154</v>
      </c>
      <c r="E833" s="2">
        <v>2</v>
      </c>
      <c r="F833" s="2" t="str">
        <f>_xlfn.XLOOKUP(Orders[[#This Row],[Customer ID]],customers!$A$1:$A$1001,customers!$B$1:$B$1001,,0)</f>
        <v>Helaina Rainforth</v>
      </c>
      <c r="G833" s="2" t="str">
        <f>IF(_xlfn.XLOOKUP(C833,customers!$A$1:$A$1001,customers!C832:C1832,,0)=0,"",_xlfn.XLOOKUP(C833,customers!$A$1:$A$1001,customers!C832:C1832,,0))</f>
        <v/>
      </c>
      <c r="H833" s="2" t="str">
        <f>_xlfn.XLOOKUP(Orders[[#This Row],[Customer ID]],customers!$A$1:$A$1001,customers!$G$1:$G$1001,,0)</f>
        <v>United States</v>
      </c>
      <c r="I833" s="2" t="str">
        <f>_xlfn.XLOOKUP(Orders[[#This Row],[Customer ID]],customers!$A$1:$A$1001,customers!$F$1:$F$1001,,0)</f>
        <v>Philadelphia</v>
      </c>
      <c r="J833" t="str">
        <f>INDEX(products!$A$1:$G$49,MATCH(orders!$D833,products!$A$1:$A$49,0),MATCH(orders!J$1,products!$A$1:$G$1,0))</f>
        <v>Ara</v>
      </c>
      <c r="K833" t="str">
        <f>INDEX(products!$A$1:$G$49,MATCH(orders!$D833,products!$A$1:$A$49,0),MATCH(orders!K$1,products!$A$1:$G$1,0))</f>
        <v>D</v>
      </c>
      <c r="L833" s="4">
        <f>INDEX(products!$A$1:$G$49,MATCH(orders!$D833,products!$A$1:$A$49,0),MATCH(orders!L$1,products!$A$1:$G$1,0))</f>
        <v>0.2</v>
      </c>
      <c r="M833" s="5">
        <f>INDEX(products!$A$1:$G$49,MATCH(orders!$D833,products!$A$1:$A$49,0),MATCH(orders!M$1,products!$A$1:$G$1,0))</f>
        <v>2.9849999999999999</v>
      </c>
      <c r="N833" s="5">
        <f>Orders[[#This Row],[Quantity]]*(INDEX(products!$A$1:$G$49,MATCH(orders!$D833,products!$A$1:$A$49,0),MATCH(orders!N$1,products!$A$1:$G$1,0)))</f>
        <v>0.5373</v>
      </c>
      <c r="O833" s="5">
        <f>M833*E833</f>
        <v>5.97</v>
      </c>
      <c r="P833" t="str">
        <f t="shared" si="24"/>
        <v>Arabica</v>
      </c>
      <c r="Q833" t="str">
        <f t="shared" si="25"/>
        <v>Dark</v>
      </c>
      <c r="R833" t="str">
        <f>_xlfn.XLOOKUP(Orders[[#This Row],[Customer ID]],customers!$A$1:$A$1001,customers!$I$1:$I$1001,,0)</f>
        <v>No</v>
      </c>
    </row>
    <row r="834" spans="1:18" x14ac:dyDescent="0.35">
      <c r="A834" s="2" t="s">
        <v>5193</v>
      </c>
      <c r="B834" s="3">
        <v>44274</v>
      </c>
      <c r="C834" s="2" t="s">
        <v>5194</v>
      </c>
      <c r="D834" t="s">
        <v>6138</v>
      </c>
      <c r="E834" s="2">
        <v>6</v>
      </c>
      <c r="F834" s="2" t="str">
        <f>_xlfn.XLOOKUP(Orders[[#This Row],[Customer ID]],customers!$A$1:$A$1001,customers!$B$1:$B$1001,,0)</f>
        <v>Isac Jesper</v>
      </c>
      <c r="G834" s="2" t="str">
        <f>IF(_xlfn.XLOOKUP(C834,customers!$A$1:$A$1001,customers!C833:C1833,,0)=0,"",_xlfn.XLOOKUP(C834,customers!$A$1:$A$1001,customers!C833:C1833,,0))</f>
        <v/>
      </c>
      <c r="H834" s="2" t="str">
        <f>_xlfn.XLOOKUP(Orders[[#This Row],[Customer ID]],customers!$A$1:$A$1001,customers!$G$1:$G$1001,,0)</f>
        <v>United States</v>
      </c>
      <c r="I834" s="2" t="str">
        <f>_xlfn.XLOOKUP(Orders[[#This Row],[Customer ID]],customers!$A$1:$A$1001,customers!$F$1:$F$1001,,0)</f>
        <v>Naples</v>
      </c>
      <c r="J834" t="str">
        <f>INDEX(products!$A$1:$G$49,MATCH(orders!$D834,products!$A$1:$A$49,0),MATCH(orders!J$1,products!$A$1:$G$1,0))</f>
        <v>Rob</v>
      </c>
      <c r="K834" t="str">
        <f>INDEX(products!$A$1:$G$49,MATCH(orders!$D834,products!$A$1:$A$49,0),MATCH(orders!K$1,products!$A$1:$G$1,0))</f>
        <v>M</v>
      </c>
      <c r="L834" s="4">
        <f>INDEX(products!$A$1:$G$49,MATCH(orders!$D834,products!$A$1:$A$49,0),MATCH(orders!L$1,products!$A$1:$G$1,0))</f>
        <v>1</v>
      </c>
      <c r="M834" s="5">
        <f>INDEX(products!$A$1:$G$49,MATCH(orders!$D834,products!$A$1:$A$49,0),MATCH(orders!M$1,products!$A$1:$G$1,0))</f>
        <v>9.9499999999999993</v>
      </c>
      <c r="N834" s="5">
        <f>Orders[[#This Row],[Quantity]]*(INDEX(products!$A$1:$G$49,MATCH(orders!$D834,products!$A$1:$A$49,0),MATCH(orders!N$1,products!$A$1:$G$1,0)))</f>
        <v>3.5819999999999999</v>
      </c>
      <c r="O834" s="5">
        <f>M834*E834</f>
        <v>59.699999999999996</v>
      </c>
      <c r="P834" t="str">
        <f t="shared" si="24"/>
        <v>Robusta</v>
      </c>
      <c r="Q834" t="str">
        <f t="shared" si="25"/>
        <v>Medium</v>
      </c>
      <c r="R834" t="str">
        <f>_xlfn.XLOOKUP(Orders[[#This Row],[Customer ID]],customers!$A$1:$A$1001,customers!$I$1:$I$1001,,0)</f>
        <v>No</v>
      </c>
    </row>
    <row r="835" spans="1:18" x14ac:dyDescent="0.35">
      <c r="A835" s="2" t="s">
        <v>5199</v>
      </c>
      <c r="B835" s="3">
        <v>44302</v>
      </c>
      <c r="C835" s="2" t="s">
        <v>5200</v>
      </c>
      <c r="D835" t="s">
        <v>6149</v>
      </c>
      <c r="E835" s="2">
        <v>4</v>
      </c>
      <c r="F835" s="2" t="str">
        <f>_xlfn.XLOOKUP(Orders[[#This Row],[Customer ID]],customers!$A$1:$A$1001,customers!$B$1:$B$1001,,0)</f>
        <v>Lenette Dwerryhouse</v>
      </c>
      <c r="G835" s="2" t="str">
        <f>IF(_xlfn.XLOOKUP(C835,customers!$A$1:$A$1001,customers!C834:C1834,,0)=0,"",_xlfn.XLOOKUP(C835,customers!$A$1:$A$1001,customers!C834:C1834,,0))</f>
        <v/>
      </c>
      <c r="H835" s="2" t="str">
        <f>_xlfn.XLOOKUP(Orders[[#This Row],[Customer ID]],customers!$A$1:$A$1001,customers!$G$1:$G$1001,,0)</f>
        <v>United States</v>
      </c>
      <c r="I835" s="2" t="str">
        <f>_xlfn.XLOOKUP(Orders[[#This Row],[Customer ID]],customers!$A$1:$A$1001,customers!$F$1:$F$1001,,0)</f>
        <v>Fort Worth</v>
      </c>
      <c r="J835" t="str">
        <f>INDEX(products!$A$1:$G$49,MATCH(orders!$D835,products!$A$1:$A$49,0),MATCH(orders!J$1,products!$A$1:$G$1,0))</f>
        <v>Rob</v>
      </c>
      <c r="K835" t="str">
        <f>INDEX(products!$A$1:$G$49,MATCH(orders!$D835,products!$A$1:$A$49,0),MATCH(orders!K$1,products!$A$1:$G$1,0))</f>
        <v>D</v>
      </c>
      <c r="L835" s="4">
        <f>INDEX(products!$A$1:$G$49,MATCH(orders!$D835,products!$A$1:$A$49,0),MATCH(orders!L$1,products!$A$1:$G$1,0))</f>
        <v>2.5</v>
      </c>
      <c r="M835" s="5">
        <f>INDEX(products!$A$1:$G$49,MATCH(orders!$D835,products!$A$1:$A$49,0),MATCH(orders!M$1,products!$A$1:$G$1,0))</f>
        <v>20.584999999999997</v>
      </c>
      <c r="N835" s="5">
        <f>Orders[[#This Row],[Quantity]]*(INDEX(products!$A$1:$G$49,MATCH(orders!$D835,products!$A$1:$A$49,0),MATCH(orders!N$1,products!$A$1:$G$1,0)))</f>
        <v>4.9403999999999995</v>
      </c>
      <c r="O835" s="5">
        <f>M835*E835</f>
        <v>82.339999999999989</v>
      </c>
      <c r="P835" t="str">
        <f t="shared" ref="P835:P898" si="26">IF(J835="Rob","Robusta",IF(J835="Exc","Excelsa",IF(J835="Ara","Arabica",IF(J835="Lib","Liberica",""))))</f>
        <v>Robusta</v>
      </c>
      <c r="Q835" t="str">
        <f t="shared" ref="Q835:Q898" si="27">IF(K835="M", "Medium", IF(K835="L", "Light", IF(K835="D", "Dark", "")))</f>
        <v>Dark</v>
      </c>
      <c r="R835" t="str">
        <f>_xlfn.XLOOKUP(Orders[[#This Row],[Customer ID]],customers!$A$1:$A$1001,customers!$I$1:$I$1001,,0)</f>
        <v>Yes</v>
      </c>
    </row>
    <row r="836" spans="1:18" x14ac:dyDescent="0.35">
      <c r="A836" s="2" t="s">
        <v>5205</v>
      </c>
      <c r="B836" s="3">
        <v>44141</v>
      </c>
      <c r="C836" s="2" t="s">
        <v>5206</v>
      </c>
      <c r="D836" t="s">
        <v>6168</v>
      </c>
      <c r="E836" s="2">
        <v>1</v>
      </c>
      <c r="F836" s="2" t="str">
        <f>_xlfn.XLOOKUP(Orders[[#This Row],[Customer ID]],customers!$A$1:$A$1001,customers!$B$1:$B$1001,,0)</f>
        <v>Nadeen Broomer</v>
      </c>
      <c r="G836" s="2" t="str">
        <f>IF(_xlfn.XLOOKUP(C836,customers!$A$1:$A$1001,customers!C835:C1835,,0)=0,"",_xlfn.XLOOKUP(C836,customers!$A$1:$A$1001,customers!C835:C1835,,0))</f>
        <v/>
      </c>
      <c r="H836" s="2" t="str">
        <f>_xlfn.XLOOKUP(Orders[[#This Row],[Customer ID]],customers!$A$1:$A$1001,customers!$G$1:$G$1001,,0)</f>
        <v>United States</v>
      </c>
      <c r="I836" s="2" t="str">
        <f>_xlfn.XLOOKUP(Orders[[#This Row],[Customer ID]],customers!$A$1:$A$1001,customers!$F$1:$F$1001,,0)</f>
        <v>Omaha</v>
      </c>
      <c r="J836" t="str">
        <f>INDEX(products!$A$1:$G$49,MATCH(orders!$D836,products!$A$1:$A$49,0),MATCH(orders!J$1,products!$A$1:$G$1,0))</f>
        <v>Ara</v>
      </c>
      <c r="K836" t="str">
        <f>INDEX(products!$A$1:$G$49,MATCH(orders!$D836,products!$A$1:$A$49,0),MATCH(orders!K$1,products!$A$1:$G$1,0))</f>
        <v>D</v>
      </c>
      <c r="L836" s="4">
        <f>INDEX(products!$A$1:$G$49,MATCH(orders!$D836,products!$A$1:$A$49,0),MATCH(orders!L$1,products!$A$1:$G$1,0))</f>
        <v>2.5</v>
      </c>
      <c r="M836" s="5">
        <f>INDEX(products!$A$1:$G$49,MATCH(orders!$D836,products!$A$1:$A$49,0),MATCH(orders!M$1,products!$A$1:$G$1,0))</f>
        <v>22.884999999999998</v>
      </c>
      <c r="N836" s="5">
        <f>Orders[[#This Row],[Quantity]]*(INDEX(products!$A$1:$G$49,MATCH(orders!$D836,products!$A$1:$A$49,0),MATCH(orders!N$1,products!$A$1:$G$1,0)))</f>
        <v>2.0596499999999995</v>
      </c>
      <c r="O836" s="5">
        <f>M836*E836</f>
        <v>22.884999999999998</v>
      </c>
      <c r="P836" t="str">
        <f t="shared" si="26"/>
        <v>Arabica</v>
      </c>
      <c r="Q836" t="str">
        <f t="shared" si="27"/>
        <v>Dark</v>
      </c>
      <c r="R836" t="str">
        <f>_xlfn.XLOOKUP(Orders[[#This Row],[Customer ID]],customers!$A$1:$A$1001,customers!$I$1:$I$1001,,0)</f>
        <v>No</v>
      </c>
    </row>
    <row r="837" spans="1:18" x14ac:dyDescent="0.35">
      <c r="A837" s="2" t="s">
        <v>5211</v>
      </c>
      <c r="B837" s="3">
        <v>44270</v>
      </c>
      <c r="C837" s="2" t="s">
        <v>5212</v>
      </c>
      <c r="D837" t="s">
        <v>6176</v>
      </c>
      <c r="E837" s="2">
        <v>1</v>
      </c>
      <c r="F837" s="2" t="str">
        <f>_xlfn.XLOOKUP(Orders[[#This Row],[Customer ID]],customers!$A$1:$A$1001,customers!$B$1:$B$1001,,0)</f>
        <v>Konstantine Thoumasson</v>
      </c>
      <c r="G837" s="2" t="str">
        <f>IF(_xlfn.XLOOKUP(C837,customers!$A$1:$A$1001,customers!C836:C1836,,0)=0,"",_xlfn.XLOOKUP(C837,customers!$A$1:$A$1001,customers!C836:C1836,,0))</f>
        <v/>
      </c>
      <c r="H837" s="2" t="str">
        <f>_xlfn.XLOOKUP(Orders[[#This Row],[Customer ID]],customers!$A$1:$A$1001,customers!$G$1:$G$1001,,0)</f>
        <v>United States</v>
      </c>
      <c r="I837" s="2" t="str">
        <f>_xlfn.XLOOKUP(Orders[[#This Row],[Customer ID]],customers!$A$1:$A$1001,customers!$F$1:$F$1001,,0)</f>
        <v>Tucson</v>
      </c>
      <c r="J837" t="str">
        <f>INDEX(products!$A$1:$G$49,MATCH(orders!$D837,products!$A$1:$A$49,0),MATCH(orders!J$1,products!$A$1:$G$1,0))</f>
        <v>Exc</v>
      </c>
      <c r="K837" t="str">
        <f>INDEX(products!$A$1:$G$49,MATCH(orders!$D837,products!$A$1:$A$49,0),MATCH(orders!K$1,products!$A$1:$G$1,0))</f>
        <v>L</v>
      </c>
      <c r="L837" s="4">
        <f>INDEX(products!$A$1:$G$49,MATCH(orders!$D837,products!$A$1:$A$49,0),MATCH(orders!L$1,products!$A$1:$G$1,0))</f>
        <v>0.5</v>
      </c>
      <c r="M837" s="5">
        <f>INDEX(products!$A$1:$G$49,MATCH(orders!$D837,products!$A$1:$A$49,0),MATCH(orders!M$1,products!$A$1:$G$1,0))</f>
        <v>8.91</v>
      </c>
      <c r="N837" s="5">
        <f>Orders[[#This Row],[Quantity]]*(INDEX(products!$A$1:$G$49,MATCH(orders!$D837,products!$A$1:$A$49,0),MATCH(orders!N$1,products!$A$1:$G$1,0)))</f>
        <v>0.98009999999999997</v>
      </c>
      <c r="O837" s="5">
        <f>M837*E837</f>
        <v>8.91</v>
      </c>
      <c r="P837" t="str">
        <f t="shared" si="26"/>
        <v>Excelsa</v>
      </c>
      <c r="Q837" t="str">
        <f t="shared" si="27"/>
        <v>Light</v>
      </c>
      <c r="R837" t="str">
        <f>_xlfn.XLOOKUP(Orders[[#This Row],[Customer ID]],customers!$A$1:$A$1001,customers!$I$1:$I$1001,,0)</f>
        <v>Yes</v>
      </c>
    </row>
    <row r="838" spans="1:18" x14ac:dyDescent="0.35">
      <c r="A838" s="2" t="s">
        <v>5216</v>
      </c>
      <c r="B838" s="3">
        <v>44486</v>
      </c>
      <c r="C838" s="2" t="s">
        <v>5217</v>
      </c>
      <c r="D838" t="s">
        <v>6154</v>
      </c>
      <c r="E838" s="2">
        <v>4</v>
      </c>
      <c r="F838" s="2" t="str">
        <f>_xlfn.XLOOKUP(Orders[[#This Row],[Customer ID]],customers!$A$1:$A$1001,customers!$B$1:$B$1001,,0)</f>
        <v>Frans Habbergham</v>
      </c>
      <c r="G838" s="2" t="str">
        <f>IF(_xlfn.XLOOKUP(C838,customers!$A$1:$A$1001,customers!C837:C1837,,0)=0,"",_xlfn.XLOOKUP(C838,customers!$A$1:$A$1001,customers!C837:C1837,,0))</f>
        <v/>
      </c>
      <c r="H838" s="2" t="str">
        <f>_xlfn.XLOOKUP(Orders[[#This Row],[Customer ID]],customers!$A$1:$A$1001,customers!$G$1:$G$1001,,0)</f>
        <v>United States</v>
      </c>
      <c r="I838" s="2" t="str">
        <f>_xlfn.XLOOKUP(Orders[[#This Row],[Customer ID]],customers!$A$1:$A$1001,customers!$F$1:$F$1001,,0)</f>
        <v>Sparks</v>
      </c>
      <c r="J838" t="str">
        <f>INDEX(products!$A$1:$G$49,MATCH(orders!$D838,products!$A$1:$A$49,0),MATCH(orders!J$1,products!$A$1:$G$1,0))</f>
        <v>Ara</v>
      </c>
      <c r="K838" t="str">
        <f>INDEX(products!$A$1:$G$49,MATCH(orders!$D838,products!$A$1:$A$49,0),MATCH(orders!K$1,products!$A$1:$G$1,0))</f>
        <v>D</v>
      </c>
      <c r="L838" s="4">
        <f>INDEX(products!$A$1:$G$49,MATCH(orders!$D838,products!$A$1:$A$49,0),MATCH(orders!L$1,products!$A$1:$G$1,0))</f>
        <v>0.2</v>
      </c>
      <c r="M838" s="5">
        <f>INDEX(products!$A$1:$G$49,MATCH(orders!$D838,products!$A$1:$A$49,0),MATCH(orders!M$1,products!$A$1:$G$1,0))</f>
        <v>2.9849999999999999</v>
      </c>
      <c r="N838" s="5">
        <f>Orders[[#This Row],[Quantity]]*(INDEX(products!$A$1:$G$49,MATCH(orders!$D838,products!$A$1:$A$49,0),MATCH(orders!N$1,products!$A$1:$G$1,0)))</f>
        <v>1.0746</v>
      </c>
      <c r="O838" s="5">
        <f>M838*E838</f>
        <v>11.94</v>
      </c>
      <c r="P838" t="str">
        <f t="shared" si="26"/>
        <v>Arabica</v>
      </c>
      <c r="Q838" t="str">
        <f t="shared" si="27"/>
        <v>Dark</v>
      </c>
      <c r="R838" t="str">
        <f>_xlfn.XLOOKUP(Orders[[#This Row],[Customer ID]],customers!$A$1:$A$1001,customers!$I$1:$I$1001,,0)</f>
        <v>No</v>
      </c>
    </row>
    <row r="839" spans="1:18" x14ac:dyDescent="0.35">
      <c r="A839" s="2" t="s">
        <v>5222</v>
      </c>
      <c r="B839" s="3">
        <v>43715</v>
      </c>
      <c r="C839" s="2" t="s">
        <v>5113</v>
      </c>
      <c r="D839" t="s">
        <v>6181</v>
      </c>
      <c r="E839" s="2">
        <v>3</v>
      </c>
      <c r="F839" s="2" t="str">
        <f>_xlfn.XLOOKUP(Orders[[#This Row],[Customer ID]],customers!$A$1:$A$1001,customers!$B$1:$B$1001,,0)</f>
        <v>Allis Wilmore</v>
      </c>
      <c r="G839" s="2" t="str">
        <f>IF(_xlfn.XLOOKUP(C839,customers!$A$1:$A$1001,customers!C838:C1838,,0)=0,"",_xlfn.XLOOKUP(C839,customers!$A$1:$A$1001,customers!C838:C1838,,0))</f>
        <v/>
      </c>
      <c r="H839" s="2" t="str">
        <f>_xlfn.XLOOKUP(Orders[[#This Row],[Customer ID]],customers!$A$1:$A$1001,customers!$G$1:$G$1001,,0)</f>
        <v>United States</v>
      </c>
      <c r="I839" s="2" t="str">
        <f>_xlfn.XLOOKUP(Orders[[#This Row],[Customer ID]],customers!$A$1:$A$1001,customers!$F$1:$F$1001,,0)</f>
        <v>Houston</v>
      </c>
      <c r="J839" t="str">
        <f>INDEX(products!$A$1:$G$49,MATCH(orders!$D839,products!$A$1:$A$49,0),MATCH(orders!J$1,products!$A$1:$G$1,0))</f>
        <v>Lib</v>
      </c>
      <c r="K839" t="str">
        <f>INDEX(products!$A$1:$G$49,MATCH(orders!$D839,products!$A$1:$A$49,0),MATCH(orders!K$1,products!$A$1:$G$1,0))</f>
        <v>M</v>
      </c>
      <c r="L839" s="4">
        <f>INDEX(products!$A$1:$G$49,MATCH(orders!$D839,products!$A$1:$A$49,0),MATCH(orders!L$1,products!$A$1:$G$1,0))</f>
        <v>2.5</v>
      </c>
      <c r="M839" s="5">
        <f>INDEX(products!$A$1:$G$49,MATCH(orders!$D839,products!$A$1:$A$49,0),MATCH(orders!M$1,products!$A$1:$G$1,0))</f>
        <v>33.464999999999996</v>
      </c>
      <c r="N839" s="5">
        <f>Orders[[#This Row],[Quantity]]*(INDEX(products!$A$1:$G$49,MATCH(orders!$D839,products!$A$1:$A$49,0),MATCH(orders!N$1,products!$A$1:$G$1,0)))</f>
        <v>13.051349999999999</v>
      </c>
      <c r="O839" s="5">
        <f>M839*E839</f>
        <v>100.39499999999998</v>
      </c>
      <c r="P839" t="str">
        <f t="shared" si="26"/>
        <v>Liberica</v>
      </c>
      <c r="Q839" t="str">
        <f t="shared" si="27"/>
        <v>Medium</v>
      </c>
      <c r="R839" t="str">
        <f>_xlfn.XLOOKUP(Orders[[#This Row],[Customer ID]],customers!$A$1:$A$1001,customers!$I$1:$I$1001,,0)</f>
        <v>No</v>
      </c>
    </row>
    <row r="840" spans="1:18" x14ac:dyDescent="0.35">
      <c r="A840" s="2" t="s">
        <v>5228</v>
      </c>
      <c r="B840" s="3">
        <v>44755</v>
      </c>
      <c r="C840" s="2" t="s">
        <v>5229</v>
      </c>
      <c r="D840" t="s">
        <v>6168</v>
      </c>
      <c r="E840" s="2">
        <v>5</v>
      </c>
      <c r="F840" s="2" t="str">
        <f>_xlfn.XLOOKUP(Orders[[#This Row],[Customer ID]],customers!$A$1:$A$1001,customers!$B$1:$B$1001,,0)</f>
        <v>Romain Avrashin</v>
      </c>
      <c r="G840" s="2" t="str">
        <f>IF(_xlfn.XLOOKUP(C840,customers!$A$1:$A$1001,customers!C839:C1839,,0)=0,"",_xlfn.XLOOKUP(C840,customers!$A$1:$A$1001,customers!C839:C1839,,0))</f>
        <v/>
      </c>
      <c r="H840" s="2" t="str">
        <f>_xlfn.XLOOKUP(Orders[[#This Row],[Customer ID]],customers!$A$1:$A$1001,customers!$G$1:$G$1001,,0)</f>
        <v>United States</v>
      </c>
      <c r="I840" s="2" t="str">
        <f>_xlfn.XLOOKUP(Orders[[#This Row],[Customer ID]],customers!$A$1:$A$1001,customers!$F$1:$F$1001,,0)</f>
        <v>Washington</v>
      </c>
      <c r="J840" t="str">
        <f>INDEX(products!$A$1:$G$49,MATCH(orders!$D840,products!$A$1:$A$49,0),MATCH(orders!J$1,products!$A$1:$G$1,0))</f>
        <v>Ara</v>
      </c>
      <c r="K840" t="str">
        <f>INDEX(products!$A$1:$G$49,MATCH(orders!$D840,products!$A$1:$A$49,0),MATCH(orders!K$1,products!$A$1:$G$1,0))</f>
        <v>D</v>
      </c>
      <c r="L840" s="4">
        <f>INDEX(products!$A$1:$G$49,MATCH(orders!$D840,products!$A$1:$A$49,0),MATCH(orders!L$1,products!$A$1:$G$1,0))</f>
        <v>2.5</v>
      </c>
      <c r="M840" s="5">
        <f>INDEX(products!$A$1:$G$49,MATCH(orders!$D840,products!$A$1:$A$49,0),MATCH(orders!M$1,products!$A$1:$G$1,0))</f>
        <v>22.884999999999998</v>
      </c>
      <c r="N840" s="5">
        <f>Orders[[#This Row],[Quantity]]*(INDEX(products!$A$1:$G$49,MATCH(orders!$D840,products!$A$1:$A$49,0),MATCH(orders!N$1,products!$A$1:$G$1,0)))</f>
        <v>10.298249999999998</v>
      </c>
      <c r="O840" s="5">
        <f>M840*E840</f>
        <v>114.42499999999998</v>
      </c>
      <c r="P840" t="str">
        <f t="shared" si="26"/>
        <v>Arabica</v>
      </c>
      <c r="Q840" t="str">
        <f t="shared" si="27"/>
        <v>Dark</v>
      </c>
      <c r="R840" t="str">
        <f>_xlfn.XLOOKUP(Orders[[#This Row],[Customer ID]],customers!$A$1:$A$1001,customers!$I$1:$I$1001,,0)</f>
        <v>No</v>
      </c>
    </row>
    <row r="841" spans="1:18" x14ac:dyDescent="0.35">
      <c r="A841" s="2" t="s">
        <v>5234</v>
      </c>
      <c r="B841" s="3">
        <v>44521</v>
      </c>
      <c r="C841" s="2" t="s">
        <v>5235</v>
      </c>
      <c r="D841" t="s">
        <v>6139</v>
      </c>
      <c r="E841" s="2">
        <v>5</v>
      </c>
      <c r="F841" s="2" t="str">
        <f>_xlfn.XLOOKUP(Orders[[#This Row],[Customer ID]],customers!$A$1:$A$1001,customers!$B$1:$B$1001,,0)</f>
        <v>Miran Doidge</v>
      </c>
      <c r="G841" s="2" t="str">
        <f>IF(_xlfn.XLOOKUP(C841,customers!$A$1:$A$1001,customers!C840:C1840,,0)=0,"",_xlfn.XLOOKUP(C841,customers!$A$1:$A$1001,customers!C840:C1840,,0))</f>
        <v/>
      </c>
      <c r="H841" s="2" t="str">
        <f>_xlfn.XLOOKUP(Orders[[#This Row],[Customer ID]],customers!$A$1:$A$1001,customers!$G$1:$G$1001,,0)</f>
        <v>United States</v>
      </c>
      <c r="I841" s="2" t="str">
        <f>_xlfn.XLOOKUP(Orders[[#This Row],[Customer ID]],customers!$A$1:$A$1001,customers!$F$1:$F$1001,,0)</f>
        <v>Salinas</v>
      </c>
      <c r="J841" t="str">
        <f>INDEX(products!$A$1:$G$49,MATCH(orders!$D841,products!$A$1:$A$49,0),MATCH(orders!J$1,products!$A$1:$G$1,0))</f>
        <v>Exc</v>
      </c>
      <c r="K841" t="str">
        <f>INDEX(products!$A$1:$G$49,MATCH(orders!$D841,products!$A$1:$A$49,0),MATCH(orders!K$1,products!$A$1:$G$1,0))</f>
        <v>M</v>
      </c>
      <c r="L841" s="4">
        <f>INDEX(products!$A$1:$G$49,MATCH(orders!$D841,products!$A$1:$A$49,0),MATCH(orders!L$1,products!$A$1:$G$1,0))</f>
        <v>0.5</v>
      </c>
      <c r="M841" s="5">
        <f>INDEX(products!$A$1:$G$49,MATCH(orders!$D841,products!$A$1:$A$49,0),MATCH(orders!M$1,products!$A$1:$G$1,0))</f>
        <v>8.25</v>
      </c>
      <c r="N841" s="5">
        <f>Orders[[#This Row],[Quantity]]*(INDEX(products!$A$1:$G$49,MATCH(orders!$D841,products!$A$1:$A$49,0),MATCH(orders!N$1,products!$A$1:$G$1,0)))</f>
        <v>4.5374999999999996</v>
      </c>
      <c r="O841" s="5">
        <f>M841*E841</f>
        <v>41.25</v>
      </c>
      <c r="P841" t="str">
        <f t="shared" si="26"/>
        <v>Excelsa</v>
      </c>
      <c r="Q841" t="str">
        <f t="shared" si="27"/>
        <v>Medium</v>
      </c>
      <c r="R841" t="str">
        <f>_xlfn.XLOOKUP(Orders[[#This Row],[Customer ID]],customers!$A$1:$A$1001,customers!$I$1:$I$1001,,0)</f>
        <v>No</v>
      </c>
    </row>
    <row r="842" spans="1:18" x14ac:dyDescent="0.35">
      <c r="A842" s="2" t="s">
        <v>5240</v>
      </c>
      <c r="B842" s="3">
        <v>44574</v>
      </c>
      <c r="C842" s="2" t="s">
        <v>5241</v>
      </c>
      <c r="D842" t="s">
        <v>6173</v>
      </c>
      <c r="E842" s="2">
        <v>4</v>
      </c>
      <c r="F842" s="2" t="str">
        <f>_xlfn.XLOOKUP(Orders[[#This Row],[Customer ID]],customers!$A$1:$A$1001,customers!$B$1:$B$1001,,0)</f>
        <v>Janeva Edinboro</v>
      </c>
      <c r="G842" s="2" t="str">
        <f>IF(_xlfn.XLOOKUP(C842,customers!$A$1:$A$1001,customers!C841:C1841,,0)=0,"",_xlfn.XLOOKUP(C842,customers!$A$1:$A$1001,customers!C841:C1841,,0))</f>
        <v/>
      </c>
      <c r="H842" s="2" t="str">
        <f>_xlfn.XLOOKUP(Orders[[#This Row],[Customer ID]],customers!$A$1:$A$1001,customers!$G$1:$G$1001,,0)</f>
        <v>United States</v>
      </c>
      <c r="I842" s="2" t="str">
        <f>_xlfn.XLOOKUP(Orders[[#This Row],[Customer ID]],customers!$A$1:$A$1001,customers!$F$1:$F$1001,,0)</f>
        <v>Fort Lauderdale</v>
      </c>
      <c r="J842" t="str">
        <f>INDEX(products!$A$1:$G$49,MATCH(orders!$D842,products!$A$1:$A$49,0),MATCH(orders!J$1,products!$A$1:$G$1,0))</f>
        <v>Rob</v>
      </c>
      <c r="K842" t="str">
        <f>INDEX(products!$A$1:$G$49,MATCH(orders!$D842,products!$A$1:$A$49,0),MATCH(orders!K$1,products!$A$1:$G$1,0))</f>
        <v>L</v>
      </c>
      <c r="L842" s="4">
        <f>INDEX(products!$A$1:$G$49,MATCH(orders!$D842,products!$A$1:$A$49,0),MATCH(orders!L$1,products!$A$1:$G$1,0))</f>
        <v>0.5</v>
      </c>
      <c r="M842" s="5">
        <f>INDEX(products!$A$1:$G$49,MATCH(orders!$D842,products!$A$1:$A$49,0),MATCH(orders!M$1,products!$A$1:$G$1,0))</f>
        <v>7.169999999999999</v>
      </c>
      <c r="N842" s="5">
        <f>Orders[[#This Row],[Quantity]]*(INDEX(products!$A$1:$G$49,MATCH(orders!$D842,products!$A$1:$A$49,0),MATCH(orders!N$1,products!$A$1:$G$1,0)))</f>
        <v>1.7207999999999997</v>
      </c>
      <c r="O842" s="5">
        <f>M842*E842</f>
        <v>28.679999999999996</v>
      </c>
      <c r="P842" t="str">
        <f t="shared" si="26"/>
        <v>Robusta</v>
      </c>
      <c r="Q842" t="str">
        <f t="shared" si="27"/>
        <v>Light</v>
      </c>
      <c r="R842" t="str">
        <f>_xlfn.XLOOKUP(Orders[[#This Row],[Customer ID]],customers!$A$1:$A$1001,customers!$I$1:$I$1001,,0)</f>
        <v>Yes</v>
      </c>
    </row>
    <row r="843" spans="1:18" x14ac:dyDescent="0.35">
      <c r="A843" s="2" t="s">
        <v>5246</v>
      </c>
      <c r="B843" s="3">
        <v>44755</v>
      </c>
      <c r="C843" s="2" t="s">
        <v>5247</v>
      </c>
      <c r="D843" t="s">
        <v>6159</v>
      </c>
      <c r="E843" s="2">
        <v>1</v>
      </c>
      <c r="F843" s="2" t="str">
        <f>_xlfn.XLOOKUP(Orders[[#This Row],[Customer ID]],customers!$A$1:$A$1001,customers!$B$1:$B$1001,,0)</f>
        <v>Trumaine Tewelson</v>
      </c>
      <c r="G843" s="2" t="str">
        <f>IF(_xlfn.XLOOKUP(C843,customers!$A$1:$A$1001,customers!C842:C1842,,0)=0,"",_xlfn.XLOOKUP(C843,customers!$A$1:$A$1001,customers!C842:C1842,,0))</f>
        <v/>
      </c>
      <c r="H843" s="2" t="str">
        <f>_xlfn.XLOOKUP(Orders[[#This Row],[Customer ID]],customers!$A$1:$A$1001,customers!$G$1:$G$1001,,0)</f>
        <v>United States</v>
      </c>
      <c r="I843" s="2" t="str">
        <f>_xlfn.XLOOKUP(Orders[[#This Row],[Customer ID]],customers!$A$1:$A$1001,customers!$F$1:$F$1001,,0)</f>
        <v>El Paso</v>
      </c>
      <c r="J843" t="str">
        <f>INDEX(products!$A$1:$G$49,MATCH(orders!$D843,products!$A$1:$A$49,0),MATCH(orders!J$1,products!$A$1:$G$1,0))</f>
        <v>Lib</v>
      </c>
      <c r="K843" t="str">
        <f>INDEX(products!$A$1:$G$49,MATCH(orders!$D843,products!$A$1:$A$49,0),MATCH(orders!K$1,products!$A$1:$G$1,0))</f>
        <v>M</v>
      </c>
      <c r="L843" s="4">
        <f>INDEX(products!$A$1:$G$49,MATCH(orders!$D843,products!$A$1:$A$49,0),MATCH(orders!L$1,products!$A$1:$G$1,0))</f>
        <v>0.2</v>
      </c>
      <c r="M843" s="5">
        <f>INDEX(products!$A$1:$G$49,MATCH(orders!$D843,products!$A$1:$A$49,0),MATCH(orders!M$1,products!$A$1:$G$1,0))</f>
        <v>4.3650000000000002</v>
      </c>
      <c r="N843" s="5">
        <f>Orders[[#This Row],[Quantity]]*(INDEX(products!$A$1:$G$49,MATCH(orders!$D843,products!$A$1:$A$49,0),MATCH(orders!N$1,products!$A$1:$G$1,0)))</f>
        <v>0.56745000000000001</v>
      </c>
      <c r="O843" s="5">
        <f>M843*E843</f>
        <v>4.3650000000000002</v>
      </c>
      <c r="P843" t="str">
        <f t="shared" si="26"/>
        <v>Liberica</v>
      </c>
      <c r="Q843" t="str">
        <f t="shared" si="27"/>
        <v>Medium</v>
      </c>
      <c r="R843" t="str">
        <f>_xlfn.XLOOKUP(Orders[[#This Row],[Customer ID]],customers!$A$1:$A$1001,customers!$I$1:$I$1001,,0)</f>
        <v>No</v>
      </c>
    </row>
    <row r="844" spans="1:18" x14ac:dyDescent="0.35">
      <c r="A844" s="2" t="s">
        <v>5251</v>
      </c>
      <c r="B844" s="3">
        <v>44502</v>
      </c>
      <c r="C844" s="2" t="s">
        <v>5188</v>
      </c>
      <c r="D844" t="s">
        <v>6156</v>
      </c>
      <c r="E844" s="2">
        <v>2</v>
      </c>
      <c r="F844" s="2" t="str">
        <f>_xlfn.XLOOKUP(Orders[[#This Row],[Customer ID]],customers!$A$1:$A$1001,customers!$B$1:$B$1001,,0)</f>
        <v>Odelia Skerme</v>
      </c>
      <c r="G844" s="2" t="str">
        <f>IF(_xlfn.XLOOKUP(C844,customers!$A$1:$A$1001,customers!C843:C1843,,0)=0,"",_xlfn.XLOOKUP(C844,customers!$A$1:$A$1001,customers!C843:C1843,,0))</f>
        <v/>
      </c>
      <c r="H844" s="2" t="str">
        <f>_xlfn.XLOOKUP(Orders[[#This Row],[Customer ID]],customers!$A$1:$A$1001,customers!$G$1:$G$1001,,0)</f>
        <v>United States</v>
      </c>
      <c r="I844" s="2" t="str">
        <f>_xlfn.XLOOKUP(Orders[[#This Row],[Customer ID]],customers!$A$1:$A$1001,customers!$F$1:$F$1001,,0)</f>
        <v>Oklahoma City</v>
      </c>
      <c r="J844" t="str">
        <f>INDEX(products!$A$1:$G$49,MATCH(orders!$D844,products!$A$1:$A$49,0),MATCH(orders!J$1,products!$A$1:$G$1,0))</f>
        <v>Exc</v>
      </c>
      <c r="K844" t="str">
        <f>INDEX(products!$A$1:$G$49,MATCH(orders!$D844,products!$A$1:$A$49,0),MATCH(orders!K$1,products!$A$1:$G$1,0))</f>
        <v>M</v>
      </c>
      <c r="L844" s="4">
        <f>INDEX(products!$A$1:$G$49,MATCH(orders!$D844,products!$A$1:$A$49,0),MATCH(orders!L$1,products!$A$1:$G$1,0))</f>
        <v>0.2</v>
      </c>
      <c r="M844" s="5">
        <f>INDEX(products!$A$1:$G$49,MATCH(orders!$D844,products!$A$1:$A$49,0),MATCH(orders!M$1,products!$A$1:$G$1,0))</f>
        <v>4.125</v>
      </c>
      <c r="N844" s="5">
        <f>Orders[[#This Row],[Quantity]]*(INDEX(products!$A$1:$G$49,MATCH(orders!$D844,products!$A$1:$A$49,0),MATCH(orders!N$1,products!$A$1:$G$1,0)))</f>
        <v>0.90749999999999997</v>
      </c>
      <c r="O844" s="5">
        <f>M844*E844</f>
        <v>8.25</v>
      </c>
      <c r="P844" t="str">
        <f t="shared" si="26"/>
        <v>Excelsa</v>
      </c>
      <c r="Q844" t="str">
        <f t="shared" si="27"/>
        <v>Medium</v>
      </c>
      <c r="R844" t="str">
        <f>_xlfn.XLOOKUP(Orders[[#This Row],[Customer ID]],customers!$A$1:$A$1001,customers!$I$1:$I$1001,,0)</f>
        <v>Yes</v>
      </c>
    </row>
    <row r="845" spans="1:18" x14ac:dyDescent="0.35">
      <c r="A845" s="2" t="s">
        <v>5256</v>
      </c>
      <c r="B845" s="3">
        <v>44387</v>
      </c>
      <c r="C845" s="2" t="s">
        <v>5257</v>
      </c>
      <c r="D845" t="s">
        <v>6156</v>
      </c>
      <c r="E845" s="2">
        <v>2</v>
      </c>
      <c r="F845" s="2" t="str">
        <f>_xlfn.XLOOKUP(Orders[[#This Row],[Customer ID]],customers!$A$1:$A$1001,customers!$B$1:$B$1001,,0)</f>
        <v>De Drewitt</v>
      </c>
      <c r="G845" s="2" t="str">
        <f>IF(_xlfn.XLOOKUP(C845,customers!$A$1:$A$1001,customers!C844:C1844,,0)=0,"",_xlfn.XLOOKUP(C845,customers!$A$1:$A$1001,customers!C844:C1844,,0))</f>
        <v/>
      </c>
      <c r="H845" s="2" t="str">
        <f>_xlfn.XLOOKUP(Orders[[#This Row],[Customer ID]],customers!$A$1:$A$1001,customers!$G$1:$G$1001,,0)</f>
        <v>United States</v>
      </c>
      <c r="I845" s="2" t="str">
        <f>_xlfn.XLOOKUP(Orders[[#This Row],[Customer ID]],customers!$A$1:$A$1001,customers!$F$1:$F$1001,,0)</f>
        <v>Alexandria</v>
      </c>
      <c r="J845" t="str">
        <f>INDEX(products!$A$1:$G$49,MATCH(orders!$D845,products!$A$1:$A$49,0),MATCH(orders!J$1,products!$A$1:$G$1,0))</f>
        <v>Exc</v>
      </c>
      <c r="K845" t="str">
        <f>INDEX(products!$A$1:$G$49,MATCH(orders!$D845,products!$A$1:$A$49,0),MATCH(orders!K$1,products!$A$1:$G$1,0))</f>
        <v>M</v>
      </c>
      <c r="L845" s="4">
        <f>INDEX(products!$A$1:$G$49,MATCH(orders!$D845,products!$A$1:$A$49,0),MATCH(orders!L$1,products!$A$1:$G$1,0))</f>
        <v>0.2</v>
      </c>
      <c r="M845" s="5">
        <f>INDEX(products!$A$1:$G$49,MATCH(orders!$D845,products!$A$1:$A$49,0),MATCH(orders!M$1,products!$A$1:$G$1,0))</f>
        <v>4.125</v>
      </c>
      <c r="N845" s="5">
        <f>Orders[[#This Row],[Quantity]]*(INDEX(products!$A$1:$G$49,MATCH(orders!$D845,products!$A$1:$A$49,0),MATCH(orders!N$1,products!$A$1:$G$1,0)))</f>
        <v>0.90749999999999997</v>
      </c>
      <c r="O845" s="5">
        <f>M845*E845</f>
        <v>8.25</v>
      </c>
      <c r="P845" t="str">
        <f t="shared" si="26"/>
        <v>Excelsa</v>
      </c>
      <c r="Q845" t="str">
        <f t="shared" si="27"/>
        <v>Medium</v>
      </c>
      <c r="R845" t="str">
        <f>_xlfn.XLOOKUP(Orders[[#This Row],[Customer ID]],customers!$A$1:$A$1001,customers!$I$1:$I$1001,,0)</f>
        <v>Yes</v>
      </c>
    </row>
    <row r="846" spans="1:18" x14ac:dyDescent="0.35">
      <c r="A846" s="2" t="s">
        <v>5262</v>
      </c>
      <c r="B846" s="3">
        <v>44476</v>
      </c>
      <c r="C846" s="2" t="s">
        <v>5263</v>
      </c>
      <c r="D846" t="s">
        <v>6158</v>
      </c>
      <c r="E846" s="2">
        <v>6</v>
      </c>
      <c r="F846" s="2" t="str">
        <f>_xlfn.XLOOKUP(Orders[[#This Row],[Customer ID]],customers!$A$1:$A$1001,customers!$B$1:$B$1001,,0)</f>
        <v>Adelheid Gladhill</v>
      </c>
      <c r="G846" s="2" t="str">
        <f>IF(_xlfn.XLOOKUP(C846,customers!$A$1:$A$1001,customers!C845:C1845,,0)=0,"",_xlfn.XLOOKUP(C846,customers!$A$1:$A$1001,customers!C845:C1845,,0))</f>
        <v/>
      </c>
      <c r="H846" s="2" t="str">
        <f>_xlfn.XLOOKUP(Orders[[#This Row],[Customer ID]],customers!$A$1:$A$1001,customers!$G$1:$G$1001,,0)</f>
        <v>United States</v>
      </c>
      <c r="I846" s="2" t="str">
        <f>_xlfn.XLOOKUP(Orders[[#This Row],[Customer ID]],customers!$A$1:$A$1001,customers!$F$1:$F$1001,,0)</f>
        <v>Baltimore</v>
      </c>
      <c r="J846" t="str">
        <f>INDEX(products!$A$1:$G$49,MATCH(orders!$D846,products!$A$1:$A$49,0),MATCH(orders!J$1,products!$A$1:$G$1,0))</f>
        <v>Ara</v>
      </c>
      <c r="K846" t="str">
        <f>INDEX(products!$A$1:$G$49,MATCH(orders!$D846,products!$A$1:$A$49,0),MATCH(orders!K$1,products!$A$1:$G$1,0))</f>
        <v>D</v>
      </c>
      <c r="L846" s="4">
        <f>INDEX(products!$A$1:$G$49,MATCH(orders!$D846,products!$A$1:$A$49,0),MATCH(orders!L$1,products!$A$1:$G$1,0))</f>
        <v>0.5</v>
      </c>
      <c r="M846" s="5">
        <f>INDEX(products!$A$1:$G$49,MATCH(orders!$D846,products!$A$1:$A$49,0),MATCH(orders!M$1,products!$A$1:$G$1,0))</f>
        <v>5.97</v>
      </c>
      <c r="N846" s="5">
        <f>Orders[[#This Row],[Quantity]]*(INDEX(products!$A$1:$G$49,MATCH(orders!$D846,products!$A$1:$A$49,0),MATCH(orders!N$1,products!$A$1:$G$1,0)))</f>
        <v>3.2237999999999998</v>
      </c>
      <c r="O846" s="5">
        <f>M846*E846</f>
        <v>35.82</v>
      </c>
      <c r="P846" t="str">
        <f t="shared" si="26"/>
        <v>Arabica</v>
      </c>
      <c r="Q846" t="str">
        <f t="shared" si="27"/>
        <v>Dark</v>
      </c>
      <c r="R846" t="str">
        <f>_xlfn.XLOOKUP(Orders[[#This Row],[Customer ID]],customers!$A$1:$A$1001,customers!$I$1:$I$1001,,0)</f>
        <v>Yes</v>
      </c>
    </row>
    <row r="847" spans="1:18" x14ac:dyDescent="0.35">
      <c r="A847" s="2" t="s">
        <v>5268</v>
      </c>
      <c r="B847" s="3">
        <v>43889</v>
      </c>
      <c r="C847" s="2" t="s">
        <v>5269</v>
      </c>
      <c r="D847" t="s">
        <v>6185</v>
      </c>
      <c r="E847" s="2">
        <v>6</v>
      </c>
      <c r="F847" s="2" t="str">
        <f>_xlfn.XLOOKUP(Orders[[#This Row],[Customer ID]],customers!$A$1:$A$1001,customers!$B$1:$B$1001,,0)</f>
        <v>Murielle Lorinez</v>
      </c>
      <c r="G847" s="2" t="str">
        <f>IF(_xlfn.XLOOKUP(C847,customers!$A$1:$A$1001,customers!C846:C1846,,0)=0,"",_xlfn.XLOOKUP(C847,customers!$A$1:$A$1001,customers!C846:C1846,,0))</f>
        <v/>
      </c>
      <c r="H847" s="2" t="str">
        <f>_xlfn.XLOOKUP(Orders[[#This Row],[Customer ID]],customers!$A$1:$A$1001,customers!$G$1:$G$1001,,0)</f>
        <v>United States</v>
      </c>
      <c r="I847" s="2" t="str">
        <f>_xlfn.XLOOKUP(Orders[[#This Row],[Customer ID]],customers!$A$1:$A$1001,customers!$F$1:$F$1001,,0)</f>
        <v>Evansville</v>
      </c>
      <c r="J847" t="str">
        <f>INDEX(products!$A$1:$G$49,MATCH(orders!$D847,products!$A$1:$A$49,0),MATCH(orders!J$1,products!$A$1:$G$1,0))</f>
        <v>Exc</v>
      </c>
      <c r="K847" t="str">
        <f>INDEX(products!$A$1:$G$49,MATCH(orders!$D847,products!$A$1:$A$49,0),MATCH(orders!K$1,products!$A$1:$G$1,0))</f>
        <v>D</v>
      </c>
      <c r="L847" s="4">
        <f>INDEX(products!$A$1:$G$49,MATCH(orders!$D847,products!$A$1:$A$49,0),MATCH(orders!L$1,products!$A$1:$G$1,0))</f>
        <v>2.5</v>
      </c>
      <c r="M847" s="5">
        <f>INDEX(products!$A$1:$G$49,MATCH(orders!$D847,products!$A$1:$A$49,0),MATCH(orders!M$1,products!$A$1:$G$1,0))</f>
        <v>27.945</v>
      </c>
      <c r="N847" s="5">
        <f>Orders[[#This Row],[Quantity]]*(INDEX(products!$A$1:$G$49,MATCH(orders!$D847,products!$A$1:$A$49,0),MATCH(orders!N$1,products!$A$1:$G$1,0)))</f>
        <v>18.4437</v>
      </c>
      <c r="O847" s="5">
        <f>M847*E847</f>
        <v>167.67000000000002</v>
      </c>
      <c r="P847" t="str">
        <f t="shared" si="26"/>
        <v>Excelsa</v>
      </c>
      <c r="Q847" t="str">
        <f t="shared" si="27"/>
        <v>Dark</v>
      </c>
      <c r="R847" t="str">
        <f>_xlfn.XLOOKUP(Orders[[#This Row],[Customer ID]],customers!$A$1:$A$1001,customers!$I$1:$I$1001,,0)</f>
        <v>No</v>
      </c>
    </row>
    <row r="848" spans="1:18" x14ac:dyDescent="0.35">
      <c r="A848" s="2" t="s">
        <v>5273</v>
      </c>
      <c r="B848" s="3">
        <v>44747</v>
      </c>
      <c r="C848" s="2" t="s">
        <v>5274</v>
      </c>
      <c r="D848" t="s">
        <v>6175</v>
      </c>
      <c r="E848" s="2">
        <v>2</v>
      </c>
      <c r="F848" s="2" t="str">
        <f>_xlfn.XLOOKUP(Orders[[#This Row],[Customer ID]],customers!$A$1:$A$1001,customers!$B$1:$B$1001,,0)</f>
        <v>Edin Mathe</v>
      </c>
      <c r="G848" s="2" t="str">
        <f>IF(_xlfn.XLOOKUP(C848,customers!$A$1:$A$1001,customers!C847:C1847,,0)=0,"",_xlfn.XLOOKUP(C848,customers!$A$1:$A$1001,customers!C847:C1847,,0))</f>
        <v/>
      </c>
      <c r="H848" s="2" t="str">
        <f>_xlfn.XLOOKUP(Orders[[#This Row],[Customer ID]],customers!$A$1:$A$1001,customers!$G$1:$G$1001,,0)</f>
        <v>United States</v>
      </c>
      <c r="I848" s="2" t="str">
        <f>_xlfn.XLOOKUP(Orders[[#This Row],[Customer ID]],customers!$A$1:$A$1001,customers!$F$1:$F$1001,,0)</f>
        <v>Lawrenceville</v>
      </c>
      <c r="J848" t="str">
        <f>INDEX(products!$A$1:$G$49,MATCH(orders!$D848,products!$A$1:$A$49,0),MATCH(orders!J$1,products!$A$1:$G$1,0))</f>
        <v>Ara</v>
      </c>
      <c r="K848" t="str">
        <f>INDEX(products!$A$1:$G$49,MATCH(orders!$D848,products!$A$1:$A$49,0),MATCH(orders!K$1,products!$A$1:$G$1,0))</f>
        <v>M</v>
      </c>
      <c r="L848" s="4">
        <f>INDEX(products!$A$1:$G$49,MATCH(orders!$D848,products!$A$1:$A$49,0),MATCH(orders!L$1,products!$A$1:$G$1,0))</f>
        <v>2.5</v>
      </c>
      <c r="M848" s="5">
        <f>INDEX(products!$A$1:$G$49,MATCH(orders!$D848,products!$A$1:$A$49,0),MATCH(orders!M$1,products!$A$1:$G$1,0))</f>
        <v>25.874999999999996</v>
      </c>
      <c r="N848" s="5">
        <f>Orders[[#This Row],[Quantity]]*(INDEX(products!$A$1:$G$49,MATCH(orders!$D848,products!$A$1:$A$49,0),MATCH(orders!N$1,products!$A$1:$G$1,0)))</f>
        <v>4.6574999999999989</v>
      </c>
      <c r="O848" s="5">
        <f>M848*E848</f>
        <v>51.749999999999993</v>
      </c>
      <c r="P848" t="str">
        <f t="shared" si="26"/>
        <v>Arabica</v>
      </c>
      <c r="Q848" t="str">
        <f t="shared" si="27"/>
        <v>Medium</v>
      </c>
      <c r="R848" t="str">
        <f>_xlfn.XLOOKUP(Orders[[#This Row],[Customer ID]],customers!$A$1:$A$1001,customers!$I$1:$I$1001,,0)</f>
        <v>Yes</v>
      </c>
    </row>
    <row r="849" spans="1:18" x14ac:dyDescent="0.35">
      <c r="A849" s="2" t="s">
        <v>5278</v>
      </c>
      <c r="B849" s="3">
        <v>44460</v>
      </c>
      <c r="C849" s="2" t="s">
        <v>5279</v>
      </c>
      <c r="D849" t="s">
        <v>6154</v>
      </c>
      <c r="E849" s="2">
        <v>3</v>
      </c>
      <c r="F849" s="2" t="str">
        <f>_xlfn.XLOOKUP(Orders[[#This Row],[Customer ID]],customers!$A$1:$A$1001,customers!$B$1:$B$1001,,0)</f>
        <v>Mordy Van Der Vlies</v>
      </c>
      <c r="G849" s="2" t="str">
        <f>IF(_xlfn.XLOOKUP(C849,customers!$A$1:$A$1001,customers!C848:C1848,,0)=0,"",_xlfn.XLOOKUP(C849,customers!$A$1:$A$1001,customers!C848:C1848,,0))</f>
        <v/>
      </c>
      <c r="H849" s="2" t="str">
        <f>_xlfn.XLOOKUP(Orders[[#This Row],[Customer ID]],customers!$A$1:$A$1001,customers!$G$1:$G$1001,,0)</f>
        <v>United States</v>
      </c>
      <c r="I849" s="2" t="str">
        <f>_xlfn.XLOOKUP(Orders[[#This Row],[Customer ID]],customers!$A$1:$A$1001,customers!$F$1:$F$1001,,0)</f>
        <v>Mobile</v>
      </c>
      <c r="J849" t="str">
        <f>INDEX(products!$A$1:$G$49,MATCH(orders!$D849,products!$A$1:$A$49,0),MATCH(orders!J$1,products!$A$1:$G$1,0))</f>
        <v>Ara</v>
      </c>
      <c r="K849" t="str">
        <f>INDEX(products!$A$1:$G$49,MATCH(orders!$D849,products!$A$1:$A$49,0),MATCH(orders!K$1,products!$A$1:$G$1,0))</f>
        <v>D</v>
      </c>
      <c r="L849" s="4">
        <f>INDEX(products!$A$1:$G$49,MATCH(orders!$D849,products!$A$1:$A$49,0),MATCH(orders!L$1,products!$A$1:$G$1,0))</f>
        <v>0.2</v>
      </c>
      <c r="M849" s="5">
        <f>INDEX(products!$A$1:$G$49,MATCH(orders!$D849,products!$A$1:$A$49,0),MATCH(orders!M$1,products!$A$1:$G$1,0))</f>
        <v>2.9849999999999999</v>
      </c>
      <c r="N849" s="5">
        <f>Orders[[#This Row],[Quantity]]*(INDEX(products!$A$1:$G$49,MATCH(orders!$D849,products!$A$1:$A$49,0),MATCH(orders!N$1,products!$A$1:$G$1,0)))</f>
        <v>0.80594999999999994</v>
      </c>
      <c r="O849" s="5">
        <f>M849*E849</f>
        <v>8.9550000000000001</v>
      </c>
      <c r="P849" t="str">
        <f t="shared" si="26"/>
        <v>Arabica</v>
      </c>
      <c r="Q849" t="str">
        <f t="shared" si="27"/>
        <v>Dark</v>
      </c>
      <c r="R849" t="str">
        <f>_xlfn.XLOOKUP(Orders[[#This Row],[Customer ID]],customers!$A$1:$A$1001,customers!$I$1:$I$1001,,0)</f>
        <v>Yes</v>
      </c>
    </row>
    <row r="850" spans="1:18" x14ac:dyDescent="0.35">
      <c r="A850" s="2" t="s">
        <v>5283</v>
      </c>
      <c r="B850" s="3">
        <v>43468</v>
      </c>
      <c r="C850" s="2" t="s">
        <v>5284</v>
      </c>
      <c r="D850" t="s">
        <v>6176</v>
      </c>
      <c r="E850" s="2">
        <v>6</v>
      </c>
      <c r="F850" s="2" t="str">
        <f>_xlfn.XLOOKUP(Orders[[#This Row],[Customer ID]],customers!$A$1:$A$1001,customers!$B$1:$B$1001,,0)</f>
        <v>Spencer Wastell</v>
      </c>
      <c r="G850" s="2" t="str">
        <f>IF(_xlfn.XLOOKUP(C850,customers!$A$1:$A$1001,customers!C849:C1849,,0)=0,"",_xlfn.XLOOKUP(C850,customers!$A$1:$A$1001,customers!C849:C1849,,0))</f>
        <v/>
      </c>
      <c r="H850" s="2" t="str">
        <f>_xlfn.XLOOKUP(Orders[[#This Row],[Customer ID]],customers!$A$1:$A$1001,customers!$G$1:$G$1001,,0)</f>
        <v>United States</v>
      </c>
      <c r="I850" s="2" t="str">
        <f>_xlfn.XLOOKUP(Orders[[#This Row],[Customer ID]],customers!$A$1:$A$1001,customers!$F$1:$F$1001,,0)</f>
        <v>Midland</v>
      </c>
      <c r="J850" t="str">
        <f>INDEX(products!$A$1:$G$49,MATCH(orders!$D850,products!$A$1:$A$49,0),MATCH(orders!J$1,products!$A$1:$G$1,0))</f>
        <v>Exc</v>
      </c>
      <c r="K850" t="str">
        <f>INDEX(products!$A$1:$G$49,MATCH(orders!$D850,products!$A$1:$A$49,0),MATCH(orders!K$1,products!$A$1:$G$1,0))</f>
        <v>L</v>
      </c>
      <c r="L850" s="4">
        <f>INDEX(products!$A$1:$G$49,MATCH(orders!$D850,products!$A$1:$A$49,0),MATCH(orders!L$1,products!$A$1:$G$1,0))</f>
        <v>0.5</v>
      </c>
      <c r="M850" s="5">
        <f>INDEX(products!$A$1:$G$49,MATCH(orders!$D850,products!$A$1:$A$49,0),MATCH(orders!M$1,products!$A$1:$G$1,0))</f>
        <v>8.91</v>
      </c>
      <c r="N850" s="5">
        <f>Orders[[#This Row],[Quantity]]*(INDEX(products!$A$1:$G$49,MATCH(orders!$D850,products!$A$1:$A$49,0),MATCH(orders!N$1,products!$A$1:$G$1,0)))</f>
        <v>5.8805999999999994</v>
      </c>
      <c r="O850" s="5">
        <f>M850*E850</f>
        <v>53.46</v>
      </c>
      <c r="P850" t="str">
        <f t="shared" si="26"/>
        <v>Excelsa</v>
      </c>
      <c r="Q850" t="str">
        <f t="shared" si="27"/>
        <v>Light</v>
      </c>
      <c r="R850" t="str">
        <f>_xlfn.XLOOKUP(Orders[[#This Row],[Customer ID]],customers!$A$1:$A$1001,customers!$I$1:$I$1001,,0)</f>
        <v>No</v>
      </c>
    </row>
    <row r="851" spans="1:18" x14ac:dyDescent="0.35">
      <c r="A851" s="2" t="s">
        <v>5288</v>
      </c>
      <c r="B851" s="3">
        <v>44628</v>
      </c>
      <c r="C851" s="2" t="s">
        <v>5289</v>
      </c>
      <c r="D851" t="s">
        <v>6167</v>
      </c>
      <c r="E851" s="2">
        <v>6</v>
      </c>
      <c r="F851" s="2" t="str">
        <f>_xlfn.XLOOKUP(Orders[[#This Row],[Customer ID]],customers!$A$1:$A$1001,customers!$B$1:$B$1001,,0)</f>
        <v>Jemimah Ethelston</v>
      </c>
      <c r="G851" s="2" t="str">
        <f>IF(_xlfn.XLOOKUP(C851,customers!$A$1:$A$1001,customers!C850:C1850,,0)=0,"",_xlfn.XLOOKUP(C851,customers!$A$1:$A$1001,customers!C850:C1850,,0))</f>
        <v/>
      </c>
      <c r="H851" s="2" t="str">
        <f>_xlfn.XLOOKUP(Orders[[#This Row],[Customer ID]],customers!$A$1:$A$1001,customers!$G$1:$G$1001,,0)</f>
        <v>United States</v>
      </c>
      <c r="I851" s="2" t="str">
        <f>_xlfn.XLOOKUP(Orders[[#This Row],[Customer ID]],customers!$A$1:$A$1001,customers!$F$1:$F$1001,,0)</f>
        <v>Hollywood</v>
      </c>
      <c r="J851" t="str">
        <f>INDEX(products!$A$1:$G$49,MATCH(orders!$D851,products!$A$1:$A$49,0),MATCH(orders!J$1,products!$A$1:$G$1,0))</f>
        <v>Ara</v>
      </c>
      <c r="K851" t="str">
        <f>INDEX(products!$A$1:$G$49,MATCH(orders!$D851,products!$A$1:$A$49,0),MATCH(orders!K$1,products!$A$1:$G$1,0))</f>
        <v>L</v>
      </c>
      <c r="L851" s="4">
        <f>INDEX(products!$A$1:$G$49,MATCH(orders!$D851,products!$A$1:$A$49,0),MATCH(orders!L$1,products!$A$1:$G$1,0))</f>
        <v>0.2</v>
      </c>
      <c r="M851" s="5">
        <f>INDEX(products!$A$1:$G$49,MATCH(orders!$D851,products!$A$1:$A$49,0),MATCH(orders!M$1,products!$A$1:$G$1,0))</f>
        <v>3.8849999999999998</v>
      </c>
      <c r="N851" s="5">
        <f>Orders[[#This Row],[Quantity]]*(INDEX(products!$A$1:$G$49,MATCH(orders!$D851,products!$A$1:$A$49,0),MATCH(orders!N$1,products!$A$1:$G$1,0)))</f>
        <v>2.0978999999999997</v>
      </c>
      <c r="O851" s="5">
        <f>M851*E851</f>
        <v>23.31</v>
      </c>
      <c r="P851" t="str">
        <f t="shared" si="26"/>
        <v>Arabica</v>
      </c>
      <c r="Q851" t="str">
        <f t="shared" si="27"/>
        <v>Light</v>
      </c>
      <c r="R851" t="str">
        <f>_xlfn.XLOOKUP(Orders[[#This Row],[Customer ID]],customers!$A$1:$A$1001,customers!$I$1:$I$1001,,0)</f>
        <v>Yes</v>
      </c>
    </row>
    <row r="852" spans="1:18" x14ac:dyDescent="0.35">
      <c r="A852" s="2" t="s">
        <v>5288</v>
      </c>
      <c r="B852" s="3">
        <v>44628</v>
      </c>
      <c r="C852" s="2" t="s">
        <v>5289</v>
      </c>
      <c r="D852" t="s">
        <v>6152</v>
      </c>
      <c r="E852" s="2">
        <v>2</v>
      </c>
      <c r="F852" s="2" t="str">
        <f>_xlfn.XLOOKUP(Orders[[#This Row],[Customer ID]],customers!$A$1:$A$1001,customers!$B$1:$B$1001,,0)</f>
        <v>Jemimah Ethelston</v>
      </c>
      <c r="G852" s="2" t="str">
        <f>IF(_xlfn.XLOOKUP(C852,customers!$A$1:$A$1001,customers!C851:C1851,,0)=0,"",_xlfn.XLOOKUP(C852,customers!$A$1:$A$1001,customers!C851:C1851,,0))</f>
        <v/>
      </c>
      <c r="H852" s="2" t="str">
        <f>_xlfn.XLOOKUP(Orders[[#This Row],[Customer ID]],customers!$A$1:$A$1001,customers!$G$1:$G$1001,,0)</f>
        <v>United States</v>
      </c>
      <c r="I852" s="2" t="str">
        <f>_xlfn.XLOOKUP(Orders[[#This Row],[Customer ID]],customers!$A$1:$A$1001,customers!$F$1:$F$1001,,0)</f>
        <v>Hollywood</v>
      </c>
      <c r="J852" t="str">
        <f>INDEX(products!$A$1:$G$49,MATCH(orders!$D852,products!$A$1:$A$49,0),MATCH(orders!J$1,products!$A$1:$G$1,0))</f>
        <v>Ara</v>
      </c>
      <c r="K852" t="str">
        <f>INDEX(products!$A$1:$G$49,MATCH(orders!$D852,products!$A$1:$A$49,0),MATCH(orders!K$1,products!$A$1:$G$1,0))</f>
        <v>M</v>
      </c>
      <c r="L852" s="4">
        <f>INDEX(products!$A$1:$G$49,MATCH(orders!$D852,products!$A$1:$A$49,0),MATCH(orders!L$1,products!$A$1:$G$1,0))</f>
        <v>0.2</v>
      </c>
      <c r="M852" s="5">
        <f>INDEX(products!$A$1:$G$49,MATCH(orders!$D852,products!$A$1:$A$49,0),MATCH(orders!M$1,products!$A$1:$G$1,0))</f>
        <v>3.375</v>
      </c>
      <c r="N852" s="5">
        <f>Orders[[#This Row],[Quantity]]*(INDEX(products!$A$1:$G$49,MATCH(orders!$D852,products!$A$1:$A$49,0),MATCH(orders!N$1,products!$A$1:$G$1,0)))</f>
        <v>0.60749999999999993</v>
      </c>
      <c r="O852" s="5">
        <f>M852*E852</f>
        <v>6.75</v>
      </c>
      <c r="P852" t="str">
        <f t="shared" si="26"/>
        <v>Arabica</v>
      </c>
      <c r="Q852" t="str">
        <f t="shared" si="27"/>
        <v>Medium</v>
      </c>
      <c r="R852" t="str">
        <f>_xlfn.XLOOKUP(Orders[[#This Row],[Customer ID]],customers!$A$1:$A$1001,customers!$I$1:$I$1001,,0)</f>
        <v>Yes</v>
      </c>
    </row>
    <row r="853" spans="1:18" x14ac:dyDescent="0.35">
      <c r="A853" s="2" t="s">
        <v>5299</v>
      </c>
      <c r="B853" s="3">
        <v>43900</v>
      </c>
      <c r="C853" s="2" t="s">
        <v>5300</v>
      </c>
      <c r="D853" t="s">
        <v>6169</v>
      </c>
      <c r="E853" s="2">
        <v>1</v>
      </c>
      <c r="F853" s="2" t="str">
        <f>_xlfn.XLOOKUP(Orders[[#This Row],[Customer ID]],customers!$A$1:$A$1001,customers!$B$1:$B$1001,,0)</f>
        <v>Perice Eberz</v>
      </c>
      <c r="G853" s="2" t="str">
        <f>IF(_xlfn.XLOOKUP(C853,customers!$A$1:$A$1001,customers!C852:C1852,,0)=0,"",_xlfn.XLOOKUP(C853,customers!$A$1:$A$1001,customers!C852:C1852,,0))</f>
        <v/>
      </c>
      <c r="H853" s="2" t="str">
        <f>_xlfn.XLOOKUP(Orders[[#This Row],[Customer ID]],customers!$A$1:$A$1001,customers!$G$1:$G$1001,,0)</f>
        <v>United States</v>
      </c>
      <c r="I853" s="2" t="str">
        <f>_xlfn.XLOOKUP(Orders[[#This Row],[Customer ID]],customers!$A$1:$A$1001,customers!$F$1:$F$1001,,0)</f>
        <v>Chico</v>
      </c>
      <c r="J853" t="str">
        <f>INDEX(products!$A$1:$G$49,MATCH(orders!$D853,products!$A$1:$A$49,0),MATCH(orders!J$1,products!$A$1:$G$1,0))</f>
        <v>Lib</v>
      </c>
      <c r="K853" t="str">
        <f>INDEX(products!$A$1:$G$49,MATCH(orders!$D853,products!$A$1:$A$49,0),MATCH(orders!K$1,products!$A$1:$G$1,0))</f>
        <v>D</v>
      </c>
      <c r="L853" s="4">
        <f>INDEX(products!$A$1:$G$49,MATCH(orders!$D853,products!$A$1:$A$49,0),MATCH(orders!L$1,products!$A$1:$G$1,0))</f>
        <v>0.5</v>
      </c>
      <c r="M853" s="5">
        <f>INDEX(products!$A$1:$G$49,MATCH(orders!$D853,products!$A$1:$A$49,0),MATCH(orders!M$1,products!$A$1:$G$1,0))</f>
        <v>7.77</v>
      </c>
      <c r="N853" s="5">
        <f>Orders[[#This Row],[Quantity]]*(INDEX(products!$A$1:$G$49,MATCH(orders!$D853,products!$A$1:$A$49,0),MATCH(orders!N$1,products!$A$1:$G$1,0)))</f>
        <v>1.0101</v>
      </c>
      <c r="O853" s="5">
        <f>M853*E853</f>
        <v>7.77</v>
      </c>
      <c r="P853" t="str">
        <f t="shared" si="26"/>
        <v>Liberica</v>
      </c>
      <c r="Q853" t="str">
        <f t="shared" si="27"/>
        <v>Dark</v>
      </c>
      <c r="R853" t="str">
        <f>_xlfn.XLOOKUP(Orders[[#This Row],[Customer ID]],customers!$A$1:$A$1001,customers!$I$1:$I$1001,,0)</f>
        <v>Yes</v>
      </c>
    </row>
    <row r="854" spans="1:18" x14ac:dyDescent="0.35">
      <c r="A854" s="2" t="s">
        <v>5305</v>
      </c>
      <c r="B854" s="3">
        <v>44527</v>
      </c>
      <c r="C854" s="2" t="s">
        <v>5306</v>
      </c>
      <c r="D854" t="s">
        <v>6165</v>
      </c>
      <c r="E854" s="2">
        <v>4</v>
      </c>
      <c r="F854" s="2" t="str">
        <f>_xlfn.XLOOKUP(Orders[[#This Row],[Customer ID]],customers!$A$1:$A$1001,customers!$B$1:$B$1001,,0)</f>
        <v>Bear Gaish</v>
      </c>
      <c r="G854" s="2" t="str">
        <f>IF(_xlfn.XLOOKUP(C854,customers!$A$1:$A$1001,customers!C853:C1853,,0)=0,"",_xlfn.XLOOKUP(C854,customers!$A$1:$A$1001,customers!C853:C1853,,0))</f>
        <v/>
      </c>
      <c r="H854" s="2" t="str">
        <f>_xlfn.XLOOKUP(Orders[[#This Row],[Customer ID]],customers!$A$1:$A$1001,customers!$G$1:$G$1001,,0)</f>
        <v>United States</v>
      </c>
      <c r="I854" s="2" t="str">
        <f>_xlfn.XLOOKUP(Orders[[#This Row],[Customer ID]],customers!$A$1:$A$1001,customers!$F$1:$F$1001,,0)</f>
        <v>Austin</v>
      </c>
      <c r="J854" t="str">
        <f>INDEX(products!$A$1:$G$49,MATCH(orders!$D854,products!$A$1:$A$49,0),MATCH(orders!J$1,products!$A$1:$G$1,0))</f>
        <v>Lib</v>
      </c>
      <c r="K854" t="str">
        <f>INDEX(products!$A$1:$G$49,MATCH(orders!$D854,products!$A$1:$A$49,0),MATCH(orders!K$1,products!$A$1:$G$1,0))</f>
        <v>D</v>
      </c>
      <c r="L854" s="4">
        <f>INDEX(products!$A$1:$G$49,MATCH(orders!$D854,products!$A$1:$A$49,0),MATCH(orders!L$1,products!$A$1:$G$1,0))</f>
        <v>2.5</v>
      </c>
      <c r="M854" s="5">
        <f>INDEX(products!$A$1:$G$49,MATCH(orders!$D854,products!$A$1:$A$49,0),MATCH(orders!M$1,products!$A$1:$G$1,0))</f>
        <v>29.784999999999997</v>
      </c>
      <c r="N854" s="5">
        <f>Orders[[#This Row],[Quantity]]*(INDEX(products!$A$1:$G$49,MATCH(orders!$D854,products!$A$1:$A$49,0),MATCH(orders!N$1,products!$A$1:$G$1,0)))</f>
        <v>15.488199999999999</v>
      </c>
      <c r="O854" s="5">
        <f>M854*E854</f>
        <v>119.13999999999999</v>
      </c>
      <c r="P854" t="str">
        <f t="shared" si="26"/>
        <v>Liberica</v>
      </c>
      <c r="Q854" t="str">
        <f t="shared" si="27"/>
        <v>Dark</v>
      </c>
      <c r="R854" t="str">
        <f>_xlfn.XLOOKUP(Orders[[#This Row],[Customer ID]],customers!$A$1:$A$1001,customers!$I$1:$I$1001,,0)</f>
        <v>Yes</v>
      </c>
    </row>
    <row r="855" spans="1:18" x14ac:dyDescent="0.35">
      <c r="A855" s="2" t="s">
        <v>5310</v>
      </c>
      <c r="B855" s="3">
        <v>44259</v>
      </c>
      <c r="C855" s="2" t="s">
        <v>5311</v>
      </c>
      <c r="D855" t="s">
        <v>6147</v>
      </c>
      <c r="E855" s="2">
        <v>2</v>
      </c>
      <c r="F855" s="2" t="str">
        <f>_xlfn.XLOOKUP(Orders[[#This Row],[Customer ID]],customers!$A$1:$A$1001,customers!$B$1:$B$1001,,0)</f>
        <v>Lynnea Danton</v>
      </c>
      <c r="G855" s="2" t="str">
        <f>IF(_xlfn.XLOOKUP(C855,customers!$A$1:$A$1001,customers!C854:C1854,,0)=0,"",_xlfn.XLOOKUP(C855,customers!$A$1:$A$1001,customers!C854:C1854,,0))</f>
        <v/>
      </c>
      <c r="H855" s="2" t="str">
        <f>_xlfn.XLOOKUP(Orders[[#This Row],[Customer ID]],customers!$A$1:$A$1001,customers!$G$1:$G$1001,,0)</f>
        <v>United States</v>
      </c>
      <c r="I855" s="2" t="str">
        <f>_xlfn.XLOOKUP(Orders[[#This Row],[Customer ID]],customers!$A$1:$A$1001,customers!$F$1:$F$1001,,0)</f>
        <v>El Paso</v>
      </c>
      <c r="J855" t="str">
        <f>INDEX(products!$A$1:$G$49,MATCH(orders!$D855,products!$A$1:$A$49,0),MATCH(orders!J$1,products!$A$1:$G$1,0))</f>
        <v>Ara</v>
      </c>
      <c r="K855" t="str">
        <f>INDEX(products!$A$1:$G$49,MATCH(orders!$D855,products!$A$1:$A$49,0),MATCH(orders!K$1,products!$A$1:$G$1,0))</f>
        <v>D</v>
      </c>
      <c r="L855" s="4">
        <f>INDEX(products!$A$1:$G$49,MATCH(orders!$D855,products!$A$1:$A$49,0),MATCH(orders!L$1,products!$A$1:$G$1,0))</f>
        <v>1</v>
      </c>
      <c r="M855" s="5">
        <f>INDEX(products!$A$1:$G$49,MATCH(orders!$D855,products!$A$1:$A$49,0),MATCH(orders!M$1,products!$A$1:$G$1,0))</f>
        <v>9.9499999999999993</v>
      </c>
      <c r="N855" s="5">
        <f>Orders[[#This Row],[Quantity]]*(INDEX(products!$A$1:$G$49,MATCH(orders!$D855,products!$A$1:$A$49,0),MATCH(orders!N$1,products!$A$1:$G$1,0)))</f>
        <v>1.7909999999999997</v>
      </c>
      <c r="O855" s="5">
        <f>M855*E855</f>
        <v>19.899999999999999</v>
      </c>
      <c r="P855" t="str">
        <f t="shared" si="26"/>
        <v>Arabica</v>
      </c>
      <c r="Q855" t="str">
        <f t="shared" si="27"/>
        <v>Dark</v>
      </c>
      <c r="R855" t="str">
        <f>_xlfn.XLOOKUP(Orders[[#This Row],[Customer ID]],customers!$A$1:$A$1001,customers!$I$1:$I$1001,,0)</f>
        <v>No</v>
      </c>
    </row>
    <row r="856" spans="1:18" x14ac:dyDescent="0.35">
      <c r="A856" s="2" t="s">
        <v>5315</v>
      </c>
      <c r="B856" s="3">
        <v>44516</v>
      </c>
      <c r="C856" s="2" t="s">
        <v>5316</v>
      </c>
      <c r="D856" t="s">
        <v>6173</v>
      </c>
      <c r="E856" s="2">
        <v>5</v>
      </c>
      <c r="F856" s="2" t="str">
        <f>_xlfn.XLOOKUP(Orders[[#This Row],[Customer ID]],customers!$A$1:$A$1001,customers!$B$1:$B$1001,,0)</f>
        <v>Skipton Morrall</v>
      </c>
      <c r="G856" s="2" t="str">
        <f>IF(_xlfn.XLOOKUP(C856,customers!$A$1:$A$1001,customers!C855:C1855,,0)=0,"",_xlfn.XLOOKUP(C856,customers!$A$1:$A$1001,customers!C855:C1855,,0))</f>
        <v/>
      </c>
      <c r="H856" s="2" t="str">
        <f>_xlfn.XLOOKUP(Orders[[#This Row],[Customer ID]],customers!$A$1:$A$1001,customers!$G$1:$G$1001,,0)</f>
        <v>United States</v>
      </c>
      <c r="I856" s="2" t="str">
        <f>_xlfn.XLOOKUP(Orders[[#This Row],[Customer ID]],customers!$A$1:$A$1001,customers!$F$1:$F$1001,,0)</f>
        <v>Charleston</v>
      </c>
      <c r="J856" t="str">
        <f>INDEX(products!$A$1:$G$49,MATCH(orders!$D856,products!$A$1:$A$49,0),MATCH(orders!J$1,products!$A$1:$G$1,0))</f>
        <v>Rob</v>
      </c>
      <c r="K856" t="str">
        <f>INDEX(products!$A$1:$G$49,MATCH(orders!$D856,products!$A$1:$A$49,0),MATCH(orders!K$1,products!$A$1:$G$1,0))</f>
        <v>L</v>
      </c>
      <c r="L856" s="4">
        <f>INDEX(products!$A$1:$G$49,MATCH(orders!$D856,products!$A$1:$A$49,0),MATCH(orders!L$1,products!$A$1:$G$1,0))</f>
        <v>0.5</v>
      </c>
      <c r="M856" s="5">
        <f>INDEX(products!$A$1:$G$49,MATCH(orders!$D856,products!$A$1:$A$49,0),MATCH(orders!M$1,products!$A$1:$G$1,0))</f>
        <v>7.169999999999999</v>
      </c>
      <c r="N856" s="5">
        <f>Orders[[#This Row],[Quantity]]*(INDEX(products!$A$1:$G$49,MATCH(orders!$D856,products!$A$1:$A$49,0),MATCH(orders!N$1,products!$A$1:$G$1,0)))</f>
        <v>2.1509999999999998</v>
      </c>
      <c r="O856" s="5">
        <f>M856*E856</f>
        <v>35.849999999999994</v>
      </c>
      <c r="P856" t="str">
        <f t="shared" si="26"/>
        <v>Robusta</v>
      </c>
      <c r="Q856" t="str">
        <f t="shared" si="27"/>
        <v>Light</v>
      </c>
      <c r="R856" t="str">
        <f>_xlfn.XLOOKUP(Orders[[#This Row],[Customer ID]],customers!$A$1:$A$1001,customers!$I$1:$I$1001,,0)</f>
        <v>Yes</v>
      </c>
    </row>
    <row r="857" spans="1:18" x14ac:dyDescent="0.35">
      <c r="A857" s="2" t="s">
        <v>5321</v>
      </c>
      <c r="B857" s="3">
        <v>43632</v>
      </c>
      <c r="C857" s="2" t="s">
        <v>5322</v>
      </c>
      <c r="D857" t="s">
        <v>6165</v>
      </c>
      <c r="E857" s="2">
        <v>3</v>
      </c>
      <c r="F857" s="2" t="str">
        <f>_xlfn.XLOOKUP(Orders[[#This Row],[Customer ID]],customers!$A$1:$A$1001,customers!$B$1:$B$1001,,0)</f>
        <v>Devan Crownshaw</v>
      </c>
      <c r="G857" s="2" t="str">
        <f>IF(_xlfn.XLOOKUP(C857,customers!$A$1:$A$1001,customers!C856:C1856,,0)=0,"",_xlfn.XLOOKUP(C857,customers!$A$1:$A$1001,customers!C856:C1856,,0))</f>
        <v/>
      </c>
      <c r="H857" s="2" t="str">
        <f>_xlfn.XLOOKUP(Orders[[#This Row],[Customer ID]],customers!$A$1:$A$1001,customers!$G$1:$G$1001,,0)</f>
        <v>United States</v>
      </c>
      <c r="I857" s="2" t="str">
        <f>_xlfn.XLOOKUP(Orders[[#This Row],[Customer ID]],customers!$A$1:$A$1001,customers!$F$1:$F$1001,,0)</f>
        <v>Allentown</v>
      </c>
      <c r="J857" t="str">
        <f>INDEX(products!$A$1:$G$49,MATCH(orders!$D857,products!$A$1:$A$49,0),MATCH(orders!J$1,products!$A$1:$G$1,0))</f>
        <v>Lib</v>
      </c>
      <c r="K857" t="str">
        <f>INDEX(products!$A$1:$G$49,MATCH(orders!$D857,products!$A$1:$A$49,0),MATCH(orders!K$1,products!$A$1:$G$1,0))</f>
        <v>D</v>
      </c>
      <c r="L857" s="4">
        <f>INDEX(products!$A$1:$G$49,MATCH(orders!$D857,products!$A$1:$A$49,0),MATCH(orders!L$1,products!$A$1:$G$1,0))</f>
        <v>2.5</v>
      </c>
      <c r="M857" s="5">
        <f>INDEX(products!$A$1:$G$49,MATCH(orders!$D857,products!$A$1:$A$49,0),MATCH(orders!M$1,products!$A$1:$G$1,0))</f>
        <v>29.784999999999997</v>
      </c>
      <c r="N857" s="5">
        <f>Orders[[#This Row],[Quantity]]*(INDEX(products!$A$1:$G$49,MATCH(orders!$D857,products!$A$1:$A$49,0),MATCH(orders!N$1,products!$A$1:$G$1,0)))</f>
        <v>11.616149999999999</v>
      </c>
      <c r="O857" s="5">
        <f>M857*E857</f>
        <v>89.35499999999999</v>
      </c>
      <c r="P857" t="str">
        <f t="shared" si="26"/>
        <v>Liberica</v>
      </c>
      <c r="Q857" t="str">
        <f t="shared" si="27"/>
        <v>Dark</v>
      </c>
      <c r="R857" t="str">
        <f>_xlfn.XLOOKUP(Orders[[#This Row],[Customer ID]],customers!$A$1:$A$1001,customers!$I$1:$I$1001,,0)</f>
        <v>No</v>
      </c>
    </row>
    <row r="858" spans="1:18" x14ac:dyDescent="0.35">
      <c r="A858" s="2" t="s">
        <v>5327</v>
      </c>
      <c r="B858" s="3">
        <v>44031</v>
      </c>
      <c r="C858" s="2" t="s">
        <v>5188</v>
      </c>
      <c r="D858" t="s">
        <v>6159</v>
      </c>
      <c r="E858" s="2">
        <v>2</v>
      </c>
      <c r="F858" s="2" t="str">
        <f>_xlfn.XLOOKUP(Orders[[#This Row],[Customer ID]],customers!$A$1:$A$1001,customers!$B$1:$B$1001,,0)</f>
        <v>Odelia Skerme</v>
      </c>
      <c r="G858" s="2" t="str">
        <f>IF(_xlfn.XLOOKUP(C858,customers!$A$1:$A$1001,customers!C857:C1857,,0)=0,"",_xlfn.XLOOKUP(C858,customers!$A$1:$A$1001,customers!C857:C1857,,0))</f>
        <v/>
      </c>
      <c r="H858" s="2" t="str">
        <f>_xlfn.XLOOKUP(Orders[[#This Row],[Customer ID]],customers!$A$1:$A$1001,customers!$G$1:$G$1001,,0)</f>
        <v>United States</v>
      </c>
      <c r="I858" s="2" t="str">
        <f>_xlfn.XLOOKUP(Orders[[#This Row],[Customer ID]],customers!$A$1:$A$1001,customers!$F$1:$F$1001,,0)</f>
        <v>Oklahoma City</v>
      </c>
      <c r="J858" t="str">
        <f>INDEX(products!$A$1:$G$49,MATCH(orders!$D858,products!$A$1:$A$49,0),MATCH(orders!J$1,products!$A$1:$G$1,0))</f>
        <v>Lib</v>
      </c>
      <c r="K858" t="str">
        <f>INDEX(products!$A$1:$G$49,MATCH(orders!$D858,products!$A$1:$A$49,0),MATCH(orders!K$1,products!$A$1:$G$1,0))</f>
        <v>M</v>
      </c>
      <c r="L858" s="4">
        <f>INDEX(products!$A$1:$G$49,MATCH(orders!$D858,products!$A$1:$A$49,0),MATCH(orders!L$1,products!$A$1:$G$1,0))</f>
        <v>0.2</v>
      </c>
      <c r="M858" s="5">
        <f>INDEX(products!$A$1:$G$49,MATCH(orders!$D858,products!$A$1:$A$49,0),MATCH(orders!M$1,products!$A$1:$G$1,0))</f>
        <v>4.3650000000000002</v>
      </c>
      <c r="N858" s="5">
        <f>Orders[[#This Row],[Quantity]]*(INDEX(products!$A$1:$G$49,MATCH(orders!$D858,products!$A$1:$A$49,0),MATCH(orders!N$1,products!$A$1:$G$1,0)))</f>
        <v>1.1349</v>
      </c>
      <c r="O858" s="5">
        <f>M858*E858</f>
        <v>8.73</v>
      </c>
      <c r="P858" t="str">
        <f t="shared" si="26"/>
        <v>Liberica</v>
      </c>
      <c r="Q858" t="str">
        <f t="shared" si="27"/>
        <v>Medium</v>
      </c>
      <c r="R858" t="str">
        <f>_xlfn.XLOOKUP(Orders[[#This Row],[Customer ID]],customers!$A$1:$A$1001,customers!$I$1:$I$1001,,0)</f>
        <v>Yes</v>
      </c>
    </row>
    <row r="859" spans="1:18" x14ac:dyDescent="0.35">
      <c r="A859" s="2" t="s">
        <v>5333</v>
      </c>
      <c r="B859" s="3">
        <v>43889</v>
      </c>
      <c r="C859" s="2" t="s">
        <v>5334</v>
      </c>
      <c r="D859" t="s">
        <v>6142</v>
      </c>
      <c r="E859" s="2">
        <v>5</v>
      </c>
      <c r="F859" s="2" t="str">
        <f>_xlfn.XLOOKUP(Orders[[#This Row],[Customer ID]],customers!$A$1:$A$1001,customers!$B$1:$B$1001,,0)</f>
        <v>Joceline Reddoch</v>
      </c>
      <c r="G859" s="2" t="str">
        <f>IF(_xlfn.XLOOKUP(C859,customers!$A$1:$A$1001,customers!C858:C1858,,0)=0,"",_xlfn.XLOOKUP(C859,customers!$A$1:$A$1001,customers!C858:C1858,,0))</f>
        <v/>
      </c>
      <c r="H859" s="2" t="str">
        <f>_xlfn.XLOOKUP(Orders[[#This Row],[Customer ID]],customers!$A$1:$A$1001,customers!$G$1:$G$1001,,0)</f>
        <v>United States</v>
      </c>
      <c r="I859" s="2" t="str">
        <f>_xlfn.XLOOKUP(Orders[[#This Row],[Customer ID]],customers!$A$1:$A$1001,customers!$F$1:$F$1001,,0)</f>
        <v>Largo</v>
      </c>
      <c r="J859" t="str">
        <f>INDEX(products!$A$1:$G$49,MATCH(orders!$D859,products!$A$1:$A$49,0),MATCH(orders!J$1,products!$A$1:$G$1,0))</f>
        <v>Rob</v>
      </c>
      <c r="K859" t="str">
        <f>INDEX(products!$A$1:$G$49,MATCH(orders!$D859,products!$A$1:$A$49,0),MATCH(orders!K$1,products!$A$1:$G$1,0))</f>
        <v>L</v>
      </c>
      <c r="L859" s="4">
        <f>INDEX(products!$A$1:$G$49,MATCH(orders!$D859,products!$A$1:$A$49,0),MATCH(orders!L$1,products!$A$1:$G$1,0))</f>
        <v>2.5</v>
      </c>
      <c r="M859" s="5">
        <f>INDEX(products!$A$1:$G$49,MATCH(orders!$D859,products!$A$1:$A$49,0),MATCH(orders!M$1,products!$A$1:$G$1,0))</f>
        <v>27.484999999999996</v>
      </c>
      <c r="N859" s="5">
        <f>Orders[[#This Row],[Quantity]]*(INDEX(products!$A$1:$G$49,MATCH(orders!$D859,products!$A$1:$A$49,0),MATCH(orders!N$1,products!$A$1:$G$1,0)))</f>
        <v>8.2454999999999998</v>
      </c>
      <c r="O859" s="5">
        <f>M859*E859</f>
        <v>137.42499999999998</v>
      </c>
      <c r="P859" t="str">
        <f t="shared" si="26"/>
        <v>Robusta</v>
      </c>
      <c r="Q859" t="str">
        <f t="shared" si="27"/>
        <v>Light</v>
      </c>
      <c r="R859" t="str">
        <f>_xlfn.XLOOKUP(Orders[[#This Row],[Customer ID]],customers!$A$1:$A$1001,customers!$I$1:$I$1001,,0)</f>
        <v>No</v>
      </c>
    </row>
    <row r="860" spans="1:18" x14ac:dyDescent="0.35">
      <c r="A860" s="2" t="s">
        <v>5339</v>
      </c>
      <c r="B860" s="3">
        <v>43638</v>
      </c>
      <c r="C860" s="2" t="s">
        <v>5340</v>
      </c>
      <c r="D860" t="s">
        <v>6160</v>
      </c>
      <c r="E860" s="2">
        <v>4</v>
      </c>
      <c r="F860" s="2" t="str">
        <f>_xlfn.XLOOKUP(Orders[[#This Row],[Customer ID]],customers!$A$1:$A$1001,customers!$B$1:$B$1001,,0)</f>
        <v>Shelley Titley</v>
      </c>
      <c r="G860" s="2" t="str">
        <f>IF(_xlfn.XLOOKUP(C860,customers!$A$1:$A$1001,customers!C859:C1859,,0)=0,"",_xlfn.XLOOKUP(C860,customers!$A$1:$A$1001,customers!C859:C1859,,0))</f>
        <v/>
      </c>
      <c r="H860" s="2" t="str">
        <f>_xlfn.XLOOKUP(Orders[[#This Row],[Customer ID]],customers!$A$1:$A$1001,customers!$G$1:$G$1001,,0)</f>
        <v>United States</v>
      </c>
      <c r="I860" s="2" t="str">
        <f>_xlfn.XLOOKUP(Orders[[#This Row],[Customer ID]],customers!$A$1:$A$1001,customers!$F$1:$F$1001,,0)</f>
        <v>Fargo</v>
      </c>
      <c r="J860" t="str">
        <f>INDEX(products!$A$1:$G$49,MATCH(orders!$D860,products!$A$1:$A$49,0),MATCH(orders!J$1,products!$A$1:$G$1,0))</f>
        <v>Lib</v>
      </c>
      <c r="K860" t="str">
        <f>INDEX(products!$A$1:$G$49,MATCH(orders!$D860,products!$A$1:$A$49,0),MATCH(orders!K$1,products!$A$1:$G$1,0))</f>
        <v>M</v>
      </c>
      <c r="L860" s="4">
        <f>INDEX(products!$A$1:$G$49,MATCH(orders!$D860,products!$A$1:$A$49,0),MATCH(orders!L$1,products!$A$1:$G$1,0))</f>
        <v>0.5</v>
      </c>
      <c r="M860" s="5">
        <f>INDEX(products!$A$1:$G$49,MATCH(orders!$D860,products!$A$1:$A$49,0),MATCH(orders!M$1,products!$A$1:$G$1,0))</f>
        <v>8.73</v>
      </c>
      <c r="N860" s="5">
        <f>Orders[[#This Row],[Quantity]]*(INDEX(products!$A$1:$G$49,MATCH(orders!$D860,products!$A$1:$A$49,0),MATCH(orders!N$1,products!$A$1:$G$1,0)))</f>
        <v>4.5396000000000001</v>
      </c>
      <c r="O860" s="5">
        <f>M860*E860</f>
        <v>34.92</v>
      </c>
      <c r="P860" t="str">
        <f t="shared" si="26"/>
        <v>Liberica</v>
      </c>
      <c r="Q860" t="str">
        <f t="shared" si="27"/>
        <v>Medium</v>
      </c>
      <c r="R860" t="str">
        <f>_xlfn.XLOOKUP(Orders[[#This Row],[Customer ID]],customers!$A$1:$A$1001,customers!$I$1:$I$1001,,0)</f>
        <v>No</v>
      </c>
    </row>
    <row r="861" spans="1:18" x14ac:dyDescent="0.35">
      <c r="A861" s="2" t="s">
        <v>5345</v>
      </c>
      <c r="B861" s="3">
        <v>43716</v>
      </c>
      <c r="C861" s="2" t="s">
        <v>5346</v>
      </c>
      <c r="D861" t="s">
        <v>6182</v>
      </c>
      <c r="E861" s="2">
        <v>6</v>
      </c>
      <c r="F861" s="2" t="str">
        <f>_xlfn.XLOOKUP(Orders[[#This Row],[Customer ID]],customers!$A$1:$A$1001,customers!$B$1:$B$1001,,0)</f>
        <v>Redd Simao</v>
      </c>
      <c r="G861" s="2" t="str">
        <f>IF(_xlfn.XLOOKUP(C861,customers!$A$1:$A$1001,customers!C860:C1860,,0)=0,"",_xlfn.XLOOKUP(C861,customers!$A$1:$A$1001,customers!C860:C1860,,0))</f>
        <v/>
      </c>
      <c r="H861" s="2" t="str">
        <f>_xlfn.XLOOKUP(Orders[[#This Row],[Customer ID]],customers!$A$1:$A$1001,customers!$G$1:$G$1001,,0)</f>
        <v>United States</v>
      </c>
      <c r="I861" s="2" t="str">
        <f>_xlfn.XLOOKUP(Orders[[#This Row],[Customer ID]],customers!$A$1:$A$1001,customers!$F$1:$F$1001,,0)</f>
        <v>Fort Smith</v>
      </c>
      <c r="J861" t="str">
        <f>INDEX(products!$A$1:$G$49,MATCH(orders!$D861,products!$A$1:$A$49,0),MATCH(orders!J$1,products!$A$1:$G$1,0))</f>
        <v>Ara</v>
      </c>
      <c r="K861" t="str">
        <f>INDEX(products!$A$1:$G$49,MATCH(orders!$D861,products!$A$1:$A$49,0),MATCH(orders!K$1,products!$A$1:$G$1,0))</f>
        <v>L</v>
      </c>
      <c r="L861" s="4">
        <f>INDEX(products!$A$1:$G$49,MATCH(orders!$D861,products!$A$1:$A$49,0),MATCH(orders!L$1,products!$A$1:$G$1,0))</f>
        <v>2.5</v>
      </c>
      <c r="M861" s="5">
        <f>INDEX(products!$A$1:$G$49,MATCH(orders!$D861,products!$A$1:$A$49,0),MATCH(orders!M$1,products!$A$1:$G$1,0))</f>
        <v>29.784999999999997</v>
      </c>
      <c r="N861" s="5">
        <f>Orders[[#This Row],[Quantity]]*(INDEX(products!$A$1:$G$49,MATCH(orders!$D861,products!$A$1:$A$49,0),MATCH(orders!N$1,products!$A$1:$G$1,0)))</f>
        <v>16.083899999999996</v>
      </c>
      <c r="O861" s="5">
        <f>M861*E861</f>
        <v>178.70999999999998</v>
      </c>
      <c r="P861" t="str">
        <f t="shared" si="26"/>
        <v>Arabica</v>
      </c>
      <c r="Q861" t="str">
        <f t="shared" si="27"/>
        <v>Light</v>
      </c>
      <c r="R861" t="str">
        <f>_xlfn.XLOOKUP(Orders[[#This Row],[Customer ID]],customers!$A$1:$A$1001,customers!$I$1:$I$1001,,0)</f>
        <v>No</v>
      </c>
    </row>
    <row r="862" spans="1:18" x14ac:dyDescent="0.35">
      <c r="A862" s="2" t="s">
        <v>5351</v>
      </c>
      <c r="B862" s="3">
        <v>44707</v>
      </c>
      <c r="C862" s="2" t="s">
        <v>5352</v>
      </c>
      <c r="D862" t="s">
        <v>6175</v>
      </c>
      <c r="E862" s="2">
        <v>1</v>
      </c>
      <c r="F862" s="2" t="str">
        <f>_xlfn.XLOOKUP(Orders[[#This Row],[Customer ID]],customers!$A$1:$A$1001,customers!$B$1:$B$1001,,0)</f>
        <v>Cece Inker</v>
      </c>
      <c r="G862" s="2" t="str">
        <f>IF(_xlfn.XLOOKUP(C862,customers!$A$1:$A$1001,customers!C861:C1861,,0)=0,"",_xlfn.XLOOKUP(C862,customers!$A$1:$A$1001,customers!C861:C1861,,0))</f>
        <v/>
      </c>
      <c r="H862" s="2" t="str">
        <f>_xlfn.XLOOKUP(Orders[[#This Row],[Customer ID]],customers!$A$1:$A$1001,customers!$G$1:$G$1001,,0)</f>
        <v>United States</v>
      </c>
      <c r="I862" s="2" t="str">
        <f>_xlfn.XLOOKUP(Orders[[#This Row],[Customer ID]],customers!$A$1:$A$1001,customers!$F$1:$F$1001,,0)</f>
        <v>Lakeland</v>
      </c>
      <c r="J862" t="str">
        <f>INDEX(products!$A$1:$G$49,MATCH(orders!$D862,products!$A$1:$A$49,0),MATCH(orders!J$1,products!$A$1:$G$1,0))</f>
        <v>Ara</v>
      </c>
      <c r="K862" t="str">
        <f>INDEX(products!$A$1:$G$49,MATCH(orders!$D862,products!$A$1:$A$49,0),MATCH(orders!K$1,products!$A$1:$G$1,0))</f>
        <v>M</v>
      </c>
      <c r="L862" s="4">
        <f>INDEX(products!$A$1:$G$49,MATCH(orders!$D862,products!$A$1:$A$49,0),MATCH(orders!L$1,products!$A$1:$G$1,0))</f>
        <v>2.5</v>
      </c>
      <c r="M862" s="5">
        <f>INDEX(products!$A$1:$G$49,MATCH(orders!$D862,products!$A$1:$A$49,0),MATCH(orders!M$1,products!$A$1:$G$1,0))</f>
        <v>25.874999999999996</v>
      </c>
      <c r="N862" s="5">
        <f>Orders[[#This Row],[Quantity]]*(INDEX(products!$A$1:$G$49,MATCH(orders!$D862,products!$A$1:$A$49,0),MATCH(orders!N$1,products!$A$1:$G$1,0)))</f>
        <v>2.3287499999999994</v>
      </c>
      <c r="O862" s="5">
        <f>M862*E862</f>
        <v>25.874999999999996</v>
      </c>
      <c r="P862" t="str">
        <f t="shared" si="26"/>
        <v>Arabica</v>
      </c>
      <c r="Q862" t="str">
        <f t="shared" si="27"/>
        <v>Medium</v>
      </c>
      <c r="R862" t="str">
        <f>_xlfn.XLOOKUP(Orders[[#This Row],[Customer ID]],customers!$A$1:$A$1001,customers!$I$1:$I$1001,,0)</f>
        <v>No</v>
      </c>
    </row>
    <row r="863" spans="1:18" x14ac:dyDescent="0.35">
      <c r="A863" s="2" t="s">
        <v>5356</v>
      </c>
      <c r="B863" s="3">
        <v>43802</v>
      </c>
      <c r="C863" s="2" t="s">
        <v>5357</v>
      </c>
      <c r="D863" t="s">
        <v>6143</v>
      </c>
      <c r="E863" s="2">
        <v>6</v>
      </c>
      <c r="F863" s="2" t="str">
        <f>_xlfn.XLOOKUP(Orders[[#This Row],[Customer ID]],customers!$A$1:$A$1001,customers!$B$1:$B$1001,,0)</f>
        <v>Noel Chisholm</v>
      </c>
      <c r="G863" s="2" t="str">
        <f>IF(_xlfn.XLOOKUP(C863,customers!$A$1:$A$1001,customers!C862:C1862,,0)=0,"",_xlfn.XLOOKUP(C863,customers!$A$1:$A$1001,customers!C862:C1862,,0))</f>
        <v/>
      </c>
      <c r="H863" s="2" t="str">
        <f>_xlfn.XLOOKUP(Orders[[#This Row],[Customer ID]],customers!$A$1:$A$1001,customers!$G$1:$G$1001,,0)</f>
        <v>United States</v>
      </c>
      <c r="I863" s="2" t="str">
        <f>_xlfn.XLOOKUP(Orders[[#This Row],[Customer ID]],customers!$A$1:$A$1001,customers!$F$1:$F$1001,,0)</f>
        <v>Knoxville</v>
      </c>
      <c r="J863" t="str">
        <f>INDEX(products!$A$1:$G$49,MATCH(orders!$D863,products!$A$1:$A$49,0),MATCH(orders!J$1,products!$A$1:$G$1,0))</f>
        <v>Lib</v>
      </c>
      <c r="K863" t="str">
        <f>INDEX(products!$A$1:$G$49,MATCH(orders!$D863,products!$A$1:$A$49,0),MATCH(orders!K$1,products!$A$1:$G$1,0))</f>
        <v>D</v>
      </c>
      <c r="L863" s="4">
        <f>INDEX(products!$A$1:$G$49,MATCH(orders!$D863,products!$A$1:$A$49,0),MATCH(orders!L$1,products!$A$1:$G$1,0))</f>
        <v>1</v>
      </c>
      <c r="M863" s="5">
        <f>INDEX(products!$A$1:$G$49,MATCH(orders!$D863,products!$A$1:$A$49,0),MATCH(orders!M$1,products!$A$1:$G$1,0))</f>
        <v>12.95</v>
      </c>
      <c r="N863" s="5">
        <f>Orders[[#This Row],[Quantity]]*(INDEX(products!$A$1:$G$49,MATCH(orders!$D863,products!$A$1:$A$49,0),MATCH(orders!N$1,products!$A$1:$G$1,0)))</f>
        <v>10.100999999999999</v>
      </c>
      <c r="O863" s="5">
        <f>M863*E863</f>
        <v>77.699999999999989</v>
      </c>
      <c r="P863" t="str">
        <f t="shared" si="26"/>
        <v>Liberica</v>
      </c>
      <c r="Q863" t="str">
        <f t="shared" si="27"/>
        <v>Dark</v>
      </c>
      <c r="R863" t="str">
        <f>_xlfn.XLOOKUP(Orders[[#This Row],[Customer ID]],customers!$A$1:$A$1001,customers!$I$1:$I$1001,,0)</f>
        <v>Yes</v>
      </c>
    </row>
    <row r="864" spans="1:18" x14ac:dyDescent="0.35">
      <c r="A864" s="2" t="s">
        <v>5362</v>
      </c>
      <c r="B864" s="3">
        <v>43725</v>
      </c>
      <c r="C864" s="2" t="s">
        <v>5363</v>
      </c>
      <c r="D864" t="s">
        <v>6138</v>
      </c>
      <c r="E864" s="2">
        <v>1</v>
      </c>
      <c r="F864" s="2" t="str">
        <f>_xlfn.XLOOKUP(Orders[[#This Row],[Customer ID]],customers!$A$1:$A$1001,customers!$B$1:$B$1001,,0)</f>
        <v>Grazia Oats</v>
      </c>
      <c r="G864" s="2" t="str">
        <f>IF(_xlfn.XLOOKUP(C864,customers!$A$1:$A$1001,customers!C863:C1863,,0)=0,"",_xlfn.XLOOKUP(C864,customers!$A$1:$A$1001,customers!C863:C1863,,0))</f>
        <v/>
      </c>
      <c r="H864" s="2" t="str">
        <f>_xlfn.XLOOKUP(Orders[[#This Row],[Customer ID]],customers!$A$1:$A$1001,customers!$G$1:$G$1001,,0)</f>
        <v>United States</v>
      </c>
      <c r="I864" s="2" t="str">
        <f>_xlfn.XLOOKUP(Orders[[#This Row],[Customer ID]],customers!$A$1:$A$1001,customers!$F$1:$F$1001,,0)</f>
        <v>Los Angeles</v>
      </c>
      <c r="J864" t="str">
        <f>INDEX(products!$A$1:$G$49,MATCH(orders!$D864,products!$A$1:$A$49,0),MATCH(orders!J$1,products!$A$1:$G$1,0))</f>
        <v>Rob</v>
      </c>
      <c r="K864" t="str">
        <f>INDEX(products!$A$1:$G$49,MATCH(orders!$D864,products!$A$1:$A$49,0),MATCH(orders!K$1,products!$A$1:$G$1,0))</f>
        <v>M</v>
      </c>
      <c r="L864" s="4">
        <f>INDEX(products!$A$1:$G$49,MATCH(orders!$D864,products!$A$1:$A$49,0),MATCH(orders!L$1,products!$A$1:$G$1,0))</f>
        <v>1</v>
      </c>
      <c r="M864" s="5">
        <f>INDEX(products!$A$1:$G$49,MATCH(orders!$D864,products!$A$1:$A$49,0),MATCH(orders!M$1,products!$A$1:$G$1,0))</f>
        <v>9.9499999999999993</v>
      </c>
      <c r="N864" s="5">
        <f>Orders[[#This Row],[Quantity]]*(INDEX(products!$A$1:$G$49,MATCH(orders!$D864,products!$A$1:$A$49,0),MATCH(orders!N$1,products!$A$1:$G$1,0)))</f>
        <v>0.59699999999999998</v>
      </c>
      <c r="O864" s="5">
        <f>M864*E864</f>
        <v>9.9499999999999993</v>
      </c>
      <c r="P864" t="str">
        <f t="shared" si="26"/>
        <v>Robusta</v>
      </c>
      <c r="Q864" t="str">
        <f t="shared" si="27"/>
        <v>Medium</v>
      </c>
      <c r="R864" t="str">
        <f>_xlfn.XLOOKUP(Orders[[#This Row],[Customer ID]],customers!$A$1:$A$1001,customers!$I$1:$I$1001,,0)</f>
        <v>Yes</v>
      </c>
    </row>
    <row r="865" spans="1:18" x14ac:dyDescent="0.35">
      <c r="A865" s="2" t="s">
        <v>5368</v>
      </c>
      <c r="B865" s="3">
        <v>44712</v>
      </c>
      <c r="C865" s="2" t="s">
        <v>5369</v>
      </c>
      <c r="D865" t="s">
        <v>6162</v>
      </c>
      <c r="E865" s="2">
        <v>2</v>
      </c>
      <c r="F865" s="2" t="str">
        <f>_xlfn.XLOOKUP(Orders[[#This Row],[Customer ID]],customers!$A$1:$A$1001,customers!$B$1:$B$1001,,0)</f>
        <v>Meade Birkin</v>
      </c>
      <c r="G865" s="2" t="str">
        <f>IF(_xlfn.XLOOKUP(C865,customers!$A$1:$A$1001,customers!C864:C1864,,0)=0,"",_xlfn.XLOOKUP(C865,customers!$A$1:$A$1001,customers!C864:C1864,,0))</f>
        <v/>
      </c>
      <c r="H865" s="2" t="str">
        <f>_xlfn.XLOOKUP(Orders[[#This Row],[Customer ID]],customers!$A$1:$A$1001,customers!$G$1:$G$1001,,0)</f>
        <v>United States</v>
      </c>
      <c r="I865" s="2" t="str">
        <f>_xlfn.XLOOKUP(Orders[[#This Row],[Customer ID]],customers!$A$1:$A$1001,customers!$F$1:$F$1001,,0)</f>
        <v>Miami</v>
      </c>
      <c r="J865" t="str">
        <f>INDEX(products!$A$1:$G$49,MATCH(orders!$D865,products!$A$1:$A$49,0),MATCH(orders!J$1,products!$A$1:$G$1,0))</f>
        <v>Lib</v>
      </c>
      <c r="K865" t="str">
        <f>INDEX(products!$A$1:$G$49,MATCH(orders!$D865,products!$A$1:$A$49,0),MATCH(orders!K$1,products!$A$1:$G$1,0))</f>
        <v>M</v>
      </c>
      <c r="L865" s="4">
        <f>INDEX(products!$A$1:$G$49,MATCH(orders!$D865,products!$A$1:$A$49,0),MATCH(orders!L$1,products!$A$1:$G$1,0))</f>
        <v>1</v>
      </c>
      <c r="M865" s="5">
        <f>INDEX(products!$A$1:$G$49,MATCH(orders!$D865,products!$A$1:$A$49,0),MATCH(orders!M$1,products!$A$1:$G$1,0))</f>
        <v>14.55</v>
      </c>
      <c r="N865" s="5">
        <f>Orders[[#This Row],[Quantity]]*(INDEX(products!$A$1:$G$49,MATCH(orders!$D865,products!$A$1:$A$49,0),MATCH(orders!N$1,products!$A$1:$G$1,0)))</f>
        <v>3.7830000000000004</v>
      </c>
      <c r="O865" s="5">
        <f>M865*E865</f>
        <v>29.1</v>
      </c>
      <c r="P865" t="str">
        <f t="shared" si="26"/>
        <v>Liberica</v>
      </c>
      <c r="Q865" t="str">
        <f t="shared" si="27"/>
        <v>Medium</v>
      </c>
      <c r="R865" t="str">
        <f>_xlfn.XLOOKUP(Orders[[#This Row],[Customer ID]],customers!$A$1:$A$1001,customers!$I$1:$I$1001,,0)</f>
        <v>Yes</v>
      </c>
    </row>
    <row r="866" spans="1:18" x14ac:dyDescent="0.35">
      <c r="A866" s="2" t="s">
        <v>5374</v>
      </c>
      <c r="B866" s="3">
        <v>43759</v>
      </c>
      <c r="C866" s="2" t="s">
        <v>5375</v>
      </c>
      <c r="D866" t="s">
        <v>6178</v>
      </c>
      <c r="E866" s="2">
        <v>6</v>
      </c>
      <c r="F866" s="2" t="str">
        <f>_xlfn.XLOOKUP(Orders[[#This Row],[Customer ID]],customers!$A$1:$A$1001,customers!$B$1:$B$1001,,0)</f>
        <v>Ronda Pyson</v>
      </c>
      <c r="G866" s="2" t="str">
        <f>IF(_xlfn.XLOOKUP(C866,customers!$A$1:$A$1001,customers!C865:C1865,,0)=0,"",_xlfn.XLOOKUP(C866,customers!$A$1:$A$1001,customers!C865:C1865,,0))</f>
        <v/>
      </c>
      <c r="H866" s="2" t="str">
        <f>_xlfn.XLOOKUP(Orders[[#This Row],[Customer ID]],customers!$A$1:$A$1001,customers!$G$1:$G$1001,,0)</f>
        <v>Ireland</v>
      </c>
      <c r="I866" s="2" t="str">
        <f>_xlfn.XLOOKUP(Orders[[#This Row],[Customer ID]],customers!$A$1:$A$1001,customers!$F$1:$F$1001,,0)</f>
        <v>Clones</v>
      </c>
      <c r="J866" t="str">
        <f>INDEX(products!$A$1:$G$49,MATCH(orders!$D866,products!$A$1:$A$49,0),MATCH(orders!J$1,products!$A$1:$G$1,0))</f>
        <v>Rob</v>
      </c>
      <c r="K866" t="str">
        <f>INDEX(products!$A$1:$G$49,MATCH(orders!$D866,products!$A$1:$A$49,0),MATCH(orders!K$1,products!$A$1:$G$1,0))</f>
        <v>L</v>
      </c>
      <c r="L866" s="4">
        <f>INDEX(products!$A$1:$G$49,MATCH(orders!$D866,products!$A$1:$A$49,0),MATCH(orders!L$1,products!$A$1:$G$1,0))</f>
        <v>0.2</v>
      </c>
      <c r="M866" s="5">
        <f>INDEX(products!$A$1:$G$49,MATCH(orders!$D866,products!$A$1:$A$49,0),MATCH(orders!M$1,products!$A$1:$G$1,0))</f>
        <v>3.5849999999999995</v>
      </c>
      <c r="N866" s="5">
        <f>Orders[[#This Row],[Quantity]]*(INDEX(products!$A$1:$G$49,MATCH(orders!$D866,products!$A$1:$A$49,0),MATCH(orders!N$1,products!$A$1:$G$1,0)))</f>
        <v>1.2905999999999997</v>
      </c>
      <c r="O866" s="5">
        <f>M866*E866</f>
        <v>21.509999999999998</v>
      </c>
      <c r="P866" t="str">
        <f t="shared" si="26"/>
        <v>Robusta</v>
      </c>
      <c r="Q866" t="str">
        <f t="shared" si="27"/>
        <v>Light</v>
      </c>
      <c r="R866" t="str">
        <f>_xlfn.XLOOKUP(Orders[[#This Row],[Customer ID]],customers!$A$1:$A$1001,customers!$I$1:$I$1001,,0)</f>
        <v>No</v>
      </c>
    </row>
    <row r="867" spans="1:18" x14ac:dyDescent="0.35">
      <c r="A867" s="2" t="s">
        <v>5380</v>
      </c>
      <c r="B867" s="3">
        <v>44675</v>
      </c>
      <c r="C867" s="2" t="s">
        <v>5428</v>
      </c>
      <c r="D867" t="s">
        <v>6157</v>
      </c>
      <c r="E867" s="2">
        <v>1</v>
      </c>
      <c r="F867" s="2" t="str">
        <f>_xlfn.XLOOKUP(Orders[[#This Row],[Customer ID]],customers!$A$1:$A$1001,customers!$B$1:$B$1001,,0)</f>
        <v>Modesty MacConnechie</v>
      </c>
      <c r="G867" s="2" t="str">
        <f>IF(_xlfn.XLOOKUP(C867,customers!$A$1:$A$1001,customers!C866:C1866,,0)=0,"",_xlfn.XLOOKUP(C867,customers!$A$1:$A$1001,customers!C866:C1866,,0))</f>
        <v/>
      </c>
      <c r="H867" s="2" t="str">
        <f>_xlfn.XLOOKUP(Orders[[#This Row],[Customer ID]],customers!$A$1:$A$1001,customers!$G$1:$G$1001,,0)</f>
        <v>United States</v>
      </c>
      <c r="I867" s="2" t="str">
        <f>_xlfn.XLOOKUP(Orders[[#This Row],[Customer ID]],customers!$A$1:$A$1001,customers!$F$1:$F$1001,,0)</f>
        <v>Charleston</v>
      </c>
      <c r="J867" t="str">
        <f>INDEX(products!$A$1:$G$49,MATCH(orders!$D867,products!$A$1:$A$49,0),MATCH(orders!J$1,products!$A$1:$G$1,0))</f>
        <v>Ara</v>
      </c>
      <c r="K867" t="str">
        <f>INDEX(products!$A$1:$G$49,MATCH(orders!$D867,products!$A$1:$A$49,0),MATCH(orders!K$1,products!$A$1:$G$1,0))</f>
        <v>M</v>
      </c>
      <c r="L867" s="4">
        <f>INDEX(products!$A$1:$G$49,MATCH(orders!$D867,products!$A$1:$A$49,0),MATCH(orders!L$1,products!$A$1:$G$1,0))</f>
        <v>0.5</v>
      </c>
      <c r="M867" s="5">
        <f>INDEX(products!$A$1:$G$49,MATCH(orders!$D867,products!$A$1:$A$49,0),MATCH(orders!M$1,products!$A$1:$G$1,0))</f>
        <v>6.75</v>
      </c>
      <c r="N867" s="5">
        <f>Orders[[#This Row],[Quantity]]*(INDEX(products!$A$1:$G$49,MATCH(orders!$D867,products!$A$1:$A$49,0),MATCH(orders!N$1,products!$A$1:$G$1,0)))</f>
        <v>0.60749999999999993</v>
      </c>
      <c r="O867" s="5">
        <f>M867*E867</f>
        <v>6.75</v>
      </c>
      <c r="P867" t="str">
        <f t="shared" si="26"/>
        <v>Arabica</v>
      </c>
      <c r="Q867" t="str">
        <f t="shared" si="27"/>
        <v>Medium</v>
      </c>
      <c r="R867" t="str">
        <f>_xlfn.XLOOKUP(Orders[[#This Row],[Customer ID]],customers!$A$1:$A$1001,customers!$I$1:$I$1001,,0)</f>
        <v>Yes</v>
      </c>
    </row>
    <row r="868" spans="1:18" x14ac:dyDescent="0.35">
      <c r="A868" s="2" t="s">
        <v>5385</v>
      </c>
      <c r="B868" s="3">
        <v>44209</v>
      </c>
      <c r="C868" s="2" t="s">
        <v>5386</v>
      </c>
      <c r="D868" t="s">
        <v>6158</v>
      </c>
      <c r="E868" s="2">
        <v>3</v>
      </c>
      <c r="F868" s="2" t="str">
        <f>_xlfn.XLOOKUP(Orders[[#This Row],[Customer ID]],customers!$A$1:$A$1001,customers!$B$1:$B$1001,,0)</f>
        <v>Rafaela Treacher</v>
      </c>
      <c r="G868" s="2" t="str">
        <f>IF(_xlfn.XLOOKUP(C868,customers!$A$1:$A$1001,customers!C867:C1867,,0)=0,"",_xlfn.XLOOKUP(C868,customers!$A$1:$A$1001,customers!C867:C1867,,0))</f>
        <v/>
      </c>
      <c r="H868" s="2" t="str">
        <f>_xlfn.XLOOKUP(Orders[[#This Row],[Customer ID]],customers!$A$1:$A$1001,customers!$G$1:$G$1001,,0)</f>
        <v>Ireland</v>
      </c>
      <c r="I868" s="2" t="str">
        <f>_xlfn.XLOOKUP(Orders[[#This Row],[Customer ID]],customers!$A$1:$A$1001,customers!$F$1:$F$1001,,0)</f>
        <v>Greystones</v>
      </c>
      <c r="J868" t="str">
        <f>INDEX(products!$A$1:$G$49,MATCH(orders!$D868,products!$A$1:$A$49,0),MATCH(orders!J$1,products!$A$1:$G$1,0))</f>
        <v>Ara</v>
      </c>
      <c r="K868" t="str">
        <f>INDEX(products!$A$1:$G$49,MATCH(orders!$D868,products!$A$1:$A$49,0),MATCH(orders!K$1,products!$A$1:$G$1,0))</f>
        <v>D</v>
      </c>
      <c r="L868" s="4">
        <f>INDEX(products!$A$1:$G$49,MATCH(orders!$D868,products!$A$1:$A$49,0),MATCH(orders!L$1,products!$A$1:$G$1,0))</f>
        <v>0.5</v>
      </c>
      <c r="M868" s="5">
        <f>INDEX(products!$A$1:$G$49,MATCH(orders!$D868,products!$A$1:$A$49,0),MATCH(orders!M$1,products!$A$1:$G$1,0))</f>
        <v>5.97</v>
      </c>
      <c r="N868" s="5">
        <f>Orders[[#This Row],[Quantity]]*(INDEX(products!$A$1:$G$49,MATCH(orders!$D868,products!$A$1:$A$49,0),MATCH(orders!N$1,products!$A$1:$G$1,0)))</f>
        <v>1.6118999999999999</v>
      </c>
      <c r="O868" s="5">
        <f>M868*E868</f>
        <v>17.91</v>
      </c>
      <c r="P868" t="str">
        <f t="shared" si="26"/>
        <v>Arabica</v>
      </c>
      <c r="Q868" t="str">
        <f t="shared" si="27"/>
        <v>Dark</v>
      </c>
      <c r="R868" t="str">
        <f>_xlfn.XLOOKUP(Orders[[#This Row],[Customer ID]],customers!$A$1:$A$1001,customers!$I$1:$I$1001,,0)</f>
        <v>No</v>
      </c>
    </row>
    <row r="869" spans="1:18" x14ac:dyDescent="0.35">
      <c r="A869" s="2" t="s">
        <v>5391</v>
      </c>
      <c r="B869" s="3">
        <v>44792</v>
      </c>
      <c r="C869" s="2" t="s">
        <v>5392</v>
      </c>
      <c r="D869" t="s">
        <v>6182</v>
      </c>
      <c r="E869" s="2">
        <v>1</v>
      </c>
      <c r="F869" s="2" t="str">
        <f>_xlfn.XLOOKUP(Orders[[#This Row],[Customer ID]],customers!$A$1:$A$1001,customers!$B$1:$B$1001,,0)</f>
        <v>Bee Fattorini</v>
      </c>
      <c r="G869" s="2" t="str">
        <f>IF(_xlfn.XLOOKUP(C869,customers!$A$1:$A$1001,customers!C868:C1868,,0)=0,"",_xlfn.XLOOKUP(C869,customers!$A$1:$A$1001,customers!C868:C1868,,0))</f>
        <v/>
      </c>
      <c r="H869" s="2" t="str">
        <f>_xlfn.XLOOKUP(Orders[[#This Row],[Customer ID]],customers!$A$1:$A$1001,customers!$G$1:$G$1001,,0)</f>
        <v>Ireland</v>
      </c>
      <c r="I869" s="2" t="str">
        <f>_xlfn.XLOOKUP(Orders[[#This Row],[Customer ID]],customers!$A$1:$A$1001,customers!$F$1:$F$1001,,0)</f>
        <v>Monaghan</v>
      </c>
      <c r="J869" t="str">
        <f>INDEX(products!$A$1:$G$49,MATCH(orders!$D869,products!$A$1:$A$49,0),MATCH(orders!J$1,products!$A$1:$G$1,0))</f>
        <v>Ara</v>
      </c>
      <c r="K869" t="str">
        <f>INDEX(products!$A$1:$G$49,MATCH(orders!$D869,products!$A$1:$A$49,0),MATCH(orders!K$1,products!$A$1:$G$1,0))</f>
        <v>L</v>
      </c>
      <c r="L869" s="4">
        <f>INDEX(products!$A$1:$G$49,MATCH(orders!$D869,products!$A$1:$A$49,0),MATCH(orders!L$1,products!$A$1:$G$1,0))</f>
        <v>2.5</v>
      </c>
      <c r="M869" s="5">
        <f>INDEX(products!$A$1:$G$49,MATCH(orders!$D869,products!$A$1:$A$49,0),MATCH(orders!M$1,products!$A$1:$G$1,0))</f>
        <v>29.784999999999997</v>
      </c>
      <c r="N869" s="5">
        <f>Orders[[#This Row],[Quantity]]*(INDEX(products!$A$1:$G$49,MATCH(orders!$D869,products!$A$1:$A$49,0),MATCH(orders!N$1,products!$A$1:$G$1,0)))</f>
        <v>2.6806499999999995</v>
      </c>
      <c r="O869" s="5">
        <f>M869*E869</f>
        <v>29.784999999999997</v>
      </c>
      <c r="P869" t="str">
        <f t="shared" si="26"/>
        <v>Arabica</v>
      </c>
      <c r="Q869" t="str">
        <f t="shared" si="27"/>
        <v>Light</v>
      </c>
      <c r="R869" t="str">
        <f>_xlfn.XLOOKUP(Orders[[#This Row],[Customer ID]],customers!$A$1:$A$1001,customers!$I$1:$I$1001,,0)</f>
        <v>Yes</v>
      </c>
    </row>
    <row r="870" spans="1:18" x14ac:dyDescent="0.35">
      <c r="A870" s="2" t="s">
        <v>5396</v>
      </c>
      <c r="B870" s="3">
        <v>43526</v>
      </c>
      <c r="C870" s="2" t="s">
        <v>5397</v>
      </c>
      <c r="D870" t="s">
        <v>6139</v>
      </c>
      <c r="E870" s="2">
        <v>5</v>
      </c>
      <c r="F870" s="2" t="str">
        <f>_xlfn.XLOOKUP(Orders[[#This Row],[Customer ID]],customers!$A$1:$A$1001,customers!$B$1:$B$1001,,0)</f>
        <v>Margie Palleske</v>
      </c>
      <c r="G870" s="2" t="str">
        <f>IF(_xlfn.XLOOKUP(C870,customers!$A$1:$A$1001,customers!C869:C1869,,0)=0,"",_xlfn.XLOOKUP(C870,customers!$A$1:$A$1001,customers!C869:C1869,,0))</f>
        <v/>
      </c>
      <c r="H870" s="2" t="str">
        <f>_xlfn.XLOOKUP(Orders[[#This Row],[Customer ID]],customers!$A$1:$A$1001,customers!$G$1:$G$1001,,0)</f>
        <v>United States</v>
      </c>
      <c r="I870" s="2" t="str">
        <f>_xlfn.XLOOKUP(Orders[[#This Row],[Customer ID]],customers!$A$1:$A$1001,customers!$F$1:$F$1001,,0)</f>
        <v>Pompano Beach</v>
      </c>
      <c r="J870" t="str">
        <f>INDEX(products!$A$1:$G$49,MATCH(orders!$D870,products!$A$1:$A$49,0),MATCH(orders!J$1,products!$A$1:$G$1,0))</f>
        <v>Exc</v>
      </c>
      <c r="K870" t="str">
        <f>INDEX(products!$A$1:$G$49,MATCH(orders!$D870,products!$A$1:$A$49,0),MATCH(orders!K$1,products!$A$1:$G$1,0))</f>
        <v>M</v>
      </c>
      <c r="L870" s="4">
        <f>INDEX(products!$A$1:$G$49,MATCH(orders!$D870,products!$A$1:$A$49,0),MATCH(orders!L$1,products!$A$1:$G$1,0))</f>
        <v>0.5</v>
      </c>
      <c r="M870" s="5">
        <f>INDEX(products!$A$1:$G$49,MATCH(orders!$D870,products!$A$1:$A$49,0),MATCH(orders!M$1,products!$A$1:$G$1,0))</f>
        <v>8.25</v>
      </c>
      <c r="N870" s="5">
        <f>Orders[[#This Row],[Quantity]]*(INDEX(products!$A$1:$G$49,MATCH(orders!$D870,products!$A$1:$A$49,0),MATCH(orders!N$1,products!$A$1:$G$1,0)))</f>
        <v>4.5374999999999996</v>
      </c>
      <c r="O870" s="5">
        <f>M870*E870</f>
        <v>41.25</v>
      </c>
      <c r="P870" t="str">
        <f t="shared" si="26"/>
        <v>Excelsa</v>
      </c>
      <c r="Q870" t="str">
        <f t="shared" si="27"/>
        <v>Medium</v>
      </c>
      <c r="R870" t="str">
        <f>_xlfn.XLOOKUP(Orders[[#This Row],[Customer ID]],customers!$A$1:$A$1001,customers!$I$1:$I$1001,,0)</f>
        <v>Yes</v>
      </c>
    </row>
    <row r="871" spans="1:18" x14ac:dyDescent="0.35">
      <c r="A871" s="2" t="s">
        <v>5402</v>
      </c>
      <c r="B871" s="3">
        <v>43851</v>
      </c>
      <c r="C871" s="2" t="s">
        <v>5403</v>
      </c>
      <c r="D871" t="s">
        <v>6146</v>
      </c>
      <c r="E871" s="2">
        <v>3</v>
      </c>
      <c r="F871" s="2" t="str">
        <f>_xlfn.XLOOKUP(Orders[[#This Row],[Customer ID]],customers!$A$1:$A$1001,customers!$B$1:$B$1001,,0)</f>
        <v>Alexina Randals</v>
      </c>
      <c r="G871" s="2" t="str">
        <f>IF(_xlfn.XLOOKUP(C871,customers!$A$1:$A$1001,customers!C870:C1870,,0)=0,"",_xlfn.XLOOKUP(C871,customers!$A$1:$A$1001,customers!C870:C1870,,0))</f>
        <v/>
      </c>
      <c r="H871" s="2" t="str">
        <f>_xlfn.XLOOKUP(Orders[[#This Row],[Customer ID]],customers!$A$1:$A$1001,customers!$G$1:$G$1001,,0)</f>
        <v>United States</v>
      </c>
      <c r="I871" s="2" t="str">
        <f>_xlfn.XLOOKUP(Orders[[#This Row],[Customer ID]],customers!$A$1:$A$1001,customers!$F$1:$F$1001,,0)</f>
        <v>Sacramento</v>
      </c>
      <c r="J871" t="str">
        <f>INDEX(products!$A$1:$G$49,MATCH(orders!$D871,products!$A$1:$A$49,0),MATCH(orders!J$1,products!$A$1:$G$1,0))</f>
        <v>Rob</v>
      </c>
      <c r="K871" t="str">
        <f>INDEX(products!$A$1:$G$49,MATCH(orders!$D871,products!$A$1:$A$49,0),MATCH(orders!K$1,products!$A$1:$G$1,0))</f>
        <v>M</v>
      </c>
      <c r="L871" s="4">
        <f>INDEX(products!$A$1:$G$49,MATCH(orders!$D871,products!$A$1:$A$49,0),MATCH(orders!L$1,products!$A$1:$G$1,0))</f>
        <v>0.5</v>
      </c>
      <c r="M871" s="5">
        <f>INDEX(products!$A$1:$G$49,MATCH(orders!$D871,products!$A$1:$A$49,0),MATCH(orders!M$1,products!$A$1:$G$1,0))</f>
        <v>5.97</v>
      </c>
      <c r="N871" s="5">
        <f>Orders[[#This Row],[Quantity]]*(INDEX(products!$A$1:$G$49,MATCH(orders!$D871,products!$A$1:$A$49,0),MATCH(orders!N$1,products!$A$1:$G$1,0)))</f>
        <v>1.0745999999999998</v>
      </c>
      <c r="O871" s="5">
        <f>M871*E871</f>
        <v>17.91</v>
      </c>
      <c r="P871" t="str">
        <f t="shared" si="26"/>
        <v>Robusta</v>
      </c>
      <c r="Q871" t="str">
        <f t="shared" si="27"/>
        <v>Medium</v>
      </c>
      <c r="R871" t="str">
        <f>_xlfn.XLOOKUP(Orders[[#This Row],[Customer ID]],customers!$A$1:$A$1001,customers!$I$1:$I$1001,,0)</f>
        <v>Yes</v>
      </c>
    </row>
    <row r="872" spans="1:18" x14ac:dyDescent="0.35">
      <c r="A872" s="2" t="s">
        <v>5407</v>
      </c>
      <c r="B872" s="3">
        <v>44460</v>
      </c>
      <c r="C872" s="2" t="s">
        <v>5408</v>
      </c>
      <c r="D872" t="s">
        <v>6144</v>
      </c>
      <c r="E872" s="2">
        <v>1</v>
      </c>
      <c r="F872" s="2" t="str">
        <f>_xlfn.XLOOKUP(Orders[[#This Row],[Customer ID]],customers!$A$1:$A$1001,customers!$B$1:$B$1001,,0)</f>
        <v>Filip Antcliffe</v>
      </c>
      <c r="G872" s="2" t="str">
        <f>IF(_xlfn.XLOOKUP(C872,customers!$A$1:$A$1001,customers!C871:C1871,,0)=0,"",_xlfn.XLOOKUP(C872,customers!$A$1:$A$1001,customers!C871:C1871,,0))</f>
        <v/>
      </c>
      <c r="H872" s="2" t="str">
        <f>_xlfn.XLOOKUP(Orders[[#This Row],[Customer ID]],customers!$A$1:$A$1001,customers!$G$1:$G$1001,,0)</f>
        <v>Ireland</v>
      </c>
      <c r="I872" s="2" t="str">
        <f>_xlfn.XLOOKUP(Orders[[#This Row],[Customer ID]],customers!$A$1:$A$1001,customers!$F$1:$F$1001,,0)</f>
        <v>Clonskeagh</v>
      </c>
      <c r="J872" t="str">
        <f>INDEX(products!$A$1:$G$49,MATCH(orders!$D872,products!$A$1:$A$49,0),MATCH(orders!J$1,products!$A$1:$G$1,0))</f>
        <v>Exc</v>
      </c>
      <c r="K872" t="str">
        <f>INDEX(products!$A$1:$G$49,MATCH(orders!$D872,products!$A$1:$A$49,0),MATCH(orders!K$1,products!$A$1:$G$1,0))</f>
        <v>D</v>
      </c>
      <c r="L872" s="4">
        <f>INDEX(products!$A$1:$G$49,MATCH(orders!$D872,products!$A$1:$A$49,0),MATCH(orders!L$1,products!$A$1:$G$1,0))</f>
        <v>0.5</v>
      </c>
      <c r="M872" s="5">
        <f>INDEX(products!$A$1:$G$49,MATCH(orders!$D872,products!$A$1:$A$49,0),MATCH(orders!M$1,products!$A$1:$G$1,0))</f>
        <v>7.29</v>
      </c>
      <c r="N872" s="5">
        <f>Orders[[#This Row],[Quantity]]*(INDEX(products!$A$1:$G$49,MATCH(orders!$D872,products!$A$1:$A$49,0),MATCH(orders!N$1,products!$A$1:$G$1,0)))</f>
        <v>0.80190000000000006</v>
      </c>
      <c r="O872" s="5">
        <f>M872*E872</f>
        <v>7.29</v>
      </c>
      <c r="P872" t="str">
        <f t="shared" si="26"/>
        <v>Excelsa</v>
      </c>
      <c r="Q872" t="str">
        <f t="shared" si="27"/>
        <v>Dark</v>
      </c>
      <c r="R872" t="str">
        <f>_xlfn.XLOOKUP(Orders[[#This Row],[Customer ID]],customers!$A$1:$A$1001,customers!$I$1:$I$1001,,0)</f>
        <v>Yes</v>
      </c>
    </row>
    <row r="873" spans="1:18" x14ac:dyDescent="0.35">
      <c r="A873" s="2" t="s">
        <v>5413</v>
      </c>
      <c r="B873" s="3">
        <v>43707</v>
      </c>
      <c r="C873" s="2" t="s">
        <v>5414</v>
      </c>
      <c r="D873" t="s">
        <v>6171</v>
      </c>
      <c r="E873" s="2">
        <v>2</v>
      </c>
      <c r="F873" s="2" t="str">
        <f>_xlfn.XLOOKUP(Orders[[#This Row],[Customer ID]],customers!$A$1:$A$1001,customers!$B$1:$B$1001,,0)</f>
        <v>Peyter Matignon</v>
      </c>
      <c r="G873" s="2" t="str">
        <f>IF(_xlfn.XLOOKUP(C873,customers!$A$1:$A$1001,customers!C872:C1872,,0)=0,"",_xlfn.XLOOKUP(C873,customers!$A$1:$A$1001,customers!C872:C1872,,0))</f>
        <v/>
      </c>
      <c r="H873" s="2" t="str">
        <f>_xlfn.XLOOKUP(Orders[[#This Row],[Customer ID]],customers!$A$1:$A$1001,customers!$G$1:$G$1001,,0)</f>
        <v>United Kingdom</v>
      </c>
      <c r="I873" s="2" t="str">
        <f>_xlfn.XLOOKUP(Orders[[#This Row],[Customer ID]],customers!$A$1:$A$1001,customers!$F$1:$F$1001,,0)</f>
        <v>Kirkton</v>
      </c>
      <c r="J873" t="str">
        <f>INDEX(products!$A$1:$G$49,MATCH(orders!$D873,products!$A$1:$A$49,0),MATCH(orders!J$1,products!$A$1:$G$1,0))</f>
        <v>Exc</v>
      </c>
      <c r="K873" t="str">
        <f>INDEX(products!$A$1:$G$49,MATCH(orders!$D873,products!$A$1:$A$49,0),MATCH(orders!K$1,products!$A$1:$G$1,0))</f>
        <v>L</v>
      </c>
      <c r="L873" s="4">
        <f>INDEX(products!$A$1:$G$49,MATCH(orders!$D873,products!$A$1:$A$49,0),MATCH(orders!L$1,products!$A$1:$G$1,0))</f>
        <v>1</v>
      </c>
      <c r="M873" s="5">
        <f>INDEX(products!$A$1:$G$49,MATCH(orders!$D873,products!$A$1:$A$49,0),MATCH(orders!M$1,products!$A$1:$G$1,0))</f>
        <v>14.85</v>
      </c>
      <c r="N873" s="5">
        <f>Orders[[#This Row],[Quantity]]*(INDEX(products!$A$1:$G$49,MATCH(orders!$D873,products!$A$1:$A$49,0),MATCH(orders!N$1,products!$A$1:$G$1,0)))</f>
        <v>3.2669999999999999</v>
      </c>
      <c r="O873" s="5">
        <f>M873*E873</f>
        <v>29.7</v>
      </c>
      <c r="P873" t="str">
        <f t="shared" si="26"/>
        <v>Excelsa</v>
      </c>
      <c r="Q873" t="str">
        <f t="shared" si="27"/>
        <v>Light</v>
      </c>
      <c r="R873" t="str">
        <f>_xlfn.XLOOKUP(Orders[[#This Row],[Customer ID]],customers!$A$1:$A$1001,customers!$I$1:$I$1001,,0)</f>
        <v>Yes</v>
      </c>
    </row>
    <row r="874" spans="1:18" x14ac:dyDescent="0.35">
      <c r="A874" s="2" t="s">
        <v>5421</v>
      </c>
      <c r="B874" s="3">
        <v>43521</v>
      </c>
      <c r="C874" s="2" t="s">
        <v>5422</v>
      </c>
      <c r="D874" t="s">
        <v>6155</v>
      </c>
      <c r="E874" s="2">
        <v>2</v>
      </c>
      <c r="F874" s="2" t="str">
        <f>_xlfn.XLOOKUP(Orders[[#This Row],[Customer ID]],customers!$A$1:$A$1001,customers!$B$1:$B$1001,,0)</f>
        <v>Claudie Weond</v>
      </c>
      <c r="G874" s="2" t="str">
        <f>IF(_xlfn.XLOOKUP(C874,customers!$A$1:$A$1001,customers!C873:C1873,,0)=0,"",_xlfn.XLOOKUP(C874,customers!$A$1:$A$1001,customers!C873:C1873,,0))</f>
        <v/>
      </c>
      <c r="H874" s="2" t="str">
        <f>_xlfn.XLOOKUP(Orders[[#This Row],[Customer ID]],customers!$A$1:$A$1001,customers!$G$1:$G$1001,,0)</f>
        <v>United States</v>
      </c>
      <c r="I874" s="2" t="str">
        <f>_xlfn.XLOOKUP(Orders[[#This Row],[Customer ID]],customers!$A$1:$A$1001,customers!$F$1:$F$1001,,0)</f>
        <v>Asheville</v>
      </c>
      <c r="J874" t="str">
        <f>INDEX(products!$A$1:$G$49,MATCH(orders!$D874,products!$A$1:$A$49,0),MATCH(orders!J$1,products!$A$1:$G$1,0))</f>
        <v>Ara</v>
      </c>
      <c r="K874" t="str">
        <f>INDEX(products!$A$1:$G$49,MATCH(orders!$D874,products!$A$1:$A$49,0),MATCH(orders!K$1,products!$A$1:$G$1,0))</f>
        <v>M</v>
      </c>
      <c r="L874" s="4">
        <f>INDEX(products!$A$1:$G$49,MATCH(orders!$D874,products!$A$1:$A$49,0),MATCH(orders!L$1,products!$A$1:$G$1,0))</f>
        <v>1</v>
      </c>
      <c r="M874" s="5">
        <f>INDEX(products!$A$1:$G$49,MATCH(orders!$D874,products!$A$1:$A$49,0),MATCH(orders!M$1,products!$A$1:$G$1,0))</f>
        <v>11.25</v>
      </c>
      <c r="N874" s="5">
        <f>Orders[[#This Row],[Quantity]]*(INDEX(products!$A$1:$G$49,MATCH(orders!$D874,products!$A$1:$A$49,0),MATCH(orders!N$1,products!$A$1:$G$1,0)))</f>
        <v>2.0249999999999999</v>
      </c>
      <c r="O874" s="5">
        <f>M874*E874</f>
        <v>22.5</v>
      </c>
      <c r="P874" t="str">
        <f t="shared" si="26"/>
        <v>Arabica</v>
      </c>
      <c r="Q874" t="str">
        <f t="shared" si="27"/>
        <v>Medium</v>
      </c>
      <c r="R874" t="str">
        <f>_xlfn.XLOOKUP(Orders[[#This Row],[Customer ID]],customers!$A$1:$A$1001,customers!$I$1:$I$1001,,0)</f>
        <v>No</v>
      </c>
    </row>
    <row r="875" spans="1:18" x14ac:dyDescent="0.35">
      <c r="A875" s="2" t="s">
        <v>5427</v>
      </c>
      <c r="B875" s="3">
        <v>43725</v>
      </c>
      <c r="C875" s="2" t="s">
        <v>5428</v>
      </c>
      <c r="D875" t="s">
        <v>6174</v>
      </c>
      <c r="E875" s="2">
        <v>4</v>
      </c>
      <c r="F875" s="2" t="str">
        <f>_xlfn.XLOOKUP(Orders[[#This Row],[Customer ID]],customers!$A$1:$A$1001,customers!$B$1:$B$1001,,0)</f>
        <v>Modesty MacConnechie</v>
      </c>
      <c r="G875" s="2" t="str">
        <f>IF(_xlfn.XLOOKUP(C875,customers!$A$1:$A$1001,customers!C874:C1874,,0)=0,"",_xlfn.XLOOKUP(C875,customers!$A$1:$A$1001,customers!C874:C1874,,0))</f>
        <v/>
      </c>
      <c r="H875" s="2" t="str">
        <f>_xlfn.XLOOKUP(Orders[[#This Row],[Customer ID]],customers!$A$1:$A$1001,customers!$G$1:$G$1001,,0)</f>
        <v>United States</v>
      </c>
      <c r="I875" s="2" t="str">
        <f>_xlfn.XLOOKUP(Orders[[#This Row],[Customer ID]],customers!$A$1:$A$1001,customers!$F$1:$F$1001,,0)</f>
        <v>Charleston</v>
      </c>
      <c r="J875" t="str">
        <f>INDEX(products!$A$1:$G$49,MATCH(orders!$D875,products!$A$1:$A$49,0),MATCH(orders!J$1,products!$A$1:$G$1,0))</f>
        <v>Rob</v>
      </c>
      <c r="K875" t="str">
        <f>INDEX(products!$A$1:$G$49,MATCH(orders!$D875,products!$A$1:$A$49,0),MATCH(orders!K$1,products!$A$1:$G$1,0))</f>
        <v>M</v>
      </c>
      <c r="L875" s="4">
        <f>INDEX(products!$A$1:$G$49,MATCH(orders!$D875,products!$A$1:$A$49,0),MATCH(orders!L$1,products!$A$1:$G$1,0))</f>
        <v>0.2</v>
      </c>
      <c r="M875" s="5">
        <f>INDEX(products!$A$1:$G$49,MATCH(orders!$D875,products!$A$1:$A$49,0),MATCH(orders!M$1,products!$A$1:$G$1,0))</f>
        <v>2.9849999999999999</v>
      </c>
      <c r="N875" s="5">
        <f>Orders[[#This Row],[Quantity]]*(INDEX(products!$A$1:$G$49,MATCH(orders!$D875,products!$A$1:$A$49,0),MATCH(orders!N$1,products!$A$1:$G$1,0)))</f>
        <v>0.71639999999999993</v>
      </c>
      <c r="O875" s="5">
        <f>M875*E875</f>
        <v>11.94</v>
      </c>
      <c r="P875" t="str">
        <f t="shared" si="26"/>
        <v>Robusta</v>
      </c>
      <c r="Q875" t="str">
        <f t="shared" si="27"/>
        <v>Medium</v>
      </c>
      <c r="R875" t="str">
        <f>_xlfn.XLOOKUP(Orders[[#This Row],[Customer ID]],customers!$A$1:$A$1001,customers!$I$1:$I$1001,,0)</f>
        <v>Yes</v>
      </c>
    </row>
    <row r="876" spans="1:18" x14ac:dyDescent="0.35">
      <c r="A876" s="2" t="s">
        <v>5433</v>
      </c>
      <c r="B876" s="3">
        <v>43680</v>
      </c>
      <c r="C876" s="2" t="s">
        <v>5434</v>
      </c>
      <c r="D876" t="s">
        <v>6140</v>
      </c>
      <c r="E876" s="2">
        <v>2</v>
      </c>
      <c r="F876" s="2" t="str">
        <f>_xlfn.XLOOKUP(Orders[[#This Row],[Customer ID]],customers!$A$1:$A$1001,customers!$B$1:$B$1001,,0)</f>
        <v>Jaquenette Skentelbery</v>
      </c>
      <c r="G876" s="2" t="str">
        <f>IF(_xlfn.XLOOKUP(C876,customers!$A$1:$A$1001,customers!C875:C1875,,0)=0,"",_xlfn.XLOOKUP(C876,customers!$A$1:$A$1001,customers!C875:C1875,,0))</f>
        <v/>
      </c>
      <c r="H876" s="2" t="str">
        <f>_xlfn.XLOOKUP(Orders[[#This Row],[Customer ID]],customers!$A$1:$A$1001,customers!$G$1:$G$1001,,0)</f>
        <v>United States</v>
      </c>
      <c r="I876" s="2" t="str">
        <f>_xlfn.XLOOKUP(Orders[[#This Row],[Customer ID]],customers!$A$1:$A$1001,customers!$F$1:$F$1001,,0)</f>
        <v>Houston</v>
      </c>
      <c r="J876" t="str">
        <f>INDEX(products!$A$1:$G$49,MATCH(orders!$D876,products!$A$1:$A$49,0),MATCH(orders!J$1,products!$A$1:$G$1,0))</f>
        <v>Ara</v>
      </c>
      <c r="K876" t="str">
        <f>INDEX(products!$A$1:$G$49,MATCH(orders!$D876,products!$A$1:$A$49,0),MATCH(orders!K$1,products!$A$1:$G$1,0))</f>
        <v>L</v>
      </c>
      <c r="L876" s="4">
        <f>INDEX(products!$A$1:$G$49,MATCH(orders!$D876,products!$A$1:$A$49,0),MATCH(orders!L$1,products!$A$1:$G$1,0))</f>
        <v>1</v>
      </c>
      <c r="M876" s="5">
        <f>INDEX(products!$A$1:$G$49,MATCH(orders!$D876,products!$A$1:$A$49,0),MATCH(orders!M$1,products!$A$1:$G$1,0))</f>
        <v>12.95</v>
      </c>
      <c r="N876" s="5">
        <f>Orders[[#This Row],[Quantity]]*(INDEX(products!$A$1:$G$49,MATCH(orders!$D876,products!$A$1:$A$49,0),MATCH(orders!N$1,products!$A$1:$G$1,0)))</f>
        <v>2.331</v>
      </c>
      <c r="O876" s="5">
        <f>M876*E876</f>
        <v>25.9</v>
      </c>
      <c r="P876" t="str">
        <f t="shared" si="26"/>
        <v>Arabica</v>
      </c>
      <c r="Q876" t="str">
        <f t="shared" si="27"/>
        <v>Light</v>
      </c>
      <c r="R876" t="str">
        <f>_xlfn.XLOOKUP(Orders[[#This Row],[Customer ID]],customers!$A$1:$A$1001,customers!$I$1:$I$1001,,0)</f>
        <v>No</v>
      </c>
    </row>
    <row r="877" spans="1:18" x14ac:dyDescent="0.35">
      <c r="A877" s="2" t="s">
        <v>5439</v>
      </c>
      <c r="B877" s="3">
        <v>44253</v>
      </c>
      <c r="C877" s="2" t="s">
        <v>5440</v>
      </c>
      <c r="D877" t="s">
        <v>6160</v>
      </c>
      <c r="E877" s="2">
        <v>5</v>
      </c>
      <c r="F877" s="2" t="str">
        <f>_xlfn.XLOOKUP(Orders[[#This Row],[Customer ID]],customers!$A$1:$A$1001,customers!$B$1:$B$1001,,0)</f>
        <v>Orazio Comber</v>
      </c>
      <c r="G877" s="2" t="str">
        <f>IF(_xlfn.XLOOKUP(C877,customers!$A$1:$A$1001,customers!C876:C1876,,0)=0,"",_xlfn.XLOOKUP(C877,customers!$A$1:$A$1001,customers!C876:C1876,,0))</f>
        <v/>
      </c>
      <c r="H877" s="2" t="str">
        <f>_xlfn.XLOOKUP(Orders[[#This Row],[Customer ID]],customers!$A$1:$A$1001,customers!$G$1:$G$1001,,0)</f>
        <v>Ireland</v>
      </c>
      <c r="I877" s="2" t="str">
        <f>_xlfn.XLOOKUP(Orders[[#This Row],[Customer ID]],customers!$A$1:$A$1001,customers!$F$1:$F$1001,,0)</f>
        <v>Confey</v>
      </c>
      <c r="J877" t="str">
        <f>INDEX(products!$A$1:$G$49,MATCH(orders!$D877,products!$A$1:$A$49,0),MATCH(orders!J$1,products!$A$1:$G$1,0))</f>
        <v>Lib</v>
      </c>
      <c r="K877" t="str">
        <f>INDEX(products!$A$1:$G$49,MATCH(orders!$D877,products!$A$1:$A$49,0),MATCH(orders!K$1,products!$A$1:$G$1,0))</f>
        <v>M</v>
      </c>
      <c r="L877" s="4">
        <f>INDEX(products!$A$1:$G$49,MATCH(orders!$D877,products!$A$1:$A$49,0),MATCH(orders!L$1,products!$A$1:$G$1,0))</f>
        <v>0.5</v>
      </c>
      <c r="M877" s="5">
        <f>INDEX(products!$A$1:$G$49,MATCH(orders!$D877,products!$A$1:$A$49,0),MATCH(orders!M$1,products!$A$1:$G$1,0))</f>
        <v>8.73</v>
      </c>
      <c r="N877" s="5">
        <f>Orders[[#This Row],[Quantity]]*(INDEX(products!$A$1:$G$49,MATCH(orders!$D877,products!$A$1:$A$49,0),MATCH(orders!N$1,products!$A$1:$G$1,0)))</f>
        <v>5.6745000000000001</v>
      </c>
      <c r="O877" s="5">
        <f>M877*E877</f>
        <v>43.650000000000006</v>
      </c>
      <c r="P877" t="str">
        <f t="shared" si="26"/>
        <v>Liberica</v>
      </c>
      <c r="Q877" t="str">
        <f t="shared" si="27"/>
        <v>Medium</v>
      </c>
      <c r="R877" t="str">
        <f>_xlfn.XLOOKUP(Orders[[#This Row],[Customer ID]],customers!$A$1:$A$1001,customers!$I$1:$I$1001,,0)</f>
        <v>No</v>
      </c>
    </row>
    <row r="878" spans="1:18" x14ac:dyDescent="0.35">
      <c r="A878" s="2" t="s">
        <v>5439</v>
      </c>
      <c r="B878" s="3">
        <v>44253</v>
      </c>
      <c r="C878" s="2" t="s">
        <v>5440</v>
      </c>
      <c r="D878" t="s">
        <v>6180</v>
      </c>
      <c r="E878" s="2">
        <v>6</v>
      </c>
      <c r="F878" s="2" t="str">
        <f>_xlfn.XLOOKUP(Orders[[#This Row],[Customer ID]],customers!$A$1:$A$1001,customers!$B$1:$B$1001,,0)</f>
        <v>Orazio Comber</v>
      </c>
      <c r="G878" s="2" t="str">
        <f>IF(_xlfn.XLOOKUP(C878,customers!$A$1:$A$1001,customers!C877:C1877,,0)=0,"",_xlfn.XLOOKUP(C878,customers!$A$1:$A$1001,customers!C877:C1877,,0))</f>
        <v/>
      </c>
      <c r="H878" s="2" t="str">
        <f>_xlfn.XLOOKUP(Orders[[#This Row],[Customer ID]],customers!$A$1:$A$1001,customers!$G$1:$G$1001,,0)</f>
        <v>Ireland</v>
      </c>
      <c r="I878" s="2" t="str">
        <f>_xlfn.XLOOKUP(Orders[[#This Row],[Customer ID]],customers!$A$1:$A$1001,customers!$F$1:$F$1001,,0)</f>
        <v>Confey</v>
      </c>
      <c r="J878" t="str">
        <f>INDEX(products!$A$1:$G$49,MATCH(orders!$D878,products!$A$1:$A$49,0),MATCH(orders!J$1,products!$A$1:$G$1,0))</f>
        <v>Ara</v>
      </c>
      <c r="K878" t="str">
        <f>INDEX(products!$A$1:$G$49,MATCH(orders!$D878,products!$A$1:$A$49,0),MATCH(orders!K$1,products!$A$1:$G$1,0))</f>
        <v>L</v>
      </c>
      <c r="L878" s="4">
        <f>INDEX(products!$A$1:$G$49,MATCH(orders!$D878,products!$A$1:$A$49,0),MATCH(orders!L$1,products!$A$1:$G$1,0))</f>
        <v>0.5</v>
      </c>
      <c r="M878" s="5">
        <f>INDEX(products!$A$1:$G$49,MATCH(orders!$D878,products!$A$1:$A$49,0),MATCH(orders!M$1,products!$A$1:$G$1,0))</f>
        <v>7.77</v>
      </c>
      <c r="N878" s="5">
        <f>Orders[[#This Row],[Quantity]]*(INDEX(products!$A$1:$G$49,MATCH(orders!$D878,products!$A$1:$A$49,0),MATCH(orders!N$1,products!$A$1:$G$1,0)))</f>
        <v>4.1957999999999993</v>
      </c>
      <c r="O878" s="5">
        <f>M878*E878</f>
        <v>46.62</v>
      </c>
      <c r="P878" t="str">
        <f t="shared" si="26"/>
        <v>Arabica</v>
      </c>
      <c r="Q878" t="str">
        <f t="shared" si="27"/>
        <v>Light</v>
      </c>
      <c r="R878" t="str">
        <f>_xlfn.XLOOKUP(Orders[[#This Row],[Customer ID]],customers!$A$1:$A$1001,customers!$I$1:$I$1001,,0)</f>
        <v>No</v>
      </c>
    </row>
    <row r="879" spans="1:18" x14ac:dyDescent="0.35">
      <c r="A879" s="2" t="s">
        <v>5450</v>
      </c>
      <c r="B879" s="3">
        <v>44411</v>
      </c>
      <c r="C879" s="2" t="s">
        <v>5451</v>
      </c>
      <c r="D879" t="s">
        <v>6161</v>
      </c>
      <c r="E879" s="2">
        <v>3</v>
      </c>
      <c r="F879" s="2" t="str">
        <f>_xlfn.XLOOKUP(Orders[[#This Row],[Customer ID]],customers!$A$1:$A$1001,customers!$B$1:$B$1001,,0)</f>
        <v>Zachary Tramel</v>
      </c>
      <c r="G879" s="2" t="str">
        <f>IF(_xlfn.XLOOKUP(C879,customers!$A$1:$A$1001,customers!C878:C1878,,0)=0,"",_xlfn.XLOOKUP(C879,customers!$A$1:$A$1001,customers!C878:C1878,,0))</f>
        <v/>
      </c>
      <c r="H879" s="2" t="str">
        <f>_xlfn.XLOOKUP(Orders[[#This Row],[Customer ID]],customers!$A$1:$A$1001,customers!$G$1:$G$1001,,0)</f>
        <v>United States</v>
      </c>
      <c r="I879" s="2" t="str">
        <f>_xlfn.XLOOKUP(Orders[[#This Row],[Customer ID]],customers!$A$1:$A$1001,customers!$F$1:$F$1001,,0)</f>
        <v>Newark</v>
      </c>
      <c r="J879" t="str">
        <f>INDEX(products!$A$1:$G$49,MATCH(orders!$D879,products!$A$1:$A$49,0),MATCH(orders!J$1,products!$A$1:$G$1,0))</f>
        <v>Lib</v>
      </c>
      <c r="K879" t="str">
        <f>INDEX(products!$A$1:$G$49,MATCH(orders!$D879,products!$A$1:$A$49,0),MATCH(orders!K$1,products!$A$1:$G$1,0))</f>
        <v>L</v>
      </c>
      <c r="L879" s="4">
        <f>INDEX(products!$A$1:$G$49,MATCH(orders!$D879,products!$A$1:$A$49,0),MATCH(orders!L$1,products!$A$1:$G$1,0))</f>
        <v>0.5</v>
      </c>
      <c r="M879" s="5">
        <f>INDEX(products!$A$1:$G$49,MATCH(orders!$D879,products!$A$1:$A$49,0),MATCH(orders!M$1,products!$A$1:$G$1,0))</f>
        <v>9.51</v>
      </c>
      <c r="N879" s="5">
        <f>Orders[[#This Row],[Quantity]]*(INDEX(products!$A$1:$G$49,MATCH(orders!$D879,products!$A$1:$A$49,0),MATCH(orders!N$1,products!$A$1:$G$1,0)))</f>
        <v>3.7088999999999999</v>
      </c>
      <c r="O879" s="5">
        <f>M879*E879</f>
        <v>28.53</v>
      </c>
      <c r="P879" t="str">
        <f t="shared" si="26"/>
        <v>Liberica</v>
      </c>
      <c r="Q879" t="str">
        <f t="shared" si="27"/>
        <v>Light</v>
      </c>
      <c r="R879" t="str">
        <f>_xlfn.XLOOKUP(Orders[[#This Row],[Customer ID]],customers!$A$1:$A$1001,customers!$I$1:$I$1001,,0)</f>
        <v>No</v>
      </c>
    </row>
    <row r="880" spans="1:18" x14ac:dyDescent="0.35">
      <c r="A880" s="2" t="s">
        <v>5456</v>
      </c>
      <c r="B880" s="3">
        <v>44323</v>
      </c>
      <c r="C880" s="2" t="s">
        <v>5457</v>
      </c>
      <c r="D880" t="s">
        <v>6142</v>
      </c>
      <c r="E880" s="2">
        <v>1</v>
      </c>
      <c r="F880" s="2" t="str">
        <f>_xlfn.XLOOKUP(Orders[[#This Row],[Customer ID]],customers!$A$1:$A$1001,customers!$B$1:$B$1001,,0)</f>
        <v>Izaak Primak</v>
      </c>
      <c r="G880" s="2" t="str">
        <f>IF(_xlfn.XLOOKUP(C880,customers!$A$1:$A$1001,customers!C879:C1879,,0)=0,"",_xlfn.XLOOKUP(C880,customers!$A$1:$A$1001,customers!C879:C1879,,0))</f>
        <v/>
      </c>
      <c r="H880" s="2" t="str">
        <f>_xlfn.XLOOKUP(Orders[[#This Row],[Customer ID]],customers!$A$1:$A$1001,customers!$G$1:$G$1001,,0)</f>
        <v>United States</v>
      </c>
      <c r="I880" s="2" t="str">
        <f>_xlfn.XLOOKUP(Orders[[#This Row],[Customer ID]],customers!$A$1:$A$1001,customers!$F$1:$F$1001,,0)</f>
        <v>Seattle</v>
      </c>
      <c r="J880" t="str">
        <f>INDEX(products!$A$1:$G$49,MATCH(orders!$D880,products!$A$1:$A$49,0),MATCH(orders!J$1,products!$A$1:$G$1,0))</f>
        <v>Rob</v>
      </c>
      <c r="K880" t="str">
        <f>INDEX(products!$A$1:$G$49,MATCH(orders!$D880,products!$A$1:$A$49,0),MATCH(orders!K$1,products!$A$1:$G$1,0))</f>
        <v>L</v>
      </c>
      <c r="L880" s="4">
        <f>INDEX(products!$A$1:$G$49,MATCH(orders!$D880,products!$A$1:$A$49,0),MATCH(orders!L$1,products!$A$1:$G$1,0))</f>
        <v>2.5</v>
      </c>
      <c r="M880" s="5">
        <f>INDEX(products!$A$1:$G$49,MATCH(orders!$D880,products!$A$1:$A$49,0),MATCH(orders!M$1,products!$A$1:$G$1,0))</f>
        <v>27.484999999999996</v>
      </c>
      <c r="N880" s="5">
        <f>Orders[[#This Row],[Quantity]]*(INDEX(products!$A$1:$G$49,MATCH(orders!$D880,products!$A$1:$A$49,0),MATCH(orders!N$1,products!$A$1:$G$1,0)))</f>
        <v>1.6490999999999998</v>
      </c>
      <c r="O880" s="5">
        <f>M880*E880</f>
        <v>27.484999999999996</v>
      </c>
      <c r="P880" t="str">
        <f t="shared" si="26"/>
        <v>Robusta</v>
      </c>
      <c r="Q880" t="str">
        <f t="shared" si="27"/>
        <v>Light</v>
      </c>
      <c r="R880" t="str">
        <f>_xlfn.XLOOKUP(Orders[[#This Row],[Customer ID]],customers!$A$1:$A$1001,customers!$I$1:$I$1001,,0)</f>
        <v>Yes</v>
      </c>
    </row>
    <row r="881" spans="1:18" x14ac:dyDescent="0.35">
      <c r="A881" s="2" t="s">
        <v>5461</v>
      </c>
      <c r="B881" s="3">
        <v>43630</v>
      </c>
      <c r="C881" s="2" t="s">
        <v>5462</v>
      </c>
      <c r="D881" t="s">
        <v>6153</v>
      </c>
      <c r="E881" s="2">
        <v>3</v>
      </c>
      <c r="F881" s="2" t="str">
        <f>_xlfn.XLOOKUP(Orders[[#This Row],[Customer ID]],customers!$A$1:$A$1001,customers!$B$1:$B$1001,,0)</f>
        <v>Brittani Thoresbie</v>
      </c>
      <c r="G881" s="2" t="str">
        <f>IF(_xlfn.XLOOKUP(C881,customers!$A$1:$A$1001,customers!C880:C1880,,0)=0,"",_xlfn.XLOOKUP(C881,customers!$A$1:$A$1001,customers!C880:C1880,,0))</f>
        <v/>
      </c>
      <c r="H881" s="2" t="str">
        <f>_xlfn.XLOOKUP(Orders[[#This Row],[Customer ID]],customers!$A$1:$A$1001,customers!$G$1:$G$1001,,0)</f>
        <v>United States</v>
      </c>
      <c r="I881" s="2" t="str">
        <f>_xlfn.XLOOKUP(Orders[[#This Row],[Customer ID]],customers!$A$1:$A$1001,customers!$F$1:$F$1001,,0)</f>
        <v>Englewood</v>
      </c>
      <c r="J881" t="str">
        <f>INDEX(products!$A$1:$G$49,MATCH(orders!$D881,products!$A$1:$A$49,0),MATCH(orders!J$1,products!$A$1:$G$1,0))</f>
        <v>Exc</v>
      </c>
      <c r="K881" t="str">
        <f>INDEX(products!$A$1:$G$49,MATCH(orders!$D881,products!$A$1:$A$49,0),MATCH(orders!K$1,products!$A$1:$G$1,0))</f>
        <v>D</v>
      </c>
      <c r="L881" s="4">
        <f>INDEX(products!$A$1:$G$49,MATCH(orders!$D881,products!$A$1:$A$49,0),MATCH(orders!L$1,products!$A$1:$G$1,0))</f>
        <v>0.2</v>
      </c>
      <c r="M881" s="5">
        <f>INDEX(products!$A$1:$G$49,MATCH(orders!$D881,products!$A$1:$A$49,0),MATCH(orders!M$1,products!$A$1:$G$1,0))</f>
        <v>3.645</v>
      </c>
      <c r="N881" s="5">
        <f>Orders[[#This Row],[Quantity]]*(INDEX(products!$A$1:$G$49,MATCH(orders!$D881,products!$A$1:$A$49,0),MATCH(orders!N$1,products!$A$1:$G$1,0)))</f>
        <v>1.2028500000000002</v>
      </c>
      <c r="O881" s="5">
        <f>M881*E881</f>
        <v>10.935</v>
      </c>
      <c r="P881" t="str">
        <f t="shared" si="26"/>
        <v>Excelsa</v>
      </c>
      <c r="Q881" t="str">
        <f t="shared" si="27"/>
        <v>Dark</v>
      </c>
      <c r="R881" t="str">
        <f>_xlfn.XLOOKUP(Orders[[#This Row],[Customer ID]],customers!$A$1:$A$1001,customers!$I$1:$I$1001,,0)</f>
        <v>No</v>
      </c>
    </row>
    <row r="882" spans="1:18" x14ac:dyDescent="0.35">
      <c r="A882" s="2" t="s">
        <v>5466</v>
      </c>
      <c r="B882" s="3">
        <v>43790</v>
      </c>
      <c r="C882" s="2" t="s">
        <v>5467</v>
      </c>
      <c r="D882" t="s">
        <v>6178</v>
      </c>
      <c r="E882" s="2">
        <v>2</v>
      </c>
      <c r="F882" s="2" t="str">
        <f>_xlfn.XLOOKUP(Orders[[#This Row],[Customer ID]],customers!$A$1:$A$1001,customers!$B$1:$B$1001,,0)</f>
        <v>Constanta Hatfull</v>
      </c>
      <c r="G882" s="2" t="str">
        <f>IF(_xlfn.XLOOKUP(C882,customers!$A$1:$A$1001,customers!C881:C1881,,0)=0,"",_xlfn.XLOOKUP(C882,customers!$A$1:$A$1001,customers!C881:C1881,,0))</f>
        <v/>
      </c>
      <c r="H882" s="2" t="str">
        <f>_xlfn.XLOOKUP(Orders[[#This Row],[Customer ID]],customers!$A$1:$A$1001,customers!$G$1:$G$1001,,0)</f>
        <v>United States</v>
      </c>
      <c r="I882" s="2" t="str">
        <f>_xlfn.XLOOKUP(Orders[[#This Row],[Customer ID]],customers!$A$1:$A$1001,customers!$F$1:$F$1001,,0)</f>
        <v>Rockford</v>
      </c>
      <c r="J882" t="str">
        <f>INDEX(products!$A$1:$G$49,MATCH(orders!$D882,products!$A$1:$A$49,0),MATCH(orders!J$1,products!$A$1:$G$1,0))</f>
        <v>Rob</v>
      </c>
      <c r="K882" t="str">
        <f>INDEX(products!$A$1:$G$49,MATCH(orders!$D882,products!$A$1:$A$49,0),MATCH(orders!K$1,products!$A$1:$G$1,0))</f>
        <v>L</v>
      </c>
      <c r="L882" s="4">
        <f>INDEX(products!$A$1:$G$49,MATCH(orders!$D882,products!$A$1:$A$49,0),MATCH(orders!L$1,products!$A$1:$G$1,0))</f>
        <v>0.2</v>
      </c>
      <c r="M882" s="5">
        <f>INDEX(products!$A$1:$G$49,MATCH(orders!$D882,products!$A$1:$A$49,0),MATCH(orders!M$1,products!$A$1:$G$1,0))</f>
        <v>3.5849999999999995</v>
      </c>
      <c r="N882" s="5">
        <f>Orders[[#This Row],[Quantity]]*(INDEX(products!$A$1:$G$49,MATCH(orders!$D882,products!$A$1:$A$49,0),MATCH(orders!N$1,products!$A$1:$G$1,0)))</f>
        <v>0.43019999999999992</v>
      </c>
      <c r="O882" s="5">
        <f>M882*E882</f>
        <v>7.169999999999999</v>
      </c>
      <c r="P882" t="str">
        <f t="shared" si="26"/>
        <v>Robusta</v>
      </c>
      <c r="Q882" t="str">
        <f t="shared" si="27"/>
        <v>Light</v>
      </c>
      <c r="R882" t="str">
        <f>_xlfn.XLOOKUP(Orders[[#This Row],[Customer ID]],customers!$A$1:$A$1001,customers!$I$1:$I$1001,,0)</f>
        <v>No</v>
      </c>
    </row>
    <row r="883" spans="1:18" x14ac:dyDescent="0.35">
      <c r="A883" s="2" t="s">
        <v>5472</v>
      </c>
      <c r="B883" s="3">
        <v>44286</v>
      </c>
      <c r="C883" s="2" t="s">
        <v>5473</v>
      </c>
      <c r="D883" t="s">
        <v>6167</v>
      </c>
      <c r="E883" s="2">
        <v>6</v>
      </c>
      <c r="F883" s="2" t="str">
        <f>_xlfn.XLOOKUP(Orders[[#This Row],[Customer ID]],customers!$A$1:$A$1001,customers!$B$1:$B$1001,,0)</f>
        <v>Bobbe Castagneto</v>
      </c>
      <c r="G883" s="2" t="str">
        <f>IF(_xlfn.XLOOKUP(C883,customers!$A$1:$A$1001,customers!C882:C1882,,0)=0,"",_xlfn.XLOOKUP(C883,customers!$A$1:$A$1001,customers!C882:C1882,,0))</f>
        <v/>
      </c>
      <c r="H883" s="2" t="str">
        <f>_xlfn.XLOOKUP(Orders[[#This Row],[Customer ID]],customers!$A$1:$A$1001,customers!$G$1:$G$1001,,0)</f>
        <v>United States</v>
      </c>
      <c r="I883" s="2" t="str">
        <f>_xlfn.XLOOKUP(Orders[[#This Row],[Customer ID]],customers!$A$1:$A$1001,customers!$F$1:$F$1001,,0)</f>
        <v>Billings</v>
      </c>
      <c r="J883" t="str">
        <f>INDEX(products!$A$1:$G$49,MATCH(orders!$D883,products!$A$1:$A$49,0),MATCH(orders!J$1,products!$A$1:$G$1,0))</f>
        <v>Ara</v>
      </c>
      <c r="K883" t="str">
        <f>INDEX(products!$A$1:$G$49,MATCH(orders!$D883,products!$A$1:$A$49,0),MATCH(orders!K$1,products!$A$1:$G$1,0))</f>
        <v>L</v>
      </c>
      <c r="L883" s="4">
        <f>INDEX(products!$A$1:$G$49,MATCH(orders!$D883,products!$A$1:$A$49,0),MATCH(orders!L$1,products!$A$1:$G$1,0))</f>
        <v>0.2</v>
      </c>
      <c r="M883" s="5">
        <f>INDEX(products!$A$1:$G$49,MATCH(orders!$D883,products!$A$1:$A$49,0),MATCH(orders!M$1,products!$A$1:$G$1,0))</f>
        <v>3.8849999999999998</v>
      </c>
      <c r="N883" s="5">
        <f>Orders[[#This Row],[Quantity]]*(INDEX(products!$A$1:$G$49,MATCH(orders!$D883,products!$A$1:$A$49,0),MATCH(orders!N$1,products!$A$1:$G$1,0)))</f>
        <v>2.0978999999999997</v>
      </c>
      <c r="O883" s="5">
        <f>M883*E883</f>
        <v>23.31</v>
      </c>
      <c r="P883" t="str">
        <f t="shared" si="26"/>
        <v>Arabica</v>
      </c>
      <c r="Q883" t="str">
        <f t="shared" si="27"/>
        <v>Light</v>
      </c>
      <c r="R883" t="str">
        <f>_xlfn.XLOOKUP(Orders[[#This Row],[Customer ID]],customers!$A$1:$A$1001,customers!$I$1:$I$1001,,0)</f>
        <v>Yes</v>
      </c>
    </row>
    <row r="884" spans="1:18" x14ac:dyDescent="0.35">
      <c r="A884" s="2" t="s">
        <v>5477</v>
      </c>
      <c r="B884" s="3">
        <v>43647</v>
      </c>
      <c r="C884" s="2" t="s">
        <v>5526</v>
      </c>
      <c r="D884" t="s">
        <v>6168</v>
      </c>
      <c r="E884" s="2">
        <v>5</v>
      </c>
      <c r="F884" s="2" t="str">
        <f>_xlfn.XLOOKUP(Orders[[#This Row],[Customer ID]],customers!$A$1:$A$1001,customers!$B$1:$B$1001,,0)</f>
        <v>Kippie Marrison</v>
      </c>
      <c r="G884" s="2" t="str">
        <f>IF(_xlfn.XLOOKUP(C884,customers!$A$1:$A$1001,customers!C883:C1883,,0)=0,"",_xlfn.XLOOKUP(C884,customers!$A$1:$A$1001,customers!C883:C1883,,0))</f>
        <v/>
      </c>
      <c r="H884" s="2" t="str">
        <f>_xlfn.XLOOKUP(Orders[[#This Row],[Customer ID]],customers!$A$1:$A$1001,customers!$G$1:$G$1001,,0)</f>
        <v>United States</v>
      </c>
      <c r="I884" s="2" t="str">
        <f>_xlfn.XLOOKUP(Orders[[#This Row],[Customer ID]],customers!$A$1:$A$1001,customers!$F$1:$F$1001,,0)</f>
        <v>Denver</v>
      </c>
      <c r="J884" t="str">
        <f>INDEX(products!$A$1:$G$49,MATCH(orders!$D884,products!$A$1:$A$49,0),MATCH(orders!J$1,products!$A$1:$G$1,0))</f>
        <v>Ara</v>
      </c>
      <c r="K884" t="str">
        <f>INDEX(products!$A$1:$G$49,MATCH(orders!$D884,products!$A$1:$A$49,0),MATCH(orders!K$1,products!$A$1:$G$1,0))</f>
        <v>D</v>
      </c>
      <c r="L884" s="4">
        <f>INDEX(products!$A$1:$G$49,MATCH(orders!$D884,products!$A$1:$A$49,0),MATCH(orders!L$1,products!$A$1:$G$1,0))</f>
        <v>2.5</v>
      </c>
      <c r="M884" s="5">
        <f>INDEX(products!$A$1:$G$49,MATCH(orders!$D884,products!$A$1:$A$49,0),MATCH(orders!M$1,products!$A$1:$G$1,0))</f>
        <v>22.884999999999998</v>
      </c>
      <c r="N884" s="5">
        <f>Orders[[#This Row],[Quantity]]*(INDEX(products!$A$1:$G$49,MATCH(orders!$D884,products!$A$1:$A$49,0),MATCH(orders!N$1,products!$A$1:$G$1,0)))</f>
        <v>10.298249999999998</v>
      </c>
      <c r="O884" s="5">
        <f>M884*E884</f>
        <v>114.42499999999998</v>
      </c>
      <c r="P884" t="str">
        <f t="shared" si="26"/>
        <v>Arabica</v>
      </c>
      <c r="Q884" t="str">
        <f t="shared" si="27"/>
        <v>Dark</v>
      </c>
      <c r="R884" t="str">
        <f>_xlfn.XLOOKUP(Orders[[#This Row],[Customer ID]],customers!$A$1:$A$1001,customers!$I$1:$I$1001,,0)</f>
        <v>Yes</v>
      </c>
    </row>
    <row r="885" spans="1:18" x14ac:dyDescent="0.35">
      <c r="A885" s="2" t="s">
        <v>5483</v>
      </c>
      <c r="B885" s="3">
        <v>43956</v>
      </c>
      <c r="C885" s="2" t="s">
        <v>5484</v>
      </c>
      <c r="D885" t="s">
        <v>6175</v>
      </c>
      <c r="E885" s="2">
        <v>3</v>
      </c>
      <c r="F885" s="2" t="str">
        <f>_xlfn.XLOOKUP(Orders[[#This Row],[Customer ID]],customers!$A$1:$A$1001,customers!$B$1:$B$1001,,0)</f>
        <v>Lindon Agnolo</v>
      </c>
      <c r="G885" s="2" t="str">
        <f>IF(_xlfn.XLOOKUP(C885,customers!$A$1:$A$1001,customers!C884:C1884,,0)=0,"",_xlfn.XLOOKUP(C885,customers!$A$1:$A$1001,customers!C884:C1884,,0))</f>
        <v/>
      </c>
      <c r="H885" s="2" t="str">
        <f>_xlfn.XLOOKUP(Orders[[#This Row],[Customer ID]],customers!$A$1:$A$1001,customers!$G$1:$G$1001,,0)</f>
        <v>United States</v>
      </c>
      <c r="I885" s="2" t="str">
        <f>_xlfn.XLOOKUP(Orders[[#This Row],[Customer ID]],customers!$A$1:$A$1001,customers!$F$1:$F$1001,,0)</f>
        <v>Tulsa</v>
      </c>
      <c r="J885" t="str">
        <f>INDEX(products!$A$1:$G$49,MATCH(orders!$D885,products!$A$1:$A$49,0),MATCH(orders!J$1,products!$A$1:$G$1,0))</f>
        <v>Ara</v>
      </c>
      <c r="K885" t="str">
        <f>INDEX(products!$A$1:$G$49,MATCH(orders!$D885,products!$A$1:$A$49,0),MATCH(orders!K$1,products!$A$1:$G$1,0))</f>
        <v>M</v>
      </c>
      <c r="L885" s="4">
        <f>INDEX(products!$A$1:$G$49,MATCH(orders!$D885,products!$A$1:$A$49,0),MATCH(orders!L$1,products!$A$1:$G$1,0))</f>
        <v>2.5</v>
      </c>
      <c r="M885" s="5">
        <f>INDEX(products!$A$1:$G$49,MATCH(orders!$D885,products!$A$1:$A$49,0),MATCH(orders!M$1,products!$A$1:$G$1,0))</f>
        <v>25.874999999999996</v>
      </c>
      <c r="N885" s="5">
        <f>Orders[[#This Row],[Quantity]]*(INDEX(products!$A$1:$G$49,MATCH(orders!$D885,products!$A$1:$A$49,0),MATCH(orders!N$1,products!$A$1:$G$1,0)))</f>
        <v>6.9862499999999983</v>
      </c>
      <c r="O885" s="5">
        <f>M885*E885</f>
        <v>77.624999999999986</v>
      </c>
      <c r="P885" t="str">
        <f t="shared" si="26"/>
        <v>Arabica</v>
      </c>
      <c r="Q885" t="str">
        <f t="shared" si="27"/>
        <v>Medium</v>
      </c>
      <c r="R885" t="str">
        <f>_xlfn.XLOOKUP(Orders[[#This Row],[Customer ID]],customers!$A$1:$A$1001,customers!$I$1:$I$1001,,0)</f>
        <v>Yes</v>
      </c>
    </row>
    <row r="886" spans="1:18" x14ac:dyDescent="0.35">
      <c r="A886" s="2" t="s">
        <v>5489</v>
      </c>
      <c r="B886" s="3">
        <v>43941</v>
      </c>
      <c r="C886" s="2" t="s">
        <v>5490</v>
      </c>
      <c r="D886" t="s">
        <v>6172</v>
      </c>
      <c r="E886" s="2">
        <v>1</v>
      </c>
      <c r="F886" s="2" t="str">
        <f>_xlfn.XLOOKUP(Orders[[#This Row],[Customer ID]],customers!$A$1:$A$1001,customers!$B$1:$B$1001,,0)</f>
        <v>Delainey Kiddy</v>
      </c>
      <c r="G886" s="2" t="str">
        <f>IF(_xlfn.XLOOKUP(C886,customers!$A$1:$A$1001,customers!C885:C1885,,0)=0,"",_xlfn.XLOOKUP(C886,customers!$A$1:$A$1001,customers!C885:C1885,,0))</f>
        <v/>
      </c>
      <c r="H886" s="2" t="str">
        <f>_xlfn.XLOOKUP(Orders[[#This Row],[Customer ID]],customers!$A$1:$A$1001,customers!$G$1:$G$1001,,0)</f>
        <v>United States</v>
      </c>
      <c r="I886" s="2" t="str">
        <f>_xlfn.XLOOKUP(Orders[[#This Row],[Customer ID]],customers!$A$1:$A$1001,customers!$F$1:$F$1001,,0)</f>
        <v>Fresno</v>
      </c>
      <c r="J886" t="str">
        <f>INDEX(products!$A$1:$G$49,MATCH(orders!$D886,products!$A$1:$A$49,0),MATCH(orders!J$1,products!$A$1:$G$1,0))</f>
        <v>Rob</v>
      </c>
      <c r="K886" t="str">
        <f>INDEX(products!$A$1:$G$49,MATCH(orders!$D886,products!$A$1:$A$49,0),MATCH(orders!K$1,products!$A$1:$G$1,0))</f>
        <v>D</v>
      </c>
      <c r="L886" s="4">
        <f>INDEX(products!$A$1:$G$49,MATCH(orders!$D886,products!$A$1:$A$49,0),MATCH(orders!L$1,products!$A$1:$G$1,0))</f>
        <v>0.5</v>
      </c>
      <c r="M886" s="5">
        <f>INDEX(products!$A$1:$G$49,MATCH(orders!$D886,products!$A$1:$A$49,0),MATCH(orders!M$1,products!$A$1:$G$1,0))</f>
        <v>5.3699999999999992</v>
      </c>
      <c r="N886" s="5">
        <f>Orders[[#This Row],[Quantity]]*(INDEX(products!$A$1:$G$49,MATCH(orders!$D886,products!$A$1:$A$49,0),MATCH(orders!N$1,products!$A$1:$G$1,0)))</f>
        <v>0.32219999999999993</v>
      </c>
      <c r="O886" s="5">
        <f>M886*E886</f>
        <v>5.3699999999999992</v>
      </c>
      <c r="P886" t="str">
        <f t="shared" si="26"/>
        <v>Robusta</v>
      </c>
      <c r="Q886" t="str">
        <f t="shared" si="27"/>
        <v>Dark</v>
      </c>
      <c r="R886" t="str">
        <f>_xlfn.XLOOKUP(Orders[[#This Row],[Customer ID]],customers!$A$1:$A$1001,customers!$I$1:$I$1001,,0)</f>
        <v>Yes</v>
      </c>
    </row>
    <row r="887" spans="1:18" x14ac:dyDescent="0.35">
      <c r="A887" s="2" t="s">
        <v>5495</v>
      </c>
      <c r="B887" s="3">
        <v>43664</v>
      </c>
      <c r="C887" s="2" t="s">
        <v>5496</v>
      </c>
      <c r="D887" t="s">
        <v>6149</v>
      </c>
      <c r="E887" s="2">
        <v>6</v>
      </c>
      <c r="F887" s="2" t="str">
        <f>_xlfn.XLOOKUP(Orders[[#This Row],[Customer ID]],customers!$A$1:$A$1001,customers!$B$1:$B$1001,,0)</f>
        <v>Helli Petroulis</v>
      </c>
      <c r="G887" s="2" t="str">
        <f>IF(_xlfn.XLOOKUP(C887,customers!$A$1:$A$1001,customers!C886:C1886,,0)=0,"",_xlfn.XLOOKUP(C887,customers!$A$1:$A$1001,customers!C886:C1886,,0))</f>
        <v/>
      </c>
      <c r="H887" s="2" t="str">
        <f>_xlfn.XLOOKUP(Orders[[#This Row],[Customer ID]],customers!$A$1:$A$1001,customers!$G$1:$G$1001,,0)</f>
        <v>Ireland</v>
      </c>
      <c r="I887" s="2" t="str">
        <f>_xlfn.XLOOKUP(Orders[[#This Row],[Customer ID]],customers!$A$1:$A$1001,customers!$F$1:$F$1001,,0)</f>
        <v>Mullagh</v>
      </c>
      <c r="J887" t="str">
        <f>INDEX(products!$A$1:$G$49,MATCH(orders!$D887,products!$A$1:$A$49,0),MATCH(orders!J$1,products!$A$1:$G$1,0))</f>
        <v>Rob</v>
      </c>
      <c r="K887" t="str">
        <f>INDEX(products!$A$1:$G$49,MATCH(orders!$D887,products!$A$1:$A$49,0),MATCH(orders!K$1,products!$A$1:$G$1,0))</f>
        <v>D</v>
      </c>
      <c r="L887" s="4">
        <f>INDEX(products!$A$1:$G$49,MATCH(orders!$D887,products!$A$1:$A$49,0),MATCH(orders!L$1,products!$A$1:$G$1,0))</f>
        <v>2.5</v>
      </c>
      <c r="M887" s="5">
        <f>INDEX(products!$A$1:$G$49,MATCH(orders!$D887,products!$A$1:$A$49,0),MATCH(orders!M$1,products!$A$1:$G$1,0))</f>
        <v>20.584999999999997</v>
      </c>
      <c r="N887" s="5">
        <f>Orders[[#This Row],[Quantity]]*(INDEX(products!$A$1:$G$49,MATCH(orders!$D887,products!$A$1:$A$49,0),MATCH(orders!N$1,products!$A$1:$G$1,0)))</f>
        <v>7.4105999999999987</v>
      </c>
      <c r="O887" s="5">
        <f>M887*E887</f>
        <v>123.50999999999999</v>
      </c>
      <c r="P887" t="str">
        <f t="shared" si="26"/>
        <v>Robusta</v>
      </c>
      <c r="Q887" t="str">
        <f t="shared" si="27"/>
        <v>Dark</v>
      </c>
      <c r="R887" t="str">
        <f>_xlfn.XLOOKUP(Orders[[#This Row],[Customer ID]],customers!$A$1:$A$1001,customers!$I$1:$I$1001,,0)</f>
        <v>No</v>
      </c>
    </row>
    <row r="888" spans="1:18" x14ac:dyDescent="0.35">
      <c r="A888" s="2" t="s">
        <v>5501</v>
      </c>
      <c r="B888" s="3">
        <v>44518</v>
      </c>
      <c r="C888" s="2" t="s">
        <v>5502</v>
      </c>
      <c r="D888" t="s">
        <v>6160</v>
      </c>
      <c r="E888" s="2">
        <v>2</v>
      </c>
      <c r="F888" s="2" t="str">
        <f>_xlfn.XLOOKUP(Orders[[#This Row],[Customer ID]],customers!$A$1:$A$1001,customers!$B$1:$B$1001,,0)</f>
        <v>Marty Scholl</v>
      </c>
      <c r="G888" s="2" t="str">
        <f>IF(_xlfn.XLOOKUP(C888,customers!$A$1:$A$1001,customers!C887:C1887,,0)=0,"",_xlfn.XLOOKUP(C888,customers!$A$1:$A$1001,customers!C887:C1887,,0))</f>
        <v/>
      </c>
      <c r="H888" s="2" t="str">
        <f>_xlfn.XLOOKUP(Orders[[#This Row],[Customer ID]],customers!$A$1:$A$1001,customers!$G$1:$G$1001,,0)</f>
        <v>United States</v>
      </c>
      <c r="I888" s="2" t="str">
        <f>_xlfn.XLOOKUP(Orders[[#This Row],[Customer ID]],customers!$A$1:$A$1001,customers!$F$1:$F$1001,,0)</f>
        <v>San Francisco</v>
      </c>
      <c r="J888" t="str">
        <f>INDEX(products!$A$1:$G$49,MATCH(orders!$D888,products!$A$1:$A$49,0),MATCH(orders!J$1,products!$A$1:$G$1,0))</f>
        <v>Lib</v>
      </c>
      <c r="K888" t="str">
        <f>INDEX(products!$A$1:$G$49,MATCH(orders!$D888,products!$A$1:$A$49,0),MATCH(orders!K$1,products!$A$1:$G$1,0))</f>
        <v>M</v>
      </c>
      <c r="L888" s="4">
        <f>INDEX(products!$A$1:$G$49,MATCH(orders!$D888,products!$A$1:$A$49,0),MATCH(orders!L$1,products!$A$1:$G$1,0))</f>
        <v>0.5</v>
      </c>
      <c r="M888" s="5">
        <f>INDEX(products!$A$1:$G$49,MATCH(orders!$D888,products!$A$1:$A$49,0),MATCH(orders!M$1,products!$A$1:$G$1,0))</f>
        <v>8.73</v>
      </c>
      <c r="N888" s="5">
        <f>Orders[[#This Row],[Quantity]]*(INDEX(products!$A$1:$G$49,MATCH(orders!$D888,products!$A$1:$A$49,0),MATCH(orders!N$1,products!$A$1:$G$1,0)))</f>
        <v>2.2698</v>
      </c>
      <c r="O888" s="5">
        <f>M888*E888</f>
        <v>17.46</v>
      </c>
      <c r="P888" t="str">
        <f t="shared" si="26"/>
        <v>Liberica</v>
      </c>
      <c r="Q888" t="str">
        <f t="shared" si="27"/>
        <v>Medium</v>
      </c>
      <c r="R888" t="str">
        <f>_xlfn.XLOOKUP(Orders[[#This Row],[Customer ID]],customers!$A$1:$A$1001,customers!$I$1:$I$1001,,0)</f>
        <v>No</v>
      </c>
    </row>
    <row r="889" spans="1:18" x14ac:dyDescent="0.35">
      <c r="A889" s="2" t="s">
        <v>5507</v>
      </c>
      <c r="B889" s="3">
        <v>44002</v>
      </c>
      <c r="C889" s="2" t="s">
        <v>5508</v>
      </c>
      <c r="D889" t="s">
        <v>6184</v>
      </c>
      <c r="E889" s="2">
        <v>3</v>
      </c>
      <c r="F889" s="2" t="str">
        <f>_xlfn.XLOOKUP(Orders[[#This Row],[Customer ID]],customers!$A$1:$A$1001,customers!$B$1:$B$1001,,0)</f>
        <v>Kienan Ferson</v>
      </c>
      <c r="G889" s="2" t="str">
        <f>IF(_xlfn.XLOOKUP(C889,customers!$A$1:$A$1001,customers!C888:C1888,,0)=0,"",_xlfn.XLOOKUP(C889,customers!$A$1:$A$1001,customers!C888:C1888,,0))</f>
        <v/>
      </c>
      <c r="H889" s="2" t="str">
        <f>_xlfn.XLOOKUP(Orders[[#This Row],[Customer ID]],customers!$A$1:$A$1001,customers!$G$1:$G$1001,,0)</f>
        <v>United States</v>
      </c>
      <c r="I889" s="2" t="str">
        <f>_xlfn.XLOOKUP(Orders[[#This Row],[Customer ID]],customers!$A$1:$A$1001,customers!$F$1:$F$1001,,0)</f>
        <v>Mobile</v>
      </c>
      <c r="J889" t="str">
        <f>INDEX(products!$A$1:$G$49,MATCH(orders!$D889,products!$A$1:$A$49,0),MATCH(orders!J$1,products!$A$1:$G$1,0))</f>
        <v>Exc</v>
      </c>
      <c r="K889" t="str">
        <f>INDEX(products!$A$1:$G$49,MATCH(orders!$D889,products!$A$1:$A$49,0),MATCH(orders!K$1,products!$A$1:$G$1,0))</f>
        <v>L</v>
      </c>
      <c r="L889" s="4">
        <f>INDEX(products!$A$1:$G$49,MATCH(orders!$D889,products!$A$1:$A$49,0),MATCH(orders!L$1,products!$A$1:$G$1,0))</f>
        <v>0.2</v>
      </c>
      <c r="M889" s="5">
        <f>INDEX(products!$A$1:$G$49,MATCH(orders!$D889,products!$A$1:$A$49,0),MATCH(orders!M$1,products!$A$1:$G$1,0))</f>
        <v>4.4550000000000001</v>
      </c>
      <c r="N889" s="5">
        <f>Orders[[#This Row],[Quantity]]*(INDEX(products!$A$1:$G$49,MATCH(orders!$D889,products!$A$1:$A$49,0),MATCH(orders!N$1,products!$A$1:$G$1,0)))</f>
        <v>1.4701499999999998</v>
      </c>
      <c r="O889" s="5">
        <f>M889*E889</f>
        <v>13.365</v>
      </c>
      <c r="P889" t="str">
        <f t="shared" si="26"/>
        <v>Excelsa</v>
      </c>
      <c r="Q889" t="str">
        <f t="shared" si="27"/>
        <v>Light</v>
      </c>
      <c r="R889" t="str">
        <f>_xlfn.XLOOKUP(Orders[[#This Row],[Customer ID]],customers!$A$1:$A$1001,customers!$I$1:$I$1001,,0)</f>
        <v>No</v>
      </c>
    </row>
    <row r="890" spans="1:18" x14ac:dyDescent="0.35">
      <c r="A890" s="2" t="s">
        <v>5513</v>
      </c>
      <c r="B890" s="3">
        <v>44292</v>
      </c>
      <c r="C890" s="2" t="s">
        <v>5514</v>
      </c>
      <c r="D890" t="s">
        <v>6167</v>
      </c>
      <c r="E890" s="2">
        <v>2</v>
      </c>
      <c r="F890" s="2" t="str">
        <f>_xlfn.XLOOKUP(Orders[[#This Row],[Customer ID]],customers!$A$1:$A$1001,customers!$B$1:$B$1001,,0)</f>
        <v>Blake Kelloway</v>
      </c>
      <c r="G890" s="2" t="str">
        <f>IF(_xlfn.XLOOKUP(C890,customers!$A$1:$A$1001,customers!C889:C1889,,0)=0,"",_xlfn.XLOOKUP(C890,customers!$A$1:$A$1001,customers!C889:C1889,,0))</f>
        <v/>
      </c>
      <c r="H890" s="2" t="str">
        <f>_xlfn.XLOOKUP(Orders[[#This Row],[Customer ID]],customers!$A$1:$A$1001,customers!$G$1:$G$1001,,0)</f>
        <v>United States</v>
      </c>
      <c r="I890" s="2" t="str">
        <f>_xlfn.XLOOKUP(Orders[[#This Row],[Customer ID]],customers!$A$1:$A$1001,customers!$F$1:$F$1001,,0)</f>
        <v>San Francisco</v>
      </c>
      <c r="J890" t="str">
        <f>INDEX(products!$A$1:$G$49,MATCH(orders!$D890,products!$A$1:$A$49,0),MATCH(orders!J$1,products!$A$1:$G$1,0))</f>
        <v>Ara</v>
      </c>
      <c r="K890" t="str">
        <f>INDEX(products!$A$1:$G$49,MATCH(orders!$D890,products!$A$1:$A$49,0),MATCH(orders!K$1,products!$A$1:$G$1,0))</f>
        <v>L</v>
      </c>
      <c r="L890" s="4">
        <f>INDEX(products!$A$1:$G$49,MATCH(orders!$D890,products!$A$1:$A$49,0),MATCH(orders!L$1,products!$A$1:$G$1,0))</f>
        <v>0.2</v>
      </c>
      <c r="M890" s="5">
        <f>INDEX(products!$A$1:$G$49,MATCH(orders!$D890,products!$A$1:$A$49,0),MATCH(orders!M$1,products!$A$1:$G$1,0))</f>
        <v>3.8849999999999998</v>
      </c>
      <c r="N890" s="5">
        <f>Orders[[#This Row],[Quantity]]*(INDEX(products!$A$1:$G$49,MATCH(orders!$D890,products!$A$1:$A$49,0),MATCH(orders!N$1,products!$A$1:$G$1,0)))</f>
        <v>0.69929999999999992</v>
      </c>
      <c r="O890" s="5">
        <f>M890*E890</f>
        <v>7.77</v>
      </c>
      <c r="P890" t="str">
        <f t="shared" si="26"/>
        <v>Arabica</v>
      </c>
      <c r="Q890" t="str">
        <f t="shared" si="27"/>
        <v>Light</v>
      </c>
      <c r="R890" t="str">
        <f>_xlfn.XLOOKUP(Orders[[#This Row],[Customer ID]],customers!$A$1:$A$1001,customers!$I$1:$I$1001,,0)</f>
        <v>Yes</v>
      </c>
    </row>
    <row r="891" spans="1:18" x14ac:dyDescent="0.35">
      <c r="A891" s="2" t="s">
        <v>5519</v>
      </c>
      <c r="B891" s="3">
        <v>43633</v>
      </c>
      <c r="C891" s="2" t="s">
        <v>5520</v>
      </c>
      <c r="D891" t="s">
        <v>6163</v>
      </c>
      <c r="E891" s="2">
        <v>1</v>
      </c>
      <c r="F891" s="2" t="str">
        <f>_xlfn.XLOOKUP(Orders[[#This Row],[Customer ID]],customers!$A$1:$A$1001,customers!$B$1:$B$1001,,0)</f>
        <v>Scarlett Oliffe</v>
      </c>
      <c r="G891" s="2" t="str">
        <f>IF(_xlfn.XLOOKUP(C891,customers!$A$1:$A$1001,customers!C890:C1890,,0)=0,"",_xlfn.XLOOKUP(C891,customers!$A$1:$A$1001,customers!C890:C1890,,0))</f>
        <v/>
      </c>
      <c r="H891" s="2" t="str">
        <f>_xlfn.XLOOKUP(Orders[[#This Row],[Customer ID]],customers!$A$1:$A$1001,customers!$G$1:$G$1001,,0)</f>
        <v>United States</v>
      </c>
      <c r="I891" s="2" t="str">
        <f>_xlfn.XLOOKUP(Orders[[#This Row],[Customer ID]],customers!$A$1:$A$1001,customers!$F$1:$F$1001,,0)</f>
        <v>Jamaica</v>
      </c>
      <c r="J891" t="str">
        <f>INDEX(products!$A$1:$G$49,MATCH(orders!$D891,products!$A$1:$A$49,0),MATCH(orders!J$1,products!$A$1:$G$1,0))</f>
        <v>Rob</v>
      </c>
      <c r="K891" t="str">
        <f>INDEX(products!$A$1:$G$49,MATCH(orders!$D891,products!$A$1:$A$49,0),MATCH(orders!K$1,products!$A$1:$G$1,0))</f>
        <v>D</v>
      </c>
      <c r="L891" s="4">
        <f>INDEX(products!$A$1:$G$49,MATCH(orders!$D891,products!$A$1:$A$49,0),MATCH(orders!L$1,products!$A$1:$G$1,0))</f>
        <v>0.2</v>
      </c>
      <c r="M891" s="5">
        <f>INDEX(products!$A$1:$G$49,MATCH(orders!$D891,products!$A$1:$A$49,0),MATCH(orders!M$1,products!$A$1:$G$1,0))</f>
        <v>2.6849999999999996</v>
      </c>
      <c r="N891" s="5">
        <f>Orders[[#This Row],[Quantity]]*(INDEX(products!$A$1:$G$49,MATCH(orders!$D891,products!$A$1:$A$49,0),MATCH(orders!N$1,products!$A$1:$G$1,0)))</f>
        <v>0.16109999999999997</v>
      </c>
      <c r="O891" s="5">
        <f>M891*E891</f>
        <v>2.6849999999999996</v>
      </c>
      <c r="P891" t="str">
        <f t="shared" si="26"/>
        <v>Robusta</v>
      </c>
      <c r="Q891" t="str">
        <f t="shared" si="27"/>
        <v>Dark</v>
      </c>
      <c r="R891" t="str">
        <f>_xlfn.XLOOKUP(Orders[[#This Row],[Customer ID]],customers!$A$1:$A$1001,customers!$I$1:$I$1001,,0)</f>
        <v>Yes</v>
      </c>
    </row>
    <row r="892" spans="1:18" x14ac:dyDescent="0.35">
      <c r="A892" s="2" t="s">
        <v>5525</v>
      </c>
      <c r="B892" s="3">
        <v>44646</v>
      </c>
      <c r="C892" s="2" t="s">
        <v>5526</v>
      </c>
      <c r="D892" t="s">
        <v>6149</v>
      </c>
      <c r="E892" s="2">
        <v>1</v>
      </c>
      <c r="F892" s="2" t="str">
        <f>_xlfn.XLOOKUP(Orders[[#This Row],[Customer ID]],customers!$A$1:$A$1001,customers!$B$1:$B$1001,,0)</f>
        <v>Kippie Marrison</v>
      </c>
      <c r="G892" s="2" t="str">
        <f>IF(_xlfn.XLOOKUP(C892,customers!$A$1:$A$1001,customers!C891:C1891,,0)=0,"",_xlfn.XLOOKUP(C892,customers!$A$1:$A$1001,customers!C891:C1891,,0))</f>
        <v/>
      </c>
      <c r="H892" s="2" t="str">
        <f>_xlfn.XLOOKUP(Orders[[#This Row],[Customer ID]],customers!$A$1:$A$1001,customers!$G$1:$G$1001,,0)</f>
        <v>United States</v>
      </c>
      <c r="I892" s="2" t="str">
        <f>_xlfn.XLOOKUP(Orders[[#This Row],[Customer ID]],customers!$A$1:$A$1001,customers!$F$1:$F$1001,,0)</f>
        <v>Denver</v>
      </c>
      <c r="J892" t="str">
        <f>INDEX(products!$A$1:$G$49,MATCH(orders!$D892,products!$A$1:$A$49,0),MATCH(orders!J$1,products!$A$1:$G$1,0))</f>
        <v>Rob</v>
      </c>
      <c r="K892" t="str">
        <f>INDEX(products!$A$1:$G$49,MATCH(orders!$D892,products!$A$1:$A$49,0),MATCH(orders!K$1,products!$A$1:$G$1,0))</f>
        <v>D</v>
      </c>
      <c r="L892" s="4">
        <f>INDEX(products!$A$1:$G$49,MATCH(orders!$D892,products!$A$1:$A$49,0),MATCH(orders!L$1,products!$A$1:$G$1,0))</f>
        <v>2.5</v>
      </c>
      <c r="M892" s="5">
        <f>INDEX(products!$A$1:$G$49,MATCH(orders!$D892,products!$A$1:$A$49,0),MATCH(orders!M$1,products!$A$1:$G$1,0))</f>
        <v>20.584999999999997</v>
      </c>
      <c r="N892" s="5">
        <f>Orders[[#This Row],[Quantity]]*(INDEX(products!$A$1:$G$49,MATCH(orders!$D892,products!$A$1:$A$49,0),MATCH(orders!N$1,products!$A$1:$G$1,0)))</f>
        <v>1.2350999999999999</v>
      </c>
      <c r="O892" s="5">
        <f>M892*E892</f>
        <v>20.584999999999997</v>
      </c>
      <c r="P892" t="str">
        <f t="shared" si="26"/>
        <v>Robusta</v>
      </c>
      <c r="Q892" t="str">
        <f t="shared" si="27"/>
        <v>Dark</v>
      </c>
      <c r="R892" t="str">
        <f>_xlfn.XLOOKUP(Orders[[#This Row],[Customer ID]],customers!$A$1:$A$1001,customers!$I$1:$I$1001,,0)</f>
        <v>Yes</v>
      </c>
    </row>
    <row r="893" spans="1:18" x14ac:dyDescent="0.35">
      <c r="A893" s="2" t="s">
        <v>5531</v>
      </c>
      <c r="B893" s="3">
        <v>44469</v>
      </c>
      <c r="C893" s="2" t="s">
        <v>5532</v>
      </c>
      <c r="D893" t="s">
        <v>6168</v>
      </c>
      <c r="E893" s="2">
        <v>5</v>
      </c>
      <c r="F893" s="2" t="str">
        <f>_xlfn.XLOOKUP(Orders[[#This Row],[Customer ID]],customers!$A$1:$A$1001,customers!$B$1:$B$1001,,0)</f>
        <v>Celestia Dolohunty</v>
      </c>
      <c r="G893" s="2" t="str">
        <f>IF(_xlfn.XLOOKUP(C893,customers!$A$1:$A$1001,customers!C892:C1892,,0)=0,"",_xlfn.XLOOKUP(C893,customers!$A$1:$A$1001,customers!C892:C1892,,0))</f>
        <v/>
      </c>
      <c r="H893" s="2" t="str">
        <f>_xlfn.XLOOKUP(Orders[[#This Row],[Customer ID]],customers!$A$1:$A$1001,customers!$G$1:$G$1001,,0)</f>
        <v>United States</v>
      </c>
      <c r="I893" s="2" t="str">
        <f>_xlfn.XLOOKUP(Orders[[#This Row],[Customer ID]],customers!$A$1:$A$1001,customers!$F$1:$F$1001,,0)</f>
        <v>San Diego</v>
      </c>
      <c r="J893" t="str">
        <f>INDEX(products!$A$1:$G$49,MATCH(orders!$D893,products!$A$1:$A$49,0),MATCH(orders!J$1,products!$A$1:$G$1,0))</f>
        <v>Ara</v>
      </c>
      <c r="K893" t="str">
        <f>INDEX(products!$A$1:$G$49,MATCH(orders!$D893,products!$A$1:$A$49,0),MATCH(orders!K$1,products!$A$1:$G$1,0))</f>
        <v>D</v>
      </c>
      <c r="L893" s="4">
        <f>INDEX(products!$A$1:$G$49,MATCH(orders!$D893,products!$A$1:$A$49,0),MATCH(orders!L$1,products!$A$1:$G$1,0))</f>
        <v>2.5</v>
      </c>
      <c r="M893" s="5">
        <f>INDEX(products!$A$1:$G$49,MATCH(orders!$D893,products!$A$1:$A$49,0),MATCH(orders!M$1,products!$A$1:$G$1,0))</f>
        <v>22.884999999999998</v>
      </c>
      <c r="N893" s="5">
        <f>Orders[[#This Row],[Quantity]]*(INDEX(products!$A$1:$G$49,MATCH(orders!$D893,products!$A$1:$A$49,0),MATCH(orders!N$1,products!$A$1:$G$1,0)))</f>
        <v>10.298249999999998</v>
      </c>
      <c r="O893" s="5">
        <f>M893*E893</f>
        <v>114.42499999999998</v>
      </c>
      <c r="P893" t="str">
        <f t="shared" si="26"/>
        <v>Arabica</v>
      </c>
      <c r="Q893" t="str">
        <f t="shared" si="27"/>
        <v>Dark</v>
      </c>
      <c r="R893" t="str">
        <f>_xlfn.XLOOKUP(Orders[[#This Row],[Customer ID]],customers!$A$1:$A$1001,customers!$I$1:$I$1001,,0)</f>
        <v>Yes</v>
      </c>
    </row>
    <row r="894" spans="1:18" x14ac:dyDescent="0.35">
      <c r="A894" s="2" t="s">
        <v>5537</v>
      </c>
      <c r="B894" s="3">
        <v>43635</v>
      </c>
      <c r="C894" s="2" t="s">
        <v>5538</v>
      </c>
      <c r="D894" t="s">
        <v>6156</v>
      </c>
      <c r="E894" s="2">
        <v>5</v>
      </c>
      <c r="F894" s="2" t="str">
        <f>_xlfn.XLOOKUP(Orders[[#This Row],[Customer ID]],customers!$A$1:$A$1001,customers!$B$1:$B$1001,,0)</f>
        <v>Patsy Vasilenko</v>
      </c>
      <c r="G894" s="2" t="str">
        <f>IF(_xlfn.XLOOKUP(C894,customers!$A$1:$A$1001,customers!C893:C1893,,0)=0,"",_xlfn.XLOOKUP(C894,customers!$A$1:$A$1001,customers!C893:C1893,,0))</f>
        <v/>
      </c>
      <c r="H894" s="2" t="str">
        <f>_xlfn.XLOOKUP(Orders[[#This Row],[Customer ID]],customers!$A$1:$A$1001,customers!$G$1:$G$1001,,0)</f>
        <v>United Kingdom</v>
      </c>
      <c r="I894" s="2" t="str">
        <f>_xlfn.XLOOKUP(Orders[[#This Row],[Customer ID]],customers!$A$1:$A$1001,customers!$F$1:$F$1001,,0)</f>
        <v>Preston</v>
      </c>
      <c r="J894" t="str">
        <f>INDEX(products!$A$1:$G$49,MATCH(orders!$D894,products!$A$1:$A$49,0),MATCH(orders!J$1,products!$A$1:$G$1,0))</f>
        <v>Exc</v>
      </c>
      <c r="K894" t="str">
        <f>INDEX(products!$A$1:$G$49,MATCH(orders!$D894,products!$A$1:$A$49,0),MATCH(orders!K$1,products!$A$1:$G$1,0))</f>
        <v>M</v>
      </c>
      <c r="L894" s="4">
        <f>INDEX(products!$A$1:$G$49,MATCH(orders!$D894,products!$A$1:$A$49,0),MATCH(orders!L$1,products!$A$1:$G$1,0))</f>
        <v>0.2</v>
      </c>
      <c r="M894" s="5">
        <f>INDEX(products!$A$1:$G$49,MATCH(orders!$D894,products!$A$1:$A$49,0),MATCH(orders!M$1,products!$A$1:$G$1,0))</f>
        <v>4.125</v>
      </c>
      <c r="N894" s="5">
        <f>Orders[[#This Row],[Quantity]]*(INDEX(products!$A$1:$G$49,MATCH(orders!$D894,products!$A$1:$A$49,0),MATCH(orders!N$1,products!$A$1:$G$1,0)))</f>
        <v>2.2687499999999998</v>
      </c>
      <c r="O894" s="5">
        <f>M894*E894</f>
        <v>20.625</v>
      </c>
      <c r="P894" t="str">
        <f t="shared" si="26"/>
        <v>Excelsa</v>
      </c>
      <c r="Q894" t="str">
        <f t="shared" si="27"/>
        <v>Medium</v>
      </c>
      <c r="R894" t="str">
        <f>_xlfn.XLOOKUP(Orders[[#This Row],[Customer ID]],customers!$A$1:$A$1001,customers!$I$1:$I$1001,,0)</f>
        <v>No</v>
      </c>
    </row>
    <row r="895" spans="1:18" x14ac:dyDescent="0.35">
      <c r="A895" s="2" t="s">
        <v>5543</v>
      </c>
      <c r="B895" s="3">
        <v>44651</v>
      </c>
      <c r="C895" s="2" t="s">
        <v>5544</v>
      </c>
      <c r="D895" t="s">
        <v>6161</v>
      </c>
      <c r="E895" s="2">
        <v>6</v>
      </c>
      <c r="F895" s="2" t="str">
        <f>_xlfn.XLOOKUP(Orders[[#This Row],[Customer ID]],customers!$A$1:$A$1001,customers!$B$1:$B$1001,,0)</f>
        <v>Raphaela Schankelborg</v>
      </c>
      <c r="G895" s="2" t="str">
        <f>IF(_xlfn.XLOOKUP(C895,customers!$A$1:$A$1001,customers!C894:C1894,,0)=0,"",_xlfn.XLOOKUP(C895,customers!$A$1:$A$1001,customers!C894:C1894,,0))</f>
        <v/>
      </c>
      <c r="H895" s="2" t="str">
        <f>_xlfn.XLOOKUP(Orders[[#This Row],[Customer ID]],customers!$A$1:$A$1001,customers!$G$1:$G$1001,,0)</f>
        <v>United States</v>
      </c>
      <c r="I895" s="2" t="str">
        <f>_xlfn.XLOOKUP(Orders[[#This Row],[Customer ID]],customers!$A$1:$A$1001,customers!$F$1:$F$1001,,0)</f>
        <v>Pittsburgh</v>
      </c>
      <c r="J895" t="str">
        <f>INDEX(products!$A$1:$G$49,MATCH(orders!$D895,products!$A$1:$A$49,0),MATCH(orders!J$1,products!$A$1:$G$1,0))</f>
        <v>Lib</v>
      </c>
      <c r="K895" t="str">
        <f>INDEX(products!$A$1:$G$49,MATCH(orders!$D895,products!$A$1:$A$49,0),MATCH(orders!K$1,products!$A$1:$G$1,0))</f>
        <v>L</v>
      </c>
      <c r="L895" s="4">
        <f>INDEX(products!$A$1:$G$49,MATCH(orders!$D895,products!$A$1:$A$49,0),MATCH(orders!L$1,products!$A$1:$G$1,0))</f>
        <v>0.5</v>
      </c>
      <c r="M895" s="5">
        <f>INDEX(products!$A$1:$G$49,MATCH(orders!$D895,products!$A$1:$A$49,0),MATCH(orders!M$1,products!$A$1:$G$1,0))</f>
        <v>9.51</v>
      </c>
      <c r="N895" s="5">
        <f>Orders[[#This Row],[Quantity]]*(INDEX(products!$A$1:$G$49,MATCH(orders!$D895,products!$A$1:$A$49,0),MATCH(orders!N$1,products!$A$1:$G$1,0)))</f>
        <v>7.4177999999999997</v>
      </c>
      <c r="O895" s="5">
        <f>M895*E895</f>
        <v>57.06</v>
      </c>
      <c r="P895" t="str">
        <f t="shared" si="26"/>
        <v>Liberica</v>
      </c>
      <c r="Q895" t="str">
        <f t="shared" si="27"/>
        <v>Light</v>
      </c>
      <c r="R895" t="str">
        <f>_xlfn.XLOOKUP(Orders[[#This Row],[Customer ID]],customers!$A$1:$A$1001,customers!$I$1:$I$1001,,0)</f>
        <v>Yes</v>
      </c>
    </row>
    <row r="896" spans="1:18" x14ac:dyDescent="0.35">
      <c r="A896" s="2" t="s">
        <v>5548</v>
      </c>
      <c r="B896" s="3">
        <v>44016</v>
      </c>
      <c r="C896" s="2" t="s">
        <v>5549</v>
      </c>
      <c r="D896" t="s">
        <v>6149</v>
      </c>
      <c r="E896" s="2">
        <v>4</v>
      </c>
      <c r="F896" s="2" t="str">
        <f>_xlfn.XLOOKUP(Orders[[#This Row],[Customer ID]],customers!$A$1:$A$1001,customers!$B$1:$B$1001,,0)</f>
        <v>Sharity Wickens</v>
      </c>
      <c r="G896" s="2" t="str">
        <f>IF(_xlfn.XLOOKUP(C896,customers!$A$1:$A$1001,customers!C895:C1895,,0)=0,"",_xlfn.XLOOKUP(C896,customers!$A$1:$A$1001,customers!C895:C1895,,0))</f>
        <v/>
      </c>
      <c r="H896" s="2" t="str">
        <f>_xlfn.XLOOKUP(Orders[[#This Row],[Customer ID]],customers!$A$1:$A$1001,customers!$G$1:$G$1001,,0)</f>
        <v>Ireland</v>
      </c>
      <c r="I896" s="2" t="str">
        <f>_xlfn.XLOOKUP(Orders[[#This Row],[Customer ID]],customers!$A$1:$A$1001,customers!$F$1:$F$1001,,0)</f>
        <v>Cavan</v>
      </c>
      <c r="J896" t="str">
        <f>INDEX(products!$A$1:$G$49,MATCH(orders!$D896,products!$A$1:$A$49,0),MATCH(orders!J$1,products!$A$1:$G$1,0))</f>
        <v>Rob</v>
      </c>
      <c r="K896" t="str">
        <f>INDEX(products!$A$1:$G$49,MATCH(orders!$D896,products!$A$1:$A$49,0),MATCH(orders!K$1,products!$A$1:$G$1,0))</f>
        <v>D</v>
      </c>
      <c r="L896" s="4">
        <f>INDEX(products!$A$1:$G$49,MATCH(orders!$D896,products!$A$1:$A$49,0),MATCH(orders!L$1,products!$A$1:$G$1,0))</f>
        <v>2.5</v>
      </c>
      <c r="M896" s="5">
        <f>INDEX(products!$A$1:$G$49,MATCH(orders!$D896,products!$A$1:$A$49,0),MATCH(orders!M$1,products!$A$1:$G$1,0))</f>
        <v>20.584999999999997</v>
      </c>
      <c r="N896" s="5">
        <f>Orders[[#This Row],[Quantity]]*(INDEX(products!$A$1:$G$49,MATCH(orders!$D896,products!$A$1:$A$49,0),MATCH(orders!N$1,products!$A$1:$G$1,0)))</f>
        <v>4.9403999999999995</v>
      </c>
      <c r="O896" s="5">
        <f>M896*E896</f>
        <v>82.339999999999989</v>
      </c>
      <c r="P896" t="str">
        <f t="shared" si="26"/>
        <v>Robusta</v>
      </c>
      <c r="Q896" t="str">
        <f t="shared" si="27"/>
        <v>Dark</v>
      </c>
      <c r="R896" t="str">
        <f>_xlfn.XLOOKUP(Orders[[#This Row],[Customer ID]],customers!$A$1:$A$1001,customers!$I$1:$I$1001,,0)</f>
        <v>Yes</v>
      </c>
    </row>
    <row r="897" spans="1:18" x14ac:dyDescent="0.35">
      <c r="A897" s="2" t="s">
        <v>5553</v>
      </c>
      <c r="B897" s="3">
        <v>44521</v>
      </c>
      <c r="C897" s="2" t="s">
        <v>5554</v>
      </c>
      <c r="D897" t="s">
        <v>6166</v>
      </c>
      <c r="E897" s="2">
        <v>5</v>
      </c>
      <c r="F897" s="2" t="str">
        <f>_xlfn.XLOOKUP(Orders[[#This Row],[Customer ID]],customers!$A$1:$A$1001,customers!$B$1:$B$1001,,0)</f>
        <v>Derick Snow</v>
      </c>
      <c r="G897" s="2" t="str">
        <f>IF(_xlfn.XLOOKUP(C897,customers!$A$1:$A$1001,customers!C896:C1896,,0)=0,"",_xlfn.XLOOKUP(C897,customers!$A$1:$A$1001,customers!C896:C1896,,0))</f>
        <v/>
      </c>
      <c r="H897" s="2" t="str">
        <f>_xlfn.XLOOKUP(Orders[[#This Row],[Customer ID]],customers!$A$1:$A$1001,customers!$G$1:$G$1001,,0)</f>
        <v>United States</v>
      </c>
      <c r="I897" s="2" t="str">
        <f>_xlfn.XLOOKUP(Orders[[#This Row],[Customer ID]],customers!$A$1:$A$1001,customers!$F$1:$F$1001,,0)</f>
        <v>New York City</v>
      </c>
      <c r="J897" t="str">
        <f>INDEX(products!$A$1:$G$49,MATCH(orders!$D897,products!$A$1:$A$49,0),MATCH(orders!J$1,products!$A$1:$G$1,0))</f>
        <v>Exc</v>
      </c>
      <c r="K897" t="str">
        <f>INDEX(products!$A$1:$G$49,MATCH(orders!$D897,products!$A$1:$A$49,0),MATCH(orders!K$1,products!$A$1:$G$1,0))</f>
        <v>M</v>
      </c>
      <c r="L897" s="4">
        <f>INDEX(products!$A$1:$G$49,MATCH(orders!$D897,products!$A$1:$A$49,0),MATCH(orders!L$1,products!$A$1:$G$1,0))</f>
        <v>2.5</v>
      </c>
      <c r="M897" s="5">
        <f>INDEX(products!$A$1:$G$49,MATCH(orders!$D897,products!$A$1:$A$49,0),MATCH(orders!M$1,products!$A$1:$G$1,0))</f>
        <v>31.624999999999996</v>
      </c>
      <c r="N897" s="5">
        <f>Orders[[#This Row],[Quantity]]*(INDEX(products!$A$1:$G$49,MATCH(orders!$D897,products!$A$1:$A$49,0),MATCH(orders!N$1,products!$A$1:$G$1,0)))</f>
        <v>17.393749999999997</v>
      </c>
      <c r="O897" s="5">
        <f>M897*E897</f>
        <v>158.12499999999997</v>
      </c>
      <c r="P897" t="str">
        <f t="shared" si="26"/>
        <v>Excelsa</v>
      </c>
      <c r="Q897" t="str">
        <f t="shared" si="27"/>
        <v>Medium</v>
      </c>
      <c r="R897" t="str">
        <f>_xlfn.XLOOKUP(Orders[[#This Row],[Customer ID]],customers!$A$1:$A$1001,customers!$I$1:$I$1001,,0)</f>
        <v>No</v>
      </c>
    </row>
    <row r="898" spans="1:18" x14ac:dyDescent="0.35">
      <c r="A898" s="2" t="s">
        <v>5558</v>
      </c>
      <c r="B898" s="3">
        <v>44347</v>
      </c>
      <c r="C898" s="2" t="s">
        <v>5559</v>
      </c>
      <c r="D898" t="s">
        <v>6172</v>
      </c>
      <c r="E898" s="2">
        <v>6</v>
      </c>
      <c r="F898" s="2" t="str">
        <f>_xlfn.XLOOKUP(Orders[[#This Row],[Customer ID]],customers!$A$1:$A$1001,customers!$B$1:$B$1001,,0)</f>
        <v>Baxy Cargen</v>
      </c>
      <c r="G898" s="2" t="str">
        <f>IF(_xlfn.XLOOKUP(C898,customers!$A$1:$A$1001,customers!C897:C1897,,0)=0,"",_xlfn.XLOOKUP(C898,customers!$A$1:$A$1001,customers!C897:C1897,,0))</f>
        <v/>
      </c>
      <c r="H898" s="2" t="str">
        <f>_xlfn.XLOOKUP(Orders[[#This Row],[Customer ID]],customers!$A$1:$A$1001,customers!$G$1:$G$1001,,0)</f>
        <v>United States</v>
      </c>
      <c r="I898" s="2" t="str">
        <f>_xlfn.XLOOKUP(Orders[[#This Row],[Customer ID]],customers!$A$1:$A$1001,customers!$F$1:$F$1001,,0)</f>
        <v>Seattle</v>
      </c>
      <c r="J898" t="str">
        <f>INDEX(products!$A$1:$G$49,MATCH(orders!$D898,products!$A$1:$A$49,0),MATCH(orders!J$1,products!$A$1:$G$1,0))</f>
        <v>Rob</v>
      </c>
      <c r="K898" t="str">
        <f>INDEX(products!$A$1:$G$49,MATCH(orders!$D898,products!$A$1:$A$49,0),MATCH(orders!K$1,products!$A$1:$G$1,0))</f>
        <v>D</v>
      </c>
      <c r="L898" s="4">
        <f>INDEX(products!$A$1:$G$49,MATCH(orders!$D898,products!$A$1:$A$49,0),MATCH(orders!L$1,products!$A$1:$G$1,0))</f>
        <v>0.5</v>
      </c>
      <c r="M898" s="5">
        <f>INDEX(products!$A$1:$G$49,MATCH(orders!$D898,products!$A$1:$A$49,0),MATCH(orders!M$1,products!$A$1:$G$1,0))</f>
        <v>5.3699999999999992</v>
      </c>
      <c r="N898" s="5">
        <f>Orders[[#This Row],[Quantity]]*(INDEX(products!$A$1:$G$49,MATCH(orders!$D898,products!$A$1:$A$49,0),MATCH(orders!N$1,products!$A$1:$G$1,0)))</f>
        <v>1.9331999999999996</v>
      </c>
      <c r="O898" s="5">
        <f>M898*E898</f>
        <v>32.22</v>
      </c>
      <c r="P898" t="str">
        <f t="shared" si="26"/>
        <v>Robusta</v>
      </c>
      <c r="Q898" t="str">
        <f t="shared" si="27"/>
        <v>Dark</v>
      </c>
      <c r="R898" t="str">
        <f>_xlfn.XLOOKUP(Orders[[#This Row],[Customer ID]],customers!$A$1:$A$1001,customers!$I$1:$I$1001,,0)</f>
        <v>Yes</v>
      </c>
    </row>
    <row r="899" spans="1:18" x14ac:dyDescent="0.35">
      <c r="A899" s="2" t="s">
        <v>5564</v>
      </c>
      <c r="B899" s="3">
        <v>43932</v>
      </c>
      <c r="C899" s="2" t="s">
        <v>5565</v>
      </c>
      <c r="D899" t="s">
        <v>6183</v>
      </c>
      <c r="E899" s="2">
        <v>2</v>
      </c>
      <c r="F899" s="2" t="str">
        <f>_xlfn.XLOOKUP(Orders[[#This Row],[Customer ID]],customers!$A$1:$A$1001,customers!$B$1:$B$1001,,0)</f>
        <v>Ryann Stickler</v>
      </c>
      <c r="G899" s="2" t="str">
        <f>IF(_xlfn.XLOOKUP(C899,customers!$A$1:$A$1001,customers!C898:C1898,,0)=0,"",_xlfn.XLOOKUP(C899,customers!$A$1:$A$1001,customers!C898:C1898,,0))</f>
        <v/>
      </c>
      <c r="H899" s="2" t="str">
        <f>_xlfn.XLOOKUP(Orders[[#This Row],[Customer ID]],customers!$A$1:$A$1001,customers!$G$1:$G$1001,,0)</f>
        <v>United Kingdom</v>
      </c>
      <c r="I899" s="2" t="str">
        <f>_xlfn.XLOOKUP(Orders[[#This Row],[Customer ID]],customers!$A$1:$A$1001,customers!$F$1:$F$1001,,0)</f>
        <v>Birmingham</v>
      </c>
      <c r="J899" t="str">
        <f>INDEX(products!$A$1:$G$49,MATCH(orders!$D899,products!$A$1:$A$49,0),MATCH(orders!J$1,products!$A$1:$G$1,0))</f>
        <v>Exc</v>
      </c>
      <c r="K899" t="str">
        <f>INDEX(products!$A$1:$G$49,MATCH(orders!$D899,products!$A$1:$A$49,0),MATCH(orders!K$1,products!$A$1:$G$1,0))</f>
        <v>D</v>
      </c>
      <c r="L899" s="4">
        <f>INDEX(products!$A$1:$G$49,MATCH(orders!$D899,products!$A$1:$A$49,0),MATCH(orders!L$1,products!$A$1:$G$1,0))</f>
        <v>1</v>
      </c>
      <c r="M899" s="5">
        <f>INDEX(products!$A$1:$G$49,MATCH(orders!$D899,products!$A$1:$A$49,0),MATCH(orders!M$1,products!$A$1:$G$1,0))</f>
        <v>12.15</v>
      </c>
      <c r="N899" s="5">
        <f>Orders[[#This Row],[Quantity]]*(INDEX(products!$A$1:$G$49,MATCH(orders!$D899,products!$A$1:$A$49,0),MATCH(orders!N$1,products!$A$1:$G$1,0)))</f>
        <v>2.673</v>
      </c>
      <c r="O899" s="5">
        <f>M899*E899</f>
        <v>24.3</v>
      </c>
      <c r="P899" t="str">
        <f t="shared" ref="P899:P962" si="28">IF(J899="Rob","Robusta",IF(J899="Exc","Excelsa",IF(J899="Ara","Arabica",IF(J899="Lib","Liberica",""))))</f>
        <v>Excelsa</v>
      </c>
      <c r="Q899" t="str">
        <f t="shared" ref="Q899:Q962" si="29">IF(K899="M", "Medium", IF(K899="L", "Light", IF(K899="D", "Dark", "")))</f>
        <v>Dark</v>
      </c>
      <c r="R899" t="str">
        <f>_xlfn.XLOOKUP(Orders[[#This Row],[Customer ID]],customers!$A$1:$A$1001,customers!$I$1:$I$1001,,0)</f>
        <v>No</v>
      </c>
    </row>
    <row r="900" spans="1:18" x14ac:dyDescent="0.35">
      <c r="A900" s="2" t="s">
        <v>5570</v>
      </c>
      <c r="B900" s="3">
        <v>44089</v>
      </c>
      <c r="C900" s="2" t="s">
        <v>5571</v>
      </c>
      <c r="D900" t="s">
        <v>6173</v>
      </c>
      <c r="E900" s="2">
        <v>5</v>
      </c>
      <c r="F900" s="2" t="str">
        <f>_xlfn.XLOOKUP(Orders[[#This Row],[Customer ID]],customers!$A$1:$A$1001,customers!$B$1:$B$1001,,0)</f>
        <v>Daryn Cassius</v>
      </c>
      <c r="G900" s="2" t="str">
        <f>IF(_xlfn.XLOOKUP(C900,customers!$A$1:$A$1001,customers!C899:C1899,,0)=0,"",_xlfn.XLOOKUP(C900,customers!$A$1:$A$1001,customers!C899:C1899,,0))</f>
        <v/>
      </c>
      <c r="H900" s="2" t="str">
        <f>_xlfn.XLOOKUP(Orders[[#This Row],[Customer ID]],customers!$A$1:$A$1001,customers!$G$1:$G$1001,,0)</f>
        <v>United States</v>
      </c>
      <c r="I900" s="2" t="str">
        <f>_xlfn.XLOOKUP(Orders[[#This Row],[Customer ID]],customers!$A$1:$A$1001,customers!$F$1:$F$1001,,0)</f>
        <v>Battle Creek</v>
      </c>
      <c r="J900" t="str">
        <f>INDEX(products!$A$1:$G$49,MATCH(orders!$D900,products!$A$1:$A$49,0),MATCH(orders!J$1,products!$A$1:$G$1,0))</f>
        <v>Rob</v>
      </c>
      <c r="K900" t="str">
        <f>INDEX(products!$A$1:$G$49,MATCH(orders!$D900,products!$A$1:$A$49,0),MATCH(orders!K$1,products!$A$1:$G$1,0))</f>
        <v>L</v>
      </c>
      <c r="L900" s="4">
        <f>INDEX(products!$A$1:$G$49,MATCH(orders!$D900,products!$A$1:$A$49,0),MATCH(orders!L$1,products!$A$1:$G$1,0))</f>
        <v>0.5</v>
      </c>
      <c r="M900" s="5">
        <f>INDEX(products!$A$1:$G$49,MATCH(orders!$D900,products!$A$1:$A$49,0),MATCH(orders!M$1,products!$A$1:$G$1,0))</f>
        <v>7.169999999999999</v>
      </c>
      <c r="N900" s="5">
        <f>Orders[[#This Row],[Quantity]]*(INDEX(products!$A$1:$G$49,MATCH(orders!$D900,products!$A$1:$A$49,0),MATCH(orders!N$1,products!$A$1:$G$1,0)))</f>
        <v>2.1509999999999998</v>
      </c>
      <c r="O900" s="5">
        <f>M900*E900</f>
        <v>35.849999999999994</v>
      </c>
      <c r="P900" t="str">
        <f t="shared" si="28"/>
        <v>Robusta</v>
      </c>
      <c r="Q900" t="str">
        <f t="shared" si="29"/>
        <v>Light</v>
      </c>
      <c r="R900" t="str">
        <f>_xlfn.XLOOKUP(Orders[[#This Row],[Customer ID]],customers!$A$1:$A$1001,customers!$I$1:$I$1001,,0)</f>
        <v>No</v>
      </c>
    </row>
    <row r="901" spans="1:18" x14ac:dyDescent="0.35">
      <c r="A901" s="2" t="s">
        <v>5575</v>
      </c>
      <c r="B901" s="3">
        <v>44523</v>
      </c>
      <c r="C901" s="2" t="s">
        <v>5554</v>
      </c>
      <c r="D901" t="s">
        <v>6162</v>
      </c>
      <c r="E901" s="2">
        <v>5</v>
      </c>
      <c r="F901" s="2" t="str">
        <f>_xlfn.XLOOKUP(Orders[[#This Row],[Customer ID]],customers!$A$1:$A$1001,customers!$B$1:$B$1001,,0)</f>
        <v>Derick Snow</v>
      </c>
      <c r="G901" s="2" t="str">
        <f>IF(_xlfn.XLOOKUP(C901,customers!$A$1:$A$1001,customers!C900:C1900,,0)=0,"",_xlfn.XLOOKUP(C901,customers!$A$1:$A$1001,customers!C900:C1900,,0))</f>
        <v/>
      </c>
      <c r="H901" s="2" t="str">
        <f>_xlfn.XLOOKUP(Orders[[#This Row],[Customer ID]],customers!$A$1:$A$1001,customers!$G$1:$G$1001,,0)</f>
        <v>United States</v>
      </c>
      <c r="I901" s="2" t="str">
        <f>_xlfn.XLOOKUP(Orders[[#This Row],[Customer ID]],customers!$A$1:$A$1001,customers!$F$1:$F$1001,,0)</f>
        <v>New York City</v>
      </c>
      <c r="J901" t="str">
        <f>INDEX(products!$A$1:$G$49,MATCH(orders!$D901,products!$A$1:$A$49,0),MATCH(orders!J$1,products!$A$1:$G$1,0))</f>
        <v>Lib</v>
      </c>
      <c r="K901" t="str">
        <f>INDEX(products!$A$1:$G$49,MATCH(orders!$D901,products!$A$1:$A$49,0),MATCH(orders!K$1,products!$A$1:$G$1,0))</f>
        <v>M</v>
      </c>
      <c r="L901" s="4">
        <f>INDEX(products!$A$1:$G$49,MATCH(orders!$D901,products!$A$1:$A$49,0),MATCH(orders!L$1,products!$A$1:$G$1,0))</f>
        <v>1</v>
      </c>
      <c r="M901" s="5">
        <f>INDEX(products!$A$1:$G$49,MATCH(orders!$D901,products!$A$1:$A$49,0),MATCH(orders!M$1,products!$A$1:$G$1,0))</f>
        <v>14.55</v>
      </c>
      <c r="N901" s="5">
        <f>Orders[[#This Row],[Quantity]]*(INDEX(products!$A$1:$G$49,MATCH(orders!$D901,products!$A$1:$A$49,0),MATCH(orders!N$1,products!$A$1:$G$1,0)))</f>
        <v>9.4575000000000014</v>
      </c>
      <c r="O901" s="5">
        <f>M901*E901</f>
        <v>72.75</v>
      </c>
      <c r="P901" t="str">
        <f t="shared" si="28"/>
        <v>Liberica</v>
      </c>
      <c r="Q901" t="str">
        <f t="shared" si="29"/>
        <v>Medium</v>
      </c>
      <c r="R901" t="str">
        <f>_xlfn.XLOOKUP(Orders[[#This Row],[Customer ID]],customers!$A$1:$A$1001,customers!$I$1:$I$1001,,0)</f>
        <v>No</v>
      </c>
    </row>
    <row r="902" spans="1:18" x14ac:dyDescent="0.35">
      <c r="A902" s="2" t="s">
        <v>5580</v>
      </c>
      <c r="B902" s="3">
        <v>44584</v>
      </c>
      <c r="C902" s="2" t="s">
        <v>5581</v>
      </c>
      <c r="D902" t="s">
        <v>6170</v>
      </c>
      <c r="E902" s="2">
        <v>3</v>
      </c>
      <c r="F902" s="2" t="str">
        <f>_xlfn.XLOOKUP(Orders[[#This Row],[Customer ID]],customers!$A$1:$A$1001,customers!$B$1:$B$1001,,0)</f>
        <v>Skelly Dolohunty</v>
      </c>
      <c r="G902" s="2" t="str">
        <f>IF(_xlfn.XLOOKUP(C902,customers!$A$1:$A$1001,customers!C901:C1901,,0)=0,"",_xlfn.XLOOKUP(C902,customers!$A$1:$A$1001,customers!C901:C1901,,0))</f>
        <v/>
      </c>
      <c r="H902" s="2" t="str">
        <f>_xlfn.XLOOKUP(Orders[[#This Row],[Customer ID]],customers!$A$1:$A$1001,customers!$G$1:$G$1001,,0)</f>
        <v>Ireland</v>
      </c>
      <c r="I902" s="2" t="str">
        <f>_xlfn.XLOOKUP(Orders[[#This Row],[Customer ID]],customers!$A$1:$A$1001,customers!$F$1:$F$1001,,0)</f>
        <v>Ballymun</v>
      </c>
      <c r="J902" t="str">
        <f>INDEX(products!$A$1:$G$49,MATCH(orders!$D902,products!$A$1:$A$49,0),MATCH(orders!J$1,products!$A$1:$G$1,0))</f>
        <v>Lib</v>
      </c>
      <c r="K902" t="str">
        <f>INDEX(products!$A$1:$G$49,MATCH(orders!$D902,products!$A$1:$A$49,0),MATCH(orders!K$1,products!$A$1:$G$1,0))</f>
        <v>L</v>
      </c>
      <c r="L902" s="4">
        <f>INDEX(products!$A$1:$G$49,MATCH(orders!$D902,products!$A$1:$A$49,0),MATCH(orders!L$1,products!$A$1:$G$1,0))</f>
        <v>1</v>
      </c>
      <c r="M902" s="5">
        <f>INDEX(products!$A$1:$G$49,MATCH(orders!$D902,products!$A$1:$A$49,0),MATCH(orders!M$1,products!$A$1:$G$1,0))</f>
        <v>15.85</v>
      </c>
      <c r="N902" s="5">
        <f>Orders[[#This Row],[Quantity]]*(INDEX(products!$A$1:$G$49,MATCH(orders!$D902,products!$A$1:$A$49,0),MATCH(orders!N$1,products!$A$1:$G$1,0)))</f>
        <v>6.1815000000000007</v>
      </c>
      <c r="O902" s="5">
        <f>M902*E902</f>
        <v>47.55</v>
      </c>
      <c r="P902" t="str">
        <f t="shared" si="28"/>
        <v>Liberica</v>
      </c>
      <c r="Q902" t="str">
        <f t="shared" si="29"/>
        <v>Light</v>
      </c>
      <c r="R902" t="str">
        <f>_xlfn.XLOOKUP(Orders[[#This Row],[Customer ID]],customers!$A$1:$A$1001,customers!$I$1:$I$1001,,0)</f>
        <v>No</v>
      </c>
    </row>
    <row r="903" spans="1:18" x14ac:dyDescent="0.35">
      <c r="A903" s="2" t="s">
        <v>5585</v>
      </c>
      <c r="B903" s="3">
        <v>44223</v>
      </c>
      <c r="C903" s="2" t="s">
        <v>5586</v>
      </c>
      <c r="D903" t="s">
        <v>6178</v>
      </c>
      <c r="E903" s="2">
        <v>1</v>
      </c>
      <c r="F903" s="2" t="str">
        <f>_xlfn.XLOOKUP(Orders[[#This Row],[Customer ID]],customers!$A$1:$A$1001,customers!$B$1:$B$1001,,0)</f>
        <v>Drake Jevon</v>
      </c>
      <c r="G903" s="2" t="str">
        <f>IF(_xlfn.XLOOKUP(C903,customers!$A$1:$A$1001,customers!C902:C1902,,0)=0,"",_xlfn.XLOOKUP(C903,customers!$A$1:$A$1001,customers!C902:C1902,,0))</f>
        <v/>
      </c>
      <c r="H903" s="2" t="str">
        <f>_xlfn.XLOOKUP(Orders[[#This Row],[Customer ID]],customers!$A$1:$A$1001,customers!$G$1:$G$1001,,0)</f>
        <v>United States</v>
      </c>
      <c r="I903" s="2" t="str">
        <f>_xlfn.XLOOKUP(Orders[[#This Row],[Customer ID]],customers!$A$1:$A$1001,customers!$F$1:$F$1001,,0)</f>
        <v>Houston</v>
      </c>
      <c r="J903" t="str">
        <f>INDEX(products!$A$1:$G$49,MATCH(orders!$D903,products!$A$1:$A$49,0),MATCH(orders!J$1,products!$A$1:$G$1,0))</f>
        <v>Rob</v>
      </c>
      <c r="K903" t="str">
        <f>INDEX(products!$A$1:$G$49,MATCH(orders!$D903,products!$A$1:$A$49,0),MATCH(orders!K$1,products!$A$1:$G$1,0))</f>
        <v>L</v>
      </c>
      <c r="L903" s="4">
        <f>INDEX(products!$A$1:$G$49,MATCH(orders!$D903,products!$A$1:$A$49,0),MATCH(orders!L$1,products!$A$1:$G$1,0))</f>
        <v>0.2</v>
      </c>
      <c r="M903" s="5">
        <f>INDEX(products!$A$1:$G$49,MATCH(orders!$D903,products!$A$1:$A$49,0),MATCH(orders!M$1,products!$A$1:$G$1,0))</f>
        <v>3.5849999999999995</v>
      </c>
      <c r="N903" s="5">
        <f>Orders[[#This Row],[Quantity]]*(INDEX(products!$A$1:$G$49,MATCH(orders!$D903,products!$A$1:$A$49,0),MATCH(orders!N$1,products!$A$1:$G$1,0)))</f>
        <v>0.21509999999999996</v>
      </c>
      <c r="O903" s="5">
        <f>M903*E903</f>
        <v>3.5849999999999995</v>
      </c>
      <c r="P903" t="str">
        <f t="shared" si="28"/>
        <v>Robusta</v>
      </c>
      <c r="Q903" t="str">
        <f t="shared" si="29"/>
        <v>Light</v>
      </c>
      <c r="R903" t="str">
        <f>_xlfn.XLOOKUP(Orders[[#This Row],[Customer ID]],customers!$A$1:$A$1001,customers!$I$1:$I$1001,,0)</f>
        <v>Yes</v>
      </c>
    </row>
    <row r="904" spans="1:18" x14ac:dyDescent="0.35">
      <c r="A904" s="2" t="s">
        <v>5591</v>
      </c>
      <c r="B904" s="3">
        <v>43640</v>
      </c>
      <c r="C904" s="2" t="s">
        <v>5592</v>
      </c>
      <c r="D904" t="s">
        <v>6166</v>
      </c>
      <c r="E904" s="2">
        <v>5</v>
      </c>
      <c r="F904" s="2" t="str">
        <f>_xlfn.XLOOKUP(Orders[[#This Row],[Customer ID]],customers!$A$1:$A$1001,customers!$B$1:$B$1001,,0)</f>
        <v>Hall Ranner</v>
      </c>
      <c r="G904" s="2" t="str">
        <f>IF(_xlfn.XLOOKUP(C904,customers!$A$1:$A$1001,customers!C903:C1903,,0)=0,"",_xlfn.XLOOKUP(C904,customers!$A$1:$A$1001,customers!C903:C1903,,0))</f>
        <v/>
      </c>
      <c r="H904" s="2" t="str">
        <f>_xlfn.XLOOKUP(Orders[[#This Row],[Customer ID]],customers!$A$1:$A$1001,customers!$G$1:$G$1001,,0)</f>
        <v>United States</v>
      </c>
      <c r="I904" s="2" t="str">
        <f>_xlfn.XLOOKUP(Orders[[#This Row],[Customer ID]],customers!$A$1:$A$1001,customers!$F$1:$F$1001,,0)</f>
        <v>Cincinnati</v>
      </c>
      <c r="J904" t="str">
        <f>INDEX(products!$A$1:$G$49,MATCH(orders!$D904,products!$A$1:$A$49,0),MATCH(orders!J$1,products!$A$1:$G$1,0))</f>
        <v>Exc</v>
      </c>
      <c r="K904" t="str">
        <f>INDEX(products!$A$1:$G$49,MATCH(orders!$D904,products!$A$1:$A$49,0),MATCH(orders!K$1,products!$A$1:$G$1,0))</f>
        <v>M</v>
      </c>
      <c r="L904" s="4">
        <f>INDEX(products!$A$1:$G$49,MATCH(orders!$D904,products!$A$1:$A$49,0),MATCH(orders!L$1,products!$A$1:$G$1,0))</f>
        <v>2.5</v>
      </c>
      <c r="M904" s="5">
        <f>INDEX(products!$A$1:$G$49,MATCH(orders!$D904,products!$A$1:$A$49,0),MATCH(orders!M$1,products!$A$1:$G$1,0))</f>
        <v>31.624999999999996</v>
      </c>
      <c r="N904" s="5">
        <f>Orders[[#This Row],[Quantity]]*(INDEX(products!$A$1:$G$49,MATCH(orders!$D904,products!$A$1:$A$49,0),MATCH(orders!N$1,products!$A$1:$G$1,0)))</f>
        <v>17.393749999999997</v>
      </c>
      <c r="O904" s="5">
        <f>M904*E904</f>
        <v>158.12499999999997</v>
      </c>
      <c r="P904" t="str">
        <f t="shared" si="28"/>
        <v>Excelsa</v>
      </c>
      <c r="Q904" t="str">
        <f t="shared" si="29"/>
        <v>Medium</v>
      </c>
      <c r="R904" t="str">
        <f>_xlfn.XLOOKUP(Orders[[#This Row],[Customer ID]],customers!$A$1:$A$1001,customers!$I$1:$I$1001,,0)</f>
        <v>No</v>
      </c>
    </row>
    <row r="905" spans="1:18" x14ac:dyDescent="0.35">
      <c r="A905" s="2" t="s">
        <v>5597</v>
      </c>
      <c r="B905" s="3">
        <v>43905</v>
      </c>
      <c r="C905" s="2" t="s">
        <v>5598</v>
      </c>
      <c r="D905" t="s">
        <v>6160</v>
      </c>
      <c r="E905" s="2">
        <v>2</v>
      </c>
      <c r="F905" s="2" t="str">
        <f>_xlfn.XLOOKUP(Orders[[#This Row],[Customer ID]],customers!$A$1:$A$1001,customers!$B$1:$B$1001,,0)</f>
        <v>Berkly Imrie</v>
      </c>
      <c r="G905" s="2" t="str">
        <f>IF(_xlfn.XLOOKUP(C905,customers!$A$1:$A$1001,customers!C904:C1904,,0)=0,"",_xlfn.XLOOKUP(C905,customers!$A$1:$A$1001,customers!C904:C1904,,0))</f>
        <v/>
      </c>
      <c r="H905" s="2" t="str">
        <f>_xlfn.XLOOKUP(Orders[[#This Row],[Customer ID]],customers!$A$1:$A$1001,customers!$G$1:$G$1001,,0)</f>
        <v>United States</v>
      </c>
      <c r="I905" s="2" t="str">
        <f>_xlfn.XLOOKUP(Orders[[#This Row],[Customer ID]],customers!$A$1:$A$1001,customers!$F$1:$F$1001,,0)</f>
        <v>Fresno</v>
      </c>
      <c r="J905" t="str">
        <f>INDEX(products!$A$1:$G$49,MATCH(orders!$D905,products!$A$1:$A$49,0),MATCH(orders!J$1,products!$A$1:$G$1,0))</f>
        <v>Lib</v>
      </c>
      <c r="K905" t="str">
        <f>INDEX(products!$A$1:$G$49,MATCH(orders!$D905,products!$A$1:$A$49,0),MATCH(orders!K$1,products!$A$1:$G$1,0))</f>
        <v>M</v>
      </c>
      <c r="L905" s="4">
        <f>INDEX(products!$A$1:$G$49,MATCH(orders!$D905,products!$A$1:$A$49,0),MATCH(orders!L$1,products!$A$1:$G$1,0))</f>
        <v>0.5</v>
      </c>
      <c r="M905" s="5">
        <f>INDEX(products!$A$1:$G$49,MATCH(orders!$D905,products!$A$1:$A$49,0),MATCH(orders!M$1,products!$A$1:$G$1,0))</f>
        <v>8.73</v>
      </c>
      <c r="N905" s="5">
        <f>Orders[[#This Row],[Quantity]]*(INDEX(products!$A$1:$G$49,MATCH(orders!$D905,products!$A$1:$A$49,0),MATCH(orders!N$1,products!$A$1:$G$1,0)))</f>
        <v>2.2698</v>
      </c>
      <c r="O905" s="5">
        <f>M905*E905</f>
        <v>17.46</v>
      </c>
      <c r="P905" t="str">
        <f t="shared" si="28"/>
        <v>Liberica</v>
      </c>
      <c r="Q905" t="str">
        <f t="shared" si="29"/>
        <v>Medium</v>
      </c>
      <c r="R905" t="str">
        <f>_xlfn.XLOOKUP(Orders[[#This Row],[Customer ID]],customers!$A$1:$A$1001,customers!$I$1:$I$1001,,0)</f>
        <v>No</v>
      </c>
    </row>
    <row r="906" spans="1:18" x14ac:dyDescent="0.35">
      <c r="A906" s="2" t="s">
        <v>5603</v>
      </c>
      <c r="B906" s="3">
        <v>44463</v>
      </c>
      <c r="C906" s="2" t="s">
        <v>5604</v>
      </c>
      <c r="D906" t="s">
        <v>6182</v>
      </c>
      <c r="E906" s="2">
        <v>5</v>
      </c>
      <c r="F906" s="2" t="str">
        <f>_xlfn.XLOOKUP(Orders[[#This Row],[Customer ID]],customers!$A$1:$A$1001,customers!$B$1:$B$1001,,0)</f>
        <v>Dorey Sopper</v>
      </c>
      <c r="G906" s="2" t="str">
        <f>IF(_xlfn.XLOOKUP(C906,customers!$A$1:$A$1001,customers!C905:C1905,,0)=0,"",_xlfn.XLOOKUP(C906,customers!$A$1:$A$1001,customers!C905:C1905,,0))</f>
        <v/>
      </c>
      <c r="H906" s="2" t="str">
        <f>_xlfn.XLOOKUP(Orders[[#This Row],[Customer ID]],customers!$A$1:$A$1001,customers!$G$1:$G$1001,,0)</f>
        <v>United States</v>
      </c>
      <c r="I906" s="2" t="str">
        <f>_xlfn.XLOOKUP(Orders[[#This Row],[Customer ID]],customers!$A$1:$A$1001,customers!$F$1:$F$1001,,0)</f>
        <v>Saint Paul</v>
      </c>
      <c r="J906" t="str">
        <f>INDEX(products!$A$1:$G$49,MATCH(orders!$D906,products!$A$1:$A$49,0),MATCH(orders!J$1,products!$A$1:$G$1,0))</f>
        <v>Ara</v>
      </c>
      <c r="K906" t="str">
        <f>INDEX(products!$A$1:$G$49,MATCH(orders!$D906,products!$A$1:$A$49,0),MATCH(orders!K$1,products!$A$1:$G$1,0))</f>
        <v>L</v>
      </c>
      <c r="L906" s="4">
        <f>INDEX(products!$A$1:$G$49,MATCH(orders!$D906,products!$A$1:$A$49,0),MATCH(orders!L$1,products!$A$1:$G$1,0))</f>
        <v>2.5</v>
      </c>
      <c r="M906" s="5">
        <f>INDEX(products!$A$1:$G$49,MATCH(orders!$D906,products!$A$1:$A$49,0),MATCH(orders!M$1,products!$A$1:$G$1,0))</f>
        <v>29.784999999999997</v>
      </c>
      <c r="N906" s="5">
        <f>Orders[[#This Row],[Quantity]]*(INDEX(products!$A$1:$G$49,MATCH(orders!$D906,products!$A$1:$A$49,0),MATCH(orders!N$1,products!$A$1:$G$1,0)))</f>
        <v>13.403249999999998</v>
      </c>
      <c r="O906" s="5">
        <f>M906*E906</f>
        <v>148.92499999999998</v>
      </c>
      <c r="P906" t="str">
        <f t="shared" si="28"/>
        <v>Arabica</v>
      </c>
      <c r="Q906" t="str">
        <f t="shared" si="29"/>
        <v>Light</v>
      </c>
      <c r="R906" t="str">
        <f>_xlfn.XLOOKUP(Orders[[#This Row],[Customer ID]],customers!$A$1:$A$1001,customers!$I$1:$I$1001,,0)</f>
        <v>No</v>
      </c>
    </row>
    <row r="907" spans="1:18" x14ac:dyDescent="0.35">
      <c r="A907" s="2" t="s">
        <v>5609</v>
      </c>
      <c r="B907" s="3">
        <v>43560</v>
      </c>
      <c r="C907" s="2" t="s">
        <v>5610</v>
      </c>
      <c r="D907" t="s">
        <v>6157</v>
      </c>
      <c r="E907" s="2">
        <v>6</v>
      </c>
      <c r="F907" s="2" t="str">
        <f>_xlfn.XLOOKUP(Orders[[#This Row],[Customer ID]],customers!$A$1:$A$1001,customers!$B$1:$B$1001,,0)</f>
        <v>Darcy Lochran</v>
      </c>
      <c r="G907" s="2" t="str">
        <f>IF(_xlfn.XLOOKUP(C907,customers!$A$1:$A$1001,customers!C906:C1906,,0)=0,"",_xlfn.XLOOKUP(C907,customers!$A$1:$A$1001,customers!C906:C1906,,0))</f>
        <v/>
      </c>
      <c r="H907" s="2" t="str">
        <f>_xlfn.XLOOKUP(Orders[[#This Row],[Customer ID]],customers!$A$1:$A$1001,customers!$G$1:$G$1001,,0)</f>
        <v>United States</v>
      </c>
      <c r="I907" s="2" t="str">
        <f>_xlfn.XLOOKUP(Orders[[#This Row],[Customer ID]],customers!$A$1:$A$1001,customers!$F$1:$F$1001,,0)</f>
        <v>El Paso</v>
      </c>
      <c r="J907" t="str">
        <f>INDEX(products!$A$1:$G$49,MATCH(orders!$D907,products!$A$1:$A$49,0),MATCH(orders!J$1,products!$A$1:$G$1,0))</f>
        <v>Ara</v>
      </c>
      <c r="K907" t="str">
        <f>INDEX(products!$A$1:$G$49,MATCH(orders!$D907,products!$A$1:$A$49,0),MATCH(orders!K$1,products!$A$1:$G$1,0))</f>
        <v>M</v>
      </c>
      <c r="L907" s="4">
        <f>INDEX(products!$A$1:$G$49,MATCH(orders!$D907,products!$A$1:$A$49,0),MATCH(orders!L$1,products!$A$1:$G$1,0))</f>
        <v>0.5</v>
      </c>
      <c r="M907" s="5">
        <f>INDEX(products!$A$1:$G$49,MATCH(orders!$D907,products!$A$1:$A$49,0),MATCH(orders!M$1,products!$A$1:$G$1,0))</f>
        <v>6.75</v>
      </c>
      <c r="N907" s="5">
        <f>Orders[[#This Row],[Quantity]]*(INDEX(products!$A$1:$G$49,MATCH(orders!$D907,products!$A$1:$A$49,0),MATCH(orders!N$1,products!$A$1:$G$1,0)))</f>
        <v>3.6449999999999996</v>
      </c>
      <c r="O907" s="5">
        <f>M907*E907</f>
        <v>40.5</v>
      </c>
      <c r="P907" t="str">
        <f t="shared" si="28"/>
        <v>Arabica</v>
      </c>
      <c r="Q907" t="str">
        <f t="shared" si="29"/>
        <v>Medium</v>
      </c>
      <c r="R907" t="str">
        <f>_xlfn.XLOOKUP(Orders[[#This Row],[Customer ID]],customers!$A$1:$A$1001,customers!$I$1:$I$1001,,0)</f>
        <v>Yes</v>
      </c>
    </row>
    <row r="908" spans="1:18" x14ac:dyDescent="0.35">
      <c r="A908" s="2" t="s">
        <v>5614</v>
      </c>
      <c r="B908" s="3">
        <v>44588</v>
      </c>
      <c r="C908" s="2" t="s">
        <v>5615</v>
      </c>
      <c r="D908" t="s">
        <v>6157</v>
      </c>
      <c r="E908" s="2">
        <v>4</v>
      </c>
      <c r="F908" s="2" t="str">
        <f>_xlfn.XLOOKUP(Orders[[#This Row],[Customer ID]],customers!$A$1:$A$1001,customers!$B$1:$B$1001,,0)</f>
        <v>Lauritz Ledgley</v>
      </c>
      <c r="G908" s="2" t="str">
        <f>IF(_xlfn.XLOOKUP(C908,customers!$A$1:$A$1001,customers!C907:C1907,,0)=0,"",_xlfn.XLOOKUP(C908,customers!$A$1:$A$1001,customers!C907:C1907,,0))</f>
        <v/>
      </c>
      <c r="H908" s="2" t="str">
        <f>_xlfn.XLOOKUP(Orders[[#This Row],[Customer ID]],customers!$A$1:$A$1001,customers!$G$1:$G$1001,,0)</f>
        <v>United States</v>
      </c>
      <c r="I908" s="2" t="str">
        <f>_xlfn.XLOOKUP(Orders[[#This Row],[Customer ID]],customers!$A$1:$A$1001,customers!$F$1:$F$1001,,0)</f>
        <v>Des Moines</v>
      </c>
      <c r="J908" t="str">
        <f>INDEX(products!$A$1:$G$49,MATCH(orders!$D908,products!$A$1:$A$49,0),MATCH(orders!J$1,products!$A$1:$G$1,0))</f>
        <v>Ara</v>
      </c>
      <c r="K908" t="str">
        <f>INDEX(products!$A$1:$G$49,MATCH(orders!$D908,products!$A$1:$A$49,0),MATCH(orders!K$1,products!$A$1:$G$1,0))</f>
        <v>M</v>
      </c>
      <c r="L908" s="4">
        <f>INDEX(products!$A$1:$G$49,MATCH(orders!$D908,products!$A$1:$A$49,0),MATCH(orders!L$1,products!$A$1:$G$1,0))</f>
        <v>0.5</v>
      </c>
      <c r="M908" s="5">
        <f>INDEX(products!$A$1:$G$49,MATCH(orders!$D908,products!$A$1:$A$49,0),MATCH(orders!M$1,products!$A$1:$G$1,0))</f>
        <v>6.75</v>
      </c>
      <c r="N908" s="5">
        <f>Orders[[#This Row],[Quantity]]*(INDEX(products!$A$1:$G$49,MATCH(orders!$D908,products!$A$1:$A$49,0),MATCH(orders!N$1,products!$A$1:$G$1,0)))</f>
        <v>2.4299999999999997</v>
      </c>
      <c r="O908" s="5">
        <f>M908*E908</f>
        <v>27</v>
      </c>
      <c r="P908" t="str">
        <f t="shared" si="28"/>
        <v>Arabica</v>
      </c>
      <c r="Q908" t="str">
        <f t="shared" si="29"/>
        <v>Medium</v>
      </c>
      <c r="R908" t="str">
        <f>_xlfn.XLOOKUP(Orders[[#This Row],[Customer ID]],customers!$A$1:$A$1001,customers!$I$1:$I$1001,,0)</f>
        <v>Yes</v>
      </c>
    </row>
    <row r="909" spans="1:18" x14ac:dyDescent="0.35">
      <c r="A909" s="2" t="s">
        <v>5620</v>
      </c>
      <c r="B909" s="3">
        <v>44449</v>
      </c>
      <c r="C909" s="2" t="s">
        <v>5621</v>
      </c>
      <c r="D909" t="s">
        <v>6143</v>
      </c>
      <c r="E909" s="2">
        <v>3</v>
      </c>
      <c r="F909" s="2" t="str">
        <f>_xlfn.XLOOKUP(Orders[[#This Row],[Customer ID]],customers!$A$1:$A$1001,customers!$B$1:$B$1001,,0)</f>
        <v>Tawnya Menary</v>
      </c>
      <c r="G909" s="2" t="str">
        <f>IF(_xlfn.XLOOKUP(C909,customers!$A$1:$A$1001,customers!C908:C1908,,0)=0,"",_xlfn.XLOOKUP(C909,customers!$A$1:$A$1001,customers!C908:C1908,,0))</f>
        <v/>
      </c>
      <c r="H909" s="2" t="str">
        <f>_xlfn.XLOOKUP(Orders[[#This Row],[Customer ID]],customers!$A$1:$A$1001,customers!$G$1:$G$1001,,0)</f>
        <v>United States</v>
      </c>
      <c r="I909" s="2" t="str">
        <f>_xlfn.XLOOKUP(Orders[[#This Row],[Customer ID]],customers!$A$1:$A$1001,customers!$F$1:$F$1001,,0)</f>
        <v>Portland</v>
      </c>
      <c r="J909" t="str">
        <f>INDEX(products!$A$1:$G$49,MATCH(orders!$D909,products!$A$1:$A$49,0),MATCH(orders!J$1,products!$A$1:$G$1,0))</f>
        <v>Lib</v>
      </c>
      <c r="K909" t="str">
        <f>INDEX(products!$A$1:$G$49,MATCH(orders!$D909,products!$A$1:$A$49,0),MATCH(orders!K$1,products!$A$1:$G$1,0))</f>
        <v>D</v>
      </c>
      <c r="L909" s="4">
        <f>INDEX(products!$A$1:$G$49,MATCH(orders!$D909,products!$A$1:$A$49,0),MATCH(orders!L$1,products!$A$1:$G$1,0))</f>
        <v>1</v>
      </c>
      <c r="M909" s="5">
        <f>INDEX(products!$A$1:$G$49,MATCH(orders!$D909,products!$A$1:$A$49,0),MATCH(orders!M$1,products!$A$1:$G$1,0))</f>
        <v>12.95</v>
      </c>
      <c r="N909" s="5">
        <f>Orders[[#This Row],[Quantity]]*(INDEX(products!$A$1:$G$49,MATCH(orders!$D909,products!$A$1:$A$49,0),MATCH(orders!N$1,products!$A$1:$G$1,0)))</f>
        <v>5.0504999999999995</v>
      </c>
      <c r="O909" s="5">
        <f>M909*E909</f>
        <v>38.849999999999994</v>
      </c>
      <c r="P909" t="str">
        <f t="shared" si="28"/>
        <v>Liberica</v>
      </c>
      <c r="Q909" t="str">
        <f t="shared" si="29"/>
        <v>Dark</v>
      </c>
      <c r="R909" t="str">
        <f>_xlfn.XLOOKUP(Orders[[#This Row],[Customer ID]],customers!$A$1:$A$1001,customers!$I$1:$I$1001,,0)</f>
        <v>No</v>
      </c>
    </row>
    <row r="910" spans="1:18" x14ac:dyDescent="0.35">
      <c r="A910" s="2" t="s">
        <v>5626</v>
      </c>
      <c r="B910" s="3">
        <v>43836</v>
      </c>
      <c r="C910" s="2" t="s">
        <v>5627</v>
      </c>
      <c r="D910" t="s">
        <v>6179</v>
      </c>
      <c r="E910" s="2">
        <v>5</v>
      </c>
      <c r="F910" s="2" t="str">
        <f>_xlfn.XLOOKUP(Orders[[#This Row],[Customer ID]],customers!$A$1:$A$1001,customers!$B$1:$B$1001,,0)</f>
        <v>Gustaf Ciccotti</v>
      </c>
      <c r="G910" s="2" t="str">
        <f>IF(_xlfn.XLOOKUP(C910,customers!$A$1:$A$1001,customers!C909:C1909,,0)=0,"",_xlfn.XLOOKUP(C910,customers!$A$1:$A$1001,customers!C909:C1909,,0))</f>
        <v/>
      </c>
      <c r="H910" s="2" t="str">
        <f>_xlfn.XLOOKUP(Orders[[#This Row],[Customer ID]],customers!$A$1:$A$1001,customers!$G$1:$G$1001,,0)</f>
        <v>United States</v>
      </c>
      <c r="I910" s="2" t="str">
        <f>_xlfn.XLOOKUP(Orders[[#This Row],[Customer ID]],customers!$A$1:$A$1001,customers!$F$1:$F$1001,,0)</f>
        <v>Houston</v>
      </c>
      <c r="J910" t="str">
        <f>INDEX(products!$A$1:$G$49,MATCH(orders!$D910,products!$A$1:$A$49,0),MATCH(orders!J$1,products!$A$1:$G$1,0))</f>
        <v>Rob</v>
      </c>
      <c r="K910" t="str">
        <f>INDEX(products!$A$1:$G$49,MATCH(orders!$D910,products!$A$1:$A$49,0),MATCH(orders!K$1,products!$A$1:$G$1,0))</f>
        <v>L</v>
      </c>
      <c r="L910" s="4">
        <f>INDEX(products!$A$1:$G$49,MATCH(orders!$D910,products!$A$1:$A$49,0),MATCH(orders!L$1,products!$A$1:$G$1,0))</f>
        <v>1</v>
      </c>
      <c r="M910" s="5">
        <f>INDEX(products!$A$1:$G$49,MATCH(orders!$D910,products!$A$1:$A$49,0),MATCH(orders!M$1,products!$A$1:$G$1,0))</f>
        <v>11.95</v>
      </c>
      <c r="N910" s="5">
        <f>Orders[[#This Row],[Quantity]]*(INDEX(products!$A$1:$G$49,MATCH(orders!$D910,products!$A$1:$A$49,0),MATCH(orders!N$1,products!$A$1:$G$1,0)))</f>
        <v>3.585</v>
      </c>
      <c r="O910" s="5">
        <f>M910*E910</f>
        <v>59.75</v>
      </c>
      <c r="P910" t="str">
        <f t="shared" si="28"/>
        <v>Robusta</v>
      </c>
      <c r="Q910" t="str">
        <f t="shared" si="29"/>
        <v>Light</v>
      </c>
      <c r="R910" t="str">
        <f>_xlfn.XLOOKUP(Orders[[#This Row],[Customer ID]],customers!$A$1:$A$1001,customers!$I$1:$I$1001,,0)</f>
        <v>No</v>
      </c>
    </row>
    <row r="911" spans="1:18" x14ac:dyDescent="0.35">
      <c r="A911" s="2" t="s">
        <v>5632</v>
      </c>
      <c r="B911" s="3">
        <v>44635</v>
      </c>
      <c r="C911" s="2" t="s">
        <v>5633</v>
      </c>
      <c r="D911" t="s">
        <v>6178</v>
      </c>
      <c r="E911" s="2">
        <v>3</v>
      </c>
      <c r="F911" s="2" t="str">
        <f>_xlfn.XLOOKUP(Orders[[#This Row],[Customer ID]],customers!$A$1:$A$1001,customers!$B$1:$B$1001,,0)</f>
        <v>Bobbe Renner</v>
      </c>
      <c r="G911" s="2" t="str">
        <f>IF(_xlfn.XLOOKUP(C911,customers!$A$1:$A$1001,customers!C910:C1910,,0)=0,"",_xlfn.XLOOKUP(C911,customers!$A$1:$A$1001,customers!C910:C1910,,0))</f>
        <v/>
      </c>
      <c r="H911" s="2" t="str">
        <f>_xlfn.XLOOKUP(Orders[[#This Row],[Customer ID]],customers!$A$1:$A$1001,customers!$G$1:$G$1001,,0)</f>
        <v>United States</v>
      </c>
      <c r="I911" s="2" t="str">
        <f>_xlfn.XLOOKUP(Orders[[#This Row],[Customer ID]],customers!$A$1:$A$1001,customers!$F$1:$F$1001,,0)</f>
        <v>Durham</v>
      </c>
      <c r="J911" t="str">
        <f>INDEX(products!$A$1:$G$49,MATCH(orders!$D911,products!$A$1:$A$49,0),MATCH(orders!J$1,products!$A$1:$G$1,0))</f>
        <v>Rob</v>
      </c>
      <c r="K911" t="str">
        <f>INDEX(products!$A$1:$G$49,MATCH(orders!$D911,products!$A$1:$A$49,0),MATCH(orders!K$1,products!$A$1:$G$1,0))</f>
        <v>L</v>
      </c>
      <c r="L911" s="4">
        <f>INDEX(products!$A$1:$G$49,MATCH(orders!$D911,products!$A$1:$A$49,0),MATCH(orders!L$1,products!$A$1:$G$1,0))</f>
        <v>0.2</v>
      </c>
      <c r="M911" s="5">
        <f>INDEX(products!$A$1:$G$49,MATCH(orders!$D911,products!$A$1:$A$49,0),MATCH(orders!M$1,products!$A$1:$G$1,0))</f>
        <v>3.5849999999999995</v>
      </c>
      <c r="N911" s="5">
        <f>Orders[[#This Row],[Quantity]]*(INDEX(products!$A$1:$G$49,MATCH(orders!$D911,products!$A$1:$A$49,0),MATCH(orders!N$1,products!$A$1:$G$1,0)))</f>
        <v>0.64529999999999987</v>
      </c>
      <c r="O911" s="5">
        <f>M911*E911</f>
        <v>10.754999999999999</v>
      </c>
      <c r="P911" t="str">
        <f t="shared" si="28"/>
        <v>Robusta</v>
      </c>
      <c r="Q911" t="str">
        <f t="shared" si="29"/>
        <v>Light</v>
      </c>
      <c r="R911" t="str">
        <f>_xlfn.XLOOKUP(Orders[[#This Row],[Customer ID]],customers!$A$1:$A$1001,customers!$I$1:$I$1001,,0)</f>
        <v>No</v>
      </c>
    </row>
    <row r="912" spans="1:18" x14ac:dyDescent="0.35">
      <c r="A912" s="2" t="s">
        <v>5637</v>
      </c>
      <c r="B912" s="3">
        <v>44447</v>
      </c>
      <c r="C912" s="2" t="s">
        <v>5638</v>
      </c>
      <c r="D912" t="s">
        <v>6168</v>
      </c>
      <c r="E912" s="2">
        <v>4</v>
      </c>
      <c r="F912" s="2" t="str">
        <f>_xlfn.XLOOKUP(Orders[[#This Row],[Customer ID]],customers!$A$1:$A$1001,customers!$B$1:$B$1001,,0)</f>
        <v>Wilton Jallin</v>
      </c>
      <c r="G912" s="2" t="str">
        <f>IF(_xlfn.XLOOKUP(C912,customers!$A$1:$A$1001,customers!C911:C1911,,0)=0,"",_xlfn.XLOOKUP(C912,customers!$A$1:$A$1001,customers!C911:C1911,,0))</f>
        <v/>
      </c>
      <c r="H912" s="2" t="str">
        <f>_xlfn.XLOOKUP(Orders[[#This Row],[Customer ID]],customers!$A$1:$A$1001,customers!$G$1:$G$1001,,0)</f>
        <v>United States</v>
      </c>
      <c r="I912" s="2" t="str">
        <f>_xlfn.XLOOKUP(Orders[[#This Row],[Customer ID]],customers!$A$1:$A$1001,customers!$F$1:$F$1001,,0)</f>
        <v>Boston</v>
      </c>
      <c r="J912" t="str">
        <f>INDEX(products!$A$1:$G$49,MATCH(orders!$D912,products!$A$1:$A$49,0),MATCH(orders!J$1,products!$A$1:$G$1,0))</f>
        <v>Ara</v>
      </c>
      <c r="K912" t="str">
        <f>INDEX(products!$A$1:$G$49,MATCH(orders!$D912,products!$A$1:$A$49,0),MATCH(orders!K$1,products!$A$1:$G$1,0))</f>
        <v>D</v>
      </c>
      <c r="L912" s="4">
        <f>INDEX(products!$A$1:$G$49,MATCH(orders!$D912,products!$A$1:$A$49,0),MATCH(orders!L$1,products!$A$1:$G$1,0))</f>
        <v>2.5</v>
      </c>
      <c r="M912" s="5">
        <f>INDEX(products!$A$1:$G$49,MATCH(orders!$D912,products!$A$1:$A$49,0),MATCH(orders!M$1,products!$A$1:$G$1,0))</f>
        <v>22.884999999999998</v>
      </c>
      <c r="N912" s="5">
        <f>Orders[[#This Row],[Quantity]]*(INDEX(products!$A$1:$G$49,MATCH(orders!$D912,products!$A$1:$A$49,0),MATCH(orders!N$1,products!$A$1:$G$1,0)))</f>
        <v>8.2385999999999981</v>
      </c>
      <c r="O912" s="5">
        <f>M912*E912</f>
        <v>91.539999999999992</v>
      </c>
      <c r="P912" t="str">
        <f t="shared" si="28"/>
        <v>Arabica</v>
      </c>
      <c r="Q912" t="str">
        <f t="shared" si="29"/>
        <v>Dark</v>
      </c>
      <c r="R912" t="str">
        <f>_xlfn.XLOOKUP(Orders[[#This Row],[Customer ID]],customers!$A$1:$A$1001,customers!$I$1:$I$1001,,0)</f>
        <v>No</v>
      </c>
    </row>
    <row r="913" spans="1:18" x14ac:dyDescent="0.35">
      <c r="A913" s="2" t="s">
        <v>5643</v>
      </c>
      <c r="B913" s="3">
        <v>44511</v>
      </c>
      <c r="C913" s="2" t="s">
        <v>5644</v>
      </c>
      <c r="D913" t="s">
        <v>6155</v>
      </c>
      <c r="E913" s="2">
        <v>4</v>
      </c>
      <c r="F913" s="2" t="str">
        <f>_xlfn.XLOOKUP(Orders[[#This Row],[Customer ID]],customers!$A$1:$A$1001,customers!$B$1:$B$1001,,0)</f>
        <v>Mindy Bogey</v>
      </c>
      <c r="G913" s="2" t="str">
        <f>IF(_xlfn.XLOOKUP(C913,customers!$A$1:$A$1001,customers!C912:C1912,,0)=0,"",_xlfn.XLOOKUP(C913,customers!$A$1:$A$1001,customers!C912:C1912,,0))</f>
        <v/>
      </c>
      <c r="H913" s="2" t="str">
        <f>_xlfn.XLOOKUP(Orders[[#This Row],[Customer ID]],customers!$A$1:$A$1001,customers!$G$1:$G$1001,,0)</f>
        <v>United States</v>
      </c>
      <c r="I913" s="2" t="str">
        <f>_xlfn.XLOOKUP(Orders[[#This Row],[Customer ID]],customers!$A$1:$A$1001,customers!$F$1:$F$1001,,0)</f>
        <v>Washington</v>
      </c>
      <c r="J913" t="str">
        <f>INDEX(products!$A$1:$G$49,MATCH(orders!$D913,products!$A$1:$A$49,0),MATCH(orders!J$1,products!$A$1:$G$1,0))</f>
        <v>Ara</v>
      </c>
      <c r="K913" t="str">
        <f>INDEX(products!$A$1:$G$49,MATCH(orders!$D913,products!$A$1:$A$49,0),MATCH(orders!K$1,products!$A$1:$G$1,0))</f>
        <v>M</v>
      </c>
      <c r="L913" s="4">
        <f>INDEX(products!$A$1:$G$49,MATCH(orders!$D913,products!$A$1:$A$49,0),MATCH(orders!L$1,products!$A$1:$G$1,0))</f>
        <v>1</v>
      </c>
      <c r="M913" s="5">
        <f>INDEX(products!$A$1:$G$49,MATCH(orders!$D913,products!$A$1:$A$49,0),MATCH(orders!M$1,products!$A$1:$G$1,0))</f>
        <v>11.25</v>
      </c>
      <c r="N913" s="5">
        <f>Orders[[#This Row],[Quantity]]*(INDEX(products!$A$1:$G$49,MATCH(orders!$D913,products!$A$1:$A$49,0),MATCH(orders!N$1,products!$A$1:$G$1,0)))</f>
        <v>4.05</v>
      </c>
      <c r="O913" s="5">
        <f>M913*E913</f>
        <v>45</v>
      </c>
      <c r="P913" t="str">
        <f t="shared" si="28"/>
        <v>Arabica</v>
      </c>
      <c r="Q913" t="str">
        <f t="shared" si="29"/>
        <v>Medium</v>
      </c>
      <c r="R913" t="str">
        <f>_xlfn.XLOOKUP(Orders[[#This Row],[Customer ID]],customers!$A$1:$A$1001,customers!$I$1:$I$1001,,0)</f>
        <v>Yes</v>
      </c>
    </row>
    <row r="914" spans="1:18" x14ac:dyDescent="0.35">
      <c r="A914" s="2" t="s">
        <v>5649</v>
      </c>
      <c r="B914" s="3">
        <v>43726</v>
      </c>
      <c r="C914" s="2" t="s">
        <v>5650</v>
      </c>
      <c r="D914" t="s">
        <v>6151</v>
      </c>
      <c r="E914" s="2">
        <v>6</v>
      </c>
      <c r="F914" s="2" t="str">
        <f>_xlfn.XLOOKUP(Orders[[#This Row],[Customer ID]],customers!$A$1:$A$1001,customers!$B$1:$B$1001,,0)</f>
        <v>Paulie Fonzone</v>
      </c>
      <c r="G914" s="2" t="str">
        <f>IF(_xlfn.XLOOKUP(C914,customers!$A$1:$A$1001,customers!C913:C1913,,0)=0,"",_xlfn.XLOOKUP(C914,customers!$A$1:$A$1001,customers!C913:C1913,,0))</f>
        <v/>
      </c>
      <c r="H914" s="2" t="str">
        <f>_xlfn.XLOOKUP(Orders[[#This Row],[Customer ID]],customers!$A$1:$A$1001,customers!$G$1:$G$1001,,0)</f>
        <v>United States</v>
      </c>
      <c r="I914" s="2" t="str">
        <f>_xlfn.XLOOKUP(Orders[[#This Row],[Customer ID]],customers!$A$1:$A$1001,customers!$F$1:$F$1001,,0)</f>
        <v>Albany</v>
      </c>
      <c r="J914" t="str">
        <f>INDEX(products!$A$1:$G$49,MATCH(orders!$D914,products!$A$1:$A$49,0),MATCH(orders!J$1,products!$A$1:$G$1,0))</f>
        <v>Rob</v>
      </c>
      <c r="K914" t="str">
        <f>INDEX(products!$A$1:$G$49,MATCH(orders!$D914,products!$A$1:$A$49,0),MATCH(orders!K$1,products!$A$1:$G$1,0))</f>
        <v>M</v>
      </c>
      <c r="L914" s="4">
        <f>INDEX(products!$A$1:$G$49,MATCH(orders!$D914,products!$A$1:$A$49,0),MATCH(orders!L$1,products!$A$1:$G$1,0))</f>
        <v>2.5</v>
      </c>
      <c r="M914" s="5">
        <f>INDEX(products!$A$1:$G$49,MATCH(orders!$D914,products!$A$1:$A$49,0),MATCH(orders!M$1,products!$A$1:$G$1,0))</f>
        <v>22.884999999999998</v>
      </c>
      <c r="N914" s="5">
        <f>Orders[[#This Row],[Quantity]]*(INDEX(products!$A$1:$G$49,MATCH(orders!$D914,products!$A$1:$A$49,0),MATCH(orders!N$1,products!$A$1:$G$1,0)))</f>
        <v>8.2385999999999981</v>
      </c>
      <c r="O914" s="5">
        <f>M914*E914</f>
        <v>137.31</v>
      </c>
      <c r="P914" t="str">
        <f t="shared" si="28"/>
        <v>Robusta</v>
      </c>
      <c r="Q914" t="str">
        <f t="shared" si="29"/>
        <v>Medium</v>
      </c>
      <c r="R914" t="str">
        <f>_xlfn.XLOOKUP(Orders[[#This Row],[Customer ID]],customers!$A$1:$A$1001,customers!$I$1:$I$1001,,0)</f>
        <v>Yes</v>
      </c>
    </row>
    <row r="915" spans="1:18" x14ac:dyDescent="0.35">
      <c r="A915" s="2" t="s">
        <v>5654</v>
      </c>
      <c r="B915" s="3">
        <v>44406</v>
      </c>
      <c r="C915" s="2" t="s">
        <v>5655</v>
      </c>
      <c r="D915" t="s">
        <v>6157</v>
      </c>
      <c r="E915" s="2">
        <v>1</v>
      </c>
      <c r="F915" s="2" t="str">
        <f>_xlfn.XLOOKUP(Orders[[#This Row],[Customer ID]],customers!$A$1:$A$1001,customers!$B$1:$B$1001,,0)</f>
        <v>Merrile Cobbledick</v>
      </c>
      <c r="G915" s="2" t="str">
        <f>IF(_xlfn.XLOOKUP(C915,customers!$A$1:$A$1001,customers!C914:C1914,,0)=0,"",_xlfn.XLOOKUP(C915,customers!$A$1:$A$1001,customers!C914:C1914,,0))</f>
        <v/>
      </c>
      <c r="H915" s="2" t="str">
        <f>_xlfn.XLOOKUP(Orders[[#This Row],[Customer ID]],customers!$A$1:$A$1001,customers!$G$1:$G$1001,,0)</f>
        <v>United States</v>
      </c>
      <c r="I915" s="2" t="str">
        <f>_xlfn.XLOOKUP(Orders[[#This Row],[Customer ID]],customers!$A$1:$A$1001,customers!$F$1:$F$1001,,0)</f>
        <v>Tucson</v>
      </c>
      <c r="J915" t="str">
        <f>INDEX(products!$A$1:$G$49,MATCH(orders!$D915,products!$A$1:$A$49,0),MATCH(orders!J$1,products!$A$1:$G$1,0))</f>
        <v>Ara</v>
      </c>
      <c r="K915" t="str">
        <f>INDEX(products!$A$1:$G$49,MATCH(orders!$D915,products!$A$1:$A$49,0),MATCH(orders!K$1,products!$A$1:$G$1,0))</f>
        <v>M</v>
      </c>
      <c r="L915" s="4">
        <f>INDEX(products!$A$1:$G$49,MATCH(orders!$D915,products!$A$1:$A$49,0),MATCH(orders!L$1,products!$A$1:$G$1,0))</f>
        <v>0.5</v>
      </c>
      <c r="M915" s="5">
        <f>INDEX(products!$A$1:$G$49,MATCH(orders!$D915,products!$A$1:$A$49,0),MATCH(orders!M$1,products!$A$1:$G$1,0))</f>
        <v>6.75</v>
      </c>
      <c r="N915" s="5">
        <f>Orders[[#This Row],[Quantity]]*(INDEX(products!$A$1:$G$49,MATCH(orders!$D915,products!$A$1:$A$49,0),MATCH(orders!N$1,products!$A$1:$G$1,0)))</f>
        <v>0.60749999999999993</v>
      </c>
      <c r="O915" s="5">
        <f>M915*E915</f>
        <v>6.75</v>
      </c>
      <c r="P915" t="str">
        <f t="shared" si="28"/>
        <v>Arabica</v>
      </c>
      <c r="Q915" t="str">
        <f t="shared" si="29"/>
        <v>Medium</v>
      </c>
      <c r="R915" t="str">
        <f>_xlfn.XLOOKUP(Orders[[#This Row],[Customer ID]],customers!$A$1:$A$1001,customers!$I$1:$I$1001,,0)</f>
        <v>No</v>
      </c>
    </row>
    <row r="916" spans="1:18" x14ac:dyDescent="0.35">
      <c r="A916" s="2" t="s">
        <v>5660</v>
      </c>
      <c r="B916" s="3">
        <v>44640</v>
      </c>
      <c r="C916" s="2" t="s">
        <v>5661</v>
      </c>
      <c r="D916" t="s">
        <v>6155</v>
      </c>
      <c r="E916" s="2">
        <v>4</v>
      </c>
      <c r="F916" s="2" t="str">
        <f>_xlfn.XLOOKUP(Orders[[#This Row],[Customer ID]],customers!$A$1:$A$1001,customers!$B$1:$B$1001,,0)</f>
        <v>Antonius Lewry</v>
      </c>
      <c r="G916" s="2" t="str">
        <f>IF(_xlfn.XLOOKUP(C916,customers!$A$1:$A$1001,customers!C915:C1915,,0)=0,"",_xlfn.XLOOKUP(C916,customers!$A$1:$A$1001,customers!C915:C1915,,0))</f>
        <v/>
      </c>
      <c r="H916" s="2" t="str">
        <f>_xlfn.XLOOKUP(Orders[[#This Row],[Customer ID]],customers!$A$1:$A$1001,customers!$G$1:$G$1001,,0)</f>
        <v>United States</v>
      </c>
      <c r="I916" s="2" t="str">
        <f>_xlfn.XLOOKUP(Orders[[#This Row],[Customer ID]],customers!$A$1:$A$1001,customers!$F$1:$F$1001,,0)</f>
        <v>Montgomery</v>
      </c>
      <c r="J916" t="str">
        <f>INDEX(products!$A$1:$G$49,MATCH(orders!$D916,products!$A$1:$A$49,0),MATCH(orders!J$1,products!$A$1:$G$1,0))</f>
        <v>Ara</v>
      </c>
      <c r="K916" t="str">
        <f>INDEX(products!$A$1:$G$49,MATCH(orders!$D916,products!$A$1:$A$49,0),MATCH(orders!K$1,products!$A$1:$G$1,0))</f>
        <v>M</v>
      </c>
      <c r="L916" s="4">
        <f>INDEX(products!$A$1:$G$49,MATCH(orders!$D916,products!$A$1:$A$49,0),MATCH(orders!L$1,products!$A$1:$G$1,0))</f>
        <v>1</v>
      </c>
      <c r="M916" s="5">
        <f>INDEX(products!$A$1:$G$49,MATCH(orders!$D916,products!$A$1:$A$49,0),MATCH(orders!M$1,products!$A$1:$G$1,0))</f>
        <v>11.25</v>
      </c>
      <c r="N916" s="5">
        <f>Orders[[#This Row],[Quantity]]*(INDEX(products!$A$1:$G$49,MATCH(orders!$D916,products!$A$1:$A$49,0),MATCH(orders!N$1,products!$A$1:$G$1,0)))</f>
        <v>4.05</v>
      </c>
      <c r="O916" s="5">
        <f>M916*E916</f>
        <v>45</v>
      </c>
      <c r="P916" t="str">
        <f t="shared" si="28"/>
        <v>Arabica</v>
      </c>
      <c r="Q916" t="str">
        <f t="shared" si="29"/>
        <v>Medium</v>
      </c>
      <c r="R916" t="str">
        <f>_xlfn.XLOOKUP(Orders[[#This Row],[Customer ID]],customers!$A$1:$A$1001,customers!$I$1:$I$1001,,0)</f>
        <v>No</v>
      </c>
    </row>
    <row r="917" spans="1:18" x14ac:dyDescent="0.35">
      <c r="A917" s="2" t="s">
        <v>5666</v>
      </c>
      <c r="B917" s="3">
        <v>43955</v>
      </c>
      <c r="C917" s="2" t="s">
        <v>5667</v>
      </c>
      <c r="D917" t="s">
        <v>6185</v>
      </c>
      <c r="E917" s="2">
        <v>3</v>
      </c>
      <c r="F917" s="2" t="str">
        <f>_xlfn.XLOOKUP(Orders[[#This Row],[Customer ID]],customers!$A$1:$A$1001,customers!$B$1:$B$1001,,0)</f>
        <v>Isis Hessel</v>
      </c>
      <c r="G917" s="2" t="str">
        <f>IF(_xlfn.XLOOKUP(C917,customers!$A$1:$A$1001,customers!C916:C1916,,0)=0,"",_xlfn.XLOOKUP(C917,customers!$A$1:$A$1001,customers!C916:C1916,,0))</f>
        <v/>
      </c>
      <c r="H917" s="2" t="str">
        <f>_xlfn.XLOOKUP(Orders[[#This Row],[Customer ID]],customers!$A$1:$A$1001,customers!$G$1:$G$1001,,0)</f>
        <v>United States</v>
      </c>
      <c r="I917" s="2" t="str">
        <f>_xlfn.XLOOKUP(Orders[[#This Row],[Customer ID]],customers!$A$1:$A$1001,customers!$F$1:$F$1001,,0)</f>
        <v>Fairbanks</v>
      </c>
      <c r="J917" t="str">
        <f>INDEX(products!$A$1:$G$49,MATCH(orders!$D917,products!$A$1:$A$49,0),MATCH(orders!J$1,products!$A$1:$G$1,0))</f>
        <v>Exc</v>
      </c>
      <c r="K917" t="str">
        <f>INDEX(products!$A$1:$G$49,MATCH(orders!$D917,products!$A$1:$A$49,0),MATCH(orders!K$1,products!$A$1:$G$1,0))</f>
        <v>D</v>
      </c>
      <c r="L917" s="4">
        <f>INDEX(products!$A$1:$G$49,MATCH(orders!$D917,products!$A$1:$A$49,0),MATCH(orders!L$1,products!$A$1:$G$1,0))</f>
        <v>2.5</v>
      </c>
      <c r="M917" s="5">
        <f>INDEX(products!$A$1:$G$49,MATCH(orders!$D917,products!$A$1:$A$49,0),MATCH(orders!M$1,products!$A$1:$G$1,0))</f>
        <v>27.945</v>
      </c>
      <c r="N917" s="5">
        <f>Orders[[#This Row],[Quantity]]*(INDEX(products!$A$1:$G$49,MATCH(orders!$D917,products!$A$1:$A$49,0),MATCH(orders!N$1,products!$A$1:$G$1,0)))</f>
        <v>9.2218499999999999</v>
      </c>
      <c r="O917" s="5">
        <f>M917*E917</f>
        <v>83.835000000000008</v>
      </c>
      <c r="P917" t="str">
        <f t="shared" si="28"/>
        <v>Excelsa</v>
      </c>
      <c r="Q917" t="str">
        <f t="shared" si="29"/>
        <v>Dark</v>
      </c>
      <c r="R917" t="str">
        <f>_xlfn.XLOOKUP(Orders[[#This Row],[Customer ID]],customers!$A$1:$A$1001,customers!$I$1:$I$1001,,0)</f>
        <v>Yes</v>
      </c>
    </row>
    <row r="918" spans="1:18" x14ac:dyDescent="0.35">
      <c r="A918" s="2" t="s">
        <v>5672</v>
      </c>
      <c r="B918" s="3">
        <v>44291</v>
      </c>
      <c r="C918" s="2" t="s">
        <v>5673</v>
      </c>
      <c r="D918" t="s">
        <v>6153</v>
      </c>
      <c r="E918" s="2">
        <v>1</v>
      </c>
      <c r="F918" s="2" t="str">
        <f>_xlfn.XLOOKUP(Orders[[#This Row],[Customer ID]],customers!$A$1:$A$1001,customers!$B$1:$B$1001,,0)</f>
        <v>Harland Trematick</v>
      </c>
      <c r="G918" s="2" t="str">
        <f>IF(_xlfn.XLOOKUP(C918,customers!$A$1:$A$1001,customers!C917:C1917,,0)=0,"",_xlfn.XLOOKUP(C918,customers!$A$1:$A$1001,customers!C917:C1917,,0))</f>
        <v/>
      </c>
      <c r="H918" s="2" t="str">
        <f>_xlfn.XLOOKUP(Orders[[#This Row],[Customer ID]],customers!$A$1:$A$1001,customers!$G$1:$G$1001,,0)</f>
        <v>Ireland</v>
      </c>
      <c r="I918" s="2" t="str">
        <f>_xlfn.XLOOKUP(Orders[[#This Row],[Customer ID]],customers!$A$1:$A$1001,customers!$F$1:$F$1001,,0)</f>
        <v>Monasterevin</v>
      </c>
      <c r="J918" t="str">
        <f>INDEX(products!$A$1:$G$49,MATCH(orders!$D918,products!$A$1:$A$49,0),MATCH(orders!J$1,products!$A$1:$G$1,0))</f>
        <v>Exc</v>
      </c>
      <c r="K918" t="str">
        <f>INDEX(products!$A$1:$G$49,MATCH(orders!$D918,products!$A$1:$A$49,0),MATCH(orders!K$1,products!$A$1:$G$1,0))</f>
        <v>D</v>
      </c>
      <c r="L918" s="4">
        <f>INDEX(products!$A$1:$G$49,MATCH(orders!$D918,products!$A$1:$A$49,0),MATCH(orders!L$1,products!$A$1:$G$1,0))</f>
        <v>0.2</v>
      </c>
      <c r="M918" s="5">
        <f>INDEX(products!$A$1:$G$49,MATCH(orders!$D918,products!$A$1:$A$49,0),MATCH(orders!M$1,products!$A$1:$G$1,0))</f>
        <v>3.645</v>
      </c>
      <c r="N918" s="5">
        <f>Orders[[#This Row],[Quantity]]*(INDEX(products!$A$1:$G$49,MATCH(orders!$D918,products!$A$1:$A$49,0),MATCH(orders!N$1,products!$A$1:$G$1,0)))</f>
        <v>0.40095000000000003</v>
      </c>
      <c r="O918" s="5">
        <f>M918*E918</f>
        <v>3.645</v>
      </c>
      <c r="P918" t="str">
        <f t="shared" si="28"/>
        <v>Excelsa</v>
      </c>
      <c r="Q918" t="str">
        <f t="shared" si="29"/>
        <v>Dark</v>
      </c>
      <c r="R918" t="str">
        <f>_xlfn.XLOOKUP(Orders[[#This Row],[Customer ID]],customers!$A$1:$A$1001,customers!$I$1:$I$1001,,0)</f>
        <v>Yes</v>
      </c>
    </row>
    <row r="919" spans="1:18" x14ac:dyDescent="0.35">
      <c r="A919" s="2" t="s">
        <v>5676</v>
      </c>
      <c r="B919" s="3">
        <v>44573</v>
      </c>
      <c r="C919" s="2" t="s">
        <v>5677</v>
      </c>
      <c r="D919" t="s">
        <v>6157</v>
      </c>
      <c r="E919" s="2">
        <v>1</v>
      </c>
      <c r="F919" s="2" t="str">
        <f>_xlfn.XLOOKUP(Orders[[#This Row],[Customer ID]],customers!$A$1:$A$1001,customers!$B$1:$B$1001,,0)</f>
        <v>Chloris Sorrell</v>
      </c>
      <c r="G919" s="2" t="str">
        <f>IF(_xlfn.XLOOKUP(C919,customers!$A$1:$A$1001,customers!C918:C1918,,0)=0,"",_xlfn.XLOOKUP(C919,customers!$A$1:$A$1001,customers!C918:C1918,,0))</f>
        <v/>
      </c>
      <c r="H919" s="2" t="str">
        <f>_xlfn.XLOOKUP(Orders[[#This Row],[Customer ID]],customers!$A$1:$A$1001,customers!$G$1:$G$1001,,0)</f>
        <v>United Kingdom</v>
      </c>
      <c r="I919" s="2" t="str">
        <f>_xlfn.XLOOKUP(Orders[[#This Row],[Customer ID]],customers!$A$1:$A$1001,customers!$F$1:$F$1001,,0)</f>
        <v>Norton</v>
      </c>
      <c r="J919" t="str">
        <f>INDEX(products!$A$1:$G$49,MATCH(orders!$D919,products!$A$1:$A$49,0),MATCH(orders!J$1,products!$A$1:$G$1,0))</f>
        <v>Ara</v>
      </c>
      <c r="K919" t="str">
        <f>INDEX(products!$A$1:$G$49,MATCH(orders!$D919,products!$A$1:$A$49,0),MATCH(orders!K$1,products!$A$1:$G$1,0))</f>
        <v>M</v>
      </c>
      <c r="L919" s="4">
        <f>INDEX(products!$A$1:$G$49,MATCH(orders!$D919,products!$A$1:$A$49,0),MATCH(orders!L$1,products!$A$1:$G$1,0))</f>
        <v>0.5</v>
      </c>
      <c r="M919" s="5">
        <f>INDEX(products!$A$1:$G$49,MATCH(orders!$D919,products!$A$1:$A$49,0),MATCH(orders!M$1,products!$A$1:$G$1,0))</f>
        <v>6.75</v>
      </c>
      <c r="N919" s="5">
        <f>Orders[[#This Row],[Quantity]]*(INDEX(products!$A$1:$G$49,MATCH(orders!$D919,products!$A$1:$A$49,0),MATCH(orders!N$1,products!$A$1:$G$1,0)))</f>
        <v>0.60749999999999993</v>
      </c>
      <c r="O919" s="5">
        <f>M919*E919</f>
        <v>6.75</v>
      </c>
      <c r="P919" t="str">
        <f t="shared" si="28"/>
        <v>Arabica</v>
      </c>
      <c r="Q919" t="str">
        <f t="shared" si="29"/>
        <v>Medium</v>
      </c>
      <c r="R919" t="str">
        <f>_xlfn.XLOOKUP(Orders[[#This Row],[Customer ID]],customers!$A$1:$A$1001,customers!$I$1:$I$1001,,0)</f>
        <v>No</v>
      </c>
    </row>
    <row r="920" spans="1:18" x14ac:dyDescent="0.35">
      <c r="A920" s="2" t="s">
        <v>5676</v>
      </c>
      <c r="B920" s="3">
        <v>44573</v>
      </c>
      <c r="C920" s="2" t="s">
        <v>5677</v>
      </c>
      <c r="D920" t="s">
        <v>6144</v>
      </c>
      <c r="E920" s="2">
        <v>3</v>
      </c>
      <c r="F920" s="2" t="str">
        <f>_xlfn.XLOOKUP(Orders[[#This Row],[Customer ID]],customers!$A$1:$A$1001,customers!$B$1:$B$1001,,0)</f>
        <v>Chloris Sorrell</v>
      </c>
      <c r="G920" s="2" t="str">
        <f>IF(_xlfn.XLOOKUP(C920,customers!$A$1:$A$1001,customers!C919:C1919,,0)=0,"",_xlfn.XLOOKUP(C920,customers!$A$1:$A$1001,customers!C919:C1919,,0))</f>
        <v/>
      </c>
      <c r="H920" s="2" t="str">
        <f>_xlfn.XLOOKUP(Orders[[#This Row],[Customer ID]],customers!$A$1:$A$1001,customers!$G$1:$G$1001,,0)</f>
        <v>United Kingdom</v>
      </c>
      <c r="I920" s="2" t="str">
        <f>_xlfn.XLOOKUP(Orders[[#This Row],[Customer ID]],customers!$A$1:$A$1001,customers!$F$1:$F$1001,,0)</f>
        <v>Norton</v>
      </c>
      <c r="J920" t="str">
        <f>INDEX(products!$A$1:$G$49,MATCH(orders!$D920,products!$A$1:$A$49,0),MATCH(orders!J$1,products!$A$1:$G$1,0))</f>
        <v>Exc</v>
      </c>
      <c r="K920" t="str">
        <f>INDEX(products!$A$1:$G$49,MATCH(orders!$D920,products!$A$1:$A$49,0),MATCH(orders!K$1,products!$A$1:$G$1,0))</f>
        <v>D</v>
      </c>
      <c r="L920" s="4">
        <f>INDEX(products!$A$1:$G$49,MATCH(orders!$D920,products!$A$1:$A$49,0),MATCH(orders!L$1,products!$A$1:$G$1,0))</f>
        <v>0.5</v>
      </c>
      <c r="M920" s="5">
        <f>INDEX(products!$A$1:$G$49,MATCH(orders!$D920,products!$A$1:$A$49,0),MATCH(orders!M$1,products!$A$1:$G$1,0))</f>
        <v>7.29</v>
      </c>
      <c r="N920" s="5">
        <f>Orders[[#This Row],[Quantity]]*(INDEX(products!$A$1:$G$49,MATCH(orders!$D920,products!$A$1:$A$49,0),MATCH(orders!N$1,products!$A$1:$G$1,0)))</f>
        <v>2.4057000000000004</v>
      </c>
      <c r="O920" s="5">
        <f>M920*E920</f>
        <v>21.87</v>
      </c>
      <c r="P920" t="str">
        <f t="shared" si="28"/>
        <v>Excelsa</v>
      </c>
      <c r="Q920" t="str">
        <f t="shared" si="29"/>
        <v>Dark</v>
      </c>
      <c r="R920" t="str">
        <f>_xlfn.XLOOKUP(Orders[[#This Row],[Customer ID]],customers!$A$1:$A$1001,customers!$I$1:$I$1001,,0)</f>
        <v>No</v>
      </c>
    </row>
    <row r="921" spans="1:18" x14ac:dyDescent="0.35">
      <c r="A921" s="2" t="s">
        <v>5687</v>
      </c>
      <c r="B921" s="3">
        <v>44181</v>
      </c>
      <c r="C921" s="2" t="s">
        <v>5688</v>
      </c>
      <c r="D921" t="s">
        <v>6163</v>
      </c>
      <c r="E921" s="2">
        <v>5</v>
      </c>
      <c r="F921" s="2" t="str">
        <f>_xlfn.XLOOKUP(Orders[[#This Row],[Customer ID]],customers!$A$1:$A$1001,customers!$B$1:$B$1001,,0)</f>
        <v>Quintina Heavyside</v>
      </c>
      <c r="G921" s="2" t="str">
        <f>IF(_xlfn.XLOOKUP(C921,customers!$A$1:$A$1001,customers!C920:C1920,,0)=0,"",_xlfn.XLOOKUP(C921,customers!$A$1:$A$1001,customers!C920:C1920,,0))</f>
        <v/>
      </c>
      <c r="H921" s="2" t="str">
        <f>_xlfn.XLOOKUP(Orders[[#This Row],[Customer ID]],customers!$A$1:$A$1001,customers!$G$1:$G$1001,,0)</f>
        <v>United States</v>
      </c>
      <c r="I921" s="2" t="str">
        <f>_xlfn.XLOOKUP(Orders[[#This Row],[Customer ID]],customers!$A$1:$A$1001,customers!$F$1:$F$1001,,0)</f>
        <v>Lexington</v>
      </c>
      <c r="J921" t="str">
        <f>INDEX(products!$A$1:$G$49,MATCH(orders!$D921,products!$A$1:$A$49,0),MATCH(orders!J$1,products!$A$1:$G$1,0))</f>
        <v>Rob</v>
      </c>
      <c r="K921" t="str">
        <f>INDEX(products!$A$1:$G$49,MATCH(orders!$D921,products!$A$1:$A$49,0),MATCH(orders!K$1,products!$A$1:$G$1,0))</f>
        <v>D</v>
      </c>
      <c r="L921" s="4">
        <f>INDEX(products!$A$1:$G$49,MATCH(orders!$D921,products!$A$1:$A$49,0),MATCH(orders!L$1,products!$A$1:$G$1,0))</f>
        <v>0.2</v>
      </c>
      <c r="M921" s="5">
        <f>INDEX(products!$A$1:$G$49,MATCH(orders!$D921,products!$A$1:$A$49,0),MATCH(orders!M$1,products!$A$1:$G$1,0))</f>
        <v>2.6849999999999996</v>
      </c>
      <c r="N921" s="5">
        <f>Orders[[#This Row],[Quantity]]*(INDEX(products!$A$1:$G$49,MATCH(orders!$D921,products!$A$1:$A$49,0),MATCH(orders!N$1,products!$A$1:$G$1,0)))</f>
        <v>0.80549999999999988</v>
      </c>
      <c r="O921" s="5">
        <f>M921*E921</f>
        <v>13.424999999999997</v>
      </c>
      <c r="P921" t="str">
        <f t="shared" si="28"/>
        <v>Robusta</v>
      </c>
      <c r="Q921" t="str">
        <f t="shared" si="29"/>
        <v>Dark</v>
      </c>
      <c r="R921" t="str">
        <f>_xlfn.XLOOKUP(Orders[[#This Row],[Customer ID]],customers!$A$1:$A$1001,customers!$I$1:$I$1001,,0)</f>
        <v>Yes</v>
      </c>
    </row>
    <row r="922" spans="1:18" x14ac:dyDescent="0.35">
      <c r="A922" s="2" t="s">
        <v>5693</v>
      </c>
      <c r="B922" s="3">
        <v>44711</v>
      </c>
      <c r="C922" s="2" t="s">
        <v>5694</v>
      </c>
      <c r="D922" t="s">
        <v>6149</v>
      </c>
      <c r="E922" s="2">
        <v>6</v>
      </c>
      <c r="F922" s="2" t="str">
        <f>_xlfn.XLOOKUP(Orders[[#This Row],[Customer ID]],customers!$A$1:$A$1001,customers!$B$1:$B$1001,,0)</f>
        <v>Hadley Reuven</v>
      </c>
      <c r="G922" s="2" t="str">
        <f>IF(_xlfn.XLOOKUP(C922,customers!$A$1:$A$1001,customers!C921:C1921,,0)=0,"",_xlfn.XLOOKUP(C922,customers!$A$1:$A$1001,customers!C921:C1921,,0))</f>
        <v/>
      </c>
      <c r="H922" s="2" t="str">
        <f>_xlfn.XLOOKUP(Orders[[#This Row],[Customer ID]],customers!$A$1:$A$1001,customers!$G$1:$G$1001,,0)</f>
        <v>United States</v>
      </c>
      <c r="I922" s="2" t="str">
        <f>_xlfn.XLOOKUP(Orders[[#This Row],[Customer ID]],customers!$A$1:$A$1001,customers!$F$1:$F$1001,,0)</f>
        <v>Grand Rapids</v>
      </c>
      <c r="J922" t="str">
        <f>INDEX(products!$A$1:$G$49,MATCH(orders!$D922,products!$A$1:$A$49,0),MATCH(orders!J$1,products!$A$1:$G$1,0))</f>
        <v>Rob</v>
      </c>
      <c r="K922" t="str">
        <f>INDEX(products!$A$1:$G$49,MATCH(orders!$D922,products!$A$1:$A$49,0),MATCH(orders!K$1,products!$A$1:$G$1,0))</f>
        <v>D</v>
      </c>
      <c r="L922" s="4">
        <f>INDEX(products!$A$1:$G$49,MATCH(orders!$D922,products!$A$1:$A$49,0),MATCH(orders!L$1,products!$A$1:$G$1,0))</f>
        <v>2.5</v>
      </c>
      <c r="M922" s="5">
        <f>INDEX(products!$A$1:$G$49,MATCH(orders!$D922,products!$A$1:$A$49,0),MATCH(orders!M$1,products!$A$1:$G$1,0))</f>
        <v>20.584999999999997</v>
      </c>
      <c r="N922" s="5">
        <f>Orders[[#This Row],[Quantity]]*(INDEX(products!$A$1:$G$49,MATCH(orders!$D922,products!$A$1:$A$49,0),MATCH(orders!N$1,products!$A$1:$G$1,0)))</f>
        <v>7.4105999999999987</v>
      </c>
      <c r="O922" s="5">
        <f>M922*E922</f>
        <v>123.50999999999999</v>
      </c>
      <c r="P922" t="str">
        <f t="shared" si="28"/>
        <v>Robusta</v>
      </c>
      <c r="Q922" t="str">
        <f t="shared" si="29"/>
        <v>Dark</v>
      </c>
      <c r="R922" t="str">
        <f>_xlfn.XLOOKUP(Orders[[#This Row],[Customer ID]],customers!$A$1:$A$1001,customers!$I$1:$I$1001,,0)</f>
        <v>No</v>
      </c>
    </row>
    <row r="923" spans="1:18" x14ac:dyDescent="0.35">
      <c r="A923" s="2" t="s">
        <v>5699</v>
      </c>
      <c r="B923" s="3">
        <v>44509</v>
      </c>
      <c r="C923" s="2" t="s">
        <v>5700</v>
      </c>
      <c r="D923" t="s">
        <v>6150</v>
      </c>
      <c r="E923" s="2">
        <v>2</v>
      </c>
      <c r="F923" s="2" t="str">
        <f>_xlfn.XLOOKUP(Orders[[#This Row],[Customer ID]],customers!$A$1:$A$1001,customers!$B$1:$B$1001,,0)</f>
        <v>Mitch Attwool</v>
      </c>
      <c r="G923" s="2" t="str">
        <f>IF(_xlfn.XLOOKUP(C923,customers!$A$1:$A$1001,customers!C922:C1922,,0)=0,"",_xlfn.XLOOKUP(C923,customers!$A$1:$A$1001,customers!C922:C1922,,0))</f>
        <v/>
      </c>
      <c r="H923" s="2" t="str">
        <f>_xlfn.XLOOKUP(Orders[[#This Row],[Customer ID]],customers!$A$1:$A$1001,customers!$G$1:$G$1001,,0)</f>
        <v>United States</v>
      </c>
      <c r="I923" s="2" t="str">
        <f>_xlfn.XLOOKUP(Orders[[#This Row],[Customer ID]],customers!$A$1:$A$1001,customers!$F$1:$F$1001,,0)</f>
        <v>Des Moines</v>
      </c>
      <c r="J923" t="str">
        <f>INDEX(products!$A$1:$G$49,MATCH(orders!$D923,products!$A$1:$A$49,0),MATCH(orders!J$1,products!$A$1:$G$1,0))</f>
        <v>Lib</v>
      </c>
      <c r="K923" t="str">
        <f>INDEX(products!$A$1:$G$49,MATCH(orders!$D923,products!$A$1:$A$49,0),MATCH(orders!K$1,products!$A$1:$G$1,0))</f>
        <v>D</v>
      </c>
      <c r="L923" s="4">
        <f>INDEX(products!$A$1:$G$49,MATCH(orders!$D923,products!$A$1:$A$49,0),MATCH(orders!L$1,products!$A$1:$G$1,0))</f>
        <v>0.2</v>
      </c>
      <c r="M923" s="5">
        <f>INDEX(products!$A$1:$G$49,MATCH(orders!$D923,products!$A$1:$A$49,0),MATCH(orders!M$1,products!$A$1:$G$1,0))</f>
        <v>3.8849999999999998</v>
      </c>
      <c r="N923" s="5">
        <f>Orders[[#This Row],[Quantity]]*(INDEX(products!$A$1:$G$49,MATCH(orders!$D923,products!$A$1:$A$49,0),MATCH(orders!N$1,products!$A$1:$G$1,0)))</f>
        <v>1.0101</v>
      </c>
      <c r="O923" s="5">
        <f>M923*E923</f>
        <v>7.77</v>
      </c>
      <c r="P923" t="str">
        <f t="shared" si="28"/>
        <v>Liberica</v>
      </c>
      <c r="Q923" t="str">
        <f t="shared" si="29"/>
        <v>Dark</v>
      </c>
      <c r="R923" t="str">
        <f>_xlfn.XLOOKUP(Orders[[#This Row],[Customer ID]],customers!$A$1:$A$1001,customers!$I$1:$I$1001,,0)</f>
        <v>No</v>
      </c>
    </row>
    <row r="924" spans="1:18" x14ac:dyDescent="0.35">
      <c r="A924" s="2" t="s">
        <v>5705</v>
      </c>
      <c r="B924" s="3">
        <v>44659</v>
      </c>
      <c r="C924" s="2" t="s">
        <v>5706</v>
      </c>
      <c r="D924" t="s">
        <v>6155</v>
      </c>
      <c r="E924" s="2">
        <v>6</v>
      </c>
      <c r="F924" s="2" t="str">
        <f>_xlfn.XLOOKUP(Orders[[#This Row],[Customer ID]],customers!$A$1:$A$1001,customers!$B$1:$B$1001,,0)</f>
        <v>Charin Maplethorp</v>
      </c>
      <c r="G924" s="2" t="str">
        <f>IF(_xlfn.XLOOKUP(C924,customers!$A$1:$A$1001,customers!C923:C1923,,0)=0,"",_xlfn.XLOOKUP(C924,customers!$A$1:$A$1001,customers!C923:C1923,,0))</f>
        <v/>
      </c>
      <c r="H924" s="2" t="str">
        <f>_xlfn.XLOOKUP(Orders[[#This Row],[Customer ID]],customers!$A$1:$A$1001,customers!$G$1:$G$1001,,0)</f>
        <v>United States</v>
      </c>
      <c r="I924" s="2" t="str">
        <f>_xlfn.XLOOKUP(Orders[[#This Row],[Customer ID]],customers!$A$1:$A$1001,customers!$F$1:$F$1001,,0)</f>
        <v>Wilmington</v>
      </c>
      <c r="J924" t="str">
        <f>INDEX(products!$A$1:$G$49,MATCH(orders!$D924,products!$A$1:$A$49,0),MATCH(orders!J$1,products!$A$1:$G$1,0))</f>
        <v>Ara</v>
      </c>
      <c r="K924" t="str">
        <f>INDEX(products!$A$1:$G$49,MATCH(orders!$D924,products!$A$1:$A$49,0),MATCH(orders!K$1,products!$A$1:$G$1,0))</f>
        <v>M</v>
      </c>
      <c r="L924" s="4">
        <f>INDEX(products!$A$1:$G$49,MATCH(orders!$D924,products!$A$1:$A$49,0),MATCH(orders!L$1,products!$A$1:$G$1,0))</f>
        <v>1</v>
      </c>
      <c r="M924" s="5">
        <f>INDEX(products!$A$1:$G$49,MATCH(orders!$D924,products!$A$1:$A$49,0),MATCH(orders!M$1,products!$A$1:$G$1,0))</f>
        <v>11.25</v>
      </c>
      <c r="N924" s="5">
        <f>Orders[[#This Row],[Quantity]]*(INDEX(products!$A$1:$G$49,MATCH(orders!$D924,products!$A$1:$A$49,0),MATCH(orders!N$1,products!$A$1:$G$1,0)))</f>
        <v>6.0749999999999993</v>
      </c>
      <c r="O924" s="5">
        <f>M924*E924</f>
        <v>67.5</v>
      </c>
      <c r="P924" t="str">
        <f t="shared" si="28"/>
        <v>Arabica</v>
      </c>
      <c r="Q924" t="str">
        <f t="shared" si="29"/>
        <v>Medium</v>
      </c>
      <c r="R924" t="str">
        <f>_xlfn.XLOOKUP(Orders[[#This Row],[Customer ID]],customers!$A$1:$A$1001,customers!$I$1:$I$1001,,0)</f>
        <v>Yes</v>
      </c>
    </row>
    <row r="925" spans="1:18" x14ac:dyDescent="0.35">
      <c r="A925" s="2" t="s">
        <v>5709</v>
      </c>
      <c r="B925" s="3">
        <v>43746</v>
      </c>
      <c r="C925" s="2" t="s">
        <v>5710</v>
      </c>
      <c r="D925" t="s">
        <v>6185</v>
      </c>
      <c r="E925" s="2">
        <v>1</v>
      </c>
      <c r="F925" s="2" t="str">
        <f>_xlfn.XLOOKUP(Orders[[#This Row],[Customer ID]],customers!$A$1:$A$1001,customers!$B$1:$B$1001,,0)</f>
        <v>Goldie Wynes</v>
      </c>
      <c r="G925" s="2" t="str">
        <f>IF(_xlfn.XLOOKUP(C925,customers!$A$1:$A$1001,customers!C924:C1924,,0)=0,"",_xlfn.XLOOKUP(C925,customers!$A$1:$A$1001,customers!C924:C1924,,0))</f>
        <v/>
      </c>
      <c r="H925" s="2" t="str">
        <f>_xlfn.XLOOKUP(Orders[[#This Row],[Customer ID]],customers!$A$1:$A$1001,customers!$G$1:$G$1001,,0)</f>
        <v>United States</v>
      </c>
      <c r="I925" s="2" t="str">
        <f>_xlfn.XLOOKUP(Orders[[#This Row],[Customer ID]],customers!$A$1:$A$1001,customers!$F$1:$F$1001,,0)</f>
        <v>Austin</v>
      </c>
      <c r="J925" t="str">
        <f>INDEX(products!$A$1:$G$49,MATCH(orders!$D925,products!$A$1:$A$49,0),MATCH(orders!J$1,products!$A$1:$G$1,0))</f>
        <v>Exc</v>
      </c>
      <c r="K925" t="str">
        <f>INDEX(products!$A$1:$G$49,MATCH(orders!$D925,products!$A$1:$A$49,0),MATCH(orders!K$1,products!$A$1:$G$1,0))</f>
        <v>D</v>
      </c>
      <c r="L925" s="4">
        <f>INDEX(products!$A$1:$G$49,MATCH(orders!$D925,products!$A$1:$A$49,0),MATCH(orders!L$1,products!$A$1:$G$1,0))</f>
        <v>2.5</v>
      </c>
      <c r="M925" s="5">
        <f>INDEX(products!$A$1:$G$49,MATCH(orders!$D925,products!$A$1:$A$49,0),MATCH(orders!M$1,products!$A$1:$G$1,0))</f>
        <v>27.945</v>
      </c>
      <c r="N925" s="5">
        <f>Orders[[#This Row],[Quantity]]*(INDEX(products!$A$1:$G$49,MATCH(orders!$D925,products!$A$1:$A$49,0),MATCH(orders!N$1,products!$A$1:$G$1,0)))</f>
        <v>3.07395</v>
      </c>
      <c r="O925" s="5">
        <f>M925*E925</f>
        <v>27.945</v>
      </c>
      <c r="P925" t="str">
        <f t="shared" si="28"/>
        <v>Excelsa</v>
      </c>
      <c r="Q925" t="str">
        <f t="shared" si="29"/>
        <v>Dark</v>
      </c>
      <c r="R925" t="str">
        <f>_xlfn.XLOOKUP(Orders[[#This Row],[Customer ID]],customers!$A$1:$A$1001,customers!$I$1:$I$1001,,0)</f>
        <v>No</v>
      </c>
    </row>
    <row r="926" spans="1:18" x14ac:dyDescent="0.35">
      <c r="A926" s="2" t="s">
        <v>5715</v>
      </c>
      <c r="B926" s="3">
        <v>44451</v>
      </c>
      <c r="C926" s="2" t="s">
        <v>5716</v>
      </c>
      <c r="D926" t="s">
        <v>6182</v>
      </c>
      <c r="E926" s="2">
        <v>3</v>
      </c>
      <c r="F926" s="2" t="str">
        <f>_xlfn.XLOOKUP(Orders[[#This Row],[Customer ID]],customers!$A$1:$A$1001,customers!$B$1:$B$1001,,0)</f>
        <v>Celie MacCourt</v>
      </c>
      <c r="G926" s="2" t="str">
        <f>IF(_xlfn.XLOOKUP(C926,customers!$A$1:$A$1001,customers!C925:C1925,,0)=0,"",_xlfn.XLOOKUP(C926,customers!$A$1:$A$1001,customers!C925:C1925,,0))</f>
        <v/>
      </c>
      <c r="H926" s="2" t="str">
        <f>_xlfn.XLOOKUP(Orders[[#This Row],[Customer ID]],customers!$A$1:$A$1001,customers!$G$1:$G$1001,,0)</f>
        <v>United States</v>
      </c>
      <c r="I926" s="2" t="str">
        <f>_xlfn.XLOOKUP(Orders[[#This Row],[Customer ID]],customers!$A$1:$A$1001,customers!$F$1:$F$1001,,0)</f>
        <v>Orlando</v>
      </c>
      <c r="J926" t="str">
        <f>INDEX(products!$A$1:$G$49,MATCH(orders!$D926,products!$A$1:$A$49,0),MATCH(orders!J$1,products!$A$1:$G$1,0))</f>
        <v>Ara</v>
      </c>
      <c r="K926" t="str">
        <f>INDEX(products!$A$1:$G$49,MATCH(orders!$D926,products!$A$1:$A$49,0),MATCH(orders!K$1,products!$A$1:$G$1,0))</f>
        <v>L</v>
      </c>
      <c r="L926" s="4">
        <f>INDEX(products!$A$1:$G$49,MATCH(orders!$D926,products!$A$1:$A$49,0),MATCH(orders!L$1,products!$A$1:$G$1,0))</f>
        <v>2.5</v>
      </c>
      <c r="M926" s="5">
        <f>INDEX(products!$A$1:$G$49,MATCH(orders!$D926,products!$A$1:$A$49,0),MATCH(orders!M$1,products!$A$1:$G$1,0))</f>
        <v>29.784999999999997</v>
      </c>
      <c r="N926" s="5">
        <f>Orders[[#This Row],[Quantity]]*(INDEX(products!$A$1:$G$49,MATCH(orders!$D926,products!$A$1:$A$49,0),MATCH(orders!N$1,products!$A$1:$G$1,0)))</f>
        <v>8.0419499999999982</v>
      </c>
      <c r="O926" s="5">
        <f>M926*E926</f>
        <v>89.35499999999999</v>
      </c>
      <c r="P926" t="str">
        <f t="shared" si="28"/>
        <v>Arabica</v>
      </c>
      <c r="Q926" t="str">
        <f t="shared" si="29"/>
        <v>Light</v>
      </c>
      <c r="R926" t="str">
        <f>_xlfn.XLOOKUP(Orders[[#This Row],[Customer ID]],customers!$A$1:$A$1001,customers!$I$1:$I$1001,,0)</f>
        <v>No</v>
      </c>
    </row>
    <row r="927" spans="1:18" x14ac:dyDescent="0.35">
      <c r="A927" s="2" t="s">
        <v>5720</v>
      </c>
      <c r="B927" s="3">
        <v>44770</v>
      </c>
      <c r="C927" s="2" t="s">
        <v>5554</v>
      </c>
      <c r="D927" t="s">
        <v>6157</v>
      </c>
      <c r="E927" s="2">
        <v>3</v>
      </c>
      <c r="F927" s="2" t="str">
        <f>_xlfn.XLOOKUP(Orders[[#This Row],[Customer ID]],customers!$A$1:$A$1001,customers!$B$1:$B$1001,,0)</f>
        <v>Derick Snow</v>
      </c>
      <c r="G927" s="2" t="str">
        <f>IF(_xlfn.XLOOKUP(C927,customers!$A$1:$A$1001,customers!C926:C1926,,0)=0,"",_xlfn.XLOOKUP(C927,customers!$A$1:$A$1001,customers!C926:C1926,,0))</f>
        <v/>
      </c>
      <c r="H927" s="2" t="str">
        <f>_xlfn.XLOOKUP(Orders[[#This Row],[Customer ID]],customers!$A$1:$A$1001,customers!$G$1:$G$1001,,0)</f>
        <v>United States</v>
      </c>
      <c r="I927" s="2" t="str">
        <f>_xlfn.XLOOKUP(Orders[[#This Row],[Customer ID]],customers!$A$1:$A$1001,customers!$F$1:$F$1001,,0)</f>
        <v>New York City</v>
      </c>
      <c r="J927" t="str">
        <f>INDEX(products!$A$1:$G$49,MATCH(orders!$D927,products!$A$1:$A$49,0),MATCH(orders!J$1,products!$A$1:$G$1,0))</f>
        <v>Ara</v>
      </c>
      <c r="K927" t="str">
        <f>INDEX(products!$A$1:$G$49,MATCH(orders!$D927,products!$A$1:$A$49,0),MATCH(orders!K$1,products!$A$1:$G$1,0))</f>
        <v>M</v>
      </c>
      <c r="L927" s="4">
        <f>INDEX(products!$A$1:$G$49,MATCH(orders!$D927,products!$A$1:$A$49,0),MATCH(orders!L$1,products!$A$1:$G$1,0))</f>
        <v>0.5</v>
      </c>
      <c r="M927" s="5">
        <f>INDEX(products!$A$1:$G$49,MATCH(orders!$D927,products!$A$1:$A$49,0),MATCH(orders!M$1,products!$A$1:$G$1,0))</f>
        <v>6.75</v>
      </c>
      <c r="N927" s="5">
        <f>Orders[[#This Row],[Quantity]]*(INDEX(products!$A$1:$G$49,MATCH(orders!$D927,products!$A$1:$A$49,0),MATCH(orders!N$1,products!$A$1:$G$1,0)))</f>
        <v>1.8224999999999998</v>
      </c>
      <c r="O927" s="5">
        <f>M927*E927</f>
        <v>20.25</v>
      </c>
      <c r="P927" t="str">
        <f t="shared" si="28"/>
        <v>Arabica</v>
      </c>
      <c r="Q927" t="str">
        <f t="shared" si="29"/>
        <v>Medium</v>
      </c>
      <c r="R927" t="str">
        <f>_xlfn.XLOOKUP(Orders[[#This Row],[Customer ID]],customers!$A$1:$A$1001,customers!$I$1:$I$1001,,0)</f>
        <v>No</v>
      </c>
    </row>
    <row r="928" spans="1:18" x14ac:dyDescent="0.35">
      <c r="A928" s="2" t="s">
        <v>5725</v>
      </c>
      <c r="B928" s="3">
        <v>44012</v>
      </c>
      <c r="C928" s="2" t="s">
        <v>5726</v>
      </c>
      <c r="D928" t="s">
        <v>6157</v>
      </c>
      <c r="E928" s="2">
        <v>5</v>
      </c>
      <c r="F928" s="2" t="str">
        <f>_xlfn.XLOOKUP(Orders[[#This Row],[Customer ID]],customers!$A$1:$A$1001,customers!$B$1:$B$1001,,0)</f>
        <v>Evy Wilsone</v>
      </c>
      <c r="G928" s="2" t="str">
        <f>IF(_xlfn.XLOOKUP(C928,customers!$A$1:$A$1001,customers!C927:C1927,,0)=0,"",_xlfn.XLOOKUP(C928,customers!$A$1:$A$1001,customers!C927:C1927,,0))</f>
        <v/>
      </c>
      <c r="H928" s="2" t="str">
        <f>_xlfn.XLOOKUP(Orders[[#This Row],[Customer ID]],customers!$A$1:$A$1001,customers!$G$1:$G$1001,,0)</f>
        <v>United States</v>
      </c>
      <c r="I928" s="2" t="str">
        <f>_xlfn.XLOOKUP(Orders[[#This Row],[Customer ID]],customers!$A$1:$A$1001,customers!$F$1:$F$1001,,0)</f>
        <v>Washington</v>
      </c>
      <c r="J928" t="str">
        <f>INDEX(products!$A$1:$G$49,MATCH(orders!$D928,products!$A$1:$A$49,0),MATCH(orders!J$1,products!$A$1:$G$1,0))</f>
        <v>Ara</v>
      </c>
      <c r="K928" t="str">
        <f>INDEX(products!$A$1:$G$49,MATCH(orders!$D928,products!$A$1:$A$49,0),MATCH(orders!K$1,products!$A$1:$G$1,0))</f>
        <v>M</v>
      </c>
      <c r="L928" s="4">
        <f>INDEX(products!$A$1:$G$49,MATCH(orders!$D928,products!$A$1:$A$49,0),MATCH(orders!L$1,products!$A$1:$G$1,0))</f>
        <v>0.5</v>
      </c>
      <c r="M928" s="5">
        <f>INDEX(products!$A$1:$G$49,MATCH(orders!$D928,products!$A$1:$A$49,0),MATCH(orders!M$1,products!$A$1:$G$1,0))</f>
        <v>6.75</v>
      </c>
      <c r="N928" s="5">
        <f>Orders[[#This Row],[Quantity]]*(INDEX(products!$A$1:$G$49,MATCH(orders!$D928,products!$A$1:$A$49,0),MATCH(orders!N$1,products!$A$1:$G$1,0)))</f>
        <v>3.0374999999999996</v>
      </c>
      <c r="O928" s="5">
        <f>M928*E928</f>
        <v>33.75</v>
      </c>
      <c r="P928" t="str">
        <f t="shared" si="28"/>
        <v>Arabica</v>
      </c>
      <c r="Q928" t="str">
        <f t="shared" si="29"/>
        <v>Medium</v>
      </c>
      <c r="R928" t="str">
        <f>_xlfn.XLOOKUP(Orders[[#This Row],[Customer ID]],customers!$A$1:$A$1001,customers!$I$1:$I$1001,,0)</f>
        <v>Yes</v>
      </c>
    </row>
    <row r="929" spans="1:18" x14ac:dyDescent="0.35">
      <c r="A929" s="2" t="s">
        <v>5731</v>
      </c>
      <c r="B929" s="3">
        <v>43474</v>
      </c>
      <c r="C929" s="2" t="s">
        <v>5732</v>
      </c>
      <c r="D929" t="s">
        <v>6185</v>
      </c>
      <c r="E929" s="2">
        <v>4</v>
      </c>
      <c r="F929" s="2" t="str">
        <f>_xlfn.XLOOKUP(Orders[[#This Row],[Customer ID]],customers!$A$1:$A$1001,customers!$B$1:$B$1001,,0)</f>
        <v>Dolores Duffie</v>
      </c>
      <c r="G929" s="2" t="str">
        <f>IF(_xlfn.XLOOKUP(C929,customers!$A$1:$A$1001,customers!C928:C1928,,0)=0,"",_xlfn.XLOOKUP(C929,customers!$A$1:$A$1001,customers!C928:C1928,,0))</f>
        <v/>
      </c>
      <c r="H929" s="2" t="str">
        <f>_xlfn.XLOOKUP(Orders[[#This Row],[Customer ID]],customers!$A$1:$A$1001,customers!$G$1:$G$1001,,0)</f>
        <v>United States</v>
      </c>
      <c r="I929" s="2" t="str">
        <f>_xlfn.XLOOKUP(Orders[[#This Row],[Customer ID]],customers!$A$1:$A$1001,customers!$F$1:$F$1001,,0)</f>
        <v>Portland</v>
      </c>
      <c r="J929" t="str">
        <f>INDEX(products!$A$1:$G$49,MATCH(orders!$D929,products!$A$1:$A$49,0),MATCH(orders!J$1,products!$A$1:$G$1,0))</f>
        <v>Exc</v>
      </c>
      <c r="K929" t="str">
        <f>INDEX(products!$A$1:$G$49,MATCH(orders!$D929,products!$A$1:$A$49,0),MATCH(orders!K$1,products!$A$1:$G$1,0))</f>
        <v>D</v>
      </c>
      <c r="L929" s="4">
        <f>INDEX(products!$A$1:$G$49,MATCH(orders!$D929,products!$A$1:$A$49,0),MATCH(orders!L$1,products!$A$1:$G$1,0))</f>
        <v>2.5</v>
      </c>
      <c r="M929" s="5">
        <f>INDEX(products!$A$1:$G$49,MATCH(orders!$D929,products!$A$1:$A$49,0),MATCH(orders!M$1,products!$A$1:$G$1,0))</f>
        <v>27.945</v>
      </c>
      <c r="N929" s="5">
        <f>Orders[[#This Row],[Quantity]]*(INDEX(products!$A$1:$G$49,MATCH(orders!$D929,products!$A$1:$A$49,0),MATCH(orders!N$1,products!$A$1:$G$1,0)))</f>
        <v>12.2958</v>
      </c>
      <c r="O929" s="5">
        <f>M929*E929</f>
        <v>111.78</v>
      </c>
      <c r="P929" t="str">
        <f t="shared" si="28"/>
        <v>Excelsa</v>
      </c>
      <c r="Q929" t="str">
        <f t="shared" si="29"/>
        <v>Dark</v>
      </c>
      <c r="R929" t="str">
        <f>_xlfn.XLOOKUP(Orders[[#This Row],[Customer ID]],customers!$A$1:$A$1001,customers!$I$1:$I$1001,,0)</f>
        <v>No</v>
      </c>
    </row>
    <row r="930" spans="1:18" x14ac:dyDescent="0.35">
      <c r="A930" s="2" t="s">
        <v>5737</v>
      </c>
      <c r="B930" s="3">
        <v>44754</v>
      </c>
      <c r="C930" s="2" t="s">
        <v>5738</v>
      </c>
      <c r="D930" t="s">
        <v>6166</v>
      </c>
      <c r="E930" s="2">
        <v>2</v>
      </c>
      <c r="F930" s="2" t="str">
        <f>_xlfn.XLOOKUP(Orders[[#This Row],[Customer ID]],customers!$A$1:$A$1001,customers!$B$1:$B$1001,,0)</f>
        <v>Mathilda Matiasek</v>
      </c>
      <c r="G930" s="2" t="str">
        <f>IF(_xlfn.XLOOKUP(C930,customers!$A$1:$A$1001,customers!C929:C1929,,0)=0,"",_xlfn.XLOOKUP(C930,customers!$A$1:$A$1001,customers!C929:C1929,,0))</f>
        <v/>
      </c>
      <c r="H930" s="2" t="str">
        <f>_xlfn.XLOOKUP(Orders[[#This Row],[Customer ID]],customers!$A$1:$A$1001,customers!$G$1:$G$1001,,0)</f>
        <v>United States</v>
      </c>
      <c r="I930" s="2" t="str">
        <f>_xlfn.XLOOKUP(Orders[[#This Row],[Customer ID]],customers!$A$1:$A$1001,customers!$F$1:$F$1001,,0)</f>
        <v>New York City</v>
      </c>
      <c r="J930" t="str">
        <f>INDEX(products!$A$1:$G$49,MATCH(orders!$D930,products!$A$1:$A$49,0),MATCH(orders!J$1,products!$A$1:$G$1,0))</f>
        <v>Exc</v>
      </c>
      <c r="K930" t="str">
        <f>INDEX(products!$A$1:$G$49,MATCH(orders!$D930,products!$A$1:$A$49,0),MATCH(orders!K$1,products!$A$1:$G$1,0))</f>
        <v>M</v>
      </c>
      <c r="L930" s="4">
        <f>INDEX(products!$A$1:$G$49,MATCH(orders!$D930,products!$A$1:$A$49,0),MATCH(orders!L$1,products!$A$1:$G$1,0))</f>
        <v>2.5</v>
      </c>
      <c r="M930" s="5">
        <f>INDEX(products!$A$1:$G$49,MATCH(orders!$D930,products!$A$1:$A$49,0),MATCH(orders!M$1,products!$A$1:$G$1,0))</f>
        <v>31.624999999999996</v>
      </c>
      <c r="N930" s="5">
        <f>Orders[[#This Row],[Quantity]]*(INDEX(products!$A$1:$G$49,MATCH(orders!$D930,products!$A$1:$A$49,0),MATCH(orders!N$1,products!$A$1:$G$1,0)))</f>
        <v>6.9574999999999996</v>
      </c>
      <c r="O930" s="5">
        <f>M930*E930</f>
        <v>63.249999999999993</v>
      </c>
      <c r="P930" t="str">
        <f t="shared" si="28"/>
        <v>Excelsa</v>
      </c>
      <c r="Q930" t="str">
        <f t="shared" si="29"/>
        <v>Medium</v>
      </c>
      <c r="R930" t="str">
        <f>_xlfn.XLOOKUP(Orders[[#This Row],[Customer ID]],customers!$A$1:$A$1001,customers!$I$1:$I$1001,,0)</f>
        <v>Yes</v>
      </c>
    </row>
    <row r="931" spans="1:18" x14ac:dyDescent="0.35">
      <c r="A931" s="2" t="s">
        <v>5742</v>
      </c>
      <c r="B931" s="3">
        <v>44165</v>
      </c>
      <c r="C931" s="2" t="s">
        <v>5743</v>
      </c>
      <c r="D931" t="s">
        <v>6184</v>
      </c>
      <c r="E931" s="2">
        <v>2</v>
      </c>
      <c r="F931" s="2" t="str">
        <f>_xlfn.XLOOKUP(Orders[[#This Row],[Customer ID]],customers!$A$1:$A$1001,customers!$B$1:$B$1001,,0)</f>
        <v>Jarred Camillo</v>
      </c>
      <c r="G931" s="2" t="str">
        <f>IF(_xlfn.XLOOKUP(C931,customers!$A$1:$A$1001,customers!C930:C1930,,0)=0,"",_xlfn.XLOOKUP(C931,customers!$A$1:$A$1001,customers!C930:C1930,,0))</f>
        <v/>
      </c>
      <c r="H931" s="2" t="str">
        <f>_xlfn.XLOOKUP(Orders[[#This Row],[Customer ID]],customers!$A$1:$A$1001,customers!$G$1:$G$1001,,0)</f>
        <v>United States</v>
      </c>
      <c r="I931" s="2" t="str">
        <f>_xlfn.XLOOKUP(Orders[[#This Row],[Customer ID]],customers!$A$1:$A$1001,customers!$F$1:$F$1001,,0)</f>
        <v>Washington</v>
      </c>
      <c r="J931" t="str">
        <f>INDEX(products!$A$1:$G$49,MATCH(orders!$D931,products!$A$1:$A$49,0),MATCH(orders!J$1,products!$A$1:$G$1,0))</f>
        <v>Exc</v>
      </c>
      <c r="K931" t="str">
        <f>INDEX(products!$A$1:$G$49,MATCH(orders!$D931,products!$A$1:$A$49,0),MATCH(orders!K$1,products!$A$1:$G$1,0))</f>
        <v>L</v>
      </c>
      <c r="L931" s="4">
        <f>INDEX(products!$A$1:$G$49,MATCH(orders!$D931,products!$A$1:$A$49,0),MATCH(orders!L$1,products!$A$1:$G$1,0))</f>
        <v>0.2</v>
      </c>
      <c r="M931" s="5">
        <f>INDEX(products!$A$1:$G$49,MATCH(orders!$D931,products!$A$1:$A$49,0),MATCH(orders!M$1,products!$A$1:$G$1,0))</f>
        <v>4.4550000000000001</v>
      </c>
      <c r="N931" s="5">
        <f>Orders[[#This Row],[Quantity]]*(INDEX(products!$A$1:$G$49,MATCH(orders!$D931,products!$A$1:$A$49,0),MATCH(orders!N$1,products!$A$1:$G$1,0)))</f>
        <v>0.98009999999999997</v>
      </c>
      <c r="O931" s="5">
        <f>M931*E931</f>
        <v>8.91</v>
      </c>
      <c r="P931" t="str">
        <f t="shared" si="28"/>
        <v>Excelsa</v>
      </c>
      <c r="Q931" t="str">
        <f t="shared" si="29"/>
        <v>Light</v>
      </c>
      <c r="R931" t="str">
        <f>_xlfn.XLOOKUP(Orders[[#This Row],[Customer ID]],customers!$A$1:$A$1001,customers!$I$1:$I$1001,,0)</f>
        <v>Yes</v>
      </c>
    </row>
    <row r="932" spans="1:18" x14ac:dyDescent="0.35">
      <c r="A932" s="2" t="s">
        <v>5748</v>
      </c>
      <c r="B932" s="3">
        <v>43546</v>
      </c>
      <c r="C932" s="2" t="s">
        <v>5749</v>
      </c>
      <c r="D932" t="s">
        <v>6183</v>
      </c>
      <c r="E932" s="2">
        <v>1</v>
      </c>
      <c r="F932" s="2" t="str">
        <f>_xlfn.XLOOKUP(Orders[[#This Row],[Customer ID]],customers!$A$1:$A$1001,customers!$B$1:$B$1001,,0)</f>
        <v>Kameko Philbrick</v>
      </c>
      <c r="G932" s="2" t="str">
        <f>IF(_xlfn.XLOOKUP(C932,customers!$A$1:$A$1001,customers!C931:C1931,,0)=0,"",_xlfn.XLOOKUP(C932,customers!$A$1:$A$1001,customers!C931:C1931,,0))</f>
        <v/>
      </c>
      <c r="H932" s="2" t="str">
        <f>_xlfn.XLOOKUP(Orders[[#This Row],[Customer ID]],customers!$A$1:$A$1001,customers!$G$1:$G$1001,,0)</f>
        <v>United States</v>
      </c>
      <c r="I932" s="2" t="str">
        <f>_xlfn.XLOOKUP(Orders[[#This Row],[Customer ID]],customers!$A$1:$A$1001,customers!$F$1:$F$1001,,0)</f>
        <v>Washington</v>
      </c>
      <c r="J932" t="str">
        <f>INDEX(products!$A$1:$G$49,MATCH(orders!$D932,products!$A$1:$A$49,0),MATCH(orders!J$1,products!$A$1:$G$1,0))</f>
        <v>Exc</v>
      </c>
      <c r="K932" t="str">
        <f>INDEX(products!$A$1:$G$49,MATCH(orders!$D932,products!$A$1:$A$49,0),MATCH(orders!K$1,products!$A$1:$G$1,0))</f>
        <v>D</v>
      </c>
      <c r="L932" s="4">
        <f>INDEX(products!$A$1:$G$49,MATCH(orders!$D932,products!$A$1:$A$49,0),MATCH(orders!L$1,products!$A$1:$G$1,0))</f>
        <v>1</v>
      </c>
      <c r="M932" s="5">
        <f>INDEX(products!$A$1:$G$49,MATCH(orders!$D932,products!$A$1:$A$49,0),MATCH(orders!M$1,products!$A$1:$G$1,0))</f>
        <v>12.15</v>
      </c>
      <c r="N932" s="5">
        <f>Orders[[#This Row],[Quantity]]*(INDEX(products!$A$1:$G$49,MATCH(orders!$D932,products!$A$1:$A$49,0),MATCH(orders!N$1,products!$A$1:$G$1,0)))</f>
        <v>1.3365</v>
      </c>
      <c r="O932" s="5">
        <f>M932*E932</f>
        <v>12.15</v>
      </c>
      <c r="P932" t="str">
        <f t="shared" si="28"/>
        <v>Excelsa</v>
      </c>
      <c r="Q932" t="str">
        <f t="shared" si="29"/>
        <v>Dark</v>
      </c>
      <c r="R932" t="str">
        <f>_xlfn.XLOOKUP(Orders[[#This Row],[Customer ID]],customers!$A$1:$A$1001,customers!$I$1:$I$1001,,0)</f>
        <v>Yes</v>
      </c>
    </row>
    <row r="933" spans="1:18" x14ac:dyDescent="0.35">
      <c r="A933" s="2" t="s">
        <v>5753</v>
      </c>
      <c r="B933" s="3">
        <v>44607</v>
      </c>
      <c r="C933" s="2" t="s">
        <v>5754</v>
      </c>
      <c r="D933" t="s">
        <v>6158</v>
      </c>
      <c r="E933" s="2">
        <v>4</v>
      </c>
      <c r="F933" s="2" t="str">
        <f>_xlfn.XLOOKUP(Orders[[#This Row],[Customer ID]],customers!$A$1:$A$1001,customers!$B$1:$B$1001,,0)</f>
        <v>Mallory Shrimpling</v>
      </c>
      <c r="G933" s="2" t="str">
        <f>IF(_xlfn.XLOOKUP(C933,customers!$A$1:$A$1001,customers!C932:C1932,,0)=0,"",_xlfn.XLOOKUP(C933,customers!$A$1:$A$1001,customers!C932:C1932,,0))</f>
        <v/>
      </c>
      <c r="H933" s="2" t="str">
        <f>_xlfn.XLOOKUP(Orders[[#This Row],[Customer ID]],customers!$A$1:$A$1001,customers!$G$1:$G$1001,,0)</f>
        <v>United States</v>
      </c>
      <c r="I933" s="2" t="str">
        <f>_xlfn.XLOOKUP(Orders[[#This Row],[Customer ID]],customers!$A$1:$A$1001,customers!$F$1:$F$1001,,0)</f>
        <v>Allentown</v>
      </c>
      <c r="J933" t="str">
        <f>INDEX(products!$A$1:$G$49,MATCH(orders!$D933,products!$A$1:$A$49,0),MATCH(orders!J$1,products!$A$1:$G$1,0))</f>
        <v>Ara</v>
      </c>
      <c r="K933" t="str">
        <f>INDEX(products!$A$1:$G$49,MATCH(orders!$D933,products!$A$1:$A$49,0),MATCH(orders!K$1,products!$A$1:$G$1,0))</f>
        <v>D</v>
      </c>
      <c r="L933" s="4">
        <f>INDEX(products!$A$1:$G$49,MATCH(orders!$D933,products!$A$1:$A$49,0),MATCH(orders!L$1,products!$A$1:$G$1,0))</f>
        <v>0.5</v>
      </c>
      <c r="M933" s="5">
        <f>INDEX(products!$A$1:$G$49,MATCH(orders!$D933,products!$A$1:$A$49,0),MATCH(orders!M$1,products!$A$1:$G$1,0))</f>
        <v>5.97</v>
      </c>
      <c r="N933" s="5">
        <f>Orders[[#This Row],[Quantity]]*(INDEX(products!$A$1:$G$49,MATCH(orders!$D933,products!$A$1:$A$49,0),MATCH(orders!N$1,products!$A$1:$G$1,0)))</f>
        <v>2.1492</v>
      </c>
      <c r="O933" s="5">
        <f>M933*E933</f>
        <v>23.88</v>
      </c>
      <c r="P933" t="str">
        <f t="shared" si="28"/>
        <v>Arabica</v>
      </c>
      <c r="Q933" t="str">
        <f t="shared" si="29"/>
        <v>Dark</v>
      </c>
      <c r="R933" t="str">
        <f>_xlfn.XLOOKUP(Orders[[#This Row],[Customer ID]],customers!$A$1:$A$1001,customers!$I$1:$I$1001,,0)</f>
        <v>Yes</v>
      </c>
    </row>
    <row r="934" spans="1:18" x14ac:dyDescent="0.35">
      <c r="A934" s="2" t="s">
        <v>5757</v>
      </c>
      <c r="B934" s="3">
        <v>44117</v>
      </c>
      <c r="C934" s="2" t="s">
        <v>5758</v>
      </c>
      <c r="D934" t="s">
        <v>6141</v>
      </c>
      <c r="E934" s="2">
        <v>4</v>
      </c>
      <c r="F934" s="2" t="str">
        <f>_xlfn.XLOOKUP(Orders[[#This Row],[Customer ID]],customers!$A$1:$A$1001,customers!$B$1:$B$1001,,0)</f>
        <v>Barnett Sillis</v>
      </c>
      <c r="G934" s="2" t="str">
        <f>IF(_xlfn.XLOOKUP(C934,customers!$A$1:$A$1001,customers!C933:C1933,,0)=0,"",_xlfn.XLOOKUP(C934,customers!$A$1:$A$1001,customers!C933:C1933,,0))</f>
        <v/>
      </c>
      <c r="H934" s="2" t="str">
        <f>_xlfn.XLOOKUP(Orders[[#This Row],[Customer ID]],customers!$A$1:$A$1001,customers!$G$1:$G$1001,,0)</f>
        <v>United States</v>
      </c>
      <c r="I934" s="2" t="str">
        <f>_xlfn.XLOOKUP(Orders[[#This Row],[Customer ID]],customers!$A$1:$A$1001,customers!$F$1:$F$1001,,0)</f>
        <v>Miami</v>
      </c>
      <c r="J934" t="str">
        <f>INDEX(products!$A$1:$G$49,MATCH(orders!$D934,products!$A$1:$A$49,0),MATCH(orders!J$1,products!$A$1:$G$1,0))</f>
        <v>Exc</v>
      </c>
      <c r="K934" t="str">
        <f>INDEX(products!$A$1:$G$49,MATCH(orders!$D934,products!$A$1:$A$49,0),MATCH(orders!K$1,products!$A$1:$G$1,0))</f>
        <v>M</v>
      </c>
      <c r="L934" s="4">
        <f>INDEX(products!$A$1:$G$49,MATCH(orders!$D934,products!$A$1:$A$49,0),MATCH(orders!L$1,products!$A$1:$G$1,0))</f>
        <v>1</v>
      </c>
      <c r="M934" s="5">
        <f>INDEX(products!$A$1:$G$49,MATCH(orders!$D934,products!$A$1:$A$49,0),MATCH(orders!M$1,products!$A$1:$G$1,0))</f>
        <v>13.75</v>
      </c>
      <c r="N934" s="5">
        <f>Orders[[#This Row],[Quantity]]*(INDEX(products!$A$1:$G$49,MATCH(orders!$D934,products!$A$1:$A$49,0),MATCH(orders!N$1,products!$A$1:$G$1,0)))</f>
        <v>6.05</v>
      </c>
      <c r="O934" s="5">
        <f>M934*E934</f>
        <v>55</v>
      </c>
      <c r="P934" t="str">
        <f t="shared" si="28"/>
        <v>Excelsa</v>
      </c>
      <c r="Q934" t="str">
        <f t="shared" si="29"/>
        <v>Medium</v>
      </c>
      <c r="R934" t="str">
        <f>_xlfn.XLOOKUP(Orders[[#This Row],[Customer ID]],customers!$A$1:$A$1001,customers!$I$1:$I$1001,,0)</f>
        <v>No</v>
      </c>
    </row>
    <row r="935" spans="1:18" x14ac:dyDescent="0.35">
      <c r="A935" s="2" t="s">
        <v>5763</v>
      </c>
      <c r="B935" s="3">
        <v>44557</v>
      </c>
      <c r="C935" s="2" t="s">
        <v>5764</v>
      </c>
      <c r="D935" t="s">
        <v>6177</v>
      </c>
      <c r="E935" s="2">
        <v>3</v>
      </c>
      <c r="F935" s="2" t="str">
        <f>_xlfn.XLOOKUP(Orders[[#This Row],[Customer ID]],customers!$A$1:$A$1001,customers!$B$1:$B$1001,,0)</f>
        <v>Brenn Dundredge</v>
      </c>
      <c r="G935" s="2" t="str">
        <f>IF(_xlfn.XLOOKUP(C935,customers!$A$1:$A$1001,customers!C934:C1934,,0)=0,"",_xlfn.XLOOKUP(C935,customers!$A$1:$A$1001,customers!C934:C1934,,0))</f>
        <v/>
      </c>
      <c r="H935" s="2" t="str">
        <f>_xlfn.XLOOKUP(Orders[[#This Row],[Customer ID]],customers!$A$1:$A$1001,customers!$G$1:$G$1001,,0)</f>
        <v>United States</v>
      </c>
      <c r="I935" s="2" t="str">
        <f>_xlfn.XLOOKUP(Orders[[#This Row],[Customer ID]],customers!$A$1:$A$1001,customers!$F$1:$F$1001,,0)</f>
        <v>Oklahoma City</v>
      </c>
      <c r="J935" t="str">
        <f>INDEX(products!$A$1:$G$49,MATCH(orders!$D935,products!$A$1:$A$49,0),MATCH(orders!J$1,products!$A$1:$G$1,0))</f>
        <v>Rob</v>
      </c>
      <c r="K935" t="str">
        <f>INDEX(products!$A$1:$G$49,MATCH(orders!$D935,products!$A$1:$A$49,0),MATCH(orders!K$1,products!$A$1:$G$1,0))</f>
        <v>D</v>
      </c>
      <c r="L935" s="4">
        <f>INDEX(products!$A$1:$G$49,MATCH(orders!$D935,products!$A$1:$A$49,0),MATCH(orders!L$1,products!$A$1:$G$1,0))</f>
        <v>1</v>
      </c>
      <c r="M935" s="5">
        <f>INDEX(products!$A$1:$G$49,MATCH(orders!$D935,products!$A$1:$A$49,0),MATCH(orders!M$1,products!$A$1:$G$1,0))</f>
        <v>8.9499999999999993</v>
      </c>
      <c r="N935" s="5">
        <f>Orders[[#This Row],[Quantity]]*(INDEX(products!$A$1:$G$49,MATCH(orders!$D935,products!$A$1:$A$49,0),MATCH(orders!N$1,products!$A$1:$G$1,0)))</f>
        <v>1.6109999999999998</v>
      </c>
      <c r="O935" s="5">
        <f>M935*E935</f>
        <v>26.849999999999998</v>
      </c>
      <c r="P935" t="str">
        <f t="shared" si="28"/>
        <v>Robusta</v>
      </c>
      <c r="Q935" t="str">
        <f t="shared" si="29"/>
        <v>Dark</v>
      </c>
      <c r="R935" t="str">
        <f>_xlfn.XLOOKUP(Orders[[#This Row],[Customer ID]],customers!$A$1:$A$1001,customers!$I$1:$I$1001,,0)</f>
        <v>Yes</v>
      </c>
    </row>
    <row r="936" spans="1:18" x14ac:dyDescent="0.35">
      <c r="A936" s="2" t="s">
        <v>5768</v>
      </c>
      <c r="B936" s="3">
        <v>44409</v>
      </c>
      <c r="C936" s="2" t="s">
        <v>5769</v>
      </c>
      <c r="D936" t="s">
        <v>6151</v>
      </c>
      <c r="E936" s="2">
        <v>5</v>
      </c>
      <c r="F936" s="2" t="str">
        <f>_xlfn.XLOOKUP(Orders[[#This Row],[Customer ID]],customers!$A$1:$A$1001,customers!$B$1:$B$1001,,0)</f>
        <v>Read Cutts</v>
      </c>
      <c r="G936" s="2" t="str">
        <f>IF(_xlfn.XLOOKUP(C936,customers!$A$1:$A$1001,customers!C935:C1935,,0)=0,"",_xlfn.XLOOKUP(C936,customers!$A$1:$A$1001,customers!C935:C1935,,0))</f>
        <v/>
      </c>
      <c r="H936" s="2" t="str">
        <f>_xlfn.XLOOKUP(Orders[[#This Row],[Customer ID]],customers!$A$1:$A$1001,customers!$G$1:$G$1001,,0)</f>
        <v>United States</v>
      </c>
      <c r="I936" s="2" t="str">
        <f>_xlfn.XLOOKUP(Orders[[#This Row],[Customer ID]],customers!$A$1:$A$1001,customers!$F$1:$F$1001,,0)</f>
        <v>Rockford</v>
      </c>
      <c r="J936" t="str">
        <f>INDEX(products!$A$1:$G$49,MATCH(orders!$D936,products!$A$1:$A$49,0),MATCH(orders!J$1,products!$A$1:$G$1,0))</f>
        <v>Rob</v>
      </c>
      <c r="K936" t="str">
        <f>INDEX(products!$A$1:$G$49,MATCH(orders!$D936,products!$A$1:$A$49,0),MATCH(orders!K$1,products!$A$1:$G$1,0))</f>
        <v>M</v>
      </c>
      <c r="L936" s="4">
        <f>INDEX(products!$A$1:$G$49,MATCH(orders!$D936,products!$A$1:$A$49,0),MATCH(orders!L$1,products!$A$1:$G$1,0))</f>
        <v>2.5</v>
      </c>
      <c r="M936" s="5">
        <f>INDEX(products!$A$1:$G$49,MATCH(orders!$D936,products!$A$1:$A$49,0),MATCH(orders!M$1,products!$A$1:$G$1,0))</f>
        <v>22.884999999999998</v>
      </c>
      <c r="N936" s="5">
        <f>Orders[[#This Row],[Quantity]]*(INDEX(products!$A$1:$G$49,MATCH(orders!$D936,products!$A$1:$A$49,0),MATCH(orders!N$1,products!$A$1:$G$1,0)))</f>
        <v>6.865499999999999</v>
      </c>
      <c r="O936" s="5">
        <f>M936*E936</f>
        <v>114.42499999999998</v>
      </c>
      <c r="P936" t="str">
        <f t="shared" si="28"/>
        <v>Robusta</v>
      </c>
      <c r="Q936" t="str">
        <f t="shared" si="29"/>
        <v>Medium</v>
      </c>
      <c r="R936" t="str">
        <f>_xlfn.XLOOKUP(Orders[[#This Row],[Customer ID]],customers!$A$1:$A$1001,customers!$I$1:$I$1001,,0)</f>
        <v>No</v>
      </c>
    </row>
    <row r="937" spans="1:18" x14ac:dyDescent="0.35">
      <c r="A937" s="2" t="s">
        <v>5774</v>
      </c>
      <c r="B937" s="3">
        <v>44153</v>
      </c>
      <c r="C937" s="2" t="s">
        <v>5775</v>
      </c>
      <c r="D937" t="s">
        <v>6175</v>
      </c>
      <c r="E937" s="2">
        <v>6</v>
      </c>
      <c r="F937" s="2" t="str">
        <f>_xlfn.XLOOKUP(Orders[[#This Row],[Customer ID]],customers!$A$1:$A$1001,customers!$B$1:$B$1001,,0)</f>
        <v>Michale Delves</v>
      </c>
      <c r="G937" s="2" t="str">
        <f>IF(_xlfn.XLOOKUP(C937,customers!$A$1:$A$1001,customers!C936:C1936,,0)=0,"",_xlfn.XLOOKUP(C937,customers!$A$1:$A$1001,customers!C936:C1936,,0))</f>
        <v/>
      </c>
      <c r="H937" s="2" t="str">
        <f>_xlfn.XLOOKUP(Orders[[#This Row],[Customer ID]],customers!$A$1:$A$1001,customers!$G$1:$G$1001,,0)</f>
        <v>United States</v>
      </c>
      <c r="I937" s="2" t="str">
        <f>_xlfn.XLOOKUP(Orders[[#This Row],[Customer ID]],customers!$A$1:$A$1001,customers!$F$1:$F$1001,,0)</f>
        <v>Montgomery</v>
      </c>
      <c r="J937" t="str">
        <f>INDEX(products!$A$1:$G$49,MATCH(orders!$D937,products!$A$1:$A$49,0),MATCH(orders!J$1,products!$A$1:$G$1,0))</f>
        <v>Ara</v>
      </c>
      <c r="K937" t="str">
        <f>INDEX(products!$A$1:$G$49,MATCH(orders!$D937,products!$A$1:$A$49,0),MATCH(orders!K$1,products!$A$1:$G$1,0))</f>
        <v>M</v>
      </c>
      <c r="L937" s="4">
        <f>INDEX(products!$A$1:$G$49,MATCH(orders!$D937,products!$A$1:$A$49,0),MATCH(orders!L$1,products!$A$1:$G$1,0))</f>
        <v>2.5</v>
      </c>
      <c r="M937" s="5">
        <f>INDEX(products!$A$1:$G$49,MATCH(orders!$D937,products!$A$1:$A$49,0),MATCH(orders!M$1,products!$A$1:$G$1,0))</f>
        <v>25.874999999999996</v>
      </c>
      <c r="N937" s="5">
        <f>Orders[[#This Row],[Quantity]]*(INDEX(products!$A$1:$G$49,MATCH(orders!$D937,products!$A$1:$A$49,0),MATCH(orders!N$1,products!$A$1:$G$1,0)))</f>
        <v>13.972499999999997</v>
      </c>
      <c r="O937" s="5">
        <f>M937*E937</f>
        <v>155.24999999999997</v>
      </c>
      <c r="P937" t="str">
        <f t="shared" si="28"/>
        <v>Arabica</v>
      </c>
      <c r="Q937" t="str">
        <f t="shared" si="29"/>
        <v>Medium</v>
      </c>
      <c r="R937" t="str">
        <f>_xlfn.XLOOKUP(Orders[[#This Row],[Customer ID]],customers!$A$1:$A$1001,customers!$I$1:$I$1001,,0)</f>
        <v>Yes</v>
      </c>
    </row>
    <row r="938" spans="1:18" x14ac:dyDescent="0.35">
      <c r="A938" s="2" t="s">
        <v>5780</v>
      </c>
      <c r="B938" s="3">
        <v>44493</v>
      </c>
      <c r="C938" s="2" t="s">
        <v>5781</v>
      </c>
      <c r="D938" t="s">
        <v>6169</v>
      </c>
      <c r="E938" s="2">
        <v>3</v>
      </c>
      <c r="F938" s="2" t="str">
        <f>_xlfn.XLOOKUP(Orders[[#This Row],[Customer ID]],customers!$A$1:$A$1001,customers!$B$1:$B$1001,,0)</f>
        <v>Devland Gritton</v>
      </c>
      <c r="G938" s="2" t="str">
        <f>IF(_xlfn.XLOOKUP(C938,customers!$A$1:$A$1001,customers!C937:C1937,,0)=0,"",_xlfn.XLOOKUP(C938,customers!$A$1:$A$1001,customers!C937:C1937,,0))</f>
        <v/>
      </c>
      <c r="H938" s="2" t="str">
        <f>_xlfn.XLOOKUP(Orders[[#This Row],[Customer ID]],customers!$A$1:$A$1001,customers!$G$1:$G$1001,,0)</f>
        <v>United States</v>
      </c>
      <c r="I938" s="2" t="str">
        <f>_xlfn.XLOOKUP(Orders[[#This Row],[Customer ID]],customers!$A$1:$A$1001,customers!$F$1:$F$1001,,0)</f>
        <v>Pasadena</v>
      </c>
      <c r="J938" t="str">
        <f>INDEX(products!$A$1:$G$49,MATCH(orders!$D938,products!$A$1:$A$49,0),MATCH(orders!J$1,products!$A$1:$G$1,0))</f>
        <v>Lib</v>
      </c>
      <c r="K938" t="str">
        <f>INDEX(products!$A$1:$G$49,MATCH(orders!$D938,products!$A$1:$A$49,0),MATCH(orders!K$1,products!$A$1:$G$1,0))</f>
        <v>D</v>
      </c>
      <c r="L938" s="4">
        <f>INDEX(products!$A$1:$G$49,MATCH(orders!$D938,products!$A$1:$A$49,0),MATCH(orders!L$1,products!$A$1:$G$1,0))</f>
        <v>0.5</v>
      </c>
      <c r="M938" s="5">
        <f>INDEX(products!$A$1:$G$49,MATCH(orders!$D938,products!$A$1:$A$49,0),MATCH(orders!M$1,products!$A$1:$G$1,0))</f>
        <v>7.77</v>
      </c>
      <c r="N938" s="5">
        <f>Orders[[#This Row],[Quantity]]*(INDEX(products!$A$1:$G$49,MATCH(orders!$D938,products!$A$1:$A$49,0),MATCH(orders!N$1,products!$A$1:$G$1,0)))</f>
        <v>3.0303</v>
      </c>
      <c r="O938" s="5">
        <f>M938*E938</f>
        <v>23.31</v>
      </c>
      <c r="P938" t="str">
        <f t="shared" si="28"/>
        <v>Liberica</v>
      </c>
      <c r="Q938" t="str">
        <f t="shared" si="29"/>
        <v>Dark</v>
      </c>
      <c r="R938" t="str">
        <f>_xlfn.XLOOKUP(Orders[[#This Row],[Customer ID]],customers!$A$1:$A$1001,customers!$I$1:$I$1001,,0)</f>
        <v>Yes</v>
      </c>
    </row>
    <row r="939" spans="1:18" x14ac:dyDescent="0.35">
      <c r="A939" s="2" t="s">
        <v>5780</v>
      </c>
      <c r="B939" s="3">
        <v>44493</v>
      </c>
      <c r="C939" s="2" t="s">
        <v>5781</v>
      </c>
      <c r="D939" t="s">
        <v>6151</v>
      </c>
      <c r="E939" s="2">
        <v>4</v>
      </c>
      <c r="F939" s="2" t="str">
        <f>_xlfn.XLOOKUP(Orders[[#This Row],[Customer ID]],customers!$A$1:$A$1001,customers!$B$1:$B$1001,,0)</f>
        <v>Devland Gritton</v>
      </c>
      <c r="G939" s="2" t="str">
        <f>IF(_xlfn.XLOOKUP(C939,customers!$A$1:$A$1001,customers!C938:C1938,,0)=0,"",_xlfn.XLOOKUP(C939,customers!$A$1:$A$1001,customers!C938:C1938,,0))</f>
        <v/>
      </c>
      <c r="H939" s="2" t="str">
        <f>_xlfn.XLOOKUP(Orders[[#This Row],[Customer ID]],customers!$A$1:$A$1001,customers!$G$1:$G$1001,,0)</f>
        <v>United States</v>
      </c>
      <c r="I939" s="2" t="str">
        <f>_xlfn.XLOOKUP(Orders[[#This Row],[Customer ID]],customers!$A$1:$A$1001,customers!$F$1:$F$1001,,0)</f>
        <v>Pasadena</v>
      </c>
      <c r="J939" t="str">
        <f>INDEX(products!$A$1:$G$49,MATCH(orders!$D939,products!$A$1:$A$49,0),MATCH(orders!J$1,products!$A$1:$G$1,0))</f>
        <v>Rob</v>
      </c>
      <c r="K939" t="str">
        <f>INDEX(products!$A$1:$G$49,MATCH(orders!$D939,products!$A$1:$A$49,0),MATCH(orders!K$1,products!$A$1:$G$1,0))</f>
        <v>M</v>
      </c>
      <c r="L939" s="4">
        <f>INDEX(products!$A$1:$G$49,MATCH(orders!$D939,products!$A$1:$A$49,0),MATCH(orders!L$1,products!$A$1:$G$1,0))</f>
        <v>2.5</v>
      </c>
      <c r="M939" s="5">
        <f>INDEX(products!$A$1:$G$49,MATCH(orders!$D939,products!$A$1:$A$49,0),MATCH(orders!M$1,products!$A$1:$G$1,0))</f>
        <v>22.884999999999998</v>
      </c>
      <c r="N939" s="5">
        <f>Orders[[#This Row],[Quantity]]*(INDEX(products!$A$1:$G$49,MATCH(orders!$D939,products!$A$1:$A$49,0),MATCH(orders!N$1,products!$A$1:$G$1,0)))</f>
        <v>5.4923999999999991</v>
      </c>
      <c r="O939" s="5">
        <f>M939*E939</f>
        <v>91.539999999999992</v>
      </c>
      <c r="P939" t="str">
        <f t="shared" si="28"/>
        <v>Robusta</v>
      </c>
      <c r="Q939" t="str">
        <f t="shared" si="29"/>
        <v>Medium</v>
      </c>
      <c r="R939" t="str">
        <f>_xlfn.XLOOKUP(Orders[[#This Row],[Customer ID]],customers!$A$1:$A$1001,customers!$I$1:$I$1001,,0)</f>
        <v>Yes</v>
      </c>
    </row>
    <row r="940" spans="1:18" x14ac:dyDescent="0.35">
      <c r="A940" s="2" t="s">
        <v>5791</v>
      </c>
      <c r="B940" s="3">
        <v>43829</v>
      </c>
      <c r="C940" s="2" t="s">
        <v>5792</v>
      </c>
      <c r="D940" t="s">
        <v>6171</v>
      </c>
      <c r="E940" s="2">
        <v>5</v>
      </c>
      <c r="F940" s="2" t="str">
        <f>_xlfn.XLOOKUP(Orders[[#This Row],[Customer ID]],customers!$A$1:$A$1001,customers!$B$1:$B$1001,,0)</f>
        <v>Dell Gut</v>
      </c>
      <c r="G940" s="2" t="str">
        <f>IF(_xlfn.XLOOKUP(C940,customers!$A$1:$A$1001,customers!C939:C1939,,0)=0,"",_xlfn.XLOOKUP(C940,customers!$A$1:$A$1001,customers!C939:C1939,,0))</f>
        <v/>
      </c>
      <c r="H940" s="2" t="str">
        <f>_xlfn.XLOOKUP(Orders[[#This Row],[Customer ID]],customers!$A$1:$A$1001,customers!$G$1:$G$1001,,0)</f>
        <v>United States</v>
      </c>
      <c r="I940" s="2" t="str">
        <f>_xlfn.XLOOKUP(Orders[[#This Row],[Customer ID]],customers!$A$1:$A$1001,customers!$F$1:$F$1001,,0)</f>
        <v>Houston</v>
      </c>
      <c r="J940" t="str">
        <f>INDEX(products!$A$1:$G$49,MATCH(orders!$D940,products!$A$1:$A$49,0),MATCH(orders!J$1,products!$A$1:$G$1,0))</f>
        <v>Exc</v>
      </c>
      <c r="K940" t="str">
        <f>INDEX(products!$A$1:$G$49,MATCH(orders!$D940,products!$A$1:$A$49,0),MATCH(orders!K$1,products!$A$1:$G$1,0))</f>
        <v>L</v>
      </c>
      <c r="L940" s="4">
        <f>INDEX(products!$A$1:$G$49,MATCH(orders!$D940,products!$A$1:$A$49,0),MATCH(orders!L$1,products!$A$1:$G$1,0))</f>
        <v>1</v>
      </c>
      <c r="M940" s="5">
        <f>INDEX(products!$A$1:$G$49,MATCH(orders!$D940,products!$A$1:$A$49,0),MATCH(orders!M$1,products!$A$1:$G$1,0))</f>
        <v>14.85</v>
      </c>
      <c r="N940" s="5">
        <f>Orders[[#This Row],[Quantity]]*(INDEX(products!$A$1:$G$49,MATCH(orders!$D940,products!$A$1:$A$49,0),MATCH(orders!N$1,products!$A$1:$G$1,0)))</f>
        <v>8.1675000000000004</v>
      </c>
      <c r="O940" s="5">
        <f>M940*E940</f>
        <v>74.25</v>
      </c>
      <c r="P940" t="str">
        <f t="shared" si="28"/>
        <v>Excelsa</v>
      </c>
      <c r="Q940" t="str">
        <f t="shared" si="29"/>
        <v>Light</v>
      </c>
      <c r="R940" t="str">
        <f>_xlfn.XLOOKUP(Orders[[#This Row],[Customer ID]],customers!$A$1:$A$1001,customers!$I$1:$I$1001,,0)</f>
        <v>Yes</v>
      </c>
    </row>
    <row r="941" spans="1:18" x14ac:dyDescent="0.35">
      <c r="A941" s="2" t="s">
        <v>5797</v>
      </c>
      <c r="B941" s="3">
        <v>44229</v>
      </c>
      <c r="C941" s="2" t="s">
        <v>5798</v>
      </c>
      <c r="D941" t="s">
        <v>6145</v>
      </c>
      <c r="E941" s="2">
        <v>6</v>
      </c>
      <c r="F941" s="2" t="str">
        <f>_xlfn.XLOOKUP(Orders[[#This Row],[Customer ID]],customers!$A$1:$A$1001,customers!$B$1:$B$1001,,0)</f>
        <v>Willy Pummery</v>
      </c>
      <c r="G941" s="2" t="str">
        <f>IF(_xlfn.XLOOKUP(C941,customers!$A$1:$A$1001,customers!C940:C1940,,0)=0,"",_xlfn.XLOOKUP(C941,customers!$A$1:$A$1001,customers!C940:C1940,,0))</f>
        <v/>
      </c>
      <c r="H941" s="2" t="str">
        <f>_xlfn.XLOOKUP(Orders[[#This Row],[Customer ID]],customers!$A$1:$A$1001,customers!$G$1:$G$1001,,0)</f>
        <v>United States</v>
      </c>
      <c r="I941" s="2" t="str">
        <f>_xlfn.XLOOKUP(Orders[[#This Row],[Customer ID]],customers!$A$1:$A$1001,customers!$F$1:$F$1001,,0)</f>
        <v>Muskegon</v>
      </c>
      <c r="J941" t="str">
        <f>INDEX(products!$A$1:$G$49,MATCH(orders!$D941,products!$A$1:$A$49,0),MATCH(orders!J$1,products!$A$1:$G$1,0))</f>
        <v>Lib</v>
      </c>
      <c r="K941" t="str">
        <f>INDEX(products!$A$1:$G$49,MATCH(orders!$D941,products!$A$1:$A$49,0),MATCH(orders!K$1,products!$A$1:$G$1,0))</f>
        <v>L</v>
      </c>
      <c r="L941" s="4">
        <f>INDEX(products!$A$1:$G$49,MATCH(orders!$D941,products!$A$1:$A$49,0),MATCH(orders!L$1,products!$A$1:$G$1,0))</f>
        <v>0.2</v>
      </c>
      <c r="M941" s="5">
        <f>INDEX(products!$A$1:$G$49,MATCH(orders!$D941,products!$A$1:$A$49,0),MATCH(orders!M$1,products!$A$1:$G$1,0))</f>
        <v>4.7549999999999999</v>
      </c>
      <c r="N941" s="5">
        <f>Orders[[#This Row],[Quantity]]*(INDEX(products!$A$1:$G$49,MATCH(orders!$D941,products!$A$1:$A$49,0),MATCH(orders!N$1,products!$A$1:$G$1,0)))</f>
        <v>3.7088999999999999</v>
      </c>
      <c r="O941" s="5">
        <f>M941*E941</f>
        <v>28.53</v>
      </c>
      <c r="P941" t="str">
        <f t="shared" si="28"/>
        <v>Liberica</v>
      </c>
      <c r="Q941" t="str">
        <f t="shared" si="29"/>
        <v>Light</v>
      </c>
      <c r="R941" t="str">
        <f>_xlfn.XLOOKUP(Orders[[#This Row],[Customer ID]],customers!$A$1:$A$1001,customers!$I$1:$I$1001,,0)</f>
        <v>No</v>
      </c>
    </row>
    <row r="942" spans="1:18" x14ac:dyDescent="0.35">
      <c r="A942" s="2" t="s">
        <v>5803</v>
      </c>
      <c r="B942" s="3">
        <v>44332</v>
      </c>
      <c r="C942" s="2" t="s">
        <v>5804</v>
      </c>
      <c r="D942" t="s">
        <v>6173</v>
      </c>
      <c r="E942" s="2">
        <v>2</v>
      </c>
      <c r="F942" s="2" t="str">
        <f>_xlfn.XLOOKUP(Orders[[#This Row],[Customer ID]],customers!$A$1:$A$1001,customers!$B$1:$B$1001,,0)</f>
        <v>Geoffrey Siuda</v>
      </c>
      <c r="G942" s="2" t="str">
        <f>IF(_xlfn.XLOOKUP(C942,customers!$A$1:$A$1001,customers!C941:C1941,,0)=0,"",_xlfn.XLOOKUP(C942,customers!$A$1:$A$1001,customers!C941:C1941,,0))</f>
        <v/>
      </c>
      <c r="H942" s="2" t="str">
        <f>_xlfn.XLOOKUP(Orders[[#This Row],[Customer ID]],customers!$A$1:$A$1001,customers!$G$1:$G$1001,,0)</f>
        <v>United States</v>
      </c>
      <c r="I942" s="2" t="str">
        <f>_xlfn.XLOOKUP(Orders[[#This Row],[Customer ID]],customers!$A$1:$A$1001,customers!$F$1:$F$1001,,0)</f>
        <v>Washington</v>
      </c>
      <c r="J942" t="str">
        <f>INDEX(products!$A$1:$G$49,MATCH(orders!$D942,products!$A$1:$A$49,0),MATCH(orders!J$1,products!$A$1:$G$1,0))</f>
        <v>Rob</v>
      </c>
      <c r="K942" t="str">
        <f>INDEX(products!$A$1:$G$49,MATCH(orders!$D942,products!$A$1:$A$49,0),MATCH(orders!K$1,products!$A$1:$G$1,0))</f>
        <v>L</v>
      </c>
      <c r="L942" s="4">
        <f>INDEX(products!$A$1:$G$49,MATCH(orders!$D942,products!$A$1:$A$49,0),MATCH(orders!L$1,products!$A$1:$G$1,0))</f>
        <v>0.5</v>
      </c>
      <c r="M942" s="5">
        <f>INDEX(products!$A$1:$G$49,MATCH(orders!$D942,products!$A$1:$A$49,0),MATCH(orders!M$1,products!$A$1:$G$1,0))</f>
        <v>7.169999999999999</v>
      </c>
      <c r="N942" s="5">
        <f>Orders[[#This Row],[Quantity]]*(INDEX(products!$A$1:$G$49,MATCH(orders!$D942,products!$A$1:$A$49,0),MATCH(orders!N$1,products!$A$1:$G$1,0)))</f>
        <v>0.86039999999999983</v>
      </c>
      <c r="O942" s="5">
        <f>M942*E942</f>
        <v>14.339999999999998</v>
      </c>
      <c r="P942" t="str">
        <f t="shared" si="28"/>
        <v>Robusta</v>
      </c>
      <c r="Q942" t="str">
        <f t="shared" si="29"/>
        <v>Light</v>
      </c>
      <c r="R942" t="str">
        <f>_xlfn.XLOOKUP(Orders[[#This Row],[Customer ID]],customers!$A$1:$A$1001,customers!$I$1:$I$1001,,0)</f>
        <v>Yes</v>
      </c>
    </row>
    <row r="943" spans="1:18" x14ac:dyDescent="0.35">
      <c r="A943" s="2" t="s">
        <v>5809</v>
      </c>
      <c r="B943" s="3">
        <v>44674</v>
      </c>
      <c r="C943" s="2" t="s">
        <v>5810</v>
      </c>
      <c r="D943" t="s">
        <v>6180</v>
      </c>
      <c r="E943" s="2">
        <v>2</v>
      </c>
      <c r="F943" s="2" t="str">
        <f>_xlfn.XLOOKUP(Orders[[#This Row],[Customer ID]],customers!$A$1:$A$1001,customers!$B$1:$B$1001,,0)</f>
        <v>Henderson Crowne</v>
      </c>
      <c r="G943" s="2" t="str">
        <f>IF(_xlfn.XLOOKUP(C943,customers!$A$1:$A$1001,customers!C942:C1942,,0)=0,"",_xlfn.XLOOKUP(C943,customers!$A$1:$A$1001,customers!C942:C1942,,0))</f>
        <v/>
      </c>
      <c r="H943" s="2" t="str">
        <f>_xlfn.XLOOKUP(Orders[[#This Row],[Customer ID]],customers!$A$1:$A$1001,customers!$G$1:$G$1001,,0)</f>
        <v>Ireland</v>
      </c>
      <c r="I943" s="2" t="str">
        <f>_xlfn.XLOOKUP(Orders[[#This Row],[Customer ID]],customers!$A$1:$A$1001,customers!$F$1:$F$1001,,0)</f>
        <v>Sallins</v>
      </c>
      <c r="J943" t="str">
        <f>INDEX(products!$A$1:$G$49,MATCH(orders!$D943,products!$A$1:$A$49,0),MATCH(orders!J$1,products!$A$1:$G$1,0))</f>
        <v>Ara</v>
      </c>
      <c r="K943" t="str">
        <f>INDEX(products!$A$1:$G$49,MATCH(orders!$D943,products!$A$1:$A$49,0),MATCH(orders!K$1,products!$A$1:$G$1,0))</f>
        <v>L</v>
      </c>
      <c r="L943" s="4">
        <f>INDEX(products!$A$1:$G$49,MATCH(orders!$D943,products!$A$1:$A$49,0),MATCH(orders!L$1,products!$A$1:$G$1,0))</f>
        <v>0.5</v>
      </c>
      <c r="M943" s="5">
        <f>INDEX(products!$A$1:$G$49,MATCH(orders!$D943,products!$A$1:$A$49,0),MATCH(orders!M$1,products!$A$1:$G$1,0))</f>
        <v>7.77</v>
      </c>
      <c r="N943" s="5">
        <f>Orders[[#This Row],[Quantity]]*(INDEX(products!$A$1:$G$49,MATCH(orders!$D943,products!$A$1:$A$49,0),MATCH(orders!N$1,products!$A$1:$G$1,0)))</f>
        <v>1.3985999999999998</v>
      </c>
      <c r="O943" s="5">
        <f>M943*E943</f>
        <v>15.54</v>
      </c>
      <c r="P943" t="str">
        <f t="shared" si="28"/>
        <v>Arabica</v>
      </c>
      <c r="Q943" t="str">
        <f t="shared" si="29"/>
        <v>Light</v>
      </c>
      <c r="R943" t="str">
        <f>_xlfn.XLOOKUP(Orders[[#This Row],[Customer ID]],customers!$A$1:$A$1001,customers!$I$1:$I$1001,,0)</f>
        <v>Yes</v>
      </c>
    </row>
    <row r="944" spans="1:18" x14ac:dyDescent="0.35">
      <c r="A944" s="2" t="s">
        <v>5816</v>
      </c>
      <c r="B944" s="3">
        <v>44464</v>
      </c>
      <c r="C944" s="2" t="s">
        <v>5817</v>
      </c>
      <c r="D944" t="s">
        <v>6179</v>
      </c>
      <c r="E944" s="2">
        <v>3</v>
      </c>
      <c r="F944" s="2" t="str">
        <f>_xlfn.XLOOKUP(Orders[[#This Row],[Customer ID]],customers!$A$1:$A$1001,customers!$B$1:$B$1001,,0)</f>
        <v>Vernor Pawsey</v>
      </c>
      <c r="G944" s="2" t="str">
        <f>IF(_xlfn.XLOOKUP(C944,customers!$A$1:$A$1001,customers!C943:C1943,,0)=0,"",_xlfn.XLOOKUP(C944,customers!$A$1:$A$1001,customers!C943:C1943,,0))</f>
        <v/>
      </c>
      <c r="H944" s="2" t="str">
        <f>_xlfn.XLOOKUP(Orders[[#This Row],[Customer ID]],customers!$A$1:$A$1001,customers!$G$1:$G$1001,,0)</f>
        <v>United States</v>
      </c>
      <c r="I944" s="2" t="str">
        <f>_xlfn.XLOOKUP(Orders[[#This Row],[Customer ID]],customers!$A$1:$A$1001,customers!$F$1:$F$1001,,0)</f>
        <v>Macon</v>
      </c>
      <c r="J944" t="str">
        <f>INDEX(products!$A$1:$G$49,MATCH(orders!$D944,products!$A$1:$A$49,0),MATCH(orders!J$1,products!$A$1:$G$1,0))</f>
        <v>Rob</v>
      </c>
      <c r="K944" t="str">
        <f>INDEX(products!$A$1:$G$49,MATCH(orders!$D944,products!$A$1:$A$49,0),MATCH(orders!K$1,products!$A$1:$G$1,0))</f>
        <v>L</v>
      </c>
      <c r="L944" s="4">
        <f>INDEX(products!$A$1:$G$49,MATCH(orders!$D944,products!$A$1:$A$49,0),MATCH(orders!L$1,products!$A$1:$G$1,0))</f>
        <v>1</v>
      </c>
      <c r="M944" s="5">
        <f>INDEX(products!$A$1:$G$49,MATCH(orders!$D944,products!$A$1:$A$49,0),MATCH(orders!M$1,products!$A$1:$G$1,0))</f>
        <v>11.95</v>
      </c>
      <c r="N944" s="5">
        <f>Orders[[#This Row],[Quantity]]*(INDEX(products!$A$1:$G$49,MATCH(orders!$D944,products!$A$1:$A$49,0),MATCH(orders!N$1,products!$A$1:$G$1,0)))</f>
        <v>2.1509999999999998</v>
      </c>
      <c r="O944" s="5">
        <f>M944*E944</f>
        <v>35.849999999999994</v>
      </c>
      <c r="P944" t="str">
        <f t="shared" si="28"/>
        <v>Robusta</v>
      </c>
      <c r="Q944" t="str">
        <f t="shared" si="29"/>
        <v>Light</v>
      </c>
      <c r="R944" t="str">
        <f>_xlfn.XLOOKUP(Orders[[#This Row],[Customer ID]],customers!$A$1:$A$1001,customers!$I$1:$I$1001,,0)</f>
        <v>No</v>
      </c>
    </row>
    <row r="945" spans="1:18" x14ac:dyDescent="0.35">
      <c r="A945" s="2" t="s">
        <v>5822</v>
      </c>
      <c r="B945" s="3">
        <v>44719</v>
      </c>
      <c r="C945" s="2" t="s">
        <v>5823</v>
      </c>
      <c r="D945" t="s">
        <v>6180</v>
      </c>
      <c r="E945" s="2">
        <v>6</v>
      </c>
      <c r="F945" s="2" t="str">
        <f>_xlfn.XLOOKUP(Orders[[#This Row],[Customer ID]],customers!$A$1:$A$1001,customers!$B$1:$B$1001,,0)</f>
        <v>Augustin Waterhouse</v>
      </c>
      <c r="G945" s="2" t="str">
        <f>IF(_xlfn.XLOOKUP(C945,customers!$A$1:$A$1001,customers!C944:C1944,,0)=0,"",_xlfn.XLOOKUP(C945,customers!$A$1:$A$1001,customers!C944:C1944,,0))</f>
        <v/>
      </c>
      <c r="H945" s="2" t="str">
        <f>_xlfn.XLOOKUP(Orders[[#This Row],[Customer ID]],customers!$A$1:$A$1001,customers!$G$1:$G$1001,,0)</f>
        <v>United States</v>
      </c>
      <c r="I945" s="2" t="str">
        <f>_xlfn.XLOOKUP(Orders[[#This Row],[Customer ID]],customers!$A$1:$A$1001,customers!$F$1:$F$1001,,0)</f>
        <v>Shreveport</v>
      </c>
      <c r="J945" t="str">
        <f>INDEX(products!$A$1:$G$49,MATCH(orders!$D945,products!$A$1:$A$49,0),MATCH(orders!J$1,products!$A$1:$G$1,0))</f>
        <v>Ara</v>
      </c>
      <c r="K945" t="str">
        <f>INDEX(products!$A$1:$G$49,MATCH(orders!$D945,products!$A$1:$A$49,0),MATCH(orders!K$1,products!$A$1:$G$1,0))</f>
        <v>L</v>
      </c>
      <c r="L945" s="4">
        <f>INDEX(products!$A$1:$G$49,MATCH(orders!$D945,products!$A$1:$A$49,0),MATCH(orders!L$1,products!$A$1:$G$1,0))</f>
        <v>0.5</v>
      </c>
      <c r="M945" s="5">
        <f>INDEX(products!$A$1:$G$49,MATCH(orders!$D945,products!$A$1:$A$49,0),MATCH(orders!M$1,products!$A$1:$G$1,0))</f>
        <v>7.77</v>
      </c>
      <c r="N945" s="5">
        <f>Orders[[#This Row],[Quantity]]*(INDEX(products!$A$1:$G$49,MATCH(orders!$D945,products!$A$1:$A$49,0),MATCH(orders!N$1,products!$A$1:$G$1,0)))</f>
        <v>4.1957999999999993</v>
      </c>
      <c r="O945" s="5">
        <f>M945*E945</f>
        <v>46.62</v>
      </c>
      <c r="P945" t="str">
        <f t="shared" si="28"/>
        <v>Arabica</v>
      </c>
      <c r="Q945" t="str">
        <f t="shared" si="29"/>
        <v>Light</v>
      </c>
      <c r="R945" t="str">
        <f>_xlfn.XLOOKUP(Orders[[#This Row],[Customer ID]],customers!$A$1:$A$1001,customers!$I$1:$I$1001,,0)</f>
        <v>No</v>
      </c>
    </row>
    <row r="946" spans="1:18" x14ac:dyDescent="0.35">
      <c r="A946" s="2" t="s">
        <v>5828</v>
      </c>
      <c r="B946" s="3">
        <v>44054</v>
      </c>
      <c r="C946" s="2" t="s">
        <v>5829</v>
      </c>
      <c r="D946" t="s">
        <v>6173</v>
      </c>
      <c r="E946" s="2">
        <v>5</v>
      </c>
      <c r="F946" s="2" t="str">
        <f>_xlfn.XLOOKUP(Orders[[#This Row],[Customer ID]],customers!$A$1:$A$1001,customers!$B$1:$B$1001,,0)</f>
        <v>Fanchon Haughian</v>
      </c>
      <c r="G946" s="2" t="str">
        <f>IF(_xlfn.XLOOKUP(C946,customers!$A$1:$A$1001,customers!C945:C1945,,0)=0,"",_xlfn.XLOOKUP(C946,customers!$A$1:$A$1001,customers!C945:C1945,,0))</f>
        <v/>
      </c>
      <c r="H946" s="2" t="str">
        <f>_xlfn.XLOOKUP(Orders[[#This Row],[Customer ID]],customers!$A$1:$A$1001,customers!$G$1:$G$1001,,0)</f>
        <v>United States</v>
      </c>
      <c r="I946" s="2" t="str">
        <f>_xlfn.XLOOKUP(Orders[[#This Row],[Customer ID]],customers!$A$1:$A$1001,customers!$F$1:$F$1001,,0)</f>
        <v>Tacoma</v>
      </c>
      <c r="J946" t="str">
        <f>INDEX(products!$A$1:$G$49,MATCH(orders!$D946,products!$A$1:$A$49,0),MATCH(orders!J$1,products!$A$1:$G$1,0))</f>
        <v>Rob</v>
      </c>
      <c r="K946" t="str">
        <f>INDEX(products!$A$1:$G$49,MATCH(orders!$D946,products!$A$1:$A$49,0),MATCH(orders!K$1,products!$A$1:$G$1,0))</f>
        <v>L</v>
      </c>
      <c r="L946" s="4">
        <f>INDEX(products!$A$1:$G$49,MATCH(orders!$D946,products!$A$1:$A$49,0),MATCH(orders!L$1,products!$A$1:$G$1,0))</f>
        <v>0.5</v>
      </c>
      <c r="M946" s="5">
        <f>INDEX(products!$A$1:$G$49,MATCH(orders!$D946,products!$A$1:$A$49,0),MATCH(orders!M$1,products!$A$1:$G$1,0))</f>
        <v>7.169999999999999</v>
      </c>
      <c r="N946" s="5">
        <f>Orders[[#This Row],[Quantity]]*(INDEX(products!$A$1:$G$49,MATCH(orders!$D946,products!$A$1:$A$49,0),MATCH(orders!N$1,products!$A$1:$G$1,0)))</f>
        <v>2.1509999999999998</v>
      </c>
      <c r="O946" s="5">
        <f>M946*E946</f>
        <v>35.849999999999994</v>
      </c>
      <c r="P946" t="str">
        <f t="shared" si="28"/>
        <v>Robusta</v>
      </c>
      <c r="Q946" t="str">
        <f t="shared" si="29"/>
        <v>Light</v>
      </c>
      <c r="R946" t="str">
        <f>_xlfn.XLOOKUP(Orders[[#This Row],[Customer ID]],customers!$A$1:$A$1001,customers!$I$1:$I$1001,,0)</f>
        <v>No</v>
      </c>
    </row>
    <row r="947" spans="1:18" x14ac:dyDescent="0.35">
      <c r="A947" s="2" t="s">
        <v>5834</v>
      </c>
      <c r="B947" s="3">
        <v>43524</v>
      </c>
      <c r="C947" s="2" t="s">
        <v>5835</v>
      </c>
      <c r="D947" t="s">
        <v>6165</v>
      </c>
      <c r="E947" s="2">
        <v>4</v>
      </c>
      <c r="F947" s="2" t="str">
        <f>_xlfn.XLOOKUP(Orders[[#This Row],[Customer ID]],customers!$A$1:$A$1001,customers!$B$1:$B$1001,,0)</f>
        <v>Jaimie Hatz</v>
      </c>
      <c r="G947" s="2" t="str">
        <f>IF(_xlfn.XLOOKUP(C947,customers!$A$1:$A$1001,customers!C946:C1946,,0)=0,"",_xlfn.XLOOKUP(C947,customers!$A$1:$A$1001,customers!C946:C1946,,0))</f>
        <v/>
      </c>
      <c r="H947" s="2" t="str">
        <f>_xlfn.XLOOKUP(Orders[[#This Row],[Customer ID]],customers!$A$1:$A$1001,customers!$G$1:$G$1001,,0)</f>
        <v>United States</v>
      </c>
      <c r="I947" s="2" t="str">
        <f>_xlfn.XLOOKUP(Orders[[#This Row],[Customer ID]],customers!$A$1:$A$1001,customers!$F$1:$F$1001,,0)</f>
        <v>El Paso</v>
      </c>
      <c r="J947" t="str">
        <f>INDEX(products!$A$1:$G$49,MATCH(orders!$D947,products!$A$1:$A$49,0),MATCH(orders!J$1,products!$A$1:$G$1,0))</f>
        <v>Lib</v>
      </c>
      <c r="K947" t="str">
        <f>INDEX(products!$A$1:$G$49,MATCH(orders!$D947,products!$A$1:$A$49,0),MATCH(orders!K$1,products!$A$1:$G$1,0))</f>
        <v>D</v>
      </c>
      <c r="L947" s="4">
        <f>INDEX(products!$A$1:$G$49,MATCH(orders!$D947,products!$A$1:$A$49,0),MATCH(orders!L$1,products!$A$1:$G$1,0))</f>
        <v>2.5</v>
      </c>
      <c r="M947" s="5">
        <f>INDEX(products!$A$1:$G$49,MATCH(orders!$D947,products!$A$1:$A$49,0),MATCH(orders!M$1,products!$A$1:$G$1,0))</f>
        <v>29.784999999999997</v>
      </c>
      <c r="N947" s="5">
        <f>Orders[[#This Row],[Quantity]]*(INDEX(products!$A$1:$G$49,MATCH(orders!$D947,products!$A$1:$A$49,0),MATCH(orders!N$1,products!$A$1:$G$1,0)))</f>
        <v>15.488199999999999</v>
      </c>
      <c r="O947" s="5">
        <f>M947*E947</f>
        <v>119.13999999999999</v>
      </c>
      <c r="P947" t="str">
        <f t="shared" si="28"/>
        <v>Liberica</v>
      </c>
      <c r="Q947" t="str">
        <f t="shared" si="29"/>
        <v>Dark</v>
      </c>
      <c r="R947" t="str">
        <f>_xlfn.XLOOKUP(Orders[[#This Row],[Customer ID]],customers!$A$1:$A$1001,customers!$I$1:$I$1001,,0)</f>
        <v>No</v>
      </c>
    </row>
    <row r="948" spans="1:18" x14ac:dyDescent="0.35">
      <c r="A948" s="2" t="s">
        <v>5839</v>
      </c>
      <c r="B948" s="3">
        <v>43719</v>
      </c>
      <c r="C948" s="2" t="s">
        <v>5840</v>
      </c>
      <c r="D948" t="s">
        <v>6169</v>
      </c>
      <c r="E948" s="2">
        <v>3</v>
      </c>
      <c r="F948" s="2" t="str">
        <f>_xlfn.XLOOKUP(Orders[[#This Row],[Customer ID]],customers!$A$1:$A$1001,customers!$B$1:$B$1001,,0)</f>
        <v>Edeline Edney</v>
      </c>
      <c r="G948" s="2" t="str">
        <f>IF(_xlfn.XLOOKUP(C948,customers!$A$1:$A$1001,customers!C947:C1947,,0)=0,"",_xlfn.XLOOKUP(C948,customers!$A$1:$A$1001,customers!C947:C1947,,0))</f>
        <v/>
      </c>
      <c r="H948" s="2" t="str">
        <f>_xlfn.XLOOKUP(Orders[[#This Row],[Customer ID]],customers!$A$1:$A$1001,customers!$G$1:$G$1001,,0)</f>
        <v>United States</v>
      </c>
      <c r="I948" s="2" t="str">
        <f>_xlfn.XLOOKUP(Orders[[#This Row],[Customer ID]],customers!$A$1:$A$1001,customers!$F$1:$F$1001,,0)</f>
        <v>Birmingham</v>
      </c>
      <c r="J948" t="str">
        <f>INDEX(products!$A$1:$G$49,MATCH(orders!$D948,products!$A$1:$A$49,0),MATCH(orders!J$1,products!$A$1:$G$1,0))</f>
        <v>Lib</v>
      </c>
      <c r="K948" t="str">
        <f>INDEX(products!$A$1:$G$49,MATCH(orders!$D948,products!$A$1:$A$49,0),MATCH(orders!K$1,products!$A$1:$G$1,0))</f>
        <v>D</v>
      </c>
      <c r="L948" s="4">
        <f>INDEX(products!$A$1:$G$49,MATCH(orders!$D948,products!$A$1:$A$49,0),MATCH(orders!L$1,products!$A$1:$G$1,0))</f>
        <v>0.5</v>
      </c>
      <c r="M948" s="5">
        <f>INDEX(products!$A$1:$G$49,MATCH(orders!$D948,products!$A$1:$A$49,0),MATCH(orders!M$1,products!$A$1:$G$1,0))</f>
        <v>7.77</v>
      </c>
      <c r="N948" s="5">
        <f>Orders[[#This Row],[Quantity]]*(INDEX(products!$A$1:$G$49,MATCH(orders!$D948,products!$A$1:$A$49,0),MATCH(orders!N$1,products!$A$1:$G$1,0)))</f>
        <v>3.0303</v>
      </c>
      <c r="O948" s="5">
        <f>M948*E948</f>
        <v>23.31</v>
      </c>
      <c r="P948" t="str">
        <f t="shared" si="28"/>
        <v>Liberica</v>
      </c>
      <c r="Q948" t="str">
        <f t="shared" si="29"/>
        <v>Dark</v>
      </c>
      <c r="R948" t="str">
        <f>_xlfn.XLOOKUP(Orders[[#This Row],[Customer ID]],customers!$A$1:$A$1001,customers!$I$1:$I$1001,,0)</f>
        <v>No</v>
      </c>
    </row>
    <row r="949" spans="1:18" x14ac:dyDescent="0.35">
      <c r="A949" s="2" t="s">
        <v>5844</v>
      </c>
      <c r="B949" s="3">
        <v>44294</v>
      </c>
      <c r="C949" s="2" t="s">
        <v>5845</v>
      </c>
      <c r="D949" t="s">
        <v>6155</v>
      </c>
      <c r="E949" s="2">
        <v>1</v>
      </c>
      <c r="F949" s="2" t="str">
        <f>_xlfn.XLOOKUP(Orders[[#This Row],[Customer ID]],customers!$A$1:$A$1001,customers!$B$1:$B$1001,,0)</f>
        <v>Rickie Faltin</v>
      </c>
      <c r="G949" s="2" t="str">
        <f>IF(_xlfn.XLOOKUP(C949,customers!$A$1:$A$1001,customers!C948:C1948,,0)=0,"",_xlfn.XLOOKUP(C949,customers!$A$1:$A$1001,customers!C948:C1948,,0))</f>
        <v/>
      </c>
      <c r="H949" s="2" t="str">
        <f>_xlfn.XLOOKUP(Orders[[#This Row],[Customer ID]],customers!$A$1:$A$1001,customers!$G$1:$G$1001,,0)</f>
        <v>Ireland</v>
      </c>
      <c r="I949" s="2" t="str">
        <f>_xlfn.XLOOKUP(Orders[[#This Row],[Customer ID]],customers!$A$1:$A$1001,customers!$F$1:$F$1001,,0)</f>
        <v>Portumna</v>
      </c>
      <c r="J949" t="str">
        <f>INDEX(products!$A$1:$G$49,MATCH(orders!$D949,products!$A$1:$A$49,0),MATCH(orders!J$1,products!$A$1:$G$1,0))</f>
        <v>Ara</v>
      </c>
      <c r="K949" t="str">
        <f>INDEX(products!$A$1:$G$49,MATCH(orders!$D949,products!$A$1:$A$49,0),MATCH(orders!K$1,products!$A$1:$G$1,0))</f>
        <v>M</v>
      </c>
      <c r="L949" s="4">
        <f>INDEX(products!$A$1:$G$49,MATCH(orders!$D949,products!$A$1:$A$49,0),MATCH(orders!L$1,products!$A$1:$G$1,0))</f>
        <v>1</v>
      </c>
      <c r="M949" s="5">
        <f>INDEX(products!$A$1:$G$49,MATCH(orders!$D949,products!$A$1:$A$49,0),MATCH(orders!M$1,products!$A$1:$G$1,0))</f>
        <v>11.25</v>
      </c>
      <c r="N949" s="5">
        <f>Orders[[#This Row],[Quantity]]*(INDEX(products!$A$1:$G$49,MATCH(orders!$D949,products!$A$1:$A$49,0),MATCH(orders!N$1,products!$A$1:$G$1,0)))</f>
        <v>1.0125</v>
      </c>
      <c r="O949" s="5">
        <f>M949*E949</f>
        <v>11.25</v>
      </c>
      <c r="P949" t="str">
        <f t="shared" si="28"/>
        <v>Arabica</v>
      </c>
      <c r="Q949" t="str">
        <f t="shared" si="29"/>
        <v>Medium</v>
      </c>
      <c r="R949" t="str">
        <f>_xlfn.XLOOKUP(Orders[[#This Row],[Customer ID]],customers!$A$1:$A$1001,customers!$I$1:$I$1001,,0)</f>
        <v>No</v>
      </c>
    </row>
    <row r="950" spans="1:18" x14ac:dyDescent="0.35">
      <c r="A950" s="2" t="s">
        <v>5849</v>
      </c>
      <c r="B950" s="3">
        <v>44445</v>
      </c>
      <c r="C950" s="2" t="s">
        <v>5850</v>
      </c>
      <c r="D950" t="s">
        <v>6185</v>
      </c>
      <c r="E950" s="2">
        <v>3</v>
      </c>
      <c r="F950" s="2" t="str">
        <f>_xlfn.XLOOKUP(Orders[[#This Row],[Customer ID]],customers!$A$1:$A$1001,customers!$B$1:$B$1001,,0)</f>
        <v>Gnni Cheeke</v>
      </c>
      <c r="G950" s="2" t="str">
        <f>IF(_xlfn.XLOOKUP(C950,customers!$A$1:$A$1001,customers!C949:C1949,,0)=0,"",_xlfn.XLOOKUP(C950,customers!$A$1:$A$1001,customers!C949:C1949,,0))</f>
        <v/>
      </c>
      <c r="H950" s="2" t="str">
        <f>_xlfn.XLOOKUP(Orders[[#This Row],[Customer ID]],customers!$A$1:$A$1001,customers!$G$1:$G$1001,,0)</f>
        <v>United Kingdom</v>
      </c>
      <c r="I950" s="2" t="str">
        <f>_xlfn.XLOOKUP(Orders[[#This Row],[Customer ID]],customers!$A$1:$A$1001,customers!$F$1:$F$1001,,0)</f>
        <v>London</v>
      </c>
      <c r="J950" t="str">
        <f>INDEX(products!$A$1:$G$49,MATCH(orders!$D950,products!$A$1:$A$49,0),MATCH(orders!J$1,products!$A$1:$G$1,0))</f>
        <v>Exc</v>
      </c>
      <c r="K950" t="str">
        <f>INDEX(products!$A$1:$G$49,MATCH(orders!$D950,products!$A$1:$A$49,0),MATCH(orders!K$1,products!$A$1:$G$1,0))</f>
        <v>D</v>
      </c>
      <c r="L950" s="4">
        <f>INDEX(products!$A$1:$G$49,MATCH(orders!$D950,products!$A$1:$A$49,0),MATCH(orders!L$1,products!$A$1:$G$1,0))</f>
        <v>2.5</v>
      </c>
      <c r="M950" s="5">
        <f>INDEX(products!$A$1:$G$49,MATCH(orders!$D950,products!$A$1:$A$49,0),MATCH(orders!M$1,products!$A$1:$G$1,0))</f>
        <v>27.945</v>
      </c>
      <c r="N950" s="5">
        <f>Orders[[#This Row],[Quantity]]*(INDEX(products!$A$1:$G$49,MATCH(orders!$D950,products!$A$1:$A$49,0),MATCH(orders!N$1,products!$A$1:$G$1,0)))</f>
        <v>9.2218499999999999</v>
      </c>
      <c r="O950" s="5">
        <f>M950*E950</f>
        <v>83.835000000000008</v>
      </c>
      <c r="P950" t="str">
        <f t="shared" si="28"/>
        <v>Excelsa</v>
      </c>
      <c r="Q950" t="str">
        <f t="shared" si="29"/>
        <v>Dark</v>
      </c>
      <c r="R950" t="str">
        <f>_xlfn.XLOOKUP(Orders[[#This Row],[Customer ID]],customers!$A$1:$A$1001,customers!$I$1:$I$1001,,0)</f>
        <v>Yes</v>
      </c>
    </row>
    <row r="951" spans="1:18" x14ac:dyDescent="0.35">
      <c r="A951" s="2" t="s">
        <v>5855</v>
      </c>
      <c r="B951" s="3">
        <v>44449</v>
      </c>
      <c r="C951" s="2" t="s">
        <v>5856</v>
      </c>
      <c r="D951" t="s">
        <v>6142</v>
      </c>
      <c r="E951" s="2">
        <v>4</v>
      </c>
      <c r="F951" s="2" t="str">
        <f>_xlfn.XLOOKUP(Orders[[#This Row],[Customer ID]],customers!$A$1:$A$1001,customers!$B$1:$B$1001,,0)</f>
        <v>Gwenni Ratt</v>
      </c>
      <c r="G951" s="2" t="str">
        <f>IF(_xlfn.XLOOKUP(C951,customers!$A$1:$A$1001,customers!C950:C1950,,0)=0,"",_xlfn.XLOOKUP(C951,customers!$A$1:$A$1001,customers!C950:C1950,,0))</f>
        <v/>
      </c>
      <c r="H951" s="2" t="str">
        <f>_xlfn.XLOOKUP(Orders[[#This Row],[Customer ID]],customers!$A$1:$A$1001,customers!$G$1:$G$1001,,0)</f>
        <v>Ireland</v>
      </c>
      <c r="I951" s="2" t="str">
        <f>_xlfn.XLOOKUP(Orders[[#This Row],[Customer ID]],customers!$A$1:$A$1001,customers!$F$1:$F$1001,,0)</f>
        <v>Castlemartyr</v>
      </c>
      <c r="J951" t="str">
        <f>INDEX(products!$A$1:$G$49,MATCH(orders!$D951,products!$A$1:$A$49,0),MATCH(orders!J$1,products!$A$1:$G$1,0))</f>
        <v>Rob</v>
      </c>
      <c r="K951" t="str">
        <f>INDEX(products!$A$1:$G$49,MATCH(orders!$D951,products!$A$1:$A$49,0),MATCH(orders!K$1,products!$A$1:$G$1,0))</f>
        <v>L</v>
      </c>
      <c r="L951" s="4">
        <f>INDEX(products!$A$1:$G$49,MATCH(orders!$D951,products!$A$1:$A$49,0),MATCH(orders!L$1,products!$A$1:$G$1,0))</f>
        <v>2.5</v>
      </c>
      <c r="M951" s="5">
        <f>INDEX(products!$A$1:$G$49,MATCH(orders!$D951,products!$A$1:$A$49,0),MATCH(orders!M$1,products!$A$1:$G$1,0))</f>
        <v>27.484999999999996</v>
      </c>
      <c r="N951" s="5">
        <f>Orders[[#This Row],[Quantity]]*(INDEX(products!$A$1:$G$49,MATCH(orders!$D951,products!$A$1:$A$49,0),MATCH(orders!N$1,products!$A$1:$G$1,0)))</f>
        <v>6.5963999999999992</v>
      </c>
      <c r="O951" s="5">
        <f>M951*E951</f>
        <v>109.93999999999998</v>
      </c>
      <c r="P951" t="str">
        <f t="shared" si="28"/>
        <v>Robusta</v>
      </c>
      <c r="Q951" t="str">
        <f t="shared" si="29"/>
        <v>Light</v>
      </c>
      <c r="R951" t="str">
        <f>_xlfn.XLOOKUP(Orders[[#This Row],[Customer ID]],customers!$A$1:$A$1001,customers!$I$1:$I$1001,,0)</f>
        <v>No</v>
      </c>
    </row>
    <row r="952" spans="1:18" x14ac:dyDescent="0.35">
      <c r="A952" s="2" t="s">
        <v>5861</v>
      </c>
      <c r="B952" s="3">
        <v>44703</v>
      </c>
      <c r="C952" s="2" t="s">
        <v>5862</v>
      </c>
      <c r="D952" t="s">
        <v>6178</v>
      </c>
      <c r="E952" s="2">
        <v>4</v>
      </c>
      <c r="F952" s="2" t="str">
        <f>_xlfn.XLOOKUP(Orders[[#This Row],[Customer ID]],customers!$A$1:$A$1001,customers!$B$1:$B$1001,,0)</f>
        <v>Johnath Fairebrother</v>
      </c>
      <c r="G952" s="2" t="str">
        <f>IF(_xlfn.XLOOKUP(C952,customers!$A$1:$A$1001,customers!C951:C1951,,0)=0,"",_xlfn.XLOOKUP(C952,customers!$A$1:$A$1001,customers!C951:C1951,,0))</f>
        <v/>
      </c>
      <c r="H952" s="2" t="str">
        <f>_xlfn.XLOOKUP(Orders[[#This Row],[Customer ID]],customers!$A$1:$A$1001,customers!$G$1:$G$1001,,0)</f>
        <v>United States</v>
      </c>
      <c r="I952" s="2" t="str">
        <f>_xlfn.XLOOKUP(Orders[[#This Row],[Customer ID]],customers!$A$1:$A$1001,customers!$F$1:$F$1001,,0)</f>
        <v>Wilmington</v>
      </c>
      <c r="J952" t="str">
        <f>INDEX(products!$A$1:$G$49,MATCH(orders!$D952,products!$A$1:$A$49,0),MATCH(orders!J$1,products!$A$1:$G$1,0))</f>
        <v>Rob</v>
      </c>
      <c r="K952" t="str">
        <f>INDEX(products!$A$1:$G$49,MATCH(orders!$D952,products!$A$1:$A$49,0),MATCH(orders!K$1,products!$A$1:$G$1,0))</f>
        <v>L</v>
      </c>
      <c r="L952" s="4">
        <f>INDEX(products!$A$1:$G$49,MATCH(orders!$D952,products!$A$1:$A$49,0),MATCH(orders!L$1,products!$A$1:$G$1,0))</f>
        <v>0.2</v>
      </c>
      <c r="M952" s="5">
        <f>INDEX(products!$A$1:$G$49,MATCH(orders!$D952,products!$A$1:$A$49,0),MATCH(orders!M$1,products!$A$1:$G$1,0))</f>
        <v>3.5849999999999995</v>
      </c>
      <c r="N952" s="5">
        <f>Orders[[#This Row],[Quantity]]*(INDEX(products!$A$1:$G$49,MATCH(orders!$D952,products!$A$1:$A$49,0),MATCH(orders!N$1,products!$A$1:$G$1,0)))</f>
        <v>0.86039999999999983</v>
      </c>
      <c r="O952" s="5">
        <f>M952*E952</f>
        <v>14.339999999999998</v>
      </c>
      <c r="P952" t="str">
        <f t="shared" si="28"/>
        <v>Robusta</v>
      </c>
      <c r="Q952" t="str">
        <f t="shared" si="29"/>
        <v>Light</v>
      </c>
      <c r="R952" t="str">
        <f>_xlfn.XLOOKUP(Orders[[#This Row],[Customer ID]],customers!$A$1:$A$1001,customers!$I$1:$I$1001,,0)</f>
        <v>Yes</v>
      </c>
    </row>
    <row r="953" spans="1:18" x14ac:dyDescent="0.35">
      <c r="A953" s="2" t="s">
        <v>5866</v>
      </c>
      <c r="B953" s="3">
        <v>44092</v>
      </c>
      <c r="C953" s="2" t="s">
        <v>5867</v>
      </c>
      <c r="D953" t="s">
        <v>6178</v>
      </c>
      <c r="E953" s="2">
        <v>6</v>
      </c>
      <c r="F953" s="2" t="str">
        <f>_xlfn.XLOOKUP(Orders[[#This Row],[Customer ID]],customers!$A$1:$A$1001,customers!$B$1:$B$1001,,0)</f>
        <v>Ingamar Eberlein</v>
      </c>
      <c r="G953" s="2" t="str">
        <f>IF(_xlfn.XLOOKUP(C953,customers!$A$1:$A$1001,customers!C952:C1952,,0)=0,"",_xlfn.XLOOKUP(C953,customers!$A$1:$A$1001,customers!C952:C1952,,0))</f>
        <v/>
      </c>
      <c r="H953" s="2" t="str">
        <f>_xlfn.XLOOKUP(Orders[[#This Row],[Customer ID]],customers!$A$1:$A$1001,customers!$G$1:$G$1001,,0)</f>
        <v>United States</v>
      </c>
      <c r="I953" s="2" t="str">
        <f>_xlfn.XLOOKUP(Orders[[#This Row],[Customer ID]],customers!$A$1:$A$1001,customers!$F$1:$F$1001,,0)</f>
        <v>Harrisburg</v>
      </c>
      <c r="J953" t="str">
        <f>INDEX(products!$A$1:$G$49,MATCH(orders!$D953,products!$A$1:$A$49,0),MATCH(orders!J$1,products!$A$1:$G$1,0))</f>
        <v>Rob</v>
      </c>
      <c r="K953" t="str">
        <f>INDEX(products!$A$1:$G$49,MATCH(orders!$D953,products!$A$1:$A$49,0),MATCH(orders!K$1,products!$A$1:$G$1,0))</f>
        <v>L</v>
      </c>
      <c r="L953" s="4">
        <f>INDEX(products!$A$1:$G$49,MATCH(orders!$D953,products!$A$1:$A$49,0),MATCH(orders!L$1,products!$A$1:$G$1,0))</f>
        <v>0.2</v>
      </c>
      <c r="M953" s="5">
        <f>INDEX(products!$A$1:$G$49,MATCH(orders!$D953,products!$A$1:$A$49,0),MATCH(orders!M$1,products!$A$1:$G$1,0))</f>
        <v>3.5849999999999995</v>
      </c>
      <c r="N953" s="5">
        <f>Orders[[#This Row],[Quantity]]*(INDEX(products!$A$1:$G$49,MATCH(orders!$D953,products!$A$1:$A$49,0),MATCH(orders!N$1,products!$A$1:$G$1,0)))</f>
        <v>1.2905999999999997</v>
      </c>
      <c r="O953" s="5">
        <f>M953*E953</f>
        <v>21.509999999999998</v>
      </c>
      <c r="P953" t="str">
        <f t="shared" si="28"/>
        <v>Robusta</v>
      </c>
      <c r="Q953" t="str">
        <f t="shared" si="29"/>
        <v>Light</v>
      </c>
      <c r="R953" t="str">
        <f>_xlfn.XLOOKUP(Orders[[#This Row],[Customer ID]],customers!$A$1:$A$1001,customers!$I$1:$I$1001,,0)</f>
        <v>No</v>
      </c>
    </row>
    <row r="954" spans="1:18" x14ac:dyDescent="0.35">
      <c r="A954" s="2" t="s">
        <v>5872</v>
      </c>
      <c r="B954" s="3">
        <v>44439</v>
      </c>
      <c r="C954" s="2" t="s">
        <v>5873</v>
      </c>
      <c r="D954" t="s">
        <v>6155</v>
      </c>
      <c r="E954" s="2">
        <v>2</v>
      </c>
      <c r="F954" s="2" t="str">
        <f>_xlfn.XLOOKUP(Orders[[#This Row],[Customer ID]],customers!$A$1:$A$1001,customers!$B$1:$B$1001,,0)</f>
        <v>Jilly Dreng</v>
      </c>
      <c r="G954" s="2" t="str">
        <f>IF(_xlfn.XLOOKUP(C954,customers!$A$1:$A$1001,customers!C953:C1953,,0)=0,"",_xlfn.XLOOKUP(C954,customers!$A$1:$A$1001,customers!C953:C1953,,0))</f>
        <v/>
      </c>
      <c r="H954" s="2" t="str">
        <f>_xlfn.XLOOKUP(Orders[[#This Row],[Customer ID]],customers!$A$1:$A$1001,customers!$G$1:$G$1001,,0)</f>
        <v>Ireland</v>
      </c>
      <c r="I954" s="2" t="str">
        <f>_xlfn.XLOOKUP(Orders[[#This Row],[Customer ID]],customers!$A$1:$A$1001,customers!$F$1:$F$1001,,0)</f>
        <v>Sallins</v>
      </c>
      <c r="J954" t="str">
        <f>INDEX(products!$A$1:$G$49,MATCH(orders!$D954,products!$A$1:$A$49,0),MATCH(orders!J$1,products!$A$1:$G$1,0))</f>
        <v>Ara</v>
      </c>
      <c r="K954" t="str">
        <f>INDEX(products!$A$1:$G$49,MATCH(orders!$D954,products!$A$1:$A$49,0),MATCH(orders!K$1,products!$A$1:$G$1,0))</f>
        <v>M</v>
      </c>
      <c r="L954" s="4">
        <f>INDEX(products!$A$1:$G$49,MATCH(orders!$D954,products!$A$1:$A$49,0),MATCH(orders!L$1,products!$A$1:$G$1,0))</f>
        <v>1</v>
      </c>
      <c r="M954" s="5">
        <f>INDEX(products!$A$1:$G$49,MATCH(orders!$D954,products!$A$1:$A$49,0),MATCH(orders!M$1,products!$A$1:$G$1,0))</f>
        <v>11.25</v>
      </c>
      <c r="N954" s="5">
        <f>Orders[[#This Row],[Quantity]]*(INDEX(products!$A$1:$G$49,MATCH(orders!$D954,products!$A$1:$A$49,0),MATCH(orders!N$1,products!$A$1:$G$1,0)))</f>
        <v>2.0249999999999999</v>
      </c>
      <c r="O954" s="5">
        <f>M954*E954</f>
        <v>22.5</v>
      </c>
      <c r="P954" t="str">
        <f t="shared" si="28"/>
        <v>Arabica</v>
      </c>
      <c r="Q954" t="str">
        <f t="shared" si="29"/>
        <v>Medium</v>
      </c>
      <c r="R954" t="str">
        <f>_xlfn.XLOOKUP(Orders[[#This Row],[Customer ID]],customers!$A$1:$A$1001,customers!$I$1:$I$1001,,0)</f>
        <v>Yes</v>
      </c>
    </row>
    <row r="955" spans="1:18" x14ac:dyDescent="0.35">
      <c r="A955" s="2" t="s">
        <v>5878</v>
      </c>
      <c r="B955" s="3">
        <v>44582</v>
      </c>
      <c r="C955" s="2" t="s">
        <v>5764</v>
      </c>
      <c r="D955" t="s">
        <v>6167</v>
      </c>
      <c r="E955" s="2">
        <v>1</v>
      </c>
      <c r="F955" s="2" t="str">
        <f>_xlfn.XLOOKUP(Orders[[#This Row],[Customer ID]],customers!$A$1:$A$1001,customers!$B$1:$B$1001,,0)</f>
        <v>Brenn Dundredge</v>
      </c>
      <c r="G955" s="2" t="str">
        <f>IF(_xlfn.XLOOKUP(C955,customers!$A$1:$A$1001,customers!C954:C1954,,0)=0,"",_xlfn.XLOOKUP(C955,customers!$A$1:$A$1001,customers!C954:C1954,,0))</f>
        <v/>
      </c>
      <c r="H955" s="2" t="str">
        <f>_xlfn.XLOOKUP(Orders[[#This Row],[Customer ID]],customers!$A$1:$A$1001,customers!$G$1:$G$1001,,0)</f>
        <v>United States</v>
      </c>
      <c r="I955" s="2" t="str">
        <f>_xlfn.XLOOKUP(Orders[[#This Row],[Customer ID]],customers!$A$1:$A$1001,customers!$F$1:$F$1001,,0)</f>
        <v>Oklahoma City</v>
      </c>
      <c r="J955" t="str">
        <f>INDEX(products!$A$1:$G$49,MATCH(orders!$D955,products!$A$1:$A$49,0),MATCH(orders!J$1,products!$A$1:$G$1,0))</f>
        <v>Ara</v>
      </c>
      <c r="K955" t="str">
        <f>INDEX(products!$A$1:$G$49,MATCH(orders!$D955,products!$A$1:$A$49,0),MATCH(orders!K$1,products!$A$1:$G$1,0))</f>
        <v>L</v>
      </c>
      <c r="L955" s="4">
        <f>INDEX(products!$A$1:$G$49,MATCH(orders!$D955,products!$A$1:$A$49,0),MATCH(orders!L$1,products!$A$1:$G$1,0))</f>
        <v>0.2</v>
      </c>
      <c r="M955" s="5">
        <f>INDEX(products!$A$1:$G$49,MATCH(orders!$D955,products!$A$1:$A$49,0),MATCH(orders!M$1,products!$A$1:$G$1,0))</f>
        <v>3.8849999999999998</v>
      </c>
      <c r="N955" s="5">
        <f>Orders[[#This Row],[Quantity]]*(INDEX(products!$A$1:$G$49,MATCH(orders!$D955,products!$A$1:$A$49,0),MATCH(orders!N$1,products!$A$1:$G$1,0)))</f>
        <v>0.34964999999999996</v>
      </c>
      <c r="O955" s="5">
        <f>M955*E955</f>
        <v>3.8849999999999998</v>
      </c>
      <c r="P955" t="str">
        <f t="shared" si="28"/>
        <v>Arabica</v>
      </c>
      <c r="Q955" t="str">
        <f t="shared" si="29"/>
        <v>Light</v>
      </c>
      <c r="R955" t="str">
        <f>_xlfn.XLOOKUP(Orders[[#This Row],[Customer ID]],customers!$A$1:$A$1001,customers!$I$1:$I$1001,,0)</f>
        <v>Yes</v>
      </c>
    </row>
    <row r="956" spans="1:18" x14ac:dyDescent="0.35">
      <c r="A956" s="2" t="s">
        <v>5884</v>
      </c>
      <c r="B956" s="3">
        <v>44722</v>
      </c>
      <c r="C956" s="2" t="s">
        <v>5764</v>
      </c>
      <c r="D956" t="s">
        <v>6185</v>
      </c>
      <c r="E956" s="2">
        <v>1</v>
      </c>
      <c r="F956" s="2" t="str">
        <f>_xlfn.XLOOKUP(Orders[[#This Row],[Customer ID]],customers!$A$1:$A$1001,customers!$B$1:$B$1001,,0)</f>
        <v>Brenn Dundredge</v>
      </c>
      <c r="G956" s="2" t="str">
        <f>IF(_xlfn.XLOOKUP(C956,customers!$A$1:$A$1001,customers!C955:C1955,,0)=0,"",_xlfn.XLOOKUP(C956,customers!$A$1:$A$1001,customers!C955:C1955,,0))</f>
        <v/>
      </c>
      <c r="H956" s="2" t="str">
        <f>_xlfn.XLOOKUP(Orders[[#This Row],[Customer ID]],customers!$A$1:$A$1001,customers!$G$1:$G$1001,,0)</f>
        <v>United States</v>
      </c>
      <c r="I956" s="2" t="str">
        <f>_xlfn.XLOOKUP(Orders[[#This Row],[Customer ID]],customers!$A$1:$A$1001,customers!$F$1:$F$1001,,0)</f>
        <v>Oklahoma City</v>
      </c>
      <c r="J956" t="str">
        <f>INDEX(products!$A$1:$G$49,MATCH(orders!$D956,products!$A$1:$A$49,0),MATCH(orders!J$1,products!$A$1:$G$1,0))</f>
        <v>Exc</v>
      </c>
      <c r="K956" t="str">
        <f>INDEX(products!$A$1:$G$49,MATCH(orders!$D956,products!$A$1:$A$49,0),MATCH(orders!K$1,products!$A$1:$G$1,0))</f>
        <v>D</v>
      </c>
      <c r="L956" s="4">
        <f>INDEX(products!$A$1:$G$49,MATCH(orders!$D956,products!$A$1:$A$49,0),MATCH(orders!L$1,products!$A$1:$G$1,0))</f>
        <v>2.5</v>
      </c>
      <c r="M956" s="5">
        <f>INDEX(products!$A$1:$G$49,MATCH(orders!$D956,products!$A$1:$A$49,0),MATCH(orders!M$1,products!$A$1:$G$1,0))</f>
        <v>27.945</v>
      </c>
      <c r="N956" s="5">
        <f>Orders[[#This Row],[Quantity]]*(INDEX(products!$A$1:$G$49,MATCH(orders!$D956,products!$A$1:$A$49,0),MATCH(orders!N$1,products!$A$1:$G$1,0)))</f>
        <v>3.07395</v>
      </c>
      <c r="O956" s="5">
        <f>M956*E956</f>
        <v>27.945</v>
      </c>
      <c r="P956" t="str">
        <f t="shared" si="28"/>
        <v>Excelsa</v>
      </c>
      <c r="Q956" t="str">
        <f t="shared" si="29"/>
        <v>Dark</v>
      </c>
      <c r="R956" t="str">
        <f>_xlfn.XLOOKUP(Orders[[#This Row],[Customer ID]],customers!$A$1:$A$1001,customers!$I$1:$I$1001,,0)</f>
        <v>Yes</v>
      </c>
    </row>
    <row r="957" spans="1:18" x14ac:dyDescent="0.35">
      <c r="A957" s="2" t="s">
        <v>5890</v>
      </c>
      <c r="B957" s="3">
        <v>43582</v>
      </c>
      <c r="C957" s="2" t="s">
        <v>5764</v>
      </c>
      <c r="D957" t="s">
        <v>6148</v>
      </c>
      <c r="E957" s="2">
        <v>5</v>
      </c>
      <c r="F957" s="2" t="str">
        <f>_xlfn.XLOOKUP(Orders[[#This Row],[Customer ID]],customers!$A$1:$A$1001,customers!$B$1:$B$1001,,0)</f>
        <v>Brenn Dundredge</v>
      </c>
      <c r="G957" s="2" t="str">
        <f>IF(_xlfn.XLOOKUP(C957,customers!$A$1:$A$1001,customers!C956:C1956,,0)=0,"",_xlfn.XLOOKUP(C957,customers!$A$1:$A$1001,customers!C956:C1956,,0))</f>
        <v/>
      </c>
      <c r="H957" s="2" t="str">
        <f>_xlfn.XLOOKUP(Orders[[#This Row],[Customer ID]],customers!$A$1:$A$1001,customers!$G$1:$G$1001,,0)</f>
        <v>United States</v>
      </c>
      <c r="I957" s="2" t="str">
        <f>_xlfn.XLOOKUP(Orders[[#This Row],[Customer ID]],customers!$A$1:$A$1001,customers!$F$1:$F$1001,,0)</f>
        <v>Oklahoma City</v>
      </c>
      <c r="J957" t="str">
        <f>INDEX(products!$A$1:$G$49,MATCH(orders!$D957,products!$A$1:$A$49,0),MATCH(orders!J$1,products!$A$1:$G$1,0))</f>
        <v>Exc</v>
      </c>
      <c r="K957" t="str">
        <f>INDEX(products!$A$1:$G$49,MATCH(orders!$D957,products!$A$1:$A$49,0),MATCH(orders!K$1,products!$A$1:$G$1,0))</f>
        <v>L</v>
      </c>
      <c r="L957" s="4">
        <f>INDEX(products!$A$1:$G$49,MATCH(orders!$D957,products!$A$1:$A$49,0),MATCH(orders!L$1,products!$A$1:$G$1,0))</f>
        <v>2.5</v>
      </c>
      <c r="M957" s="5">
        <f>INDEX(products!$A$1:$G$49,MATCH(orders!$D957,products!$A$1:$A$49,0),MATCH(orders!M$1,products!$A$1:$G$1,0))</f>
        <v>34.154999999999994</v>
      </c>
      <c r="N957" s="5">
        <f>Orders[[#This Row],[Quantity]]*(INDEX(products!$A$1:$G$49,MATCH(orders!$D957,products!$A$1:$A$49,0),MATCH(orders!N$1,products!$A$1:$G$1,0)))</f>
        <v>18.785249999999998</v>
      </c>
      <c r="O957" s="5">
        <f>M957*E957</f>
        <v>170.77499999999998</v>
      </c>
      <c r="P957" t="str">
        <f t="shared" si="28"/>
        <v>Excelsa</v>
      </c>
      <c r="Q957" t="str">
        <f t="shared" si="29"/>
        <v>Light</v>
      </c>
      <c r="R957" t="str">
        <f>_xlfn.XLOOKUP(Orders[[#This Row],[Customer ID]],customers!$A$1:$A$1001,customers!$I$1:$I$1001,,0)</f>
        <v>Yes</v>
      </c>
    </row>
    <row r="958" spans="1:18" x14ac:dyDescent="0.35">
      <c r="A958" s="2" t="s">
        <v>5890</v>
      </c>
      <c r="B958" s="3">
        <v>43582</v>
      </c>
      <c r="C958" s="2" t="s">
        <v>5764</v>
      </c>
      <c r="D958" t="s">
        <v>6142</v>
      </c>
      <c r="E958" s="2">
        <v>2</v>
      </c>
      <c r="F958" s="2" t="str">
        <f>_xlfn.XLOOKUP(Orders[[#This Row],[Customer ID]],customers!$A$1:$A$1001,customers!$B$1:$B$1001,,0)</f>
        <v>Brenn Dundredge</v>
      </c>
      <c r="G958" s="2" t="str">
        <f>IF(_xlfn.XLOOKUP(C958,customers!$A$1:$A$1001,customers!C957:C1957,,0)=0,"",_xlfn.XLOOKUP(C958,customers!$A$1:$A$1001,customers!C957:C1957,,0))</f>
        <v/>
      </c>
      <c r="H958" s="2" t="str">
        <f>_xlfn.XLOOKUP(Orders[[#This Row],[Customer ID]],customers!$A$1:$A$1001,customers!$G$1:$G$1001,,0)</f>
        <v>United States</v>
      </c>
      <c r="I958" s="2" t="str">
        <f>_xlfn.XLOOKUP(Orders[[#This Row],[Customer ID]],customers!$A$1:$A$1001,customers!$F$1:$F$1001,,0)</f>
        <v>Oklahoma City</v>
      </c>
      <c r="J958" t="str">
        <f>INDEX(products!$A$1:$G$49,MATCH(orders!$D958,products!$A$1:$A$49,0),MATCH(orders!J$1,products!$A$1:$G$1,0))</f>
        <v>Rob</v>
      </c>
      <c r="K958" t="str">
        <f>INDEX(products!$A$1:$G$49,MATCH(orders!$D958,products!$A$1:$A$49,0),MATCH(orders!K$1,products!$A$1:$G$1,0))</f>
        <v>L</v>
      </c>
      <c r="L958" s="4">
        <f>INDEX(products!$A$1:$G$49,MATCH(orders!$D958,products!$A$1:$A$49,0),MATCH(orders!L$1,products!$A$1:$G$1,0))</f>
        <v>2.5</v>
      </c>
      <c r="M958" s="5">
        <f>INDEX(products!$A$1:$G$49,MATCH(orders!$D958,products!$A$1:$A$49,0),MATCH(orders!M$1,products!$A$1:$G$1,0))</f>
        <v>27.484999999999996</v>
      </c>
      <c r="N958" s="5">
        <f>Orders[[#This Row],[Quantity]]*(INDEX(products!$A$1:$G$49,MATCH(orders!$D958,products!$A$1:$A$49,0),MATCH(orders!N$1,products!$A$1:$G$1,0)))</f>
        <v>3.2981999999999996</v>
      </c>
      <c r="O958" s="5">
        <f>M958*E958</f>
        <v>54.969999999999992</v>
      </c>
      <c r="P958" t="str">
        <f t="shared" si="28"/>
        <v>Robusta</v>
      </c>
      <c r="Q958" t="str">
        <f t="shared" si="29"/>
        <v>Light</v>
      </c>
      <c r="R958" t="str">
        <f>_xlfn.XLOOKUP(Orders[[#This Row],[Customer ID]],customers!$A$1:$A$1001,customers!$I$1:$I$1001,,0)</f>
        <v>Yes</v>
      </c>
    </row>
    <row r="959" spans="1:18" x14ac:dyDescent="0.35">
      <c r="A959" s="2" t="s">
        <v>5890</v>
      </c>
      <c r="B959" s="3">
        <v>43582</v>
      </c>
      <c r="C959" s="2" t="s">
        <v>5764</v>
      </c>
      <c r="D959" t="s">
        <v>6171</v>
      </c>
      <c r="E959" s="2">
        <v>1</v>
      </c>
      <c r="F959" s="2" t="str">
        <f>_xlfn.XLOOKUP(Orders[[#This Row],[Customer ID]],customers!$A$1:$A$1001,customers!$B$1:$B$1001,,0)</f>
        <v>Brenn Dundredge</v>
      </c>
      <c r="G959" s="2" t="str">
        <f>IF(_xlfn.XLOOKUP(C959,customers!$A$1:$A$1001,customers!C958:C1958,,0)=0,"",_xlfn.XLOOKUP(C959,customers!$A$1:$A$1001,customers!C958:C1958,,0))</f>
        <v/>
      </c>
      <c r="H959" s="2" t="str">
        <f>_xlfn.XLOOKUP(Orders[[#This Row],[Customer ID]],customers!$A$1:$A$1001,customers!$G$1:$G$1001,,0)</f>
        <v>United States</v>
      </c>
      <c r="I959" s="2" t="str">
        <f>_xlfn.XLOOKUP(Orders[[#This Row],[Customer ID]],customers!$A$1:$A$1001,customers!$F$1:$F$1001,,0)</f>
        <v>Oklahoma City</v>
      </c>
      <c r="J959" t="str">
        <f>INDEX(products!$A$1:$G$49,MATCH(orders!$D959,products!$A$1:$A$49,0),MATCH(orders!J$1,products!$A$1:$G$1,0))</f>
        <v>Exc</v>
      </c>
      <c r="K959" t="str">
        <f>INDEX(products!$A$1:$G$49,MATCH(orders!$D959,products!$A$1:$A$49,0),MATCH(orders!K$1,products!$A$1:$G$1,0))</f>
        <v>L</v>
      </c>
      <c r="L959" s="4">
        <f>INDEX(products!$A$1:$G$49,MATCH(orders!$D959,products!$A$1:$A$49,0),MATCH(orders!L$1,products!$A$1:$G$1,0))</f>
        <v>1</v>
      </c>
      <c r="M959" s="5">
        <f>INDEX(products!$A$1:$G$49,MATCH(orders!$D959,products!$A$1:$A$49,0),MATCH(orders!M$1,products!$A$1:$G$1,0))</f>
        <v>14.85</v>
      </c>
      <c r="N959" s="5">
        <f>Orders[[#This Row],[Quantity]]*(INDEX(products!$A$1:$G$49,MATCH(orders!$D959,products!$A$1:$A$49,0),MATCH(orders!N$1,products!$A$1:$G$1,0)))</f>
        <v>1.6335</v>
      </c>
      <c r="O959" s="5">
        <f>M959*E959</f>
        <v>14.85</v>
      </c>
      <c r="P959" t="str">
        <f t="shared" si="28"/>
        <v>Excelsa</v>
      </c>
      <c r="Q959" t="str">
        <f t="shared" si="29"/>
        <v>Light</v>
      </c>
      <c r="R959" t="str">
        <f>_xlfn.XLOOKUP(Orders[[#This Row],[Customer ID]],customers!$A$1:$A$1001,customers!$I$1:$I$1001,,0)</f>
        <v>Yes</v>
      </c>
    </row>
    <row r="960" spans="1:18" x14ac:dyDescent="0.35">
      <c r="A960" s="2" t="s">
        <v>5890</v>
      </c>
      <c r="B960" s="3">
        <v>43582</v>
      </c>
      <c r="C960" s="2" t="s">
        <v>5764</v>
      </c>
      <c r="D960" t="s">
        <v>6167</v>
      </c>
      <c r="E960" s="2">
        <v>2</v>
      </c>
      <c r="F960" s="2" t="str">
        <f>_xlfn.XLOOKUP(Orders[[#This Row],[Customer ID]],customers!$A$1:$A$1001,customers!$B$1:$B$1001,,0)</f>
        <v>Brenn Dundredge</v>
      </c>
      <c r="G960" s="2" t="str">
        <f>IF(_xlfn.XLOOKUP(C960,customers!$A$1:$A$1001,customers!C959:C1959,,0)=0,"",_xlfn.XLOOKUP(C960,customers!$A$1:$A$1001,customers!C959:C1959,,0))</f>
        <v/>
      </c>
      <c r="H960" s="2" t="str">
        <f>_xlfn.XLOOKUP(Orders[[#This Row],[Customer ID]],customers!$A$1:$A$1001,customers!$G$1:$G$1001,,0)</f>
        <v>United States</v>
      </c>
      <c r="I960" s="2" t="str">
        <f>_xlfn.XLOOKUP(Orders[[#This Row],[Customer ID]],customers!$A$1:$A$1001,customers!$F$1:$F$1001,,0)</f>
        <v>Oklahoma City</v>
      </c>
      <c r="J960" t="str">
        <f>INDEX(products!$A$1:$G$49,MATCH(orders!$D960,products!$A$1:$A$49,0),MATCH(orders!J$1,products!$A$1:$G$1,0))</f>
        <v>Ara</v>
      </c>
      <c r="K960" t="str">
        <f>INDEX(products!$A$1:$G$49,MATCH(orders!$D960,products!$A$1:$A$49,0),MATCH(orders!K$1,products!$A$1:$G$1,0))</f>
        <v>L</v>
      </c>
      <c r="L960" s="4">
        <f>INDEX(products!$A$1:$G$49,MATCH(orders!$D960,products!$A$1:$A$49,0),MATCH(orders!L$1,products!$A$1:$G$1,0))</f>
        <v>0.2</v>
      </c>
      <c r="M960" s="5">
        <f>INDEX(products!$A$1:$G$49,MATCH(orders!$D960,products!$A$1:$A$49,0),MATCH(orders!M$1,products!$A$1:$G$1,0))</f>
        <v>3.8849999999999998</v>
      </c>
      <c r="N960" s="5">
        <f>Orders[[#This Row],[Quantity]]*(INDEX(products!$A$1:$G$49,MATCH(orders!$D960,products!$A$1:$A$49,0),MATCH(orders!N$1,products!$A$1:$G$1,0)))</f>
        <v>0.69929999999999992</v>
      </c>
      <c r="O960" s="5">
        <f>M960*E960</f>
        <v>7.77</v>
      </c>
      <c r="P960" t="str">
        <f t="shared" si="28"/>
        <v>Arabica</v>
      </c>
      <c r="Q960" t="str">
        <f t="shared" si="29"/>
        <v>Light</v>
      </c>
      <c r="R960" t="str">
        <f>_xlfn.XLOOKUP(Orders[[#This Row],[Customer ID]],customers!$A$1:$A$1001,customers!$I$1:$I$1001,,0)</f>
        <v>Yes</v>
      </c>
    </row>
    <row r="961" spans="1:18" x14ac:dyDescent="0.35">
      <c r="A961" s="2" t="s">
        <v>5910</v>
      </c>
      <c r="B961" s="3">
        <v>44598</v>
      </c>
      <c r="C961" s="2" t="s">
        <v>5911</v>
      </c>
      <c r="D961" t="s">
        <v>6145</v>
      </c>
      <c r="E961" s="2">
        <v>5</v>
      </c>
      <c r="F961" s="2" t="str">
        <f>_xlfn.XLOOKUP(Orders[[#This Row],[Customer ID]],customers!$A$1:$A$1001,customers!$B$1:$B$1001,,0)</f>
        <v>Rhodie Strathern</v>
      </c>
      <c r="G961" s="2" t="str">
        <f>IF(_xlfn.XLOOKUP(C961,customers!$A$1:$A$1001,customers!C960:C1960,,0)=0,"",_xlfn.XLOOKUP(C961,customers!$A$1:$A$1001,customers!C960:C1960,,0))</f>
        <v/>
      </c>
      <c r="H961" s="2" t="str">
        <f>_xlfn.XLOOKUP(Orders[[#This Row],[Customer ID]],customers!$A$1:$A$1001,customers!$G$1:$G$1001,,0)</f>
        <v>United States</v>
      </c>
      <c r="I961" s="2" t="str">
        <f>_xlfn.XLOOKUP(Orders[[#This Row],[Customer ID]],customers!$A$1:$A$1001,customers!$F$1:$F$1001,,0)</f>
        <v>Little Rock</v>
      </c>
      <c r="J961" t="str">
        <f>INDEX(products!$A$1:$G$49,MATCH(orders!$D961,products!$A$1:$A$49,0),MATCH(orders!J$1,products!$A$1:$G$1,0))</f>
        <v>Lib</v>
      </c>
      <c r="K961" t="str">
        <f>INDEX(products!$A$1:$G$49,MATCH(orders!$D961,products!$A$1:$A$49,0),MATCH(orders!K$1,products!$A$1:$G$1,0))</f>
        <v>L</v>
      </c>
      <c r="L961" s="4">
        <f>INDEX(products!$A$1:$G$49,MATCH(orders!$D961,products!$A$1:$A$49,0),MATCH(orders!L$1,products!$A$1:$G$1,0))</f>
        <v>0.2</v>
      </c>
      <c r="M961" s="5">
        <f>INDEX(products!$A$1:$G$49,MATCH(orders!$D961,products!$A$1:$A$49,0),MATCH(orders!M$1,products!$A$1:$G$1,0))</f>
        <v>4.7549999999999999</v>
      </c>
      <c r="N961" s="5">
        <f>Orders[[#This Row],[Quantity]]*(INDEX(products!$A$1:$G$49,MATCH(orders!$D961,products!$A$1:$A$49,0),MATCH(orders!N$1,products!$A$1:$G$1,0)))</f>
        <v>3.0907499999999999</v>
      </c>
      <c r="O961" s="5">
        <f>M961*E961</f>
        <v>23.774999999999999</v>
      </c>
      <c r="P961" t="str">
        <f t="shared" si="28"/>
        <v>Liberica</v>
      </c>
      <c r="Q961" t="str">
        <f t="shared" si="29"/>
        <v>Light</v>
      </c>
      <c r="R961" t="str">
        <f>_xlfn.XLOOKUP(Orders[[#This Row],[Customer ID]],customers!$A$1:$A$1001,customers!$I$1:$I$1001,,0)</f>
        <v>Yes</v>
      </c>
    </row>
    <row r="962" spans="1:18" x14ac:dyDescent="0.35">
      <c r="A962" s="2" t="s">
        <v>5915</v>
      </c>
      <c r="B962" s="3">
        <v>44591</v>
      </c>
      <c r="C962" s="2" t="s">
        <v>5916</v>
      </c>
      <c r="D962" t="s">
        <v>6170</v>
      </c>
      <c r="E962" s="2">
        <v>5</v>
      </c>
      <c r="F962" s="2" t="str">
        <f>_xlfn.XLOOKUP(Orders[[#This Row],[Customer ID]],customers!$A$1:$A$1001,customers!$B$1:$B$1001,,0)</f>
        <v>Chad Miguel</v>
      </c>
      <c r="G962" s="2" t="str">
        <f>IF(_xlfn.XLOOKUP(C962,customers!$A$1:$A$1001,customers!C961:C1961,,0)=0,"",_xlfn.XLOOKUP(C962,customers!$A$1:$A$1001,customers!C961:C1961,,0))</f>
        <v/>
      </c>
      <c r="H962" s="2" t="str">
        <f>_xlfn.XLOOKUP(Orders[[#This Row],[Customer ID]],customers!$A$1:$A$1001,customers!$G$1:$G$1001,,0)</f>
        <v>United States</v>
      </c>
      <c r="I962" s="2" t="str">
        <f>_xlfn.XLOOKUP(Orders[[#This Row],[Customer ID]],customers!$A$1:$A$1001,customers!$F$1:$F$1001,,0)</f>
        <v>Hagerstown</v>
      </c>
      <c r="J962" t="str">
        <f>INDEX(products!$A$1:$G$49,MATCH(orders!$D962,products!$A$1:$A$49,0),MATCH(orders!J$1,products!$A$1:$G$1,0))</f>
        <v>Lib</v>
      </c>
      <c r="K962" t="str">
        <f>INDEX(products!$A$1:$G$49,MATCH(orders!$D962,products!$A$1:$A$49,0),MATCH(orders!K$1,products!$A$1:$G$1,0))</f>
        <v>L</v>
      </c>
      <c r="L962" s="4">
        <f>INDEX(products!$A$1:$G$49,MATCH(orders!$D962,products!$A$1:$A$49,0),MATCH(orders!L$1,products!$A$1:$G$1,0))</f>
        <v>1</v>
      </c>
      <c r="M962" s="5">
        <f>INDEX(products!$A$1:$G$49,MATCH(orders!$D962,products!$A$1:$A$49,0),MATCH(orders!M$1,products!$A$1:$G$1,0))</f>
        <v>15.85</v>
      </c>
      <c r="N962" s="5">
        <f>Orders[[#This Row],[Quantity]]*(INDEX(products!$A$1:$G$49,MATCH(orders!$D962,products!$A$1:$A$49,0),MATCH(orders!N$1,products!$A$1:$G$1,0)))</f>
        <v>10.302500000000002</v>
      </c>
      <c r="O962" s="5">
        <f>M962*E962</f>
        <v>79.25</v>
      </c>
      <c r="P962" t="str">
        <f t="shared" si="28"/>
        <v>Liberica</v>
      </c>
      <c r="Q962" t="str">
        <f t="shared" si="29"/>
        <v>Light</v>
      </c>
      <c r="R962" t="str">
        <f>_xlfn.XLOOKUP(Orders[[#This Row],[Customer ID]],customers!$A$1:$A$1001,customers!$I$1:$I$1001,,0)</f>
        <v>Yes</v>
      </c>
    </row>
    <row r="963" spans="1:18" x14ac:dyDescent="0.35">
      <c r="A963" s="2" t="s">
        <v>5921</v>
      </c>
      <c r="B963" s="3">
        <v>44158</v>
      </c>
      <c r="C963" s="2" t="s">
        <v>5922</v>
      </c>
      <c r="D963" t="s">
        <v>6168</v>
      </c>
      <c r="E963" s="2">
        <v>2</v>
      </c>
      <c r="F963" s="2" t="str">
        <f>_xlfn.XLOOKUP(Orders[[#This Row],[Customer ID]],customers!$A$1:$A$1001,customers!$B$1:$B$1001,,0)</f>
        <v>Florinda Matusovsky</v>
      </c>
      <c r="G963" s="2" t="str">
        <f>IF(_xlfn.XLOOKUP(C963,customers!$A$1:$A$1001,customers!C962:C1962,,0)=0,"",_xlfn.XLOOKUP(C963,customers!$A$1:$A$1001,customers!C962:C1962,,0))</f>
        <v/>
      </c>
      <c r="H963" s="2" t="str">
        <f>_xlfn.XLOOKUP(Orders[[#This Row],[Customer ID]],customers!$A$1:$A$1001,customers!$G$1:$G$1001,,0)</f>
        <v>United States</v>
      </c>
      <c r="I963" s="2" t="str">
        <f>_xlfn.XLOOKUP(Orders[[#This Row],[Customer ID]],customers!$A$1:$A$1001,customers!$F$1:$F$1001,,0)</f>
        <v>Albany</v>
      </c>
      <c r="J963" t="str">
        <f>INDEX(products!$A$1:$G$49,MATCH(orders!$D963,products!$A$1:$A$49,0),MATCH(orders!J$1,products!$A$1:$G$1,0))</f>
        <v>Ara</v>
      </c>
      <c r="K963" t="str">
        <f>INDEX(products!$A$1:$G$49,MATCH(orders!$D963,products!$A$1:$A$49,0),MATCH(orders!K$1,products!$A$1:$G$1,0))</f>
        <v>D</v>
      </c>
      <c r="L963" s="4">
        <f>INDEX(products!$A$1:$G$49,MATCH(orders!$D963,products!$A$1:$A$49,0),MATCH(orders!L$1,products!$A$1:$G$1,0))</f>
        <v>2.5</v>
      </c>
      <c r="M963" s="5">
        <f>INDEX(products!$A$1:$G$49,MATCH(orders!$D963,products!$A$1:$A$49,0),MATCH(orders!M$1,products!$A$1:$G$1,0))</f>
        <v>22.884999999999998</v>
      </c>
      <c r="N963" s="5">
        <f>Orders[[#This Row],[Quantity]]*(INDEX(products!$A$1:$G$49,MATCH(orders!$D963,products!$A$1:$A$49,0),MATCH(orders!N$1,products!$A$1:$G$1,0)))</f>
        <v>4.1192999999999991</v>
      </c>
      <c r="O963" s="5">
        <f>M963*E963</f>
        <v>45.769999999999996</v>
      </c>
      <c r="P963" t="str">
        <f t="shared" ref="P963:P1001" si="30">IF(J963="Rob","Robusta",IF(J963="Exc","Excelsa",IF(J963="Ara","Arabica",IF(J963="Lib","Liberica",""))))</f>
        <v>Arabica</v>
      </c>
      <c r="Q963" t="str">
        <f t="shared" ref="Q963:Q1001" si="31">IF(K963="M", "Medium", IF(K963="L", "Light", IF(K963="D", "Dark", "")))</f>
        <v>Dark</v>
      </c>
      <c r="R963" t="str">
        <f>_xlfn.XLOOKUP(Orders[[#This Row],[Customer ID]],customers!$A$1:$A$1001,customers!$I$1:$I$1001,,0)</f>
        <v>Yes</v>
      </c>
    </row>
    <row r="964" spans="1:18" x14ac:dyDescent="0.35">
      <c r="A964" s="2" t="s">
        <v>5926</v>
      </c>
      <c r="B964" s="3">
        <v>44664</v>
      </c>
      <c r="C964" s="2" t="s">
        <v>5927</v>
      </c>
      <c r="D964" t="s">
        <v>6177</v>
      </c>
      <c r="E964" s="2">
        <v>1</v>
      </c>
      <c r="F964" s="2" t="str">
        <f>_xlfn.XLOOKUP(Orders[[#This Row],[Customer ID]],customers!$A$1:$A$1001,customers!$B$1:$B$1001,,0)</f>
        <v>Morly Rocks</v>
      </c>
      <c r="G964" s="2" t="str">
        <f>IF(_xlfn.XLOOKUP(C964,customers!$A$1:$A$1001,customers!C963:C1963,,0)=0,"",_xlfn.XLOOKUP(C964,customers!$A$1:$A$1001,customers!C963:C1963,,0))</f>
        <v/>
      </c>
      <c r="H964" s="2" t="str">
        <f>_xlfn.XLOOKUP(Orders[[#This Row],[Customer ID]],customers!$A$1:$A$1001,customers!$G$1:$G$1001,,0)</f>
        <v>Ireland</v>
      </c>
      <c r="I964" s="2" t="str">
        <f>_xlfn.XLOOKUP(Orders[[#This Row],[Customer ID]],customers!$A$1:$A$1001,customers!$F$1:$F$1001,,0)</f>
        <v>Crossmolina</v>
      </c>
      <c r="J964" t="str">
        <f>INDEX(products!$A$1:$G$49,MATCH(orders!$D964,products!$A$1:$A$49,0),MATCH(orders!J$1,products!$A$1:$G$1,0))</f>
        <v>Rob</v>
      </c>
      <c r="K964" t="str">
        <f>INDEX(products!$A$1:$G$49,MATCH(orders!$D964,products!$A$1:$A$49,0),MATCH(orders!K$1,products!$A$1:$G$1,0))</f>
        <v>D</v>
      </c>
      <c r="L964" s="4">
        <f>INDEX(products!$A$1:$G$49,MATCH(orders!$D964,products!$A$1:$A$49,0),MATCH(orders!L$1,products!$A$1:$G$1,0))</f>
        <v>1</v>
      </c>
      <c r="M964" s="5">
        <f>INDEX(products!$A$1:$G$49,MATCH(orders!$D964,products!$A$1:$A$49,0),MATCH(orders!M$1,products!$A$1:$G$1,0))</f>
        <v>8.9499999999999993</v>
      </c>
      <c r="N964" s="5">
        <f>Orders[[#This Row],[Quantity]]*(INDEX(products!$A$1:$G$49,MATCH(orders!$D964,products!$A$1:$A$49,0),MATCH(orders!N$1,products!$A$1:$G$1,0)))</f>
        <v>0.53699999999999992</v>
      </c>
      <c r="O964" s="5">
        <f>M964*E964</f>
        <v>8.9499999999999993</v>
      </c>
      <c r="P964" t="str">
        <f t="shared" si="30"/>
        <v>Robusta</v>
      </c>
      <c r="Q964" t="str">
        <f t="shared" si="31"/>
        <v>Dark</v>
      </c>
      <c r="R964" t="str">
        <f>_xlfn.XLOOKUP(Orders[[#This Row],[Customer ID]],customers!$A$1:$A$1001,customers!$I$1:$I$1001,,0)</f>
        <v>Yes</v>
      </c>
    </row>
    <row r="965" spans="1:18" x14ac:dyDescent="0.35">
      <c r="A965" s="2" t="s">
        <v>5932</v>
      </c>
      <c r="B965" s="3">
        <v>44203</v>
      </c>
      <c r="C965" s="2" t="s">
        <v>5933</v>
      </c>
      <c r="D965" t="s">
        <v>6146</v>
      </c>
      <c r="E965" s="2">
        <v>4</v>
      </c>
      <c r="F965" s="2" t="str">
        <f>_xlfn.XLOOKUP(Orders[[#This Row],[Customer ID]],customers!$A$1:$A$1001,customers!$B$1:$B$1001,,0)</f>
        <v>Yuri Burrells</v>
      </c>
      <c r="G965" s="2" t="str">
        <f>IF(_xlfn.XLOOKUP(C965,customers!$A$1:$A$1001,customers!C964:C1964,,0)=0,"",_xlfn.XLOOKUP(C965,customers!$A$1:$A$1001,customers!C964:C1964,,0))</f>
        <v/>
      </c>
      <c r="H965" s="2" t="str">
        <f>_xlfn.XLOOKUP(Orders[[#This Row],[Customer ID]],customers!$A$1:$A$1001,customers!$G$1:$G$1001,,0)</f>
        <v>United States</v>
      </c>
      <c r="I965" s="2" t="str">
        <f>_xlfn.XLOOKUP(Orders[[#This Row],[Customer ID]],customers!$A$1:$A$1001,customers!$F$1:$F$1001,,0)</f>
        <v>Lexington</v>
      </c>
      <c r="J965" t="str">
        <f>INDEX(products!$A$1:$G$49,MATCH(orders!$D965,products!$A$1:$A$49,0),MATCH(orders!J$1,products!$A$1:$G$1,0))</f>
        <v>Rob</v>
      </c>
      <c r="K965" t="str">
        <f>INDEX(products!$A$1:$G$49,MATCH(orders!$D965,products!$A$1:$A$49,0),MATCH(orders!K$1,products!$A$1:$G$1,0))</f>
        <v>M</v>
      </c>
      <c r="L965" s="4">
        <f>INDEX(products!$A$1:$G$49,MATCH(orders!$D965,products!$A$1:$A$49,0),MATCH(orders!L$1,products!$A$1:$G$1,0))</f>
        <v>0.5</v>
      </c>
      <c r="M965" s="5">
        <f>INDEX(products!$A$1:$G$49,MATCH(orders!$D965,products!$A$1:$A$49,0),MATCH(orders!M$1,products!$A$1:$G$1,0))</f>
        <v>5.97</v>
      </c>
      <c r="N965" s="5">
        <f>Orders[[#This Row],[Quantity]]*(INDEX(products!$A$1:$G$49,MATCH(orders!$D965,products!$A$1:$A$49,0),MATCH(orders!N$1,products!$A$1:$G$1,0)))</f>
        <v>1.4327999999999999</v>
      </c>
      <c r="O965" s="5">
        <f>M965*E965</f>
        <v>23.88</v>
      </c>
      <c r="P965" t="str">
        <f t="shared" si="30"/>
        <v>Robusta</v>
      </c>
      <c r="Q965" t="str">
        <f t="shared" si="31"/>
        <v>Medium</v>
      </c>
      <c r="R965" t="str">
        <f>_xlfn.XLOOKUP(Orders[[#This Row],[Customer ID]],customers!$A$1:$A$1001,customers!$I$1:$I$1001,,0)</f>
        <v>Yes</v>
      </c>
    </row>
    <row r="966" spans="1:18" x14ac:dyDescent="0.35">
      <c r="A966" s="2" t="s">
        <v>5938</v>
      </c>
      <c r="B966" s="3">
        <v>43865</v>
      </c>
      <c r="C966" s="2" t="s">
        <v>5939</v>
      </c>
      <c r="D966" t="s">
        <v>6184</v>
      </c>
      <c r="E966" s="2">
        <v>5</v>
      </c>
      <c r="F966" s="2" t="str">
        <f>_xlfn.XLOOKUP(Orders[[#This Row],[Customer ID]],customers!$A$1:$A$1001,customers!$B$1:$B$1001,,0)</f>
        <v>Cleopatra Goodrum</v>
      </c>
      <c r="G966" s="2" t="str">
        <f>IF(_xlfn.XLOOKUP(C966,customers!$A$1:$A$1001,customers!C965:C1965,,0)=0,"",_xlfn.XLOOKUP(C966,customers!$A$1:$A$1001,customers!C965:C1965,,0))</f>
        <v/>
      </c>
      <c r="H966" s="2" t="str">
        <f>_xlfn.XLOOKUP(Orders[[#This Row],[Customer ID]],customers!$A$1:$A$1001,customers!$G$1:$G$1001,,0)</f>
        <v>United States</v>
      </c>
      <c r="I966" s="2" t="str">
        <f>_xlfn.XLOOKUP(Orders[[#This Row],[Customer ID]],customers!$A$1:$A$1001,customers!$F$1:$F$1001,,0)</f>
        <v>San Diego</v>
      </c>
      <c r="J966" t="str">
        <f>INDEX(products!$A$1:$G$49,MATCH(orders!$D966,products!$A$1:$A$49,0),MATCH(orders!J$1,products!$A$1:$G$1,0))</f>
        <v>Exc</v>
      </c>
      <c r="K966" t="str">
        <f>INDEX(products!$A$1:$G$49,MATCH(orders!$D966,products!$A$1:$A$49,0),MATCH(orders!K$1,products!$A$1:$G$1,0))</f>
        <v>L</v>
      </c>
      <c r="L966" s="4">
        <f>INDEX(products!$A$1:$G$49,MATCH(orders!$D966,products!$A$1:$A$49,0),MATCH(orders!L$1,products!$A$1:$G$1,0))</f>
        <v>0.2</v>
      </c>
      <c r="M966" s="5">
        <f>INDEX(products!$A$1:$G$49,MATCH(orders!$D966,products!$A$1:$A$49,0),MATCH(orders!M$1,products!$A$1:$G$1,0))</f>
        <v>4.4550000000000001</v>
      </c>
      <c r="N966" s="5">
        <f>Orders[[#This Row],[Quantity]]*(INDEX(products!$A$1:$G$49,MATCH(orders!$D966,products!$A$1:$A$49,0),MATCH(orders!N$1,products!$A$1:$G$1,0)))</f>
        <v>2.45025</v>
      </c>
      <c r="O966" s="5">
        <f>M966*E966</f>
        <v>22.274999999999999</v>
      </c>
      <c r="P966" t="str">
        <f t="shared" si="30"/>
        <v>Excelsa</v>
      </c>
      <c r="Q966" t="str">
        <f t="shared" si="31"/>
        <v>Light</v>
      </c>
      <c r="R966" t="str">
        <f>_xlfn.XLOOKUP(Orders[[#This Row],[Customer ID]],customers!$A$1:$A$1001,customers!$I$1:$I$1001,,0)</f>
        <v>No</v>
      </c>
    </row>
    <row r="967" spans="1:18" x14ac:dyDescent="0.35">
      <c r="A967" s="2" t="s">
        <v>5944</v>
      </c>
      <c r="B967" s="3">
        <v>43724</v>
      </c>
      <c r="C967" s="2" t="s">
        <v>5945</v>
      </c>
      <c r="D967" t="s">
        <v>6138</v>
      </c>
      <c r="E967" s="2">
        <v>3</v>
      </c>
      <c r="F967" s="2" t="str">
        <f>_xlfn.XLOOKUP(Orders[[#This Row],[Customer ID]],customers!$A$1:$A$1001,customers!$B$1:$B$1001,,0)</f>
        <v>Joey Jefferys</v>
      </c>
      <c r="G967" s="2" t="str">
        <f>IF(_xlfn.XLOOKUP(C967,customers!$A$1:$A$1001,customers!C966:C1966,,0)=0,"",_xlfn.XLOOKUP(C967,customers!$A$1:$A$1001,customers!C966:C1966,,0))</f>
        <v/>
      </c>
      <c r="H967" s="2" t="str">
        <f>_xlfn.XLOOKUP(Orders[[#This Row],[Customer ID]],customers!$A$1:$A$1001,customers!$G$1:$G$1001,,0)</f>
        <v>United States</v>
      </c>
      <c r="I967" s="2" t="str">
        <f>_xlfn.XLOOKUP(Orders[[#This Row],[Customer ID]],customers!$A$1:$A$1001,customers!$F$1:$F$1001,,0)</f>
        <v>Los Angeles</v>
      </c>
      <c r="J967" t="str">
        <f>INDEX(products!$A$1:$G$49,MATCH(orders!$D967,products!$A$1:$A$49,0),MATCH(orders!J$1,products!$A$1:$G$1,0))</f>
        <v>Rob</v>
      </c>
      <c r="K967" t="str">
        <f>INDEX(products!$A$1:$G$49,MATCH(orders!$D967,products!$A$1:$A$49,0),MATCH(orders!K$1,products!$A$1:$G$1,0))</f>
        <v>M</v>
      </c>
      <c r="L967" s="4">
        <f>INDEX(products!$A$1:$G$49,MATCH(orders!$D967,products!$A$1:$A$49,0),MATCH(orders!L$1,products!$A$1:$G$1,0))</f>
        <v>1</v>
      </c>
      <c r="M967" s="5">
        <f>INDEX(products!$A$1:$G$49,MATCH(orders!$D967,products!$A$1:$A$49,0),MATCH(orders!M$1,products!$A$1:$G$1,0))</f>
        <v>9.9499999999999993</v>
      </c>
      <c r="N967" s="5">
        <f>Orders[[#This Row],[Quantity]]*(INDEX(products!$A$1:$G$49,MATCH(orders!$D967,products!$A$1:$A$49,0),MATCH(orders!N$1,products!$A$1:$G$1,0)))</f>
        <v>1.7909999999999999</v>
      </c>
      <c r="O967" s="5">
        <f>M967*E967</f>
        <v>29.849999999999998</v>
      </c>
      <c r="P967" t="str">
        <f t="shared" si="30"/>
        <v>Robusta</v>
      </c>
      <c r="Q967" t="str">
        <f t="shared" si="31"/>
        <v>Medium</v>
      </c>
      <c r="R967" t="str">
        <f>_xlfn.XLOOKUP(Orders[[#This Row],[Customer ID]],customers!$A$1:$A$1001,customers!$I$1:$I$1001,,0)</f>
        <v>Yes</v>
      </c>
    </row>
    <row r="968" spans="1:18" x14ac:dyDescent="0.35">
      <c r="A968" s="2" t="s">
        <v>5949</v>
      </c>
      <c r="B968" s="3">
        <v>43491</v>
      </c>
      <c r="C968" s="2" t="s">
        <v>5950</v>
      </c>
      <c r="D968" t="s">
        <v>6176</v>
      </c>
      <c r="E968" s="2">
        <v>6</v>
      </c>
      <c r="F968" s="2" t="str">
        <f>_xlfn.XLOOKUP(Orders[[#This Row],[Customer ID]],customers!$A$1:$A$1001,customers!$B$1:$B$1001,,0)</f>
        <v>Bearnard Wardell</v>
      </c>
      <c r="G968" s="2" t="str">
        <f>IF(_xlfn.XLOOKUP(C968,customers!$A$1:$A$1001,customers!C967:C1967,,0)=0,"",_xlfn.XLOOKUP(C968,customers!$A$1:$A$1001,customers!C967:C1967,,0))</f>
        <v/>
      </c>
      <c r="H968" s="2" t="str">
        <f>_xlfn.XLOOKUP(Orders[[#This Row],[Customer ID]],customers!$A$1:$A$1001,customers!$G$1:$G$1001,,0)</f>
        <v>United States</v>
      </c>
      <c r="I968" s="2" t="str">
        <f>_xlfn.XLOOKUP(Orders[[#This Row],[Customer ID]],customers!$A$1:$A$1001,customers!$F$1:$F$1001,,0)</f>
        <v>Brooklyn</v>
      </c>
      <c r="J968" t="str">
        <f>INDEX(products!$A$1:$G$49,MATCH(orders!$D968,products!$A$1:$A$49,0),MATCH(orders!J$1,products!$A$1:$G$1,0))</f>
        <v>Exc</v>
      </c>
      <c r="K968" t="str">
        <f>INDEX(products!$A$1:$G$49,MATCH(orders!$D968,products!$A$1:$A$49,0),MATCH(orders!K$1,products!$A$1:$G$1,0))</f>
        <v>L</v>
      </c>
      <c r="L968" s="4">
        <f>INDEX(products!$A$1:$G$49,MATCH(orders!$D968,products!$A$1:$A$49,0),MATCH(orders!L$1,products!$A$1:$G$1,0))</f>
        <v>0.5</v>
      </c>
      <c r="M968" s="5">
        <f>INDEX(products!$A$1:$G$49,MATCH(orders!$D968,products!$A$1:$A$49,0),MATCH(orders!M$1,products!$A$1:$G$1,0))</f>
        <v>8.91</v>
      </c>
      <c r="N968" s="5">
        <f>Orders[[#This Row],[Quantity]]*(INDEX(products!$A$1:$G$49,MATCH(orders!$D968,products!$A$1:$A$49,0),MATCH(orders!N$1,products!$A$1:$G$1,0)))</f>
        <v>5.8805999999999994</v>
      </c>
      <c r="O968" s="5">
        <f>M968*E968</f>
        <v>53.46</v>
      </c>
      <c r="P968" t="str">
        <f t="shared" si="30"/>
        <v>Excelsa</v>
      </c>
      <c r="Q968" t="str">
        <f t="shared" si="31"/>
        <v>Light</v>
      </c>
      <c r="R968" t="str">
        <f>_xlfn.XLOOKUP(Orders[[#This Row],[Customer ID]],customers!$A$1:$A$1001,customers!$I$1:$I$1001,,0)</f>
        <v>Yes</v>
      </c>
    </row>
    <row r="969" spans="1:18" x14ac:dyDescent="0.35">
      <c r="A969" s="2" t="s">
        <v>5955</v>
      </c>
      <c r="B969" s="3">
        <v>44246</v>
      </c>
      <c r="C969" s="2" t="s">
        <v>5956</v>
      </c>
      <c r="D969" t="s">
        <v>6163</v>
      </c>
      <c r="E969" s="2">
        <v>1</v>
      </c>
      <c r="F969" s="2" t="str">
        <f>_xlfn.XLOOKUP(Orders[[#This Row],[Customer ID]],customers!$A$1:$A$1001,customers!$B$1:$B$1001,,0)</f>
        <v>Zeke Walisiak</v>
      </c>
      <c r="G969" s="2" t="str">
        <f>IF(_xlfn.XLOOKUP(C969,customers!$A$1:$A$1001,customers!C968:C1968,,0)=0,"",_xlfn.XLOOKUP(C969,customers!$A$1:$A$1001,customers!C968:C1968,,0))</f>
        <v/>
      </c>
      <c r="H969" s="2" t="str">
        <f>_xlfn.XLOOKUP(Orders[[#This Row],[Customer ID]],customers!$A$1:$A$1001,customers!$G$1:$G$1001,,0)</f>
        <v>Ireland</v>
      </c>
      <c r="I969" s="2" t="str">
        <f>_xlfn.XLOOKUP(Orders[[#This Row],[Customer ID]],customers!$A$1:$A$1001,customers!$F$1:$F$1001,,0)</f>
        <v>Booterstown</v>
      </c>
      <c r="J969" t="str">
        <f>INDEX(products!$A$1:$G$49,MATCH(orders!$D969,products!$A$1:$A$49,0),MATCH(orders!J$1,products!$A$1:$G$1,0))</f>
        <v>Rob</v>
      </c>
      <c r="K969" t="str">
        <f>INDEX(products!$A$1:$G$49,MATCH(orders!$D969,products!$A$1:$A$49,0),MATCH(orders!K$1,products!$A$1:$G$1,0))</f>
        <v>D</v>
      </c>
      <c r="L969" s="4">
        <f>INDEX(products!$A$1:$G$49,MATCH(orders!$D969,products!$A$1:$A$49,0),MATCH(orders!L$1,products!$A$1:$G$1,0))</f>
        <v>0.2</v>
      </c>
      <c r="M969" s="5">
        <f>INDEX(products!$A$1:$G$49,MATCH(orders!$D969,products!$A$1:$A$49,0),MATCH(orders!M$1,products!$A$1:$G$1,0))</f>
        <v>2.6849999999999996</v>
      </c>
      <c r="N969" s="5">
        <f>Orders[[#This Row],[Quantity]]*(INDEX(products!$A$1:$G$49,MATCH(orders!$D969,products!$A$1:$A$49,0),MATCH(orders!N$1,products!$A$1:$G$1,0)))</f>
        <v>0.16109999999999997</v>
      </c>
      <c r="O969" s="5">
        <f>M969*E969</f>
        <v>2.6849999999999996</v>
      </c>
      <c r="P969" t="str">
        <f t="shared" si="30"/>
        <v>Robusta</v>
      </c>
      <c r="Q969" t="str">
        <f t="shared" si="31"/>
        <v>Dark</v>
      </c>
      <c r="R969" t="str">
        <f>_xlfn.XLOOKUP(Orders[[#This Row],[Customer ID]],customers!$A$1:$A$1001,customers!$I$1:$I$1001,,0)</f>
        <v>Yes</v>
      </c>
    </row>
    <row r="970" spans="1:18" x14ac:dyDescent="0.35">
      <c r="A970" s="2" t="s">
        <v>5961</v>
      </c>
      <c r="B970" s="3">
        <v>44642</v>
      </c>
      <c r="C970" s="2" t="s">
        <v>5962</v>
      </c>
      <c r="D970" t="s">
        <v>6174</v>
      </c>
      <c r="E970" s="2">
        <v>2</v>
      </c>
      <c r="F970" s="2" t="str">
        <f>_xlfn.XLOOKUP(Orders[[#This Row],[Customer ID]],customers!$A$1:$A$1001,customers!$B$1:$B$1001,,0)</f>
        <v>Wiley Leopold</v>
      </c>
      <c r="G970" s="2" t="str">
        <f>IF(_xlfn.XLOOKUP(C970,customers!$A$1:$A$1001,customers!C969:C1969,,0)=0,"",_xlfn.XLOOKUP(C970,customers!$A$1:$A$1001,customers!C969:C1969,,0))</f>
        <v/>
      </c>
      <c r="H970" s="2" t="str">
        <f>_xlfn.XLOOKUP(Orders[[#This Row],[Customer ID]],customers!$A$1:$A$1001,customers!$G$1:$G$1001,,0)</f>
        <v>United States</v>
      </c>
      <c r="I970" s="2" t="str">
        <f>_xlfn.XLOOKUP(Orders[[#This Row],[Customer ID]],customers!$A$1:$A$1001,customers!$F$1:$F$1001,,0)</f>
        <v>Gainesville</v>
      </c>
      <c r="J970" t="str">
        <f>INDEX(products!$A$1:$G$49,MATCH(orders!$D970,products!$A$1:$A$49,0),MATCH(orders!J$1,products!$A$1:$G$1,0))</f>
        <v>Rob</v>
      </c>
      <c r="K970" t="str">
        <f>INDEX(products!$A$1:$G$49,MATCH(orders!$D970,products!$A$1:$A$49,0),MATCH(orders!K$1,products!$A$1:$G$1,0))</f>
        <v>M</v>
      </c>
      <c r="L970" s="4">
        <f>INDEX(products!$A$1:$G$49,MATCH(orders!$D970,products!$A$1:$A$49,0),MATCH(orders!L$1,products!$A$1:$G$1,0))</f>
        <v>0.2</v>
      </c>
      <c r="M970" s="5">
        <f>INDEX(products!$A$1:$G$49,MATCH(orders!$D970,products!$A$1:$A$49,0),MATCH(orders!M$1,products!$A$1:$G$1,0))</f>
        <v>2.9849999999999999</v>
      </c>
      <c r="N970" s="5">
        <f>Orders[[#This Row],[Quantity]]*(INDEX(products!$A$1:$G$49,MATCH(orders!$D970,products!$A$1:$A$49,0),MATCH(orders!N$1,products!$A$1:$G$1,0)))</f>
        <v>0.35819999999999996</v>
      </c>
      <c r="O970" s="5">
        <f>M970*E970</f>
        <v>5.97</v>
      </c>
      <c r="P970" t="str">
        <f t="shared" si="30"/>
        <v>Robusta</v>
      </c>
      <c r="Q970" t="str">
        <f t="shared" si="31"/>
        <v>Medium</v>
      </c>
      <c r="R970" t="str">
        <f>_xlfn.XLOOKUP(Orders[[#This Row],[Customer ID]],customers!$A$1:$A$1001,customers!$I$1:$I$1001,,0)</f>
        <v>No</v>
      </c>
    </row>
    <row r="971" spans="1:18" x14ac:dyDescent="0.35">
      <c r="A971" s="2" t="s">
        <v>5967</v>
      </c>
      <c r="B971" s="3">
        <v>43649</v>
      </c>
      <c r="C971" s="2" t="s">
        <v>5968</v>
      </c>
      <c r="D971" t="s">
        <v>6143</v>
      </c>
      <c r="E971" s="2">
        <v>1</v>
      </c>
      <c r="F971" s="2" t="str">
        <f>_xlfn.XLOOKUP(Orders[[#This Row],[Customer ID]],customers!$A$1:$A$1001,customers!$B$1:$B$1001,,0)</f>
        <v>Chiarra Shalders</v>
      </c>
      <c r="G971" s="2" t="str">
        <f>IF(_xlfn.XLOOKUP(C971,customers!$A$1:$A$1001,customers!C970:C1970,,0)=0,"",_xlfn.XLOOKUP(C971,customers!$A$1:$A$1001,customers!C970:C1970,,0))</f>
        <v/>
      </c>
      <c r="H971" s="2" t="str">
        <f>_xlfn.XLOOKUP(Orders[[#This Row],[Customer ID]],customers!$A$1:$A$1001,customers!$G$1:$G$1001,,0)</f>
        <v>United States</v>
      </c>
      <c r="I971" s="2" t="str">
        <f>_xlfn.XLOOKUP(Orders[[#This Row],[Customer ID]],customers!$A$1:$A$1001,customers!$F$1:$F$1001,,0)</f>
        <v>Clearwater</v>
      </c>
      <c r="J971" t="str">
        <f>INDEX(products!$A$1:$G$49,MATCH(orders!$D971,products!$A$1:$A$49,0),MATCH(orders!J$1,products!$A$1:$G$1,0))</f>
        <v>Lib</v>
      </c>
      <c r="K971" t="str">
        <f>INDEX(products!$A$1:$G$49,MATCH(orders!$D971,products!$A$1:$A$49,0),MATCH(orders!K$1,products!$A$1:$G$1,0))</f>
        <v>D</v>
      </c>
      <c r="L971" s="4">
        <f>INDEX(products!$A$1:$G$49,MATCH(orders!$D971,products!$A$1:$A$49,0),MATCH(orders!L$1,products!$A$1:$G$1,0))</f>
        <v>1</v>
      </c>
      <c r="M971" s="5">
        <f>INDEX(products!$A$1:$G$49,MATCH(orders!$D971,products!$A$1:$A$49,0),MATCH(orders!M$1,products!$A$1:$G$1,0))</f>
        <v>12.95</v>
      </c>
      <c r="N971" s="5">
        <f>Orders[[#This Row],[Quantity]]*(INDEX(products!$A$1:$G$49,MATCH(orders!$D971,products!$A$1:$A$49,0),MATCH(orders!N$1,products!$A$1:$G$1,0)))</f>
        <v>1.6835</v>
      </c>
      <c r="O971" s="5">
        <f>M971*E971</f>
        <v>12.95</v>
      </c>
      <c r="P971" t="str">
        <f t="shared" si="30"/>
        <v>Liberica</v>
      </c>
      <c r="Q971" t="str">
        <f t="shared" si="31"/>
        <v>Dark</v>
      </c>
      <c r="R971" t="str">
        <f>_xlfn.XLOOKUP(Orders[[#This Row],[Customer ID]],customers!$A$1:$A$1001,customers!$I$1:$I$1001,,0)</f>
        <v>Yes</v>
      </c>
    </row>
    <row r="972" spans="1:18" x14ac:dyDescent="0.35">
      <c r="A972" s="2" t="s">
        <v>5973</v>
      </c>
      <c r="B972" s="3">
        <v>43729</v>
      </c>
      <c r="C972" s="2" t="s">
        <v>5974</v>
      </c>
      <c r="D972" t="s">
        <v>6139</v>
      </c>
      <c r="E972" s="2">
        <v>1</v>
      </c>
      <c r="F972" s="2" t="str">
        <f>_xlfn.XLOOKUP(Orders[[#This Row],[Customer ID]],customers!$A$1:$A$1001,customers!$B$1:$B$1001,,0)</f>
        <v>Sharl Southerill</v>
      </c>
      <c r="G972" s="2" t="str">
        <f>IF(_xlfn.XLOOKUP(C972,customers!$A$1:$A$1001,customers!C971:C1971,,0)=0,"",_xlfn.XLOOKUP(C972,customers!$A$1:$A$1001,customers!C971:C1971,,0))</f>
        <v/>
      </c>
      <c r="H972" s="2" t="str">
        <f>_xlfn.XLOOKUP(Orders[[#This Row],[Customer ID]],customers!$A$1:$A$1001,customers!$G$1:$G$1001,,0)</f>
        <v>United States</v>
      </c>
      <c r="I972" s="2" t="str">
        <f>_xlfn.XLOOKUP(Orders[[#This Row],[Customer ID]],customers!$A$1:$A$1001,customers!$F$1:$F$1001,,0)</f>
        <v>Amarillo</v>
      </c>
      <c r="J972" t="str">
        <f>INDEX(products!$A$1:$G$49,MATCH(orders!$D972,products!$A$1:$A$49,0),MATCH(orders!J$1,products!$A$1:$G$1,0))</f>
        <v>Exc</v>
      </c>
      <c r="K972" t="str">
        <f>INDEX(products!$A$1:$G$49,MATCH(orders!$D972,products!$A$1:$A$49,0),MATCH(orders!K$1,products!$A$1:$G$1,0))</f>
        <v>M</v>
      </c>
      <c r="L972" s="4">
        <f>INDEX(products!$A$1:$G$49,MATCH(orders!$D972,products!$A$1:$A$49,0),MATCH(orders!L$1,products!$A$1:$G$1,0))</f>
        <v>0.5</v>
      </c>
      <c r="M972" s="5">
        <f>INDEX(products!$A$1:$G$49,MATCH(orders!$D972,products!$A$1:$A$49,0),MATCH(orders!M$1,products!$A$1:$G$1,0))</f>
        <v>8.25</v>
      </c>
      <c r="N972" s="5">
        <f>Orders[[#This Row],[Quantity]]*(INDEX(products!$A$1:$G$49,MATCH(orders!$D972,products!$A$1:$A$49,0),MATCH(orders!N$1,products!$A$1:$G$1,0)))</f>
        <v>0.90749999999999997</v>
      </c>
      <c r="O972" s="5">
        <f>M972*E972</f>
        <v>8.25</v>
      </c>
      <c r="P972" t="str">
        <f t="shared" si="30"/>
        <v>Excelsa</v>
      </c>
      <c r="Q972" t="str">
        <f t="shared" si="31"/>
        <v>Medium</v>
      </c>
      <c r="R972" t="str">
        <f>_xlfn.XLOOKUP(Orders[[#This Row],[Customer ID]],customers!$A$1:$A$1001,customers!$I$1:$I$1001,,0)</f>
        <v>No</v>
      </c>
    </row>
    <row r="973" spans="1:18" x14ac:dyDescent="0.35">
      <c r="A973" s="2" t="s">
        <v>5978</v>
      </c>
      <c r="B973" s="3">
        <v>43703</v>
      </c>
      <c r="C973" s="2" t="s">
        <v>5979</v>
      </c>
      <c r="D973" t="s">
        <v>6182</v>
      </c>
      <c r="E973" s="2">
        <v>5</v>
      </c>
      <c r="F973" s="2" t="str">
        <f>_xlfn.XLOOKUP(Orders[[#This Row],[Customer ID]],customers!$A$1:$A$1001,customers!$B$1:$B$1001,,0)</f>
        <v>Noni Furber</v>
      </c>
      <c r="G973" s="2" t="str">
        <f>IF(_xlfn.XLOOKUP(C973,customers!$A$1:$A$1001,customers!C972:C1972,,0)=0,"",_xlfn.XLOOKUP(C973,customers!$A$1:$A$1001,customers!C972:C1972,,0))</f>
        <v/>
      </c>
      <c r="H973" s="2" t="str">
        <f>_xlfn.XLOOKUP(Orders[[#This Row],[Customer ID]],customers!$A$1:$A$1001,customers!$G$1:$G$1001,,0)</f>
        <v>United States</v>
      </c>
      <c r="I973" s="2" t="str">
        <f>_xlfn.XLOOKUP(Orders[[#This Row],[Customer ID]],customers!$A$1:$A$1001,customers!$F$1:$F$1001,,0)</f>
        <v>Fort Worth</v>
      </c>
      <c r="J973" t="str">
        <f>INDEX(products!$A$1:$G$49,MATCH(orders!$D973,products!$A$1:$A$49,0),MATCH(orders!J$1,products!$A$1:$G$1,0))</f>
        <v>Ara</v>
      </c>
      <c r="K973" t="str">
        <f>INDEX(products!$A$1:$G$49,MATCH(orders!$D973,products!$A$1:$A$49,0),MATCH(orders!K$1,products!$A$1:$G$1,0))</f>
        <v>L</v>
      </c>
      <c r="L973" s="4">
        <f>INDEX(products!$A$1:$G$49,MATCH(orders!$D973,products!$A$1:$A$49,0),MATCH(orders!L$1,products!$A$1:$G$1,0))</f>
        <v>2.5</v>
      </c>
      <c r="M973" s="5">
        <f>INDEX(products!$A$1:$G$49,MATCH(orders!$D973,products!$A$1:$A$49,0),MATCH(orders!M$1,products!$A$1:$G$1,0))</f>
        <v>29.784999999999997</v>
      </c>
      <c r="N973" s="5">
        <f>Orders[[#This Row],[Quantity]]*(INDEX(products!$A$1:$G$49,MATCH(orders!$D973,products!$A$1:$A$49,0),MATCH(orders!N$1,products!$A$1:$G$1,0)))</f>
        <v>13.403249999999998</v>
      </c>
      <c r="O973" s="5">
        <f>M973*E973</f>
        <v>148.92499999999998</v>
      </c>
      <c r="P973" t="str">
        <f t="shared" si="30"/>
        <v>Arabica</v>
      </c>
      <c r="Q973" t="str">
        <f t="shared" si="31"/>
        <v>Light</v>
      </c>
      <c r="R973" t="str">
        <f>_xlfn.XLOOKUP(Orders[[#This Row],[Customer ID]],customers!$A$1:$A$1001,customers!$I$1:$I$1001,,0)</f>
        <v>No</v>
      </c>
    </row>
    <row r="974" spans="1:18" x14ac:dyDescent="0.35">
      <c r="A974" s="2" t="s">
        <v>5984</v>
      </c>
      <c r="B974" s="3">
        <v>44411</v>
      </c>
      <c r="C974" s="2" t="s">
        <v>5985</v>
      </c>
      <c r="D974" t="s">
        <v>6182</v>
      </c>
      <c r="E974" s="2">
        <v>3</v>
      </c>
      <c r="F974" s="2" t="str">
        <f>_xlfn.XLOOKUP(Orders[[#This Row],[Customer ID]],customers!$A$1:$A$1001,customers!$B$1:$B$1001,,0)</f>
        <v>Dinah Crutcher</v>
      </c>
      <c r="G974" s="2" t="str">
        <f>IF(_xlfn.XLOOKUP(C974,customers!$A$1:$A$1001,customers!C973:C1973,,0)=0,"",_xlfn.XLOOKUP(C974,customers!$A$1:$A$1001,customers!C973:C1973,,0))</f>
        <v/>
      </c>
      <c r="H974" s="2" t="str">
        <f>_xlfn.XLOOKUP(Orders[[#This Row],[Customer ID]],customers!$A$1:$A$1001,customers!$G$1:$G$1001,,0)</f>
        <v>Ireland</v>
      </c>
      <c r="I974" s="2" t="str">
        <f>_xlfn.XLOOKUP(Orders[[#This Row],[Customer ID]],customers!$A$1:$A$1001,customers!$F$1:$F$1001,,0)</f>
        <v>Lusk</v>
      </c>
      <c r="J974" t="str">
        <f>INDEX(products!$A$1:$G$49,MATCH(orders!$D974,products!$A$1:$A$49,0),MATCH(orders!J$1,products!$A$1:$G$1,0))</f>
        <v>Ara</v>
      </c>
      <c r="K974" t="str">
        <f>INDEX(products!$A$1:$G$49,MATCH(orders!$D974,products!$A$1:$A$49,0),MATCH(orders!K$1,products!$A$1:$G$1,0))</f>
        <v>L</v>
      </c>
      <c r="L974" s="4">
        <f>INDEX(products!$A$1:$G$49,MATCH(orders!$D974,products!$A$1:$A$49,0),MATCH(orders!L$1,products!$A$1:$G$1,0))</f>
        <v>2.5</v>
      </c>
      <c r="M974" s="5">
        <f>INDEX(products!$A$1:$G$49,MATCH(orders!$D974,products!$A$1:$A$49,0),MATCH(orders!M$1,products!$A$1:$G$1,0))</f>
        <v>29.784999999999997</v>
      </c>
      <c r="N974" s="5">
        <f>Orders[[#This Row],[Quantity]]*(INDEX(products!$A$1:$G$49,MATCH(orders!$D974,products!$A$1:$A$49,0),MATCH(orders!N$1,products!$A$1:$G$1,0)))</f>
        <v>8.0419499999999982</v>
      </c>
      <c r="O974" s="5">
        <f>M974*E974</f>
        <v>89.35499999999999</v>
      </c>
      <c r="P974" t="str">
        <f t="shared" si="30"/>
        <v>Arabica</v>
      </c>
      <c r="Q974" t="str">
        <f t="shared" si="31"/>
        <v>Light</v>
      </c>
      <c r="R974" t="str">
        <f>_xlfn.XLOOKUP(Orders[[#This Row],[Customer ID]],customers!$A$1:$A$1001,customers!$I$1:$I$1001,,0)</f>
        <v>Yes</v>
      </c>
    </row>
    <row r="975" spans="1:18" x14ac:dyDescent="0.35">
      <c r="A975" s="2" t="s">
        <v>5989</v>
      </c>
      <c r="B975" s="3">
        <v>44493</v>
      </c>
      <c r="C975" s="2" t="s">
        <v>5990</v>
      </c>
      <c r="D975" t="s">
        <v>6162</v>
      </c>
      <c r="E975" s="2">
        <v>6</v>
      </c>
      <c r="F975" s="2" t="str">
        <f>_xlfn.XLOOKUP(Orders[[#This Row],[Customer ID]],customers!$A$1:$A$1001,customers!$B$1:$B$1001,,0)</f>
        <v>Charlean Keave</v>
      </c>
      <c r="G975" s="2" t="str">
        <f>IF(_xlfn.XLOOKUP(C975,customers!$A$1:$A$1001,customers!C974:C1974,,0)=0,"",_xlfn.XLOOKUP(C975,customers!$A$1:$A$1001,customers!C974:C1974,,0))</f>
        <v/>
      </c>
      <c r="H975" s="2" t="str">
        <f>_xlfn.XLOOKUP(Orders[[#This Row],[Customer ID]],customers!$A$1:$A$1001,customers!$G$1:$G$1001,,0)</f>
        <v>United States</v>
      </c>
      <c r="I975" s="2" t="str">
        <f>_xlfn.XLOOKUP(Orders[[#This Row],[Customer ID]],customers!$A$1:$A$1001,customers!$F$1:$F$1001,,0)</f>
        <v>Pensacola</v>
      </c>
      <c r="J975" t="str">
        <f>INDEX(products!$A$1:$G$49,MATCH(orders!$D975,products!$A$1:$A$49,0),MATCH(orders!J$1,products!$A$1:$G$1,0))</f>
        <v>Lib</v>
      </c>
      <c r="K975" t="str">
        <f>INDEX(products!$A$1:$G$49,MATCH(orders!$D975,products!$A$1:$A$49,0),MATCH(orders!K$1,products!$A$1:$G$1,0))</f>
        <v>M</v>
      </c>
      <c r="L975" s="4">
        <f>INDEX(products!$A$1:$G$49,MATCH(orders!$D975,products!$A$1:$A$49,0),MATCH(orders!L$1,products!$A$1:$G$1,0))</f>
        <v>1</v>
      </c>
      <c r="M975" s="5">
        <f>INDEX(products!$A$1:$G$49,MATCH(orders!$D975,products!$A$1:$A$49,0),MATCH(orders!M$1,products!$A$1:$G$1,0))</f>
        <v>14.55</v>
      </c>
      <c r="N975" s="5">
        <f>Orders[[#This Row],[Quantity]]*(INDEX(products!$A$1:$G$49,MATCH(orders!$D975,products!$A$1:$A$49,0),MATCH(orders!N$1,products!$A$1:$G$1,0)))</f>
        <v>11.349</v>
      </c>
      <c r="O975" s="5">
        <f>M975*E975</f>
        <v>87.300000000000011</v>
      </c>
      <c r="P975" t="str">
        <f t="shared" si="30"/>
        <v>Liberica</v>
      </c>
      <c r="Q975" t="str">
        <f t="shared" si="31"/>
        <v>Medium</v>
      </c>
      <c r="R975" t="str">
        <f>_xlfn.XLOOKUP(Orders[[#This Row],[Customer ID]],customers!$A$1:$A$1001,customers!$I$1:$I$1001,,0)</f>
        <v>No</v>
      </c>
    </row>
    <row r="976" spans="1:18" x14ac:dyDescent="0.35">
      <c r="A976" s="2" t="s">
        <v>5995</v>
      </c>
      <c r="B976" s="3">
        <v>43556</v>
      </c>
      <c r="C976" s="2" t="s">
        <v>5996</v>
      </c>
      <c r="D976" t="s">
        <v>6172</v>
      </c>
      <c r="E976" s="2">
        <v>1</v>
      </c>
      <c r="F976" s="2" t="str">
        <f>_xlfn.XLOOKUP(Orders[[#This Row],[Customer ID]],customers!$A$1:$A$1001,customers!$B$1:$B$1001,,0)</f>
        <v>Sada Roseborough</v>
      </c>
      <c r="G976" s="2" t="str">
        <f>IF(_xlfn.XLOOKUP(C976,customers!$A$1:$A$1001,customers!C975:C1975,,0)=0,"",_xlfn.XLOOKUP(C976,customers!$A$1:$A$1001,customers!C975:C1975,,0))</f>
        <v/>
      </c>
      <c r="H976" s="2" t="str">
        <f>_xlfn.XLOOKUP(Orders[[#This Row],[Customer ID]],customers!$A$1:$A$1001,customers!$G$1:$G$1001,,0)</f>
        <v>United States</v>
      </c>
      <c r="I976" s="2" t="str">
        <f>_xlfn.XLOOKUP(Orders[[#This Row],[Customer ID]],customers!$A$1:$A$1001,customers!$F$1:$F$1001,,0)</f>
        <v>Tacoma</v>
      </c>
      <c r="J976" t="str">
        <f>INDEX(products!$A$1:$G$49,MATCH(orders!$D976,products!$A$1:$A$49,0),MATCH(orders!J$1,products!$A$1:$G$1,0))</f>
        <v>Rob</v>
      </c>
      <c r="K976" t="str">
        <f>INDEX(products!$A$1:$G$49,MATCH(orders!$D976,products!$A$1:$A$49,0),MATCH(orders!K$1,products!$A$1:$G$1,0))</f>
        <v>D</v>
      </c>
      <c r="L976" s="4">
        <f>INDEX(products!$A$1:$G$49,MATCH(orders!$D976,products!$A$1:$A$49,0),MATCH(orders!L$1,products!$A$1:$G$1,0))</f>
        <v>0.5</v>
      </c>
      <c r="M976" s="5">
        <f>INDEX(products!$A$1:$G$49,MATCH(orders!$D976,products!$A$1:$A$49,0),MATCH(orders!M$1,products!$A$1:$G$1,0))</f>
        <v>5.3699999999999992</v>
      </c>
      <c r="N976" s="5">
        <f>Orders[[#This Row],[Quantity]]*(INDEX(products!$A$1:$G$49,MATCH(orders!$D976,products!$A$1:$A$49,0),MATCH(orders!N$1,products!$A$1:$G$1,0)))</f>
        <v>0.32219999999999993</v>
      </c>
      <c r="O976" s="5">
        <f>M976*E976</f>
        <v>5.3699999999999992</v>
      </c>
      <c r="P976" t="str">
        <f t="shared" si="30"/>
        <v>Robusta</v>
      </c>
      <c r="Q976" t="str">
        <f t="shared" si="31"/>
        <v>Dark</v>
      </c>
      <c r="R976" t="str">
        <f>_xlfn.XLOOKUP(Orders[[#This Row],[Customer ID]],customers!$A$1:$A$1001,customers!$I$1:$I$1001,,0)</f>
        <v>Yes</v>
      </c>
    </row>
    <row r="977" spans="1:18" x14ac:dyDescent="0.35">
      <c r="A977" s="2" t="s">
        <v>6001</v>
      </c>
      <c r="B977" s="3">
        <v>44538</v>
      </c>
      <c r="C977" s="2" t="s">
        <v>6002</v>
      </c>
      <c r="D977" t="s">
        <v>6154</v>
      </c>
      <c r="E977" s="2">
        <v>3</v>
      </c>
      <c r="F977" s="2" t="str">
        <f>_xlfn.XLOOKUP(Orders[[#This Row],[Customer ID]],customers!$A$1:$A$1001,customers!$B$1:$B$1001,,0)</f>
        <v>Clayton Kingwell</v>
      </c>
      <c r="G977" s="2" t="str">
        <f>IF(_xlfn.XLOOKUP(C977,customers!$A$1:$A$1001,customers!C976:C1976,,0)=0,"",_xlfn.XLOOKUP(C977,customers!$A$1:$A$1001,customers!C976:C1976,,0))</f>
        <v/>
      </c>
      <c r="H977" s="2" t="str">
        <f>_xlfn.XLOOKUP(Orders[[#This Row],[Customer ID]],customers!$A$1:$A$1001,customers!$G$1:$G$1001,,0)</f>
        <v>Ireland</v>
      </c>
      <c r="I977" s="2" t="str">
        <f>_xlfn.XLOOKUP(Orders[[#This Row],[Customer ID]],customers!$A$1:$A$1001,customers!$F$1:$F$1001,,0)</f>
        <v>Rathnew</v>
      </c>
      <c r="J977" t="str">
        <f>INDEX(products!$A$1:$G$49,MATCH(orders!$D977,products!$A$1:$A$49,0),MATCH(orders!J$1,products!$A$1:$G$1,0))</f>
        <v>Ara</v>
      </c>
      <c r="K977" t="str">
        <f>INDEX(products!$A$1:$G$49,MATCH(orders!$D977,products!$A$1:$A$49,0),MATCH(orders!K$1,products!$A$1:$G$1,0))</f>
        <v>D</v>
      </c>
      <c r="L977" s="4">
        <f>INDEX(products!$A$1:$G$49,MATCH(orders!$D977,products!$A$1:$A$49,0),MATCH(orders!L$1,products!$A$1:$G$1,0))</f>
        <v>0.2</v>
      </c>
      <c r="M977" s="5">
        <f>INDEX(products!$A$1:$G$49,MATCH(orders!$D977,products!$A$1:$A$49,0),MATCH(orders!M$1,products!$A$1:$G$1,0))</f>
        <v>2.9849999999999999</v>
      </c>
      <c r="N977" s="5">
        <f>Orders[[#This Row],[Quantity]]*(INDEX(products!$A$1:$G$49,MATCH(orders!$D977,products!$A$1:$A$49,0),MATCH(orders!N$1,products!$A$1:$G$1,0)))</f>
        <v>0.80594999999999994</v>
      </c>
      <c r="O977" s="5">
        <f>M977*E977</f>
        <v>8.9550000000000001</v>
      </c>
      <c r="P977" t="str">
        <f t="shared" si="30"/>
        <v>Arabica</v>
      </c>
      <c r="Q977" t="str">
        <f t="shared" si="31"/>
        <v>Dark</v>
      </c>
      <c r="R977" t="str">
        <f>_xlfn.XLOOKUP(Orders[[#This Row],[Customer ID]],customers!$A$1:$A$1001,customers!$I$1:$I$1001,,0)</f>
        <v>Yes</v>
      </c>
    </row>
    <row r="978" spans="1:18" x14ac:dyDescent="0.35">
      <c r="A978" s="2" t="s">
        <v>6007</v>
      </c>
      <c r="B978" s="3">
        <v>43643</v>
      </c>
      <c r="C978" s="2" t="s">
        <v>6008</v>
      </c>
      <c r="D978" t="s">
        <v>6142</v>
      </c>
      <c r="E978" s="2">
        <v>5</v>
      </c>
      <c r="F978" s="2" t="str">
        <f>_xlfn.XLOOKUP(Orders[[#This Row],[Customer ID]],customers!$A$1:$A$1001,customers!$B$1:$B$1001,,0)</f>
        <v>Kacy Canto</v>
      </c>
      <c r="G978" s="2" t="str">
        <f>IF(_xlfn.XLOOKUP(C978,customers!$A$1:$A$1001,customers!C977:C1977,,0)=0,"",_xlfn.XLOOKUP(C978,customers!$A$1:$A$1001,customers!C977:C1977,,0))</f>
        <v/>
      </c>
      <c r="H978" s="2" t="str">
        <f>_xlfn.XLOOKUP(Orders[[#This Row],[Customer ID]],customers!$A$1:$A$1001,customers!$G$1:$G$1001,,0)</f>
        <v>United States</v>
      </c>
      <c r="I978" s="2" t="str">
        <f>_xlfn.XLOOKUP(Orders[[#This Row],[Customer ID]],customers!$A$1:$A$1001,customers!$F$1:$F$1001,,0)</f>
        <v>Fort Wayne</v>
      </c>
      <c r="J978" t="str">
        <f>INDEX(products!$A$1:$G$49,MATCH(orders!$D978,products!$A$1:$A$49,0),MATCH(orders!J$1,products!$A$1:$G$1,0))</f>
        <v>Rob</v>
      </c>
      <c r="K978" t="str">
        <f>INDEX(products!$A$1:$G$49,MATCH(orders!$D978,products!$A$1:$A$49,0),MATCH(orders!K$1,products!$A$1:$G$1,0))</f>
        <v>L</v>
      </c>
      <c r="L978" s="4">
        <f>INDEX(products!$A$1:$G$49,MATCH(orders!$D978,products!$A$1:$A$49,0),MATCH(orders!L$1,products!$A$1:$G$1,0))</f>
        <v>2.5</v>
      </c>
      <c r="M978" s="5">
        <f>INDEX(products!$A$1:$G$49,MATCH(orders!$D978,products!$A$1:$A$49,0),MATCH(orders!M$1,products!$A$1:$G$1,0))</f>
        <v>27.484999999999996</v>
      </c>
      <c r="N978" s="5">
        <f>Orders[[#This Row],[Quantity]]*(INDEX(products!$A$1:$G$49,MATCH(orders!$D978,products!$A$1:$A$49,0),MATCH(orders!N$1,products!$A$1:$G$1,0)))</f>
        <v>8.2454999999999998</v>
      </c>
      <c r="O978" s="5">
        <f>M978*E978</f>
        <v>137.42499999999998</v>
      </c>
      <c r="P978" t="str">
        <f t="shared" si="30"/>
        <v>Robusta</v>
      </c>
      <c r="Q978" t="str">
        <f t="shared" si="31"/>
        <v>Light</v>
      </c>
      <c r="R978" t="str">
        <f>_xlfn.XLOOKUP(Orders[[#This Row],[Customer ID]],customers!$A$1:$A$1001,customers!$I$1:$I$1001,,0)</f>
        <v>Yes</v>
      </c>
    </row>
    <row r="979" spans="1:18" x14ac:dyDescent="0.35">
      <c r="A979" s="2" t="s">
        <v>6013</v>
      </c>
      <c r="B979" s="3">
        <v>44026</v>
      </c>
      <c r="C979" s="2" t="s">
        <v>6014</v>
      </c>
      <c r="D979" t="s">
        <v>6179</v>
      </c>
      <c r="E979" s="2">
        <v>5</v>
      </c>
      <c r="F979" s="2" t="str">
        <f>_xlfn.XLOOKUP(Orders[[#This Row],[Customer ID]],customers!$A$1:$A$1001,customers!$B$1:$B$1001,,0)</f>
        <v>Mab Blakemore</v>
      </c>
      <c r="G979" s="2" t="str">
        <f>IF(_xlfn.XLOOKUP(C979,customers!$A$1:$A$1001,customers!C978:C1978,,0)=0,"",_xlfn.XLOOKUP(C979,customers!$A$1:$A$1001,customers!C978:C1978,,0))</f>
        <v/>
      </c>
      <c r="H979" s="2" t="str">
        <f>_xlfn.XLOOKUP(Orders[[#This Row],[Customer ID]],customers!$A$1:$A$1001,customers!$G$1:$G$1001,,0)</f>
        <v>United States</v>
      </c>
      <c r="I979" s="2" t="str">
        <f>_xlfn.XLOOKUP(Orders[[#This Row],[Customer ID]],customers!$A$1:$A$1001,customers!$F$1:$F$1001,,0)</f>
        <v>Amarillo</v>
      </c>
      <c r="J979" t="str">
        <f>INDEX(products!$A$1:$G$49,MATCH(orders!$D979,products!$A$1:$A$49,0),MATCH(orders!J$1,products!$A$1:$G$1,0))</f>
        <v>Rob</v>
      </c>
      <c r="K979" t="str">
        <f>INDEX(products!$A$1:$G$49,MATCH(orders!$D979,products!$A$1:$A$49,0),MATCH(orders!K$1,products!$A$1:$G$1,0))</f>
        <v>L</v>
      </c>
      <c r="L979" s="4">
        <f>INDEX(products!$A$1:$G$49,MATCH(orders!$D979,products!$A$1:$A$49,0),MATCH(orders!L$1,products!$A$1:$G$1,0))</f>
        <v>1</v>
      </c>
      <c r="M979" s="5">
        <f>INDEX(products!$A$1:$G$49,MATCH(orders!$D979,products!$A$1:$A$49,0),MATCH(orders!M$1,products!$A$1:$G$1,0))</f>
        <v>11.95</v>
      </c>
      <c r="N979" s="5">
        <f>Orders[[#This Row],[Quantity]]*(INDEX(products!$A$1:$G$49,MATCH(orders!$D979,products!$A$1:$A$49,0),MATCH(orders!N$1,products!$A$1:$G$1,0)))</f>
        <v>3.585</v>
      </c>
      <c r="O979" s="5">
        <f>M979*E979</f>
        <v>59.75</v>
      </c>
      <c r="P979" t="str">
        <f t="shared" si="30"/>
        <v>Robusta</v>
      </c>
      <c r="Q979" t="str">
        <f t="shared" si="31"/>
        <v>Light</v>
      </c>
      <c r="R979" t="str">
        <f>_xlfn.XLOOKUP(Orders[[#This Row],[Customer ID]],customers!$A$1:$A$1001,customers!$I$1:$I$1001,,0)</f>
        <v>No</v>
      </c>
    </row>
    <row r="980" spans="1:18" x14ac:dyDescent="0.35">
      <c r="A980" s="2" t="s">
        <v>6019</v>
      </c>
      <c r="B980" s="3">
        <v>43913</v>
      </c>
      <c r="C980" s="2" t="s">
        <v>5990</v>
      </c>
      <c r="D980" t="s">
        <v>6180</v>
      </c>
      <c r="E980" s="2">
        <v>3</v>
      </c>
      <c r="F980" s="2" t="str">
        <f>_xlfn.XLOOKUP(Orders[[#This Row],[Customer ID]],customers!$A$1:$A$1001,customers!$B$1:$B$1001,,0)</f>
        <v>Charlean Keave</v>
      </c>
      <c r="G980" s="2" t="str">
        <f>IF(_xlfn.XLOOKUP(C980,customers!$A$1:$A$1001,customers!C979:C1979,,0)=0,"",_xlfn.XLOOKUP(C980,customers!$A$1:$A$1001,customers!C979:C1979,,0))</f>
        <v/>
      </c>
      <c r="H980" s="2" t="str">
        <f>_xlfn.XLOOKUP(Orders[[#This Row],[Customer ID]],customers!$A$1:$A$1001,customers!$G$1:$G$1001,,0)</f>
        <v>United States</v>
      </c>
      <c r="I980" s="2" t="str">
        <f>_xlfn.XLOOKUP(Orders[[#This Row],[Customer ID]],customers!$A$1:$A$1001,customers!$F$1:$F$1001,,0)</f>
        <v>Pensacola</v>
      </c>
      <c r="J980" t="str">
        <f>INDEX(products!$A$1:$G$49,MATCH(orders!$D980,products!$A$1:$A$49,0),MATCH(orders!J$1,products!$A$1:$G$1,0))</f>
        <v>Ara</v>
      </c>
      <c r="K980" t="str">
        <f>INDEX(products!$A$1:$G$49,MATCH(orders!$D980,products!$A$1:$A$49,0),MATCH(orders!K$1,products!$A$1:$G$1,0))</f>
        <v>L</v>
      </c>
      <c r="L980" s="4">
        <f>INDEX(products!$A$1:$G$49,MATCH(orders!$D980,products!$A$1:$A$49,0),MATCH(orders!L$1,products!$A$1:$G$1,0))</f>
        <v>0.5</v>
      </c>
      <c r="M980" s="5">
        <f>INDEX(products!$A$1:$G$49,MATCH(orders!$D980,products!$A$1:$A$49,0),MATCH(orders!M$1,products!$A$1:$G$1,0))</f>
        <v>7.77</v>
      </c>
      <c r="N980" s="5">
        <f>Orders[[#This Row],[Quantity]]*(INDEX(products!$A$1:$G$49,MATCH(orders!$D980,products!$A$1:$A$49,0),MATCH(orders!N$1,products!$A$1:$G$1,0)))</f>
        <v>2.0978999999999997</v>
      </c>
      <c r="O980" s="5">
        <f>M980*E980</f>
        <v>23.31</v>
      </c>
      <c r="P980" t="str">
        <f t="shared" si="30"/>
        <v>Arabica</v>
      </c>
      <c r="Q980" t="str">
        <f t="shared" si="31"/>
        <v>Light</v>
      </c>
      <c r="R980" t="str">
        <f>_xlfn.XLOOKUP(Orders[[#This Row],[Customer ID]],customers!$A$1:$A$1001,customers!$I$1:$I$1001,,0)</f>
        <v>No</v>
      </c>
    </row>
    <row r="981" spans="1:18" x14ac:dyDescent="0.35">
      <c r="A981" s="2" t="s">
        <v>6025</v>
      </c>
      <c r="B981" s="3">
        <v>43856</v>
      </c>
      <c r="C981" s="2" t="s">
        <v>6026</v>
      </c>
      <c r="D981" t="s">
        <v>6172</v>
      </c>
      <c r="E981" s="2">
        <v>2</v>
      </c>
      <c r="F981" s="2" t="str">
        <f>_xlfn.XLOOKUP(Orders[[#This Row],[Customer ID]],customers!$A$1:$A$1001,customers!$B$1:$B$1001,,0)</f>
        <v>Javier Causnett</v>
      </c>
      <c r="G981" s="2" t="str">
        <f>IF(_xlfn.XLOOKUP(C981,customers!$A$1:$A$1001,customers!C980:C1980,,0)=0,"",_xlfn.XLOOKUP(C981,customers!$A$1:$A$1001,customers!C980:C1980,,0))</f>
        <v/>
      </c>
      <c r="H981" s="2" t="str">
        <f>_xlfn.XLOOKUP(Orders[[#This Row],[Customer ID]],customers!$A$1:$A$1001,customers!$G$1:$G$1001,,0)</f>
        <v>United States</v>
      </c>
      <c r="I981" s="2" t="str">
        <f>_xlfn.XLOOKUP(Orders[[#This Row],[Customer ID]],customers!$A$1:$A$1001,customers!$F$1:$F$1001,,0)</f>
        <v>Silver Spring</v>
      </c>
      <c r="J981" t="str">
        <f>INDEX(products!$A$1:$G$49,MATCH(orders!$D981,products!$A$1:$A$49,0),MATCH(orders!J$1,products!$A$1:$G$1,0))</f>
        <v>Rob</v>
      </c>
      <c r="K981" t="str">
        <f>INDEX(products!$A$1:$G$49,MATCH(orders!$D981,products!$A$1:$A$49,0),MATCH(orders!K$1,products!$A$1:$G$1,0))</f>
        <v>D</v>
      </c>
      <c r="L981" s="4">
        <f>INDEX(products!$A$1:$G$49,MATCH(orders!$D981,products!$A$1:$A$49,0),MATCH(orders!L$1,products!$A$1:$G$1,0))</f>
        <v>0.5</v>
      </c>
      <c r="M981" s="5">
        <f>INDEX(products!$A$1:$G$49,MATCH(orders!$D981,products!$A$1:$A$49,0),MATCH(orders!M$1,products!$A$1:$G$1,0))</f>
        <v>5.3699999999999992</v>
      </c>
      <c r="N981" s="5">
        <f>Orders[[#This Row],[Quantity]]*(INDEX(products!$A$1:$G$49,MATCH(orders!$D981,products!$A$1:$A$49,0),MATCH(orders!N$1,products!$A$1:$G$1,0)))</f>
        <v>0.64439999999999986</v>
      </c>
      <c r="O981" s="5">
        <f>M981*E981</f>
        <v>10.739999999999998</v>
      </c>
      <c r="P981" t="str">
        <f t="shared" si="30"/>
        <v>Robusta</v>
      </c>
      <c r="Q981" t="str">
        <f t="shared" si="31"/>
        <v>Dark</v>
      </c>
      <c r="R981" t="str">
        <f>_xlfn.XLOOKUP(Orders[[#This Row],[Customer ID]],customers!$A$1:$A$1001,customers!$I$1:$I$1001,,0)</f>
        <v>No</v>
      </c>
    </row>
    <row r="982" spans="1:18" x14ac:dyDescent="0.35">
      <c r="A982" s="2" t="s">
        <v>6030</v>
      </c>
      <c r="B982" s="3">
        <v>43982</v>
      </c>
      <c r="C982" s="2" t="s">
        <v>6031</v>
      </c>
      <c r="D982" t="s">
        <v>6185</v>
      </c>
      <c r="E982" s="2">
        <v>6</v>
      </c>
      <c r="F982" s="2" t="str">
        <f>_xlfn.XLOOKUP(Orders[[#This Row],[Customer ID]],customers!$A$1:$A$1001,customers!$B$1:$B$1001,,0)</f>
        <v>Demetris Micheli</v>
      </c>
      <c r="G982" s="2" t="str">
        <f>IF(_xlfn.XLOOKUP(C982,customers!$A$1:$A$1001,customers!C981:C1981,,0)=0,"",_xlfn.XLOOKUP(C982,customers!$A$1:$A$1001,customers!C981:C1981,,0))</f>
        <v/>
      </c>
      <c r="H982" s="2" t="str">
        <f>_xlfn.XLOOKUP(Orders[[#This Row],[Customer ID]],customers!$A$1:$A$1001,customers!$G$1:$G$1001,,0)</f>
        <v>United States</v>
      </c>
      <c r="I982" s="2" t="str">
        <f>_xlfn.XLOOKUP(Orders[[#This Row],[Customer ID]],customers!$A$1:$A$1001,customers!$F$1:$F$1001,,0)</f>
        <v>Madison</v>
      </c>
      <c r="J982" t="str">
        <f>INDEX(products!$A$1:$G$49,MATCH(orders!$D982,products!$A$1:$A$49,0),MATCH(orders!J$1,products!$A$1:$G$1,0))</f>
        <v>Exc</v>
      </c>
      <c r="K982" t="str">
        <f>INDEX(products!$A$1:$G$49,MATCH(orders!$D982,products!$A$1:$A$49,0),MATCH(orders!K$1,products!$A$1:$G$1,0))</f>
        <v>D</v>
      </c>
      <c r="L982" s="4">
        <f>INDEX(products!$A$1:$G$49,MATCH(orders!$D982,products!$A$1:$A$49,0),MATCH(orders!L$1,products!$A$1:$G$1,0))</f>
        <v>2.5</v>
      </c>
      <c r="M982" s="5">
        <f>INDEX(products!$A$1:$G$49,MATCH(orders!$D982,products!$A$1:$A$49,0),MATCH(orders!M$1,products!$A$1:$G$1,0))</f>
        <v>27.945</v>
      </c>
      <c r="N982" s="5">
        <f>Orders[[#This Row],[Quantity]]*(INDEX(products!$A$1:$G$49,MATCH(orders!$D982,products!$A$1:$A$49,0),MATCH(orders!N$1,products!$A$1:$G$1,0)))</f>
        <v>18.4437</v>
      </c>
      <c r="O982" s="5">
        <f>M982*E982</f>
        <v>167.67000000000002</v>
      </c>
      <c r="P982" t="str">
        <f t="shared" si="30"/>
        <v>Excelsa</v>
      </c>
      <c r="Q982" t="str">
        <f t="shared" si="31"/>
        <v>Dark</v>
      </c>
      <c r="R982" t="str">
        <f>_xlfn.XLOOKUP(Orders[[#This Row],[Customer ID]],customers!$A$1:$A$1001,customers!$I$1:$I$1001,,0)</f>
        <v>Yes</v>
      </c>
    </row>
    <row r="983" spans="1:18" x14ac:dyDescent="0.35">
      <c r="A983" s="2" t="s">
        <v>6035</v>
      </c>
      <c r="B983" s="3">
        <v>44397</v>
      </c>
      <c r="C983" s="2" t="s">
        <v>6036</v>
      </c>
      <c r="D983" t="s">
        <v>6153</v>
      </c>
      <c r="E983" s="2">
        <v>6</v>
      </c>
      <c r="F983" s="2" t="str">
        <f>_xlfn.XLOOKUP(Orders[[#This Row],[Customer ID]],customers!$A$1:$A$1001,customers!$B$1:$B$1001,,0)</f>
        <v>Chloette Bernardot</v>
      </c>
      <c r="G983" s="2" t="str">
        <f>IF(_xlfn.XLOOKUP(C983,customers!$A$1:$A$1001,customers!C982:C1982,,0)=0,"",_xlfn.XLOOKUP(C983,customers!$A$1:$A$1001,customers!C982:C1982,,0))</f>
        <v/>
      </c>
      <c r="H983" s="2" t="str">
        <f>_xlfn.XLOOKUP(Orders[[#This Row],[Customer ID]],customers!$A$1:$A$1001,customers!$G$1:$G$1001,,0)</f>
        <v>United States</v>
      </c>
      <c r="I983" s="2" t="str">
        <f>_xlfn.XLOOKUP(Orders[[#This Row],[Customer ID]],customers!$A$1:$A$1001,customers!$F$1:$F$1001,,0)</f>
        <v>Conroe</v>
      </c>
      <c r="J983" t="str">
        <f>INDEX(products!$A$1:$G$49,MATCH(orders!$D983,products!$A$1:$A$49,0),MATCH(orders!J$1,products!$A$1:$G$1,0))</f>
        <v>Exc</v>
      </c>
      <c r="K983" t="str">
        <f>INDEX(products!$A$1:$G$49,MATCH(orders!$D983,products!$A$1:$A$49,0),MATCH(orders!K$1,products!$A$1:$G$1,0))</f>
        <v>D</v>
      </c>
      <c r="L983" s="4">
        <f>INDEX(products!$A$1:$G$49,MATCH(orders!$D983,products!$A$1:$A$49,0),MATCH(orders!L$1,products!$A$1:$G$1,0))</f>
        <v>0.2</v>
      </c>
      <c r="M983" s="5">
        <f>INDEX(products!$A$1:$G$49,MATCH(orders!$D983,products!$A$1:$A$49,0),MATCH(orders!M$1,products!$A$1:$G$1,0))</f>
        <v>3.645</v>
      </c>
      <c r="N983" s="5">
        <f>Orders[[#This Row],[Quantity]]*(INDEX(products!$A$1:$G$49,MATCH(orders!$D983,products!$A$1:$A$49,0),MATCH(orders!N$1,products!$A$1:$G$1,0)))</f>
        <v>2.4057000000000004</v>
      </c>
      <c r="O983" s="5">
        <f>M983*E983</f>
        <v>21.87</v>
      </c>
      <c r="P983" t="str">
        <f t="shared" si="30"/>
        <v>Excelsa</v>
      </c>
      <c r="Q983" t="str">
        <f t="shared" si="31"/>
        <v>Dark</v>
      </c>
      <c r="R983" t="str">
        <f>_xlfn.XLOOKUP(Orders[[#This Row],[Customer ID]],customers!$A$1:$A$1001,customers!$I$1:$I$1001,,0)</f>
        <v>Yes</v>
      </c>
    </row>
    <row r="984" spans="1:18" x14ac:dyDescent="0.35">
      <c r="A984" s="2" t="s">
        <v>6041</v>
      </c>
      <c r="B984" s="3">
        <v>44785</v>
      </c>
      <c r="C984" s="2" t="s">
        <v>6042</v>
      </c>
      <c r="D984" t="s">
        <v>6179</v>
      </c>
      <c r="E984" s="2">
        <v>2</v>
      </c>
      <c r="F984" s="2" t="str">
        <f>_xlfn.XLOOKUP(Orders[[#This Row],[Customer ID]],customers!$A$1:$A$1001,customers!$B$1:$B$1001,,0)</f>
        <v>Kim Kemery</v>
      </c>
      <c r="G984" s="2" t="str">
        <f>IF(_xlfn.XLOOKUP(C984,customers!$A$1:$A$1001,customers!C983:C1983,,0)=0,"",_xlfn.XLOOKUP(C984,customers!$A$1:$A$1001,customers!C983:C1983,,0))</f>
        <v/>
      </c>
      <c r="H984" s="2" t="str">
        <f>_xlfn.XLOOKUP(Orders[[#This Row],[Customer ID]],customers!$A$1:$A$1001,customers!$G$1:$G$1001,,0)</f>
        <v>United States</v>
      </c>
      <c r="I984" s="2" t="str">
        <f>_xlfn.XLOOKUP(Orders[[#This Row],[Customer ID]],customers!$A$1:$A$1001,customers!$F$1:$F$1001,,0)</f>
        <v>Denton</v>
      </c>
      <c r="J984" t="str">
        <f>INDEX(products!$A$1:$G$49,MATCH(orders!$D984,products!$A$1:$A$49,0),MATCH(orders!J$1,products!$A$1:$G$1,0))</f>
        <v>Rob</v>
      </c>
      <c r="K984" t="str">
        <f>INDEX(products!$A$1:$G$49,MATCH(orders!$D984,products!$A$1:$A$49,0),MATCH(orders!K$1,products!$A$1:$G$1,0))</f>
        <v>L</v>
      </c>
      <c r="L984" s="4">
        <f>INDEX(products!$A$1:$G$49,MATCH(orders!$D984,products!$A$1:$A$49,0),MATCH(orders!L$1,products!$A$1:$G$1,0))</f>
        <v>1</v>
      </c>
      <c r="M984" s="5">
        <f>INDEX(products!$A$1:$G$49,MATCH(orders!$D984,products!$A$1:$A$49,0),MATCH(orders!M$1,products!$A$1:$G$1,0))</f>
        <v>11.95</v>
      </c>
      <c r="N984" s="5">
        <f>Orders[[#This Row],[Quantity]]*(INDEX(products!$A$1:$G$49,MATCH(orders!$D984,products!$A$1:$A$49,0),MATCH(orders!N$1,products!$A$1:$G$1,0)))</f>
        <v>1.4339999999999999</v>
      </c>
      <c r="O984" s="5">
        <f>M984*E984</f>
        <v>23.9</v>
      </c>
      <c r="P984" t="str">
        <f t="shared" si="30"/>
        <v>Robusta</v>
      </c>
      <c r="Q984" t="str">
        <f t="shared" si="31"/>
        <v>Light</v>
      </c>
      <c r="R984" t="str">
        <f>_xlfn.XLOOKUP(Orders[[#This Row],[Customer ID]],customers!$A$1:$A$1001,customers!$I$1:$I$1001,,0)</f>
        <v>Yes</v>
      </c>
    </row>
    <row r="985" spans="1:18" x14ac:dyDescent="0.35">
      <c r="A985" s="2" t="s">
        <v>6047</v>
      </c>
      <c r="B985" s="3">
        <v>43831</v>
      </c>
      <c r="C985" s="2" t="s">
        <v>6048</v>
      </c>
      <c r="D985" t="s">
        <v>6152</v>
      </c>
      <c r="E985" s="2">
        <v>2</v>
      </c>
      <c r="F985" s="2" t="str">
        <f>_xlfn.XLOOKUP(Orders[[#This Row],[Customer ID]],customers!$A$1:$A$1001,customers!$B$1:$B$1001,,0)</f>
        <v>Fanchette Parlot</v>
      </c>
      <c r="G985" s="2" t="str">
        <f>IF(_xlfn.XLOOKUP(C985,customers!$A$1:$A$1001,customers!C984:C1984,,0)=0,"",_xlfn.XLOOKUP(C985,customers!$A$1:$A$1001,customers!C984:C1984,,0))</f>
        <v/>
      </c>
      <c r="H985" s="2" t="str">
        <f>_xlfn.XLOOKUP(Orders[[#This Row],[Customer ID]],customers!$A$1:$A$1001,customers!$G$1:$G$1001,,0)</f>
        <v>United States</v>
      </c>
      <c r="I985" s="2" t="str">
        <f>_xlfn.XLOOKUP(Orders[[#This Row],[Customer ID]],customers!$A$1:$A$1001,customers!$F$1:$F$1001,,0)</f>
        <v>Columbus</v>
      </c>
      <c r="J985" t="str">
        <f>INDEX(products!$A$1:$G$49,MATCH(orders!$D985,products!$A$1:$A$49,0),MATCH(orders!J$1,products!$A$1:$G$1,0))</f>
        <v>Ara</v>
      </c>
      <c r="K985" t="str">
        <f>INDEX(products!$A$1:$G$49,MATCH(orders!$D985,products!$A$1:$A$49,0),MATCH(orders!K$1,products!$A$1:$G$1,0))</f>
        <v>M</v>
      </c>
      <c r="L985" s="4">
        <f>INDEX(products!$A$1:$G$49,MATCH(orders!$D985,products!$A$1:$A$49,0),MATCH(orders!L$1,products!$A$1:$G$1,0))</f>
        <v>0.2</v>
      </c>
      <c r="M985" s="5">
        <f>INDEX(products!$A$1:$G$49,MATCH(orders!$D985,products!$A$1:$A$49,0),MATCH(orders!M$1,products!$A$1:$G$1,0))</f>
        <v>3.375</v>
      </c>
      <c r="N985" s="5">
        <f>Orders[[#This Row],[Quantity]]*(INDEX(products!$A$1:$G$49,MATCH(orders!$D985,products!$A$1:$A$49,0),MATCH(orders!N$1,products!$A$1:$G$1,0)))</f>
        <v>0.60749999999999993</v>
      </c>
      <c r="O985" s="5">
        <f>M985*E985</f>
        <v>6.75</v>
      </c>
      <c r="P985" t="str">
        <f t="shared" si="30"/>
        <v>Arabica</v>
      </c>
      <c r="Q985" t="str">
        <f t="shared" si="31"/>
        <v>Medium</v>
      </c>
      <c r="R985" t="str">
        <f>_xlfn.XLOOKUP(Orders[[#This Row],[Customer ID]],customers!$A$1:$A$1001,customers!$I$1:$I$1001,,0)</f>
        <v>Yes</v>
      </c>
    </row>
    <row r="986" spans="1:18" x14ac:dyDescent="0.35">
      <c r="A986" s="2" t="s">
        <v>6053</v>
      </c>
      <c r="B986" s="3">
        <v>44214</v>
      </c>
      <c r="C986" s="2" t="s">
        <v>6054</v>
      </c>
      <c r="D986" t="s">
        <v>6166</v>
      </c>
      <c r="E986" s="2">
        <v>1</v>
      </c>
      <c r="F986" s="2" t="str">
        <f>_xlfn.XLOOKUP(Orders[[#This Row],[Customer ID]],customers!$A$1:$A$1001,customers!$B$1:$B$1001,,0)</f>
        <v>Ramon Cheak</v>
      </c>
      <c r="G986" s="2" t="str">
        <f>IF(_xlfn.XLOOKUP(C986,customers!$A$1:$A$1001,customers!C985:C1985,,0)=0,"",_xlfn.XLOOKUP(C986,customers!$A$1:$A$1001,customers!C985:C1985,,0))</f>
        <v/>
      </c>
      <c r="H986" s="2" t="str">
        <f>_xlfn.XLOOKUP(Orders[[#This Row],[Customer ID]],customers!$A$1:$A$1001,customers!$G$1:$G$1001,,0)</f>
        <v>Ireland</v>
      </c>
      <c r="I986" s="2" t="str">
        <f>_xlfn.XLOOKUP(Orders[[#This Row],[Customer ID]],customers!$A$1:$A$1001,customers!$F$1:$F$1001,,0)</f>
        <v>Bundoran</v>
      </c>
      <c r="J986" t="str">
        <f>INDEX(products!$A$1:$G$49,MATCH(orders!$D986,products!$A$1:$A$49,0),MATCH(orders!J$1,products!$A$1:$G$1,0))</f>
        <v>Exc</v>
      </c>
      <c r="K986" t="str">
        <f>INDEX(products!$A$1:$G$49,MATCH(orders!$D986,products!$A$1:$A$49,0),MATCH(orders!K$1,products!$A$1:$G$1,0))</f>
        <v>M</v>
      </c>
      <c r="L986" s="4">
        <f>INDEX(products!$A$1:$G$49,MATCH(orders!$D986,products!$A$1:$A$49,0),MATCH(orders!L$1,products!$A$1:$G$1,0))</f>
        <v>2.5</v>
      </c>
      <c r="M986" s="5">
        <f>INDEX(products!$A$1:$G$49,MATCH(orders!$D986,products!$A$1:$A$49,0),MATCH(orders!M$1,products!$A$1:$G$1,0))</f>
        <v>31.624999999999996</v>
      </c>
      <c r="N986" s="5">
        <f>Orders[[#This Row],[Quantity]]*(INDEX(products!$A$1:$G$49,MATCH(orders!$D986,products!$A$1:$A$49,0),MATCH(orders!N$1,products!$A$1:$G$1,0)))</f>
        <v>3.4787499999999998</v>
      </c>
      <c r="O986" s="5">
        <f>M986*E986</f>
        <v>31.624999999999996</v>
      </c>
      <c r="P986" t="str">
        <f t="shared" si="30"/>
        <v>Excelsa</v>
      </c>
      <c r="Q986" t="str">
        <f t="shared" si="31"/>
        <v>Medium</v>
      </c>
      <c r="R986" t="str">
        <f>_xlfn.XLOOKUP(Orders[[#This Row],[Customer ID]],customers!$A$1:$A$1001,customers!$I$1:$I$1001,,0)</f>
        <v>Yes</v>
      </c>
    </row>
    <row r="987" spans="1:18" x14ac:dyDescent="0.35">
      <c r="A987" s="2" t="s">
        <v>6058</v>
      </c>
      <c r="B987" s="3">
        <v>44561</v>
      </c>
      <c r="C987" s="2" t="s">
        <v>6059</v>
      </c>
      <c r="D987" t="s">
        <v>6179</v>
      </c>
      <c r="E987" s="2">
        <v>4</v>
      </c>
      <c r="F987" s="2" t="str">
        <f>_xlfn.XLOOKUP(Orders[[#This Row],[Customer ID]],customers!$A$1:$A$1001,customers!$B$1:$B$1001,,0)</f>
        <v>Koressa O'Geneay</v>
      </c>
      <c r="G987" s="2" t="str">
        <f>IF(_xlfn.XLOOKUP(C987,customers!$A$1:$A$1001,customers!C986:C1986,,0)=0,"",_xlfn.XLOOKUP(C987,customers!$A$1:$A$1001,customers!C986:C1986,,0))</f>
        <v/>
      </c>
      <c r="H987" s="2" t="str">
        <f>_xlfn.XLOOKUP(Orders[[#This Row],[Customer ID]],customers!$A$1:$A$1001,customers!$G$1:$G$1001,,0)</f>
        <v>United States</v>
      </c>
      <c r="I987" s="2" t="str">
        <f>_xlfn.XLOOKUP(Orders[[#This Row],[Customer ID]],customers!$A$1:$A$1001,customers!$F$1:$F$1001,,0)</f>
        <v>Aurora</v>
      </c>
      <c r="J987" t="str">
        <f>INDEX(products!$A$1:$G$49,MATCH(orders!$D987,products!$A$1:$A$49,0),MATCH(orders!J$1,products!$A$1:$G$1,0))</f>
        <v>Rob</v>
      </c>
      <c r="K987" t="str">
        <f>INDEX(products!$A$1:$G$49,MATCH(orders!$D987,products!$A$1:$A$49,0),MATCH(orders!K$1,products!$A$1:$G$1,0))</f>
        <v>L</v>
      </c>
      <c r="L987" s="4">
        <f>INDEX(products!$A$1:$G$49,MATCH(orders!$D987,products!$A$1:$A$49,0),MATCH(orders!L$1,products!$A$1:$G$1,0))</f>
        <v>1</v>
      </c>
      <c r="M987" s="5">
        <f>INDEX(products!$A$1:$G$49,MATCH(orders!$D987,products!$A$1:$A$49,0),MATCH(orders!M$1,products!$A$1:$G$1,0))</f>
        <v>11.95</v>
      </c>
      <c r="N987" s="5">
        <f>Orders[[#This Row],[Quantity]]*(INDEX(products!$A$1:$G$49,MATCH(orders!$D987,products!$A$1:$A$49,0),MATCH(orders!N$1,products!$A$1:$G$1,0)))</f>
        <v>2.8679999999999999</v>
      </c>
      <c r="O987" s="5">
        <f>M987*E987</f>
        <v>47.8</v>
      </c>
      <c r="P987" t="str">
        <f t="shared" si="30"/>
        <v>Robusta</v>
      </c>
      <c r="Q987" t="str">
        <f t="shared" si="31"/>
        <v>Light</v>
      </c>
      <c r="R987" t="str">
        <f>_xlfn.XLOOKUP(Orders[[#This Row],[Customer ID]],customers!$A$1:$A$1001,customers!$I$1:$I$1001,,0)</f>
        <v>No</v>
      </c>
    </row>
    <row r="988" spans="1:18" x14ac:dyDescent="0.35">
      <c r="A988" s="2" t="s">
        <v>6064</v>
      </c>
      <c r="B988" s="3">
        <v>43955</v>
      </c>
      <c r="C988" s="2" t="s">
        <v>6065</v>
      </c>
      <c r="D988" t="s">
        <v>6181</v>
      </c>
      <c r="E988" s="2">
        <v>1</v>
      </c>
      <c r="F988" s="2" t="str">
        <f>_xlfn.XLOOKUP(Orders[[#This Row],[Customer ID]],customers!$A$1:$A$1001,customers!$B$1:$B$1001,,0)</f>
        <v>Claudell Ayre</v>
      </c>
      <c r="G988" s="2" t="str">
        <f>IF(_xlfn.XLOOKUP(C988,customers!$A$1:$A$1001,customers!C987:C1987,,0)=0,"",_xlfn.XLOOKUP(C988,customers!$A$1:$A$1001,customers!C987:C1987,,0))</f>
        <v/>
      </c>
      <c r="H988" s="2" t="str">
        <f>_xlfn.XLOOKUP(Orders[[#This Row],[Customer ID]],customers!$A$1:$A$1001,customers!$G$1:$G$1001,,0)</f>
        <v>United States</v>
      </c>
      <c r="I988" s="2" t="str">
        <f>_xlfn.XLOOKUP(Orders[[#This Row],[Customer ID]],customers!$A$1:$A$1001,customers!$F$1:$F$1001,,0)</f>
        <v>Daytona Beach</v>
      </c>
      <c r="J988" t="str">
        <f>INDEX(products!$A$1:$G$49,MATCH(orders!$D988,products!$A$1:$A$49,0),MATCH(orders!J$1,products!$A$1:$G$1,0))</f>
        <v>Lib</v>
      </c>
      <c r="K988" t="str">
        <f>INDEX(products!$A$1:$G$49,MATCH(orders!$D988,products!$A$1:$A$49,0),MATCH(orders!K$1,products!$A$1:$G$1,0))</f>
        <v>M</v>
      </c>
      <c r="L988" s="4">
        <f>INDEX(products!$A$1:$G$49,MATCH(orders!$D988,products!$A$1:$A$49,0),MATCH(orders!L$1,products!$A$1:$G$1,0))</f>
        <v>2.5</v>
      </c>
      <c r="M988" s="5">
        <f>INDEX(products!$A$1:$G$49,MATCH(orders!$D988,products!$A$1:$A$49,0),MATCH(orders!M$1,products!$A$1:$G$1,0))</f>
        <v>33.464999999999996</v>
      </c>
      <c r="N988" s="5">
        <f>Orders[[#This Row],[Quantity]]*(INDEX(products!$A$1:$G$49,MATCH(orders!$D988,products!$A$1:$A$49,0),MATCH(orders!N$1,products!$A$1:$G$1,0)))</f>
        <v>4.3504499999999995</v>
      </c>
      <c r="O988" s="5">
        <f>M988*E988</f>
        <v>33.464999999999996</v>
      </c>
      <c r="P988" t="str">
        <f t="shared" si="30"/>
        <v>Liberica</v>
      </c>
      <c r="Q988" t="str">
        <f t="shared" si="31"/>
        <v>Medium</v>
      </c>
      <c r="R988" t="str">
        <f>_xlfn.XLOOKUP(Orders[[#This Row],[Customer ID]],customers!$A$1:$A$1001,customers!$I$1:$I$1001,,0)</f>
        <v>No</v>
      </c>
    </row>
    <row r="989" spans="1:18" x14ac:dyDescent="0.35">
      <c r="A989" s="2" t="s">
        <v>6070</v>
      </c>
      <c r="B989" s="3">
        <v>44247</v>
      </c>
      <c r="C989" s="2" t="s">
        <v>6071</v>
      </c>
      <c r="D989" t="s">
        <v>6158</v>
      </c>
      <c r="E989" s="2">
        <v>5</v>
      </c>
      <c r="F989" s="2" t="str">
        <f>_xlfn.XLOOKUP(Orders[[#This Row],[Customer ID]],customers!$A$1:$A$1001,customers!$B$1:$B$1001,,0)</f>
        <v>Lorianne Kyneton</v>
      </c>
      <c r="G989" s="2" t="str">
        <f>IF(_xlfn.XLOOKUP(C989,customers!$A$1:$A$1001,customers!C988:C1988,,0)=0,"",_xlfn.XLOOKUP(C989,customers!$A$1:$A$1001,customers!C988:C1988,,0))</f>
        <v/>
      </c>
      <c r="H989" s="2" t="str">
        <f>_xlfn.XLOOKUP(Orders[[#This Row],[Customer ID]],customers!$A$1:$A$1001,customers!$G$1:$G$1001,,0)</f>
        <v>United Kingdom</v>
      </c>
      <c r="I989" s="2" t="str">
        <f>_xlfn.XLOOKUP(Orders[[#This Row],[Customer ID]],customers!$A$1:$A$1001,customers!$F$1:$F$1001,,0)</f>
        <v>Seaton</v>
      </c>
      <c r="J989" t="str">
        <f>INDEX(products!$A$1:$G$49,MATCH(orders!$D989,products!$A$1:$A$49,0),MATCH(orders!J$1,products!$A$1:$G$1,0))</f>
        <v>Ara</v>
      </c>
      <c r="K989" t="str">
        <f>INDEX(products!$A$1:$G$49,MATCH(orders!$D989,products!$A$1:$A$49,0),MATCH(orders!K$1,products!$A$1:$G$1,0))</f>
        <v>D</v>
      </c>
      <c r="L989" s="4">
        <f>INDEX(products!$A$1:$G$49,MATCH(orders!$D989,products!$A$1:$A$49,0),MATCH(orders!L$1,products!$A$1:$G$1,0))</f>
        <v>0.5</v>
      </c>
      <c r="M989" s="5">
        <f>INDEX(products!$A$1:$G$49,MATCH(orders!$D989,products!$A$1:$A$49,0),MATCH(orders!M$1,products!$A$1:$G$1,0))</f>
        <v>5.97</v>
      </c>
      <c r="N989" s="5">
        <f>Orders[[#This Row],[Quantity]]*(INDEX(products!$A$1:$G$49,MATCH(orders!$D989,products!$A$1:$A$49,0),MATCH(orders!N$1,products!$A$1:$G$1,0)))</f>
        <v>2.6865000000000001</v>
      </c>
      <c r="O989" s="5">
        <f>M989*E989</f>
        <v>29.849999999999998</v>
      </c>
      <c r="P989" t="str">
        <f t="shared" si="30"/>
        <v>Arabica</v>
      </c>
      <c r="Q989" t="str">
        <f t="shared" si="31"/>
        <v>Dark</v>
      </c>
      <c r="R989" t="str">
        <f>_xlfn.XLOOKUP(Orders[[#This Row],[Customer ID]],customers!$A$1:$A$1001,customers!$I$1:$I$1001,,0)</f>
        <v>Yes</v>
      </c>
    </row>
    <row r="990" spans="1:18" x14ac:dyDescent="0.35">
      <c r="A990" s="2" t="s">
        <v>6076</v>
      </c>
      <c r="B990" s="3">
        <v>43897</v>
      </c>
      <c r="C990" s="2" t="s">
        <v>6077</v>
      </c>
      <c r="D990" t="s">
        <v>6138</v>
      </c>
      <c r="E990" s="2">
        <v>3</v>
      </c>
      <c r="F990" s="2" t="str">
        <f>_xlfn.XLOOKUP(Orders[[#This Row],[Customer ID]],customers!$A$1:$A$1001,customers!$B$1:$B$1001,,0)</f>
        <v>Adele McFayden</v>
      </c>
      <c r="G990" s="2" t="str">
        <f>IF(_xlfn.XLOOKUP(C990,customers!$A$1:$A$1001,customers!C989:C1989,,0)=0,"",_xlfn.XLOOKUP(C990,customers!$A$1:$A$1001,customers!C989:C1989,,0))</f>
        <v/>
      </c>
      <c r="H990" s="2" t="str">
        <f>_xlfn.XLOOKUP(Orders[[#This Row],[Customer ID]],customers!$A$1:$A$1001,customers!$G$1:$G$1001,,0)</f>
        <v>United Kingdom</v>
      </c>
      <c r="I990" s="2" t="str">
        <f>_xlfn.XLOOKUP(Orders[[#This Row],[Customer ID]],customers!$A$1:$A$1001,customers!$F$1:$F$1001,,0)</f>
        <v>Wirral</v>
      </c>
      <c r="J990" t="str">
        <f>INDEX(products!$A$1:$G$49,MATCH(orders!$D990,products!$A$1:$A$49,0),MATCH(orders!J$1,products!$A$1:$G$1,0))</f>
        <v>Rob</v>
      </c>
      <c r="K990" t="str">
        <f>INDEX(products!$A$1:$G$49,MATCH(orders!$D990,products!$A$1:$A$49,0),MATCH(orders!K$1,products!$A$1:$G$1,0))</f>
        <v>M</v>
      </c>
      <c r="L990" s="4">
        <f>INDEX(products!$A$1:$G$49,MATCH(orders!$D990,products!$A$1:$A$49,0),MATCH(orders!L$1,products!$A$1:$G$1,0))</f>
        <v>1</v>
      </c>
      <c r="M990" s="5">
        <f>INDEX(products!$A$1:$G$49,MATCH(orders!$D990,products!$A$1:$A$49,0),MATCH(orders!M$1,products!$A$1:$G$1,0))</f>
        <v>9.9499999999999993</v>
      </c>
      <c r="N990" s="5">
        <f>Orders[[#This Row],[Quantity]]*(INDEX(products!$A$1:$G$49,MATCH(orders!$D990,products!$A$1:$A$49,0),MATCH(orders!N$1,products!$A$1:$G$1,0)))</f>
        <v>1.7909999999999999</v>
      </c>
      <c r="O990" s="5">
        <f>M990*E990</f>
        <v>29.849999999999998</v>
      </c>
      <c r="P990" t="str">
        <f t="shared" si="30"/>
        <v>Robusta</v>
      </c>
      <c r="Q990" t="str">
        <f t="shared" si="31"/>
        <v>Medium</v>
      </c>
      <c r="R990" t="str">
        <f>_xlfn.XLOOKUP(Orders[[#This Row],[Customer ID]],customers!$A$1:$A$1001,customers!$I$1:$I$1001,,0)</f>
        <v>Yes</v>
      </c>
    </row>
    <row r="991" spans="1:18" x14ac:dyDescent="0.35">
      <c r="A991" s="2" t="s">
        <v>6081</v>
      </c>
      <c r="B991" s="3">
        <v>43560</v>
      </c>
      <c r="C991" s="2" t="s">
        <v>6082</v>
      </c>
      <c r="D991" t="s">
        <v>6175</v>
      </c>
      <c r="E991" s="2">
        <v>6</v>
      </c>
      <c r="F991" s="2" t="str">
        <f>_xlfn.XLOOKUP(Orders[[#This Row],[Customer ID]],customers!$A$1:$A$1001,customers!$B$1:$B$1001,,0)</f>
        <v>Herta Layne</v>
      </c>
      <c r="G991" s="2" t="str">
        <f>IF(_xlfn.XLOOKUP(C991,customers!$A$1:$A$1001,customers!C990:C1990,,0)=0,"",_xlfn.XLOOKUP(C991,customers!$A$1:$A$1001,customers!C990:C1990,,0))</f>
        <v/>
      </c>
      <c r="H991" s="2" t="str">
        <f>_xlfn.XLOOKUP(Orders[[#This Row],[Customer ID]],customers!$A$1:$A$1001,customers!$G$1:$G$1001,,0)</f>
        <v>United States</v>
      </c>
      <c r="I991" s="2" t="str">
        <f>_xlfn.XLOOKUP(Orders[[#This Row],[Customer ID]],customers!$A$1:$A$1001,customers!$F$1:$F$1001,,0)</f>
        <v>Saint Louis</v>
      </c>
      <c r="J991" t="str">
        <f>INDEX(products!$A$1:$G$49,MATCH(orders!$D991,products!$A$1:$A$49,0),MATCH(orders!J$1,products!$A$1:$G$1,0))</f>
        <v>Ara</v>
      </c>
      <c r="K991" t="str">
        <f>INDEX(products!$A$1:$G$49,MATCH(orders!$D991,products!$A$1:$A$49,0),MATCH(orders!K$1,products!$A$1:$G$1,0))</f>
        <v>M</v>
      </c>
      <c r="L991" s="4">
        <f>INDEX(products!$A$1:$G$49,MATCH(orders!$D991,products!$A$1:$A$49,0),MATCH(orders!L$1,products!$A$1:$G$1,0))</f>
        <v>2.5</v>
      </c>
      <c r="M991" s="5">
        <f>INDEX(products!$A$1:$G$49,MATCH(orders!$D991,products!$A$1:$A$49,0),MATCH(orders!M$1,products!$A$1:$G$1,0))</f>
        <v>25.874999999999996</v>
      </c>
      <c r="N991" s="5">
        <f>Orders[[#This Row],[Quantity]]*(INDEX(products!$A$1:$G$49,MATCH(orders!$D991,products!$A$1:$A$49,0),MATCH(orders!N$1,products!$A$1:$G$1,0)))</f>
        <v>13.972499999999997</v>
      </c>
      <c r="O991" s="5">
        <f>M991*E991</f>
        <v>155.24999999999997</v>
      </c>
      <c r="P991" t="str">
        <f t="shared" si="30"/>
        <v>Arabica</v>
      </c>
      <c r="Q991" t="str">
        <f t="shared" si="31"/>
        <v>Medium</v>
      </c>
      <c r="R991" t="str">
        <f>_xlfn.XLOOKUP(Orders[[#This Row],[Customer ID]],customers!$A$1:$A$1001,customers!$I$1:$I$1001,,0)</f>
        <v>Yes</v>
      </c>
    </row>
    <row r="992" spans="1:18" x14ac:dyDescent="0.35">
      <c r="A992" s="2" t="s">
        <v>6086</v>
      </c>
      <c r="B992" s="3">
        <v>44718</v>
      </c>
      <c r="C992" s="2" t="s">
        <v>6118</v>
      </c>
      <c r="D992" t="s">
        <v>6153</v>
      </c>
      <c r="E992" s="2">
        <v>5</v>
      </c>
      <c r="F992" s="2" t="str">
        <f>_xlfn.XLOOKUP(Orders[[#This Row],[Customer ID]],customers!$A$1:$A$1001,customers!$B$1:$B$1001,,0)</f>
        <v>Marguerite Graves</v>
      </c>
      <c r="G992" s="2" t="str">
        <f>IF(_xlfn.XLOOKUP(C992,customers!$A$1:$A$1001,customers!C991:C1991,,0)=0,"",_xlfn.XLOOKUP(C992,customers!$A$1:$A$1001,customers!C991:C1991,,0))</f>
        <v/>
      </c>
      <c r="H992" s="2" t="str">
        <f>_xlfn.XLOOKUP(Orders[[#This Row],[Customer ID]],customers!$A$1:$A$1001,customers!$G$1:$G$1001,,0)</f>
        <v>United States</v>
      </c>
      <c r="I992" s="2" t="str">
        <f>_xlfn.XLOOKUP(Orders[[#This Row],[Customer ID]],customers!$A$1:$A$1001,customers!$F$1:$F$1001,,0)</f>
        <v>Fort Smith</v>
      </c>
      <c r="J992" t="str">
        <f>INDEX(products!$A$1:$G$49,MATCH(orders!$D992,products!$A$1:$A$49,0),MATCH(orders!J$1,products!$A$1:$G$1,0))</f>
        <v>Exc</v>
      </c>
      <c r="K992" t="str">
        <f>INDEX(products!$A$1:$G$49,MATCH(orders!$D992,products!$A$1:$A$49,0),MATCH(orders!K$1,products!$A$1:$G$1,0))</f>
        <v>D</v>
      </c>
      <c r="L992" s="4">
        <f>INDEX(products!$A$1:$G$49,MATCH(orders!$D992,products!$A$1:$A$49,0),MATCH(orders!L$1,products!$A$1:$G$1,0))</f>
        <v>0.2</v>
      </c>
      <c r="M992" s="5">
        <f>INDEX(products!$A$1:$G$49,MATCH(orders!$D992,products!$A$1:$A$49,0),MATCH(orders!M$1,products!$A$1:$G$1,0))</f>
        <v>3.645</v>
      </c>
      <c r="N992" s="5">
        <f>Orders[[#This Row],[Quantity]]*(INDEX(products!$A$1:$G$49,MATCH(orders!$D992,products!$A$1:$A$49,0),MATCH(orders!N$1,products!$A$1:$G$1,0)))</f>
        <v>2.00475</v>
      </c>
      <c r="O992" s="5">
        <f>M992*E992</f>
        <v>18.225000000000001</v>
      </c>
      <c r="P992" t="str">
        <f t="shared" si="30"/>
        <v>Excelsa</v>
      </c>
      <c r="Q992" t="str">
        <f t="shared" si="31"/>
        <v>Dark</v>
      </c>
      <c r="R992" t="str">
        <f>_xlfn.XLOOKUP(Orders[[#This Row],[Customer ID]],customers!$A$1:$A$1001,customers!$I$1:$I$1001,,0)</f>
        <v>No</v>
      </c>
    </row>
    <row r="993" spans="1:18" x14ac:dyDescent="0.35">
      <c r="A993" s="2" t="s">
        <v>6086</v>
      </c>
      <c r="B993" s="3">
        <v>44718</v>
      </c>
      <c r="C993" s="2" t="s">
        <v>6118</v>
      </c>
      <c r="D993" t="s">
        <v>6169</v>
      </c>
      <c r="E993" s="2">
        <v>2</v>
      </c>
      <c r="F993" s="2" t="str">
        <f>_xlfn.XLOOKUP(Orders[[#This Row],[Customer ID]],customers!$A$1:$A$1001,customers!$B$1:$B$1001,,0)</f>
        <v>Marguerite Graves</v>
      </c>
      <c r="G993" s="2" t="str">
        <f>IF(_xlfn.XLOOKUP(C993,customers!$A$1:$A$1001,customers!C992:C1992,,0)=0,"",_xlfn.XLOOKUP(C993,customers!$A$1:$A$1001,customers!C992:C1992,,0))</f>
        <v/>
      </c>
      <c r="H993" s="2" t="str">
        <f>_xlfn.XLOOKUP(Orders[[#This Row],[Customer ID]],customers!$A$1:$A$1001,customers!$G$1:$G$1001,,0)</f>
        <v>United States</v>
      </c>
      <c r="I993" s="2" t="str">
        <f>_xlfn.XLOOKUP(Orders[[#This Row],[Customer ID]],customers!$A$1:$A$1001,customers!$F$1:$F$1001,,0)</f>
        <v>Fort Smith</v>
      </c>
      <c r="J993" t="str">
        <f>INDEX(products!$A$1:$G$49,MATCH(orders!$D993,products!$A$1:$A$49,0),MATCH(orders!J$1,products!$A$1:$G$1,0))</f>
        <v>Lib</v>
      </c>
      <c r="K993" t="str">
        <f>INDEX(products!$A$1:$G$49,MATCH(orders!$D993,products!$A$1:$A$49,0),MATCH(orders!K$1,products!$A$1:$G$1,0))</f>
        <v>D</v>
      </c>
      <c r="L993" s="4">
        <f>INDEX(products!$A$1:$G$49,MATCH(orders!$D993,products!$A$1:$A$49,0),MATCH(orders!L$1,products!$A$1:$G$1,0))</f>
        <v>0.5</v>
      </c>
      <c r="M993" s="5">
        <f>INDEX(products!$A$1:$G$49,MATCH(orders!$D993,products!$A$1:$A$49,0),MATCH(orders!M$1,products!$A$1:$G$1,0))</f>
        <v>7.77</v>
      </c>
      <c r="N993" s="5">
        <f>Orders[[#This Row],[Quantity]]*(INDEX(products!$A$1:$G$49,MATCH(orders!$D993,products!$A$1:$A$49,0),MATCH(orders!N$1,products!$A$1:$G$1,0)))</f>
        <v>2.0202</v>
      </c>
      <c r="O993" s="5">
        <f>M993*E993</f>
        <v>15.54</v>
      </c>
      <c r="P993" t="str">
        <f t="shared" si="30"/>
        <v>Liberica</v>
      </c>
      <c r="Q993" t="str">
        <f t="shared" si="31"/>
        <v>Dark</v>
      </c>
      <c r="R993" t="str">
        <f>_xlfn.XLOOKUP(Orders[[#This Row],[Customer ID]],customers!$A$1:$A$1001,customers!$I$1:$I$1001,,0)</f>
        <v>No</v>
      </c>
    </row>
    <row r="994" spans="1:18" x14ac:dyDescent="0.35">
      <c r="A994" s="2" t="s">
        <v>6096</v>
      </c>
      <c r="B994" s="3">
        <v>44276</v>
      </c>
      <c r="C994" s="2" t="s">
        <v>6097</v>
      </c>
      <c r="D994" t="s">
        <v>6164</v>
      </c>
      <c r="E994" s="2">
        <v>3</v>
      </c>
      <c r="F994" s="2" t="str">
        <f>_xlfn.XLOOKUP(Orders[[#This Row],[Customer ID]],customers!$A$1:$A$1001,customers!$B$1:$B$1001,,0)</f>
        <v>Desdemona Eye</v>
      </c>
      <c r="G994" s="2" t="str">
        <f>IF(_xlfn.XLOOKUP(C994,customers!$A$1:$A$1001,customers!C993:C1993,,0)=0,"",_xlfn.XLOOKUP(C994,customers!$A$1:$A$1001,customers!C993:C1993,,0))</f>
        <v/>
      </c>
      <c r="H994" s="2" t="str">
        <f>_xlfn.XLOOKUP(Orders[[#This Row],[Customer ID]],customers!$A$1:$A$1001,customers!$G$1:$G$1001,,0)</f>
        <v>Ireland</v>
      </c>
      <c r="I994" s="2" t="str">
        <f>_xlfn.XLOOKUP(Orders[[#This Row],[Customer ID]],customers!$A$1:$A$1001,customers!$F$1:$F$1001,,0)</f>
        <v>Bagenalstown</v>
      </c>
      <c r="J994" t="str">
        <f>INDEX(products!$A$1:$G$49,MATCH(orders!$D994,products!$A$1:$A$49,0),MATCH(orders!J$1,products!$A$1:$G$1,0))</f>
        <v>Lib</v>
      </c>
      <c r="K994" t="str">
        <f>INDEX(products!$A$1:$G$49,MATCH(orders!$D994,products!$A$1:$A$49,0),MATCH(orders!K$1,products!$A$1:$G$1,0))</f>
        <v>L</v>
      </c>
      <c r="L994" s="4">
        <f>INDEX(products!$A$1:$G$49,MATCH(orders!$D994,products!$A$1:$A$49,0),MATCH(orders!L$1,products!$A$1:$G$1,0))</f>
        <v>2.5</v>
      </c>
      <c r="M994" s="5">
        <f>INDEX(products!$A$1:$G$49,MATCH(orders!$D994,products!$A$1:$A$49,0),MATCH(orders!M$1,products!$A$1:$G$1,0))</f>
        <v>36.454999999999998</v>
      </c>
      <c r="N994" s="5">
        <f>Orders[[#This Row],[Quantity]]*(INDEX(products!$A$1:$G$49,MATCH(orders!$D994,products!$A$1:$A$49,0),MATCH(orders!N$1,products!$A$1:$G$1,0)))</f>
        <v>14.217449999999999</v>
      </c>
      <c r="O994" s="5">
        <f>M994*E994</f>
        <v>109.36499999999999</v>
      </c>
      <c r="P994" t="str">
        <f t="shared" si="30"/>
        <v>Liberica</v>
      </c>
      <c r="Q994" t="str">
        <f t="shared" si="31"/>
        <v>Light</v>
      </c>
      <c r="R994" t="str">
        <f>_xlfn.XLOOKUP(Orders[[#This Row],[Customer ID]],customers!$A$1:$A$1001,customers!$I$1:$I$1001,,0)</f>
        <v>No</v>
      </c>
    </row>
    <row r="995" spans="1:18" x14ac:dyDescent="0.35">
      <c r="A995" s="2" t="s">
        <v>6101</v>
      </c>
      <c r="B995" s="3">
        <v>44549</v>
      </c>
      <c r="C995" s="2" t="s">
        <v>6102</v>
      </c>
      <c r="D995" t="s">
        <v>6140</v>
      </c>
      <c r="E995" s="2">
        <v>6</v>
      </c>
      <c r="F995" s="2" t="str">
        <f>_xlfn.XLOOKUP(Orders[[#This Row],[Customer ID]],customers!$A$1:$A$1001,customers!$B$1:$B$1001,,0)</f>
        <v>Margarette Sterland</v>
      </c>
      <c r="G995" s="2" t="str">
        <f>IF(_xlfn.XLOOKUP(C995,customers!$A$1:$A$1001,customers!C994:C1994,,0)=0,"",_xlfn.XLOOKUP(C995,customers!$A$1:$A$1001,customers!C994:C1994,,0))</f>
        <v/>
      </c>
      <c r="H995" s="2" t="str">
        <f>_xlfn.XLOOKUP(Orders[[#This Row],[Customer ID]],customers!$A$1:$A$1001,customers!$G$1:$G$1001,,0)</f>
        <v>United States</v>
      </c>
      <c r="I995" s="2" t="str">
        <f>_xlfn.XLOOKUP(Orders[[#This Row],[Customer ID]],customers!$A$1:$A$1001,customers!$F$1:$F$1001,,0)</f>
        <v>Philadelphia</v>
      </c>
      <c r="J995" t="str">
        <f>INDEX(products!$A$1:$G$49,MATCH(orders!$D995,products!$A$1:$A$49,0),MATCH(orders!J$1,products!$A$1:$G$1,0))</f>
        <v>Ara</v>
      </c>
      <c r="K995" t="str">
        <f>INDEX(products!$A$1:$G$49,MATCH(orders!$D995,products!$A$1:$A$49,0),MATCH(orders!K$1,products!$A$1:$G$1,0))</f>
        <v>L</v>
      </c>
      <c r="L995" s="4">
        <f>INDEX(products!$A$1:$G$49,MATCH(orders!$D995,products!$A$1:$A$49,0),MATCH(orders!L$1,products!$A$1:$G$1,0))</f>
        <v>1</v>
      </c>
      <c r="M995" s="5">
        <f>INDEX(products!$A$1:$G$49,MATCH(orders!$D995,products!$A$1:$A$49,0),MATCH(orders!M$1,products!$A$1:$G$1,0))</f>
        <v>12.95</v>
      </c>
      <c r="N995" s="5">
        <f>Orders[[#This Row],[Quantity]]*(INDEX(products!$A$1:$G$49,MATCH(orders!$D995,products!$A$1:$A$49,0),MATCH(orders!N$1,products!$A$1:$G$1,0)))</f>
        <v>6.9930000000000003</v>
      </c>
      <c r="O995" s="5">
        <f>M995*E995</f>
        <v>77.699999999999989</v>
      </c>
      <c r="P995" t="str">
        <f t="shared" si="30"/>
        <v>Arabica</v>
      </c>
      <c r="Q995" t="str">
        <f t="shared" si="31"/>
        <v>Light</v>
      </c>
      <c r="R995" t="str">
        <f>_xlfn.XLOOKUP(Orders[[#This Row],[Customer ID]],customers!$A$1:$A$1001,customers!$I$1:$I$1001,,0)</f>
        <v>No</v>
      </c>
    </row>
    <row r="996" spans="1:18" x14ac:dyDescent="0.35">
      <c r="A996" s="2" t="s">
        <v>6106</v>
      </c>
      <c r="B996" s="3">
        <v>44244</v>
      </c>
      <c r="C996" s="2" t="s">
        <v>6107</v>
      </c>
      <c r="D996" t="s">
        <v>6154</v>
      </c>
      <c r="E996" s="2">
        <v>3</v>
      </c>
      <c r="F996" s="2" t="str">
        <f>_xlfn.XLOOKUP(Orders[[#This Row],[Customer ID]],customers!$A$1:$A$1001,customers!$B$1:$B$1001,,0)</f>
        <v>Catharine Scoines</v>
      </c>
      <c r="G996" s="2" t="str">
        <f>IF(_xlfn.XLOOKUP(C996,customers!$A$1:$A$1001,customers!C995:C1995,,0)=0,"",_xlfn.XLOOKUP(C996,customers!$A$1:$A$1001,customers!C995:C1995,,0))</f>
        <v/>
      </c>
      <c r="H996" s="2" t="str">
        <f>_xlfn.XLOOKUP(Orders[[#This Row],[Customer ID]],customers!$A$1:$A$1001,customers!$G$1:$G$1001,,0)</f>
        <v>Ireland</v>
      </c>
      <c r="I996" s="2" t="str">
        <f>_xlfn.XLOOKUP(Orders[[#This Row],[Customer ID]],customers!$A$1:$A$1001,customers!$F$1:$F$1001,,0)</f>
        <v>Watergrasshill</v>
      </c>
      <c r="J996" t="str">
        <f>INDEX(products!$A$1:$G$49,MATCH(orders!$D996,products!$A$1:$A$49,0),MATCH(orders!J$1,products!$A$1:$G$1,0))</f>
        <v>Ara</v>
      </c>
      <c r="K996" t="str">
        <f>INDEX(products!$A$1:$G$49,MATCH(orders!$D996,products!$A$1:$A$49,0),MATCH(orders!K$1,products!$A$1:$G$1,0))</f>
        <v>D</v>
      </c>
      <c r="L996" s="4">
        <f>INDEX(products!$A$1:$G$49,MATCH(orders!$D996,products!$A$1:$A$49,0),MATCH(orders!L$1,products!$A$1:$G$1,0))</f>
        <v>0.2</v>
      </c>
      <c r="M996" s="5">
        <f>INDEX(products!$A$1:$G$49,MATCH(orders!$D996,products!$A$1:$A$49,0),MATCH(orders!M$1,products!$A$1:$G$1,0))</f>
        <v>2.9849999999999999</v>
      </c>
      <c r="N996" s="5">
        <f>Orders[[#This Row],[Quantity]]*(INDEX(products!$A$1:$G$49,MATCH(orders!$D996,products!$A$1:$A$49,0),MATCH(orders!N$1,products!$A$1:$G$1,0)))</f>
        <v>0.80594999999999994</v>
      </c>
      <c r="O996" s="5">
        <f>M996*E996</f>
        <v>8.9550000000000001</v>
      </c>
      <c r="P996" t="str">
        <f t="shared" si="30"/>
        <v>Arabica</v>
      </c>
      <c r="Q996" t="str">
        <f t="shared" si="31"/>
        <v>Dark</v>
      </c>
      <c r="R996" t="str">
        <f>_xlfn.XLOOKUP(Orders[[#This Row],[Customer ID]],customers!$A$1:$A$1001,customers!$I$1:$I$1001,,0)</f>
        <v>No</v>
      </c>
    </row>
    <row r="997" spans="1:18" x14ac:dyDescent="0.35">
      <c r="A997" s="2" t="s">
        <v>6111</v>
      </c>
      <c r="B997" s="3">
        <v>43836</v>
      </c>
      <c r="C997" s="2" t="s">
        <v>6112</v>
      </c>
      <c r="D997" t="s">
        <v>6142</v>
      </c>
      <c r="E997" s="2">
        <v>1</v>
      </c>
      <c r="F997" s="2" t="str">
        <f>_xlfn.XLOOKUP(Orders[[#This Row],[Customer ID]],customers!$A$1:$A$1001,customers!$B$1:$B$1001,,0)</f>
        <v>Jennica Tewelson</v>
      </c>
      <c r="G997" s="2" t="str">
        <f>IF(_xlfn.XLOOKUP(C997,customers!$A$1:$A$1001,customers!C996:C1996,,0)=0,"",_xlfn.XLOOKUP(C997,customers!$A$1:$A$1001,customers!C996:C1996,,0))</f>
        <v/>
      </c>
      <c r="H997" s="2" t="str">
        <f>_xlfn.XLOOKUP(Orders[[#This Row],[Customer ID]],customers!$A$1:$A$1001,customers!$G$1:$G$1001,,0)</f>
        <v>United States</v>
      </c>
      <c r="I997" s="2" t="str">
        <f>_xlfn.XLOOKUP(Orders[[#This Row],[Customer ID]],customers!$A$1:$A$1001,customers!$F$1:$F$1001,,0)</f>
        <v>Dallas</v>
      </c>
      <c r="J997" t="str">
        <f>INDEX(products!$A$1:$G$49,MATCH(orders!$D997,products!$A$1:$A$49,0),MATCH(orders!J$1,products!$A$1:$G$1,0))</f>
        <v>Rob</v>
      </c>
      <c r="K997" t="str">
        <f>INDEX(products!$A$1:$G$49,MATCH(orders!$D997,products!$A$1:$A$49,0),MATCH(orders!K$1,products!$A$1:$G$1,0))</f>
        <v>L</v>
      </c>
      <c r="L997" s="4">
        <f>INDEX(products!$A$1:$G$49,MATCH(orders!$D997,products!$A$1:$A$49,0),MATCH(orders!L$1,products!$A$1:$G$1,0))</f>
        <v>2.5</v>
      </c>
      <c r="M997" s="5">
        <f>INDEX(products!$A$1:$G$49,MATCH(orders!$D997,products!$A$1:$A$49,0),MATCH(orders!M$1,products!$A$1:$G$1,0))</f>
        <v>27.484999999999996</v>
      </c>
      <c r="N997" s="5">
        <f>Orders[[#This Row],[Quantity]]*(INDEX(products!$A$1:$G$49,MATCH(orders!$D997,products!$A$1:$A$49,0),MATCH(orders!N$1,products!$A$1:$G$1,0)))</f>
        <v>1.6490999999999998</v>
      </c>
      <c r="O997" s="5">
        <f>M997*E997</f>
        <v>27.484999999999996</v>
      </c>
      <c r="P997" t="str">
        <f t="shared" si="30"/>
        <v>Robusta</v>
      </c>
      <c r="Q997" t="str">
        <f t="shared" si="31"/>
        <v>Light</v>
      </c>
      <c r="R997" t="str">
        <f>_xlfn.XLOOKUP(Orders[[#This Row],[Customer ID]],customers!$A$1:$A$1001,customers!$I$1:$I$1001,,0)</f>
        <v>No</v>
      </c>
    </row>
    <row r="998" spans="1:18" x14ac:dyDescent="0.35">
      <c r="A998" s="2" t="s">
        <v>6117</v>
      </c>
      <c r="B998" s="3">
        <v>44685</v>
      </c>
      <c r="C998" s="2" t="s">
        <v>6118</v>
      </c>
      <c r="D998" t="s">
        <v>6146</v>
      </c>
      <c r="E998" s="2">
        <v>5</v>
      </c>
      <c r="F998" s="2" t="str">
        <f>_xlfn.XLOOKUP(Orders[[#This Row],[Customer ID]],customers!$A$1:$A$1001,customers!$B$1:$B$1001,,0)</f>
        <v>Marguerite Graves</v>
      </c>
      <c r="G998" s="2" t="str">
        <f>IF(_xlfn.XLOOKUP(C998,customers!$A$1:$A$1001,customers!C997:C1997,,0)=0,"",_xlfn.XLOOKUP(C998,customers!$A$1:$A$1001,customers!C997:C1997,,0))</f>
        <v/>
      </c>
      <c r="H998" s="2" t="str">
        <f>_xlfn.XLOOKUP(Orders[[#This Row],[Customer ID]],customers!$A$1:$A$1001,customers!$G$1:$G$1001,,0)</f>
        <v>United States</v>
      </c>
      <c r="I998" s="2" t="str">
        <f>_xlfn.XLOOKUP(Orders[[#This Row],[Customer ID]],customers!$A$1:$A$1001,customers!$F$1:$F$1001,,0)</f>
        <v>Fort Smith</v>
      </c>
      <c r="J998" t="str">
        <f>INDEX(products!$A$1:$G$49,MATCH(orders!$D998,products!$A$1:$A$49,0),MATCH(orders!J$1,products!$A$1:$G$1,0))</f>
        <v>Rob</v>
      </c>
      <c r="K998" t="str">
        <f>INDEX(products!$A$1:$G$49,MATCH(orders!$D998,products!$A$1:$A$49,0),MATCH(orders!K$1,products!$A$1:$G$1,0))</f>
        <v>M</v>
      </c>
      <c r="L998" s="4">
        <f>INDEX(products!$A$1:$G$49,MATCH(orders!$D998,products!$A$1:$A$49,0),MATCH(orders!L$1,products!$A$1:$G$1,0))</f>
        <v>0.5</v>
      </c>
      <c r="M998" s="5">
        <f>INDEX(products!$A$1:$G$49,MATCH(orders!$D998,products!$A$1:$A$49,0),MATCH(orders!M$1,products!$A$1:$G$1,0))</f>
        <v>5.97</v>
      </c>
      <c r="N998" s="5">
        <f>Orders[[#This Row],[Quantity]]*(INDEX(products!$A$1:$G$49,MATCH(orders!$D998,products!$A$1:$A$49,0),MATCH(orders!N$1,products!$A$1:$G$1,0)))</f>
        <v>1.7909999999999999</v>
      </c>
      <c r="O998" s="5">
        <f>M998*E998</f>
        <v>29.849999999999998</v>
      </c>
      <c r="P998" t="str">
        <f t="shared" si="30"/>
        <v>Robusta</v>
      </c>
      <c r="Q998" t="str">
        <f t="shared" si="31"/>
        <v>Medium</v>
      </c>
      <c r="R998" t="str">
        <f>_xlfn.XLOOKUP(Orders[[#This Row],[Customer ID]],customers!$A$1:$A$1001,customers!$I$1:$I$1001,,0)</f>
        <v>No</v>
      </c>
    </row>
    <row r="999" spans="1:18" x14ac:dyDescent="0.35">
      <c r="A999" s="2" t="s">
        <v>6122</v>
      </c>
      <c r="B999" s="3">
        <v>43749</v>
      </c>
      <c r="C999" s="2" t="s">
        <v>6118</v>
      </c>
      <c r="D999" t="s">
        <v>6157</v>
      </c>
      <c r="E999" s="2">
        <v>4</v>
      </c>
      <c r="F999" s="2" t="str">
        <f>_xlfn.XLOOKUP(Orders[[#This Row],[Customer ID]],customers!$A$1:$A$1001,customers!$B$1:$B$1001,,0)</f>
        <v>Marguerite Graves</v>
      </c>
      <c r="G999" s="2" t="str">
        <f>IF(_xlfn.XLOOKUP(C999,customers!$A$1:$A$1001,customers!C998:C1998,,0)=0,"",_xlfn.XLOOKUP(C999,customers!$A$1:$A$1001,customers!C998:C1998,,0))</f>
        <v/>
      </c>
      <c r="H999" s="2" t="str">
        <f>_xlfn.XLOOKUP(Orders[[#This Row],[Customer ID]],customers!$A$1:$A$1001,customers!$G$1:$G$1001,,0)</f>
        <v>United States</v>
      </c>
      <c r="I999" s="2" t="str">
        <f>_xlfn.XLOOKUP(Orders[[#This Row],[Customer ID]],customers!$A$1:$A$1001,customers!$F$1:$F$1001,,0)</f>
        <v>Fort Smith</v>
      </c>
      <c r="J999" t="str">
        <f>INDEX(products!$A$1:$G$49,MATCH(orders!$D999,products!$A$1:$A$49,0),MATCH(orders!J$1,products!$A$1:$G$1,0))</f>
        <v>Ara</v>
      </c>
      <c r="K999" t="str">
        <f>INDEX(products!$A$1:$G$49,MATCH(orders!$D999,products!$A$1:$A$49,0),MATCH(orders!K$1,products!$A$1:$G$1,0))</f>
        <v>M</v>
      </c>
      <c r="L999" s="4">
        <f>INDEX(products!$A$1:$G$49,MATCH(orders!$D999,products!$A$1:$A$49,0),MATCH(orders!L$1,products!$A$1:$G$1,0))</f>
        <v>0.5</v>
      </c>
      <c r="M999" s="5">
        <f>INDEX(products!$A$1:$G$49,MATCH(orders!$D999,products!$A$1:$A$49,0),MATCH(orders!M$1,products!$A$1:$G$1,0))</f>
        <v>6.75</v>
      </c>
      <c r="N999" s="5">
        <f>Orders[[#This Row],[Quantity]]*(INDEX(products!$A$1:$G$49,MATCH(orders!$D999,products!$A$1:$A$49,0),MATCH(orders!N$1,products!$A$1:$G$1,0)))</f>
        <v>2.4299999999999997</v>
      </c>
      <c r="O999" s="5">
        <f>M999*E999</f>
        <v>27</v>
      </c>
      <c r="P999" t="str">
        <f t="shared" si="30"/>
        <v>Arabica</v>
      </c>
      <c r="Q999" t="str">
        <f t="shared" si="31"/>
        <v>Medium</v>
      </c>
      <c r="R999" t="str">
        <f>_xlfn.XLOOKUP(Orders[[#This Row],[Customer ID]],customers!$A$1:$A$1001,customers!$I$1:$I$1001,,0)</f>
        <v>No</v>
      </c>
    </row>
    <row r="1000" spans="1:18" x14ac:dyDescent="0.35">
      <c r="A1000" s="2" t="s">
        <v>6127</v>
      </c>
      <c r="B1000" s="3">
        <v>44411</v>
      </c>
      <c r="C1000" s="2" t="s">
        <v>6128</v>
      </c>
      <c r="D1000" t="s">
        <v>6147</v>
      </c>
      <c r="E1000" s="2">
        <v>1</v>
      </c>
      <c r="F1000" s="2" t="str">
        <f>_xlfn.XLOOKUP(Orders[[#This Row],[Customer ID]],customers!$A$1:$A$1001,customers!$B$1:$B$1001,,0)</f>
        <v>Nicolina Jenny</v>
      </c>
      <c r="G1000" s="2" t="str">
        <f>IF(_xlfn.XLOOKUP(C1000,customers!$A$1:$A$1001,customers!C999:C1999,,0)=0,"",_xlfn.XLOOKUP(C1000,customers!$A$1:$A$1001,customers!C999:C1999,,0))</f>
        <v/>
      </c>
      <c r="H1000" s="2" t="str">
        <f>_xlfn.XLOOKUP(Orders[[#This Row],[Customer ID]],customers!$A$1:$A$1001,customers!$G$1:$G$1001,,0)</f>
        <v>United States</v>
      </c>
      <c r="I1000" s="2" t="str">
        <f>_xlfn.XLOOKUP(Orders[[#This Row],[Customer ID]],customers!$A$1:$A$1001,customers!$F$1:$F$1001,,0)</f>
        <v>Whittier</v>
      </c>
      <c r="J1000" t="str">
        <f>INDEX(products!$A$1:$G$49,MATCH(orders!$D1000,products!$A$1:$A$49,0),MATCH(orders!J$1,products!$A$1:$G$1,0))</f>
        <v>Ara</v>
      </c>
      <c r="K1000" t="str">
        <f>INDEX(products!$A$1:$G$49,MATCH(orders!$D1000,products!$A$1:$A$49,0),MATCH(orders!K$1,products!$A$1:$G$1,0))</f>
        <v>D</v>
      </c>
      <c r="L1000" s="4">
        <f>INDEX(products!$A$1:$G$49,MATCH(orders!$D1000,products!$A$1:$A$49,0),MATCH(orders!L$1,products!$A$1:$G$1,0))</f>
        <v>1</v>
      </c>
      <c r="M1000" s="5">
        <f>INDEX(products!$A$1:$G$49,MATCH(orders!$D1000,products!$A$1:$A$49,0),MATCH(orders!M$1,products!$A$1:$G$1,0))</f>
        <v>9.9499999999999993</v>
      </c>
      <c r="N1000" s="5">
        <f>Orders[[#This Row],[Quantity]]*(INDEX(products!$A$1:$G$49,MATCH(orders!$D1000,products!$A$1:$A$49,0),MATCH(orders!N$1,products!$A$1:$G$1,0)))</f>
        <v>0.89549999999999985</v>
      </c>
      <c r="O1000" s="5">
        <f>M1000*E1000</f>
        <v>9.9499999999999993</v>
      </c>
      <c r="P1000" t="str">
        <f t="shared" si="30"/>
        <v>Arabica</v>
      </c>
      <c r="Q1000" t="str">
        <f t="shared" si="31"/>
        <v>Dark</v>
      </c>
      <c r="R1000" t="str">
        <f>_xlfn.XLOOKUP(Orders[[#This Row],[Customer ID]],customers!$A$1:$A$1001,customers!$I$1:$I$1001,,0)</f>
        <v>No</v>
      </c>
    </row>
    <row r="1001" spans="1:18" x14ac:dyDescent="0.35">
      <c r="A1001" s="2" t="s">
        <v>6133</v>
      </c>
      <c r="B1001" s="3">
        <v>44119</v>
      </c>
      <c r="C1001" s="2" t="s">
        <v>6134</v>
      </c>
      <c r="D1001" t="s">
        <v>6156</v>
      </c>
      <c r="E1001" s="2">
        <v>3</v>
      </c>
      <c r="F1001" s="2" t="str">
        <f>_xlfn.XLOOKUP(Orders[[#This Row],[Customer ID]],customers!$A$1:$A$1001,customers!$B$1:$B$1001,,0)</f>
        <v>Vidovic Antonelli</v>
      </c>
      <c r="G1001" s="2" t="str">
        <f>IF(_xlfn.XLOOKUP(C1001,customers!$A$1:$A$1001,customers!C1000:C2000,,0)=0,"",_xlfn.XLOOKUP(C1001,customers!$A$1:$A$1001,customers!C1000:C2000,,0))</f>
        <v/>
      </c>
      <c r="H1001" s="2" t="str">
        <f>_xlfn.XLOOKUP(Orders[[#This Row],[Customer ID]],customers!$A$1:$A$1001,customers!$G$1:$G$1001,,0)</f>
        <v>United Kingdom</v>
      </c>
      <c r="I1001" s="2" t="str">
        <f>_xlfn.XLOOKUP(Orders[[#This Row],[Customer ID]],customers!$A$1:$A$1001,customers!$F$1:$F$1001,,0)</f>
        <v>London</v>
      </c>
      <c r="J1001" t="str">
        <f>INDEX(products!$A$1:$G$49,MATCH(orders!$D1001,products!$A$1:$A$49,0),MATCH(orders!J$1,products!$A$1:$G$1,0))</f>
        <v>Exc</v>
      </c>
      <c r="K1001" t="str">
        <f>INDEX(products!$A$1:$G$49,MATCH(orders!$D1001,products!$A$1:$A$49,0),MATCH(orders!K$1,products!$A$1:$G$1,0))</f>
        <v>M</v>
      </c>
      <c r="L1001" s="4">
        <f>INDEX(products!$A$1:$G$49,MATCH(orders!$D1001,products!$A$1:$A$49,0),MATCH(orders!L$1,products!$A$1:$G$1,0))</f>
        <v>0.2</v>
      </c>
      <c r="M1001" s="5">
        <f>INDEX(products!$A$1:$G$49,MATCH(orders!$D1001,products!$A$1:$A$49,0),MATCH(orders!M$1,products!$A$1:$G$1,0))</f>
        <v>4.125</v>
      </c>
      <c r="N1001" s="5">
        <f>Orders[[#This Row],[Quantity]]*(INDEX(products!$A$1:$G$49,MATCH(orders!$D1001,products!$A$1:$A$49,0),MATCH(orders!N$1,products!$A$1:$G$1,0)))</f>
        <v>1.3612500000000001</v>
      </c>
      <c r="O1001" s="5">
        <f>M1001*E1001</f>
        <v>12.375</v>
      </c>
      <c r="P1001" t="str">
        <f t="shared" si="30"/>
        <v>Excelsa</v>
      </c>
      <c r="Q1001" t="str">
        <f t="shared" si="31"/>
        <v>Medium</v>
      </c>
      <c r="R1001" t="str">
        <f>_xlfn.XLOOKUP(Orders[[#This Row],[Customer ID]],customers!$A$1:$A$1001,customers!$I$1:$I$1001,,0)</f>
        <v>Yes</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3" workbookViewId="0">
      <selection activeCell="E38" sqref="E38"/>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autoFilter ref="A1:I1" xr:uid="{402E2BF1-8815-4FC6-A281-0BA737A8105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E38" sqref="E38"/>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PivotTable</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HANIFAH ARRASYIDAH</cp:lastModifiedBy>
  <cp:revision/>
  <dcterms:created xsi:type="dcterms:W3CDTF">2022-11-26T09:51:45Z</dcterms:created>
  <dcterms:modified xsi:type="dcterms:W3CDTF">2025-08-12T11:40:12Z</dcterms:modified>
  <cp:category/>
  <cp:contentStatus/>
</cp:coreProperties>
</file>