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F0424D31-9853-4FA4-B169-A2E2BDF2943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配置说明" sheetId="15" r:id="rId1"/>
    <sheet name="角色战斗属性表|CS|CharaData" sheetId="1" r:id="rId2"/>
    <sheet name="怪物战斗属性表|CS|MstData" sheetId="13" r:id="rId3"/>
    <sheet name="角色标签表|C|RoleSign" sheetId="11" r:id="rId4"/>
    <sheet name="模板计算相关数据" sheetId="14" r:id="rId5"/>
    <sheet name="特工配置转化" sheetId="6" r:id="rId6"/>
  </sheets>
  <externalReferences>
    <externalReference r:id="rId7"/>
  </externalReferences>
  <definedNames>
    <definedName name="_xlnm._FilterDatabase" localSheetId="2" hidden="1">'怪物战斗属性表|CS|MstData'!$A$1:$AU$1069</definedName>
    <definedName name="_xlnm._FilterDatabase" localSheetId="1" hidden="1">'角色战斗属性表|CS|CharaData'!$A$5:$AO$88</definedName>
  </definedNames>
  <calcPr calcId="181029"/>
</workbook>
</file>

<file path=xl/calcChain.xml><?xml version="1.0" encoding="utf-8"?>
<calcChain xmlns="http://schemas.openxmlformats.org/spreadsheetml/2006/main">
  <c r="AT132" i="13" l="1"/>
  <c r="AS132" i="13"/>
  <c r="AR132" i="13"/>
  <c r="AQ132" i="13"/>
  <c r="AP132" i="13"/>
  <c r="AO132" i="13"/>
  <c r="AN132" i="13"/>
  <c r="AM132" i="13"/>
  <c r="AL132" i="13"/>
  <c r="W132" i="13"/>
  <c r="V132" i="13" s="1"/>
  <c r="T132" i="13"/>
  <c r="S132" i="13" s="1"/>
  <c r="R132" i="13"/>
  <c r="Q132" i="13" s="1"/>
  <c r="AK132" i="13" l="1"/>
  <c r="AT1069" i="13" l="1"/>
  <c r="AS1069" i="13"/>
  <c r="AR1069" i="13"/>
  <c r="AQ1069" i="13"/>
  <c r="AP1069" i="13"/>
  <c r="AO1069" i="13"/>
  <c r="AN1069" i="13"/>
  <c r="AM1069" i="13"/>
  <c r="AL1069" i="13"/>
  <c r="W1069" i="13"/>
  <c r="V1069" i="13" s="1"/>
  <c r="T1069" i="13"/>
  <c r="S1069" i="13" s="1"/>
  <c r="R1069" i="13"/>
  <c r="Q1069" i="13" s="1"/>
  <c r="AT1068" i="13"/>
  <c r="AS1068" i="13"/>
  <c r="AR1068" i="13"/>
  <c r="AQ1068" i="13"/>
  <c r="AP1068" i="13"/>
  <c r="AO1068" i="13"/>
  <c r="AN1068" i="13"/>
  <c r="AM1068" i="13"/>
  <c r="AL1068" i="13"/>
  <c r="W1068" i="13"/>
  <c r="V1068" i="13" s="1"/>
  <c r="T1068" i="13"/>
  <c r="S1068" i="13" s="1"/>
  <c r="R1068" i="13"/>
  <c r="Q1068" i="13" s="1"/>
  <c r="AT1067" i="13"/>
  <c r="AS1067" i="13"/>
  <c r="AR1067" i="13"/>
  <c r="AQ1067" i="13"/>
  <c r="AP1067" i="13"/>
  <c r="AO1067" i="13"/>
  <c r="AN1067" i="13"/>
  <c r="AM1067" i="13"/>
  <c r="AL1067" i="13"/>
  <c r="W1067" i="13"/>
  <c r="V1067" i="13" s="1"/>
  <c r="T1067" i="13"/>
  <c r="S1067" i="13" s="1"/>
  <c r="R1067" i="13"/>
  <c r="Q1067" i="13" s="1"/>
  <c r="AT131" i="13"/>
  <c r="AS131" i="13"/>
  <c r="AR131" i="13"/>
  <c r="AQ131" i="13"/>
  <c r="AP131" i="13"/>
  <c r="AO131" i="13"/>
  <c r="AN131" i="13"/>
  <c r="AM131" i="13"/>
  <c r="AL131" i="13"/>
  <c r="W131" i="13"/>
  <c r="V131" i="13" s="1"/>
  <c r="T131" i="13"/>
  <c r="S131" i="13" s="1"/>
  <c r="R131" i="13"/>
  <c r="Q131" i="13" s="1"/>
  <c r="AT130" i="13"/>
  <c r="AS130" i="13"/>
  <c r="AR130" i="13"/>
  <c r="AQ130" i="13"/>
  <c r="AP130" i="13"/>
  <c r="AO130" i="13"/>
  <c r="AN130" i="13"/>
  <c r="AM130" i="13"/>
  <c r="AL130" i="13"/>
  <c r="W130" i="13"/>
  <c r="V130" i="13" s="1"/>
  <c r="T130" i="13"/>
  <c r="S130" i="13" s="1"/>
  <c r="R130" i="13"/>
  <c r="Q130" i="13" s="1"/>
  <c r="AT129" i="13"/>
  <c r="AS129" i="13"/>
  <c r="AR129" i="13"/>
  <c r="AQ129" i="13"/>
  <c r="AP129" i="13"/>
  <c r="AO129" i="13"/>
  <c r="AN129" i="13"/>
  <c r="AM129" i="13"/>
  <c r="AL129" i="13"/>
  <c r="W129" i="13"/>
  <c r="V129" i="13" s="1"/>
  <c r="T129" i="13"/>
  <c r="S129" i="13" s="1"/>
  <c r="R129" i="13"/>
  <c r="Q129" i="13" s="1"/>
  <c r="AT128" i="13"/>
  <c r="AS128" i="13"/>
  <c r="AR128" i="13"/>
  <c r="AQ128" i="13"/>
  <c r="AP128" i="13"/>
  <c r="AO128" i="13"/>
  <c r="AN128" i="13"/>
  <c r="AM128" i="13"/>
  <c r="AL128" i="13"/>
  <c r="W128" i="13"/>
  <c r="V128" i="13" s="1"/>
  <c r="T128" i="13"/>
  <c r="S128" i="13" s="1"/>
  <c r="R128" i="13"/>
  <c r="Q128" i="13" s="1"/>
  <c r="AT137" i="13"/>
  <c r="AS137" i="13"/>
  <c r="AR137" i="13"/>
  <c r="AQ137" i="13"/>
  <c r="AP137" i="13"/>
  <c r="AO137" i="13"/>
  <c r="AN137" i="13"/>
  <c r="AM137" i="13"/>
  <c r="AL137" i="13"/>
  <c r="W137" i="13"/>
  <c r="V137" i="13" s="1"/>
  <c r="T137" i="13"/>
  <c r="S137" i="13" s="1"/>
  <c r="R137" i="13"/>
  <c r="Q137" i="13" s="1"/>
  <c r="AT136" i="13"/>
  <c r="AS136" i="13"/>
  <c r="AR136" i="13"/>
  <c r="AQ136" i="13"/>
  <c r="AP136" i="13"/>
  <c r="AO136" i="13"/>
  <c r="AN136" i="13"/>
  <c r="AM136" i="13"/>
  <c r="AL136" i="13"/>
  <c r="W136" i="13"/>
  <c r="V136" i="13" s="1"/>
  <c r="T136" i="13"/>
  <c r="S136" i="13" s="1"/>
  <c r="R136" i="13"/>
  <c r="Q136" i="13" s="1"/>
  <c r="AT135" i="13"/>
  <c r="AS135" i="13"/>
  <c r="AR135" i="13"/>
  <c r="AQ135" i="13"/>
  <c r="AP135" i="13"/>
  <c r="AO135" i="13"/>
  <c r="AN135" i="13"/>
  <c r="AM135" i="13"/>
  <c r="AL135" i="13"/>
  <c r="W135" i="13"/>
  <c r="V135" i="13" s="1"/>
  <c r="T135" i="13"/>
  <c r="S135" i="13" s="1"/>
  <c r="R135" i="13"/>
  <c r="Q135" i="13" s="1"/>
  <c r="AT134" i="13"/>
  <c r="AS134" i="13"/>
  <c r="AR134" i="13"/>
  <c r="AQ134" i="13"/>
  <c r="AP134" i="13"/>
  <c r="AO134" i="13"/>
  <c r="AN134" i="13"/>
  <c r="AM134" i="13"/>
  <c r="AL134" i="13"/>
  <c r="W134" i="13"/>
  <c r="V134" i="13" s="1"/>
  <c r="T134" i="13"/>
  <c r="S134" i="13" s="1"/>
  <c r="R134" i="13"/>
  <c r="Q134" i="13" s="1"/>
  <c r="AT133" i="13"/>
  <c r="AS133" i="13"/>
  <c r="AR133" i="13"/>
  <c r="AQ133" i="13"/>
  <c r="AP133" i="13"/>
  <c r="AO133" i="13"/>
  <c r="AN133" i="13"/>
  <c r="AM133" i="13"/>
  <c r="AL133" i="13"/>
  <c r="W133" i="13"/>
  <c r="V133" i="13" s="1"/>
  <c r="T133" i="13"/>
  <c r="S133" i="13" s="1"/>
  <c r="R133" i="13"/>
  <c r="Q133" i="13" s="1"/>
  <c r="AT127" i="13"/>
  <c r="AS127" i="13"/>
  <c r="AR127" i="13"/>
  <c r="AQ127" i="13"/>
  <c r="AP127" i="13"/>
  <c r="AO127" i="13"/>
  <c r="AN127" i="13"/>
  <c r="AM127" i="13"/>
  <c r="AL127" i="13"/>
  <c r="W127" i="13"/>
  <c r="V127" i="13" s="1"/>
  <c r="T127" i="13"/>
  <c r="S127" i="13" s="1"/>
  <c r="R127" i="13"/>
  <c r="Q127" i="13" s="1"/>
  <c r="AT126" i="13"/>
  <c r="AS126" i="13"/>
  <c r="AR126" i="13"/>
  <c r="AQ126" i="13"/>
  <c r="AP126" i="13"/>
  <c r="AO126" i="13"/>
  <c r="AN126" i="13"/>
  <c r="AM126" i="13"/>
  <c r="AL126" i="13"/>
  <c r="W126" i="13"/>
  <c r="V126" i="13" s="1"/>
  <c r="T126" i="13"/>
  <c r="S126" i="13" s="1"/>
  <c r="R126" i="13"/>
  <c r="Q126" i="13" s="1"/>
  <c r="AT125" i="13"/>
  <c r="AS125" i="13"/>
  <c r="AR125" i="13"/>
  <c r="AQ125" i="13"/>
  <c r="AP125" i="13"/>
  <c r="AO125" i="13"/>
  <c r="AN125" i="13"/>
  <c r="AM125" i="13"/>
  <c r="AL125" i="13"/>
  <c r="W125" i="13"/>
  <c r="V125" i="13" s="1"/>
  <c r="T125" i="13"/>
  <c r="S125" i="13" s="1"/>
  <c r="R125" i="13"/>
  <c r="Q125" i="13" s="1"/>
  <c r="AT124" i="13"/>
  <c r="AS124" i="13"/>
  <c r="AR124" i="13"/>
  <c r="AQ124" i="13"/>
  <c r="AP124" i="13"/>
  <c r="AO124" i="13"/>
  <c r="AN124" i="13"/>
  <c r="AM124" i="13"/>
  <c r="AL124" i="13"/>
  <c r="W124" i="13"/>
  <c r="V124" i="13" s="1"/>
  <c r="T124" i="13"/>
  <c r="S124" i="13" s="1"/>
  <c r="R124" i="13"/>
  <c r="Q124" i="13" s="1"/>
  <c r="AT123" i="13"/>
  <c r="AS123" i="13"/>
  <c r="AR123" i="13"/>
  <c r="AQ123" i="13"/>
  <c r="AP123" i="13"/>
  <c r="AO123" i="13"/>
  <c r="AN123" i="13"/>
  <c r="AM123" i="13"/>
  <c r="AL123" i="13"/>
  <c r="W123" i="13"/>
  <c r="V123" i="13" s="1"/>
  <c r="T123" i="13"/>
  <c r="S123" i="13" s="1"/>
  <c r="R123" i="13"/>
  <c r="Q123" i="13" s="1"/>
  <c r="AT122" i="13"/>
  <c r="AS122" i="13"/>
  <c r="AR122" i="13"/>
  <c r="AQ122" i="13"/>
  <c r="AP122" i="13"/>
  <c r="AO122" i="13"/>
  <c r="AN122" i="13"/>
  <c r="AM122" i="13"/>
  <c r="AL122" i="13"/>
  <c r="W122" i="13"/>
  <c r="V122" i="13" s="1"/>
  <c r="T122" i="13"/>
  <c r="S122" i="13" s="1"/>
  <c r="R122" i="13"/>
  <c r="Q122" i="13" s="1"/>
  <c r="AT121" i="13"/>
  <c r="AS121" i="13"/>
  <c r="AR121" i="13"/>
  <c r="AQ121" i="13"/>
  <c r="AP121" i="13"/>
  <c r="AO121" i="13"/>
  <c r="AN121" i="13"/>
  <c r="AM121" i="13"/>
  <c r="AL121" i="13"/>
  <c r="W121" i="13"/>
  <c r="V121" i="13" s="1"/>
  <c r="T121" i="13"/>
  <c r="S121" i="13" s="1"/>
  <c r="R121" i="13"/>
  <c r="Q121" i="13" s="1"/>
  <c r="AT120" i="13"/>
  <c r="AS120" i="13"/>
  <c r="AR120" i="13"/>
  <c r="AQ120" i="13"/>
  <c r="AP120" i="13"/>
  <c r="AO120" i="13"/>
  <c r="AN120" i="13"/>
  <c r="AM120" i="13"/>
  <c r="AL120" i="13"/>
  <c r="W120" i="13"/>
  <c r="V120" i="13" s="1"/>
  <c r="T120" i="13"/>
  <c r="S120" i="13" s="1"/>
  <c r="R120" i="13"/>
  <c r="Q120" i="13" s="1"/>
  <c r="AT119" i="13"/>
  <c r="AS119" i="13"/>
  <c r="AR119" i="13"/>
  <c r="AQ119" i="13"/>
  <c r="AP119" i="13"/>
  <c r="AO119" i="13"/>
  <c r="AN119" i="13"/>
  <c r="AM119" i="13"/>
  <c r="AL119" i="13"/>
  <c r="W119" i="13"/>
  <c r="V119" i="13" s="1"/>
  <c r="T119" i="13"/>
  <c r="S119" i="13" s="1"/>
  <c r="R119" i="13"/>
  <c r="Q119" i="13" s="1"/>
  <c r="AT118" i="13"/>
  <c r="AS118" i="13"/>
  <c r="AR118" i="13"/>
  <c r="AQ118" i="13"/>
  <c r="AP118" i="13"/>
  <c r="AO118" i="13"/>
  <c r="AN118" i="13"/>
  <c r="AM118" i="13"/>
  <c r="AL118" i="13"/>
  <c r="W118" i="13"/>
  <c r="V118" i="13" s="1"/>
  <c r="T118" i="13"/>
  <c r="S118" i="13" s="1"/>
  <c r="R118" i="13"/>
  <c r="Q118" i="13" s="1"/>
  <c r="AT117" i="13"/>
  <c r="AS117" i="13"/>
  <c r="AR117" i="13"/>
  <c r="AQ117" i="13"/>
  <c r="AP117" i="13"/>
  <c r="AO117" i="13"/>
  <c r="AN117" i="13"/>
  <c r="AM117" i="13"/>
  <c r="AL117" i="13"/>
  <c r="W117" i="13"/>
  <c r="V117" i="13" s="1"/>
  <c r="T117" i="13"/>
  <c r="S117" i="13" s="1"/>
  <c r="R117" i="13"/>
  <c r="Q117" i="13" s="1"/>
  <c r="AT116" i="13"/>
  <c r="AS116" i="13"/>
  <c r="AR116" i="13"/>
  <c r="AQ116" i="13"/>
  <c r="AP116" i="13"/>
  <c r="AO116" i="13"/>
  <c r="AN116" i="13"/>
  <c r="AM116" i="13"/>
  <c r="AL116" i="13"/>
  <c r="W116" i="13"/>
  <c r="V116" i="13" s="1"/>
  <c r="T116" i="13"/>
  <c r="S116" i="13" s="1"/>
  <c r="R116" i="13"/>
  <c r="Q116" i="13" s="1"/>
  <c r="AT115" i="13"/>
  <c r="AS115" i="13"/>
  <c r="AR115" i="13"/>
  <c r="AQ115" i="13"/>
  <c r="AP115" i="13"/>
  <c r="AO115" i="13"/>
  <c r="AN115" i="13"/>
  <c r="AM115" i="13"/>
  <c r="AL115" i="13"/>
  <c r="W115" i="13"/>
  <c r="V115" i="13" s="1"/>
  <c r="T115" i="13"/>
  <c r="S115" i="13" s="1"/>
  <c r="R115" i="13"/>
  <c r="Q115" i="13" s="1"/>
  <c r="AT114" i="13"/>
  <c r="AS114" i="13"/>
  <c r="AR114" i="13"/>
  <c r="AQ114" i="13"/>
  <c r="AP114" i="13"/>
  <c r="AO114" i="13"/>
  <c r="AN114" i="13"/>
  <c r="AM114" i="13"/>
  <c r="AL114" i="13"/>
  <c r="W114" i="13"/>
  <c r="V114" i="13" s="1"/>
  <c r="T114" i="13"/>
  <c r="S114" i="13" s="1"/>
  <c r="R114" i="13"/>
  <c r="Q114" i="13" s="1"/>
  <c r="AT113" i="13"/>
  <c r="AS113" i="13"/>
  <c r="AR113" i="13"/>
  <c r="AQ113" i="13"/>
  <c r="AP113" i="13"/>
  <c r="AO113" i="13"/>
  <c r="AN113" i="13"/>
  <c r="AM113" i="13"/>
  <c r="AL113" i="13"/>
  <c r="W113" i="13"/>
  <c r="V113" i="13" s="1"/>
  <c r="T113" i="13"/>
  <c r="S113" i="13" s="1"/>
  <c r="R113" i="13"/>
  <c r="Q113" i="13" s="1"/>
  <c r="AT112" i="13"/>
  <c r="AS112" i="13"/>
  <c r="AR112" i="13"/>
  <c r="AQ112" i="13"/>
  <c r="AP112" i="13"/>
  <c r="AO112" i="13"/>
  <c r="AN112" i="13"/>
  <c r="AM112" i="13"/>
  <c r="AL112" i="13"/>
  <c r="W112" i="13"/>
  <c r="V112" i="13" s="1"/>
  <c r="T112" i="13"/>
  <c r="S112" i="13" s="1"/>
  <c r="R112" i="13"/>
  <c r="Q112" i="13" s="1"/>
  <c r="AT111" i="13"/>
  <c r="AS111" i="13"/>
  <c r="AR111" i="13"/>
  <c r="AQ111" i="13"/>
  <c r="AP111" i="13"/>
  <c r="AO111" i="13"/>
  <c r="AN111" i="13"/>
  <c r="AM111" i="13"/>
  <c r="AL111" i="13"/>
  <c r="W111" i="13"/>
  <c r="V111" i="13" s="1"/>
  <c r="T111" i="13"/>
  <c r="S111" i="13" s="1"/>
  <c r="R111" i="13"/>
  <c r="Q111" i="13" s="1"/>
  <c r="AT110" i="13"/>
  <c r="AS110" i="13"/>
  <c r="AR110" i="13"/>
  <c r="AQ110" i="13"/>
  <c r="AP110" i="13"/>
  <c r="AO110" i="13"/>
  <c r="AN110" i="13"/>
  <c r="AM110" i="13"/>
  <c r="AL110" i="13"/>
  <c r="W110" i="13"/>
  <c r="V110" i="13" s="1"/>
  <c r="T110" i="13"/>
  <c r="S110" i="13" s="1"/>
  <c r="R110" i="13"/>
  <c r="Q110" i="13" s="1"/>
  <c r="AT109" i="13"/>
  <c r="AS109" i="13"/>
  <c r="AR109" i="13"/>
  <c r="AQ109" i="13"/>
  <c r="AP109" i="13"/>
  <c r="AO109" i="13"/>
  <c r="AN109" i="13"/>
  <c r="AM109" i="13"/>
  <c r="AL109" i="13"/>
  <c r="W109" i="13"/>
  <c r="V109" i="13" s="1"/>
  <c r="T109" i="13"/>
  <c r="S109" i="13" s="1"/>
  <c r="R109" i="13"/>
  <c r="Q109" i="13" s="1"/>
  <c r="AT108" i="13"/>
  <c r="AS108" i="13"/>
  <c r="AR108" i="13"/>
  <c r="AQ108" i="13"/>
  <c r="AP108" i="13"/>
  <c r="AO108" i="13"/>
  <c r="AN108" i="13"/>
  <c r="AM108" i="13"/>
  <c r="AL108" i="13"/>
  <c r="W108" i="13"/>
  <c r="V108" i="13" s="1"/>
  <c r="T108" i="13"/>
  <c r="S108" i="13" s="1"/>
  <c r="R108" i="13"/>
  <c r="Q108" i="13" s="1"/>
  <c r="AT107" i="13"/>
  <c r="AS107" i="13"/>
  <c r="AR107" i="13"/>
  <c r="AQ107" i="13"/>
  <c r="AP107" i="13"/>
  <c r="AO107" i="13"/>
  <c r="AN107" i="13"/>
  <c r="AM107" i="13"/>
  <c r="AL107" i="13"/>
  <c r="W107" i="13"/>
  <c r="V107" i="13" s="1"/>
  <c r="T107" i="13"/>
  <c r="S107" i="13" s="1"/>
  <c r="R107" i="13"/>
  <c r="Q107" i="13" s="1"/>
  <c r="AT106" i="13"/>
  <c r="AS106" i="13"/>
  <c r="AR106" i="13"/>
  <c r="AQ106" i="13"/>
  <c r="AP106" i="13"/>
  <c r="AO106" i="13"/>
  <c r="AN106" i="13"/>
  <c r="AM106" i="13"/>
  <c r="AL106" i="13"/>
  <c r="W106" i="13"/>
  <c r="V106" i="13" s="1"/>
  <c r="T106" i="13"/>
  <c r="S106" i="13" s="1"/>
  <c r="R106" i="13"/>
  <c r="Q106" i="13" s="1"/>
  <c r="AT105" i="13"/>
  <c r="AS105" i="13"/>
  <c r="AR105" i="13"/>
  <c r="AQ105" i="13"/>
  <c r="AP105" i="13"/>
  <c r="AO105" i="13"/>
  <c r="AN105" i="13"/>
  <c r="AM105" i="13"/>
  <c r="AL105" i="13"/>
  <c r="W105" i="13"/>
  <c r="V105" i="13" s="1"/>
  <c r="T105" i="13"/>
  <c r="S105" i="13" s="1"/>
  <c r="R105" i="13"/>
  <c r="Q105" i="13" s="1"/>
  <c r="AT104" i="13"/>
  <c r="AS104" i="13"/>
  <c r="AR104" i="13"/>
  <c r="AQ104" i="13"/>
  <c r="AP104" i="13"/>
  <c r="AO104" i="13"/>
  <c r="AN104" i="13"/>
  <c r="AM104" i="13"/>
  <c r="AL104" i="13"/>
  <c r="W104" i="13"/>
  <c r="V104" i="13" s="1"/>
  <c r="T104" i="13"/>
  <c r="S104" i="13" s="1"/>
  <c r="R104" i="13"/>
  <c r="Q104" i="13" s="1"/>
  <c r="AT103" i="13"/>
  <c r="AS103" i="13"/>
  <c r="AR103" i="13"/>
  <c r="AQ103" i="13"/>
  <c r="AP103" i="13"/>
  <c r="AO103" i="13"/>
  <c r="AN103" i="13"/>
  <c r="AM103" i="13"/>
  <c r="AL103" i="13"/>
  <c r="W103" i="13"/>
  <c r="V103" i="13" s="1"/>
  <c r="T103" i="13"/>
  <c r="S103" i="13" s="1"/>
  <c r="R103" i="13"/>
  <c r="Q103" i="13" s="1"/>
  <c r="AT102" i="13"/>
  <c r="AS102" i="13"/>
  <c r="AR102" i="13"/>
  <c r="AQ102" i="13"/>
  <c r="AP102" i="13"/>
  <c r="AO102" i="13"/>
  <c r="AN102" i="13"/>
  <c r="AM102" i="13"/>
  <c r="AL102" i="13"/>
  <c r="W102" i="13"/>
  <c r="V102" i="13" s="1"/>
  <c r="T102" i="13"/>
  <c r="S102" i="13" s="1"/>
  <c r="R102" i="13"/>
  <c r="Q102" i="13" s="1"/>
  <c r="AT101" i="13"/>
  <c r="AS101" i="13"/>
  <c r="AR101" i="13"/>
  <c r="AQ101" i="13"/>
  <c r="AP101" i="13"/>
  <c r="AO101" i="13"/>
  <c r="AN101" i="13"/>
  <c r="AM101" i="13"/>
  <c r="AL101" i="13"/>
  <c r="W101" i="13"/>
  <c r="V101" i="13" s="1"/>
  <c r="T101" i="13"/>
  <c r="S101" i="13" s="1"/>
  <c r="R101" i="13"/>
  <c r="Q101" i="13" s="1"/>
  <c r="AT100" i="13"/>
  <c r="AS100" i="13"/>
  <c r="AR100" i="13"/>
  <c r="AQ100" i="13"/>
  <c r="AP100" i="13"/>
  <c r="AO100" i="13"/>
  <c r="AN100" i="13"/>
  <c r="AM100" i="13"/>
  <c r="AL100" i="13"/>
  <c r="W100" i="13"/>
  <c r="V100" i="13" s="1"/>
  <c r="T100" i="13"/>
  <c r="S100" i="13" s="1"/>
  <c r="R100" i="13"/>
  <c r="Q100" i="13" s="1"/>
  <c r="AT99" i="13"/>
  <c r="AS99" i="13"/>
  <c r="AR99" i="13"/>
  <c r="AQ99" i="13"/>
  <c r="AP99" i="13"/>
  <c r="AO99" i="13"/>
  <c r="AN99" i="13"/>
  <c r="AM99" i="13"/>
  <c r="AL99" i="13"/>
  <c r="W99" i="13"/>
  <c r="V99" i="13" s="1"/>
  <c r="T99" i="13"/>
  <c r="S99" i="13" s="1"/>
  <c r="R99" i="13"/>
  <c r="Q99" i="13" s="1"/>
  <c r="AT98" i="13"/>
  <c r="AS98" i="13"/>
  <c r="AR98" i="13"/>
  <c r="AQ98" i="13"/>
  <c r="AP98" i="13"/>
  <c r="AO98" i="13"/>
  <c r="AN98" i="13"/>
  <c r="AM98" i="13"/>
  <c r="AL98" i="13"/>
  <c r="W98" i="13"/>
  <c r="V98" i="13" s="1"/>
  <c r="T98" i="13"/>
  <c r="S98" i="13" s="1"/>
  <c r="R98" i="13"/>
  <c r="Q98" i="13" s="1"/>
  <c r="AT97" i="13"/>
  <c r="AS97" i="13"/>
  <c r="AR97" i="13"/>
  <c r="AQ97" i="13"/>
  <c r="AP97" i="13"/>
  <c r="AO97" i="13"/>
  <c r="AN97" i="13"/>
  <c r="AM97" i="13"/>
  <c r="AL97" i="13"/>
  <c r="W97" i="13"/>
  <c r="V97" i="13" s="1"/>
  <c r="T97" i="13"/>
  <c r="S97" i="13" s="1"/>
  <c r="R97" i="13"/>
  <c r="Q97" i="13" s="1"/>
  <c r="AT96" i="13"/>
  <c r="AS96" i="13"/>
  <c r="AR96" i="13"/>
  <c r="AQ96" i="13"/>
  <c r="AP96" i="13"/>
  <c r="AO96" i="13"/>
  <c r="AN96" i="13"/>
  <c r="AM96" i="13"/>
  <c r="AL96" i="13"/>
  <c r="W96" i="13"/>
  <c r="V96" i="13" s="1"/>
  <c r="T96" i="13"/>
  <c r="S96" i="13" s="1"/>
  <c r="R96" i="13"/>
  <c r="Q96" i="13" s="1"/>
  <c r="AT95" i="13"/>
  <c r="AS95" i="13"/>
  <c r="AR95" i="13"/>
  <c r="AQ95" i="13"/>
  <c r="AP95" i="13"/>
  <c r="AO95" i="13"/>
  <c r="AN95" i="13"/>
  <c r="AM95" i="13"/>
  <c r="AL95" i="13"/>
  <c r="W95" i="13"/>
  <c r="V95" i="13" s="1"/>
  <c r="T95" i="13"/>
  <c r="S95" i="13" s="1"/>
  <c r="R95" i="13"/>
  <c r="Q95" i="13" s="1"/>
  <c r="AT94" i="13"/>
  <c r="AS94" i="13"/>
  <c r="AR94" i="13"/>
  <c r="AQ94" i="13"/>
  <c r="AP94" i="13"/>
  <c r="AO94" i="13"/>
  <c r="AN94" i="13"/>
  <c r="AM94" i="13"/>
  <c r="AL94" i="13"/>
  <c r="W94" i="13"/>
  <c r="V94" i="13" s="1"/>
  <c r="T94" i="13"/>
  <c r="S94" i="13" s="1"/>
  <c r="R94" i="13"/>
  <c r="Q94" i="13" s="1"/>
  <c r="AT93" i="13"/>
  <c r="AS93" i="13"/>
  <c r="AR93" i="13"/>
  <c r="AQ93" i="13"/>
  <c r="AP93" i="13"/>
  <c r="AO93" i="13"/>
  <c r="AN93" i="13"/>
  <c r="AM93" i="13"/>
  <c r="AL93" i="13"/>
  <c r="W93" i="13"/>
  <c r="V93" i="13" s="1"/>
  <c r="T93" i="13"/>
  <c r="S93" i="13" s="1"/>
  <c r="R93" i="13"/>
  <c r="Q93" i="13" s="1"/>
  <c r="AT92" i="13"/>
  <c r="AS92" i="13"/>
  <c r="AR92" i="13"/>
  <c r="AQ92" i="13"/>
  <c r="AP92" i="13"/>
  <c r="AO92" i="13"/>
  <c r="AN92" i="13"/>
  <c r="AM92" i="13"/>
  <c r="AL92" i="13"/>
  <c r="W92" i="13"/>
  <c r="V92" i="13" s="1"/>
  <c r="T92" i="13"/>
  <c r="S92" i="13" s="1"/>
  <c r="R92" i="13"/>
  <c r="Q92" i="13" s="1"/>
  <c r="AT91" i="13"/>
  <c r="AS91" i="13"/>
  <c r="AR91" i="13"/>
  <c r="AQ91" i="13"/>
  <c r="AP91" i="13"/>
  <c r="AO91" i="13"/>
  <c r="AN91" i="13"/>
  <c r="AM91" i="13"/>
  <c r="AL91" i="13"/>
  <c r="W91" i="13"/>
  <c r="V91" i="13" s="1"/>
  <c r="T91" i="13"/>
  <c r="S91" i="13" s="1"/>
  <c r="R91" i="13"/>
  <c r="Q91" i="13" s="1"/>
  <c r="AT90" i="13"/>
  <c r="AS90" i="13"/>
  <c r="AR90" i="13"/>
  <c r="AQ90" i="13"/>
  <c r="AP90" i="13"/>
  <c r="AO90" i="13"/>
  <c r="AN90" i="13"/>
  <c r="AM90" i="13"/>
  <c r="AL90" i="13"/>
  <c r="W90" i="13"/>
  <c r="V90" i="13" s="1"/>
  <c r="T90" i="13"/>
  <c r="S90" i="13" s="1"/>
  <c r="R90" i="13"/>
  <c r="Q90" i="13" s="1"/>
  <c r="AT89" i="13"/>
  <c r="AS89" i="13"/>
  <c r="AR89" i="13"/>
  <c r="AQ89" i="13"/>
  <c r="AP89" i="13"/>
  <c r="AO89" i="13"/>
  <c r="AN89" i="13"/>
  <c r="AM89" i="13"/>
  <c r="AL89" i="13"/>
  <c r="W89" i="13"/>
  <c r="V89" i="13" s="1"/>
  <c r="T89" i="13"/>
  <c r="S89" i="13" s="1"/>
  <c r="R89" i="13"/>
  <c r="Q89" i="13" s="1"/>
  <c r="AT88" i="13"/>
  <c r="AS88" i="13"/>
  <c r="AR88" i="13"/>
  <c r="AQ88" i="13"/>
  <c r="AP88" i="13"/>
  <c r="AO88" i="13"/>
  <c r="AN88" i="13"/>
  <c r="AM88" i="13"/>
  <c r="AL88" i="13"/>
  <c r="W88" i="13"/>
  <c r="V88" i="13" s="1"/>
  <c r="T88" i="13"/>
  <c r="S88" i="13" s="1"/>
  <c r="R88" i="13"/>
  <c r="Q88" i="13" s="1"/>
  <c r="AT87" i="13"/>
  <c r="AS87" i="13"/>
  <c r="AR87" i="13"/>
  <c r="AQ87" i="13"/>
  <c r="AP87" i="13"/>
  <c r="AO87" i="13"/>
  <c r="AN87" i="13"/>
  <c r="AM87" i="13"/>
  <c r="AL87" i="13"/>
  <c r="W87" i="13"/>
  <c r="V87" i="13" s="1"/>
  <c r="T87" i="13"/>
  <c r="S87" i="13" s="1"/>
  <c r="R87" i="13"/>
  <c r="Q87" i="13" s="1"/>
  <c r="AT86" i="13"/>
  <c r="AS86" i="13"/>
  <c r="AR86" i="13"/>
  <c r="AQ86" i="13"/>
  <c r="AP86" i="13"/>
  <c r="AO86" i="13"/>
  <c r="AN86" i="13"/>
  <c r="AM86" i="13"/>
  <c r="AL86" i="13"/>
  <c r="W86" i="13"/>
  <c r="V86" i="13" s="1"/>
  <c r="T86" i="13"/>
  <c r="S86" i="13" s="1"/>
  <c r="R86" i="13"/>
  <c r="Q86" i="13" s="1"/>
  <c r="AT85" i="13"/>
  <c r="AS85" i="13"/>
  <c r="AR85" i="13"/>
  <c r="AQ85" i="13"/>
  <c r="AP85" i="13"/>
  <c r="AO85" i="13"/>
  <c r="AN85" i="13"/>
  <c r="AM85" i="13"/>
  <c r="AL85" i="13"/>
  <c r="W85" i="13"/>
  <c r="V85" i="13" s="1"/>
  <c r="T85" i="13"/>
  <c r="S85" i="13" s="1"/>
  <c r="R85" i="13"/>
  <c r="Q85" i="13" s="1"/>
  <c r="AT84" i="13"/>
  <c r="AS84" i="13"/>
  <c r="AR84" i="13"/>
  <c r="AQ84" i="13"/>
  <c r="AP84" i="13"/>
  <c r="AO84" i="13"/>
  <c r="AN84" i="13"/>
  <c r="AM84" i="13"/>
  <c r="AL84" i="13"/>
  <c r="W84" i="13"/>
  <c r="V84" i="13" s="1"/>
  <c r="T84" i="13"/>
  <c r="S84" i="13" s="1"/>
  <c r="R84" i="13"/>
  <c r="Q84" i="13" s="1"/>
  <c r="AT83" i="13"/>
  <c r="AS83" i="13"/>
  <c r="AR83" i="13"/>
  <c r="AQ83" i="13"/>
  <c r="AP83" i="13"/>
  <c r="AO83" i="13"/>
  <c r="AN83" i="13"/>
  <c r="AM83" i="13"/>
  <c r="AL83" i="13"/>
  <c r="W83" i="13"/>
  <c r="V83" i="13" s="1"/>
  <c r="T83" i="13"/>
  <c r="S83" i="13" s="1"/>
  <c r="R83" i="13"/>
  <c r="Q83" i="13" s="1"/>
  <c r="AT82" i="13"/>
  <c r="AS82" i="13"/>
  <c r="AR82" i="13"/>
  <c r="AQ82" i="13"/>
  <c r="AP82" i="13"/>
  <c r="AO82" i="13"/>
  <c r="AN82" i="13"/>
  <c r="AM82" i="13"/>
  <c r="AL82" i="13"/>
  <c r="W82" i="13"/>
  <c r="V82" i="13" s="1"/>
  <c r="T82" i="13"/>
  <c r="S82" i="13" s="1"/>
  <c r="R82" i="13"/>
  <c r="Q82" i="13" s="1"/>
  <c r="AT81" i="13"/>
  <c r="AS81" i="13"/>
  <c r="AR81" i="13"/>
  <c r="AQ81" i="13"/>
  <c r="AP81" i="13"/>
  <c r="AO81" i="13"/>
  <c r="AN81" i="13"/>
  <c r="AM81" i="13"/>
  <c r="AL81" i="13"/>
  <c r="W81" i="13"/>
  <c r="V81" i="13" s="1"/>
  <c r="T81" i="13"/>
  <c r="S81" i="13" s="1"/>
  <c r="R81" i="13"/>
  <c r="Q81" i="13" s="1"/>
  <c r="AT80" i="13"/>
  <c r="AS80" i="13"/>
  <c r="AR80" i="13"/>
  <c r="AQ80" i="13"/>
  <c r="AP80" i="13"/>
  <c r="AO80" i="13"/>
  <c r="AN80" i="13"/>
  <c r="AM80" i="13"/>
  <c r="AL80" i="13"/>
  <c r="W80" i="13"/>
  <c r="V80" i="13" s="1"/>
  <c r="T80" i="13"/>
  <c r="S80" i="13" s="1"/>
  <c r="R80" i="13"/>
  <c r="Q80" i="13" s="1"/>
  <c r="AT79" i="13"/>
  <c r="AS79" i="13"/>
  <c r="AR79" i="13"/>
  <c r="AQ79" i="13"/>
  <c r="AP79" i="13"/>
  <c r="AO79" i="13"/>
  <c r="AN79" i="13"/>
  <c r="AM79" i="13"/>
  <c r="AL79" i="13"/>
  <c r="W79" i="13"/>
  <c r="V79" i="13" s="1"/>
  <c r="T79" i="13"/>
  <c r="S79" i="13" s="1"/>
  <c r="R79" i="13"/>
  <c r="Q79" i="13" s="1"/>
  <c r="AT78" i="13"/>
  <c r="AS78" i="13"/>
  <c r="AR78" i="13"/>
  <c r="AQ78" i="13"/>
  <c r="AP78" i="13"/>
  <c r="AO78" i="13"/>
  <c r="AN78" i="13"/>
  <c r="AM78" i="13"/>
  <c r="AL78" i="13"/>
  <c r="W78" i="13"/>
  <c r="V78" i="13" s="1"/>
  <c r="T78" i="13"/>
  <c r="S78" i="13" s="1"/>
  <c r="R78" i="13"/>
  <c r="Q78" i="13" s="1"/>
  <c r="AT77" i="13"/>
  <c r="AS77" i="13"/>
  <c r="AR77" i="13"/>
  <c r="AQ77" i="13"/>
  <c r="AP77" i="13"/>
  <c r="AO77" i="13"/>
  <c r="AN77" i="13"/>
  <c r="AM77" i="13"/>
  <c r="AL77" i="13"/>
  <c r="W77" i="13"/>
  <c r="V77" i="13" s="1"/>
  <c r="T77" i="13"/>
  <c r="S77" i="13" s="1"/>
  <c r="R77" i="13"/>
  <c r="Q77" i="13" s="1"/>
  <c r="AT76" i="13"/>
  <c r="AS76" i="13"/>
  <c r="AR76" i="13"/>
  <c r="AQ76" i="13"/>
  <c r="AP76" i="13"/>
  <c r="AO76" i="13"/>
  <c r="AN76" i="13"/>
  <c r="AM76" i="13"/>
  <c r="AL76" i="13"/>
  <c r="W76" i="13"/>
  <c r="V76" i="13" s="1"/>
  <c r="T76" i="13"/>
  <c r="S76" i="13" s="1"/>
  <c r="R76" i="13"/>
  <c r="Q76" i="13" s="1"/>
  <c r="AT75" i="13"/>
  <c r="AS75" i="13"/>
  <c r="AR75" i="13"/>
  <c r="AQ75" i="13"/>
  <c r="AP75" i="13"/>
  <c r="AO75" i="13"/>
  <c r="AN75" i="13"/>
  <c r="AM75" i="13"/>
  <c r="AL75" i="13"/>
  <c r="W75" i="13"/>
  <c r="V75" i="13" s="1"/>
  <c r="T75" i="13"/>
  <c r="S75" i="13" s="1"/>
  <c r="R75" i="13"/>
  <c r="Q75" i="13" s="1"/>
  <c r="AT74" i="13"/>
  <c r="AS74" i="13"/>
  <c r="AR74" i="13"/>
  <c r="AQ74" i="13"/>
  <c r="AP74" i="13"/>
  <c r="AO74" i="13"/>
  <c r="AN74" i="13"/>
  <c r="AM74" i="13"/>
  <c r="AL74" i="13"/>
  <c r="W74" i="13"/>
  <c r="V74" i="13" s="1"/>
  <c r="T74" i="13"/>
  <c r="S74" i="13" s="1"/>
  <c r="R74" i="13"/>
  <c r="Q74" i="13" s="1"/>
  <c r="AT73" i="13"/>
  <c r="AS73" i="13"/>
  <c r="AR73" i="13"/>
  <c r="AQ73" i="13"/>
  <c r="AP73" i="13"/>
  <c r="AO73" i="13"/>
  <c r="AN73" i="13"/>
  <c r="AM73" i="13"/>
  <c r="AL73" i="13"/>
  <c r="W73" i="13"/>
  <c r="V73" i="13" s="1"/>
  <c r="T73" i="13"/>
  <c r="S73" i="13" s="1"/>
  <c r="R73" i="13"/>
  <c r="Q73" i="13" s="1"/>
  <c r="AT72" i="13"/>
  <c r="AS72" i="13"/>
  <c r="AR72" i="13"/>
  <c r="AQ72" i="13"/>
  <c r="AP72" i="13"/>
  <c r="AO72" i="13"/>
  <c r="AN72" i="13"/>
  <c r="AM72" i="13"/>
  <c r="AL72" i="13"/>
  <c r="W72" i="13"/>
  <c r="V72" i="13" s="1"/>
  <c r="T72" i="13"/>
  <c r="S72" i="13" s="1"/>
  <c r="R72" i="13"/>
  <c r="Q72" i="13" s="1"/>
  <c r="AT71" i="13"/>
  <c r="AS71" i="13"/>
  <c r="AR71" i="13"/>
  <c r="AQ71" i="13"/>
  <c r="AP71" i="13"/>
  <c r="AO71" i="13"/>
  <c r="AN71" i="13"/>
  <c r="AM71" i="13"/>
  <c r="AL71" i="13"/>
  <c r="W71" i="13"/>
  <c r="V71" i="13" s="1"/>
  <c r="T71" i="13"/>
  <c r="S71" i="13" s="1"/>
  <c r="R71" i="13"/>
  <c r="Q71" i="13" s="1"/>
  <c r="AT70" i="13"/>
  <c r="AS70" i="13"/>
  <c r="AR70" i="13"/>
  <c r="AQ70" i="13"/>
  <c r="AP70" i="13"/>
  <c r="AO70" i="13"/>
  <c r="AN70" i="13"/>
  <c r="AM70" i="13"/>
  <c r="AL70" i="13"/>
  <c r="W70" i="13"/>
  <c r="V70" i="13" s="1"/>
  <c r="T70" i="13"/>
  <c r="S70" i="13" s="1"/>
  <c r="R70" i="13"/>
  <c r="Q70" i="13" s="1"/>
  <c r="AT69" i="13"/>
  <c r="AS69" i="13"/>
  <c r="AR69" i="13"/>
  <c r="AQ69" i="13"/>
  <c r="AP69" i="13"/>
  <c r="AO69" i="13"/>
  <c r="AN69" i="13"/>
  <c r="AM69" i="13"/>
  <c r="AL69" i="13"/>
  <c r="W69" i="13"/>
  <c r="V69" i="13" s="1"/>
  <c r="T69" i="13"/>
  <c r="S69" i="13" s="1"/>
  <c r="R69" i="13"/>
  <c r="Q69" i="13" s="1"/>
  <c r="AT68" i="13"/>
  <c r="AS68" i="13"/>
  <c r="AR68" i="13"/>
  <c r="AQ68" i="13"/>
  <c r="AP68" i="13"/>
  <c r="AO68" i="13"/>
  <c r="AN68" i="13"/>
  <c r="AM68" i="13"/>
  <c r="AL68" i="13"/>
  <c r="W68" i="13"/>
  <c r="V68" i="13" s="1"/>
  <c r="T68" i="13"/>
  <c r="S68" i="13" s="1"/>
  <c r="R68" i="13"/>
  <c r="Q68" i="13" s="1"/>
  <c r="AT67" i="13"/>
  <c r="AS67" i="13"/>
  <c r="AR67" i="13"/>
  <c r="AQ67" i="13"/>
  <c r="AP67" i="13"/>
  <c r="AO67" i="13"/>
  <c r="AN67" i="13"/>
  <c r="AM67" i="13"/>
  <c r="AL67" i="13"/>
  <c r="W67" i="13"/>
  <c r="V67" i="13" s="1"/>
  <c r="T67" i="13"/>
  <c r="S67" i="13" s="1"/>
  <c r="R67" i="13"/>
  <c r="Q67" i="13" s="1"/>
  <c r="AT66" i="13"/>
  <c r="AS66" i="13"/>
  <c r="AR66" i="13"/>
  <c r="AQ66" i="13"/>
  <c r="AP66" i="13"/>
  <c r="AO66" i="13"/>
  <c r="AN66" i="13"/>
  <c r="AM66" i="13"/>
  <c r="AL66" i="13"/>
  <c r="W66" i="13"/>
  <c r="V66" i="13" s="1"/>
  <c r="T66" i="13"/>
  <c r="S66" i="13" s="1"/>
  <c r="R66" i="13"/>
  <c r="Q66" i="13" s="1"/>
  <c r="AT65" i="13"/>
  <c r="AS65" i="13"/>
  <c r="AR65" i="13"/>
  <c r="AQ65" i="13"/>
  <c r="AP65" i="13"/>
  <c r="AO65" i="13"/>
  <c r="AN65" i="13"/>
  <c r="AM65" i="13"/>
  <c r="AL65" i="13"/>
  <c r="W65" i="13"/>
  <c r="V65" i="13" s="1"/>
  <c r="T65" i="13"/>
  <c r="S65" i="13" s="1"/>
  <c r="R65" i="13"/>
  <c r="Q65" i="13" s="1"/>
  <c r="AT64" i="13"/>
  <c r="AS64" i="13"/>
  <c r="AR64" i="13"/>
  <c r="AQ64" i="13"/>
  <c r="AP64" i="13"/>
  <c r="AO64" i="13"/>
  <c r="AN64" i="13"/>
  <c r="AM64" i="13"/>
  <c r="AL64" i="13"/>
  <c r="W64" i="13"/>
  <c r="V64" i="13" s="1"/>
  <c r="T64" i="13"/>
  <c r="S64" i="13" s="1"/>
  <c r="R64" i="13"/>
  <c r="Q64" i="13" s="1"/>
  <c r="AT63" i="13"/>
  <c r="AS63" i="13"/>
  <c r="AR63" i="13"/>
  <c r="AQ63" i="13"/>
  <c r="AP63" i="13"/>
  <c r="AO63" i="13"/>
  <c r="AN63" i="13"/>
  <c r="AM63" i="13"/>
  <c r="AL63" i="13"/>
  <c r="W63" i="13"/>
  <c r="V63" i="13" s="1"/>
  <c r="T63" i="13"/>
  <c r="S63" i="13" s="1"/>
  <c r="R63" i="13"/>
  <c r="Q63" i="13" s="1"/>
  <c r="AT62" i="13"/>
  <c r="AS62" i="13"/>
  <c r="AR62" i="13"/>
  <c r="AQ62" i="13"/>
  <c r="AP62" i="13"/>
  <c r="AO62" i="13"/>
  <c r="AN62" i="13"/>
  <c r="AM62" i="13"/>
  <c r="AL62" i="13"/>
  <c r="W62" i="13"/>
  <c r="V62" i="13" s="1"/>
  <c r="T62" i="13"/>
  <c r="S62" i="13" s="1"/>
  <c r="R62" i="13"/>
  <c r="Q62" i="13" s="1"/>
  <c r="AT61" i="13"/>
  <c r="AS61" i="13"/>
  <c r="AR61" i="13"/>
  <c r="AQ61" i="13"/>
  <c r="AP61" i="13"/>
  <c r="AO61" i="13"/>
  <c r="AN61" i="13"/>
  <c r="AM61" i="13"/>
  <c r="AL61" i="13"/>
  <c r="W61" i="13"/>
  <c r="V61" i="13" s="1"/>
  <c r="T61" i="13"/>
  <c r="S61" i="13" s="1"/>
  <c r="R61" i="13"/>
  <c r="Q61" i="13" s="1"/>
  <c r="AT60" i="13"/>
  <c r="AS60" i="13"/>
  <c r="AR60" i="13"/>
  <c r="AQ60" i="13"/>
  <c r="AP60" i="13"/>
  <c r="AO60" i="13"/>
  <c r="AN60" i="13"/>
  <c r="AM60" i="13"/>
  <c r="AL60" i="13"/>
  <c r="W60" i="13"/>
  <c r="V60" i="13" s="1"/>
  <c r="T60" i="13"/>
  <c r="S60" i="13" s="1"/>
  <c r="R60" i="13"/>
  <c r="Q60" i="13" s="1"/>
  <c r="AT59" i="13"/>
  <c r="AS59" i="13"/>
  <c r="AR59" i="13"/>
  <c r="AQ59" i="13"/>
  <c r="AP59" i="13"/>
  <c r="AO59" i="13"/>
  <c r="AN59" i="13"/>
  <c r="AM59" i="13"/>
  <c r="AL59" i="13"/>
  <c r="W59" i="13"/>
  <c r="V59" i="13" s="1"/>
  <c r="T59" i="13"/>
  <c r="S59" i="13" s="1"/>
  <c r="R59" i="13"/>
  <c r="Q59" i="13" s="1"/>
  <c r="AT58" i="13"/>
  <c r="AS58" i="13"/>
  <c r="AR58" i="13"/>
  <c r="AQ58" i="13"/>
  <c r="AP58" i="13"/>
  <c r="AO58" i="13"/>
  <c r="AN58" i="13"/>
  <c r="AM58" i="13"/>
  <c r="AL58" i="13"/>
  <c r="W58" i="13"/>
  <c r="V58" i="13" s="1"/>
  <c r="T58" i="13"/>
  <c r="S58" i="13" s="1"/>
  <c r="R58" i="13"/>
  <c r="Q58" i="13" s="1"/>
  <c r="AT57" i="13"/>
  <c r="AS57" i="13"/>
  <c r="AR57" i="13"/>
  <c r="AQ57" i="13"/>
  <c r="AP57" i="13"/>
  <c r="AO57" i="13"/>
  <c r="AN57" i="13"/>
  <c r="AM57" i="13"/>
  <c r="AL57" i="13"/>
  <c r="W57" i="13"/>
  <c r="V57" i="13" s="1"/>
  <c r="T57" i="13"/>
  <c r="S57" i="13" s="1"/>
  <c r="R57" i="13"/>
  <c r="Q57" i="13" s="1"/>
  <c r="AT56" i="13"/>
  <c r="AS56" i="13"/>
  <c r="AR56" i="13"/>
  <c r="AQ56" i="13"/>
  <c r="AP56" i="13"/>
  <c r="AO56" i="13"/>
  <c r="AN56" i="13"/>
  <c r="AM56" i="13"/>
  <c r="AL56" i="13"/>
  <c r="W56" i="13"/>
  <c r="V56" i="13" s="1"/>
  <c r="T56" i="13"/>
  <c r="S56" i="13" s="1"/>
  <c r="R56" i="13"/>
  <c r="Q56" i="13" s="1"/>
  <c r="AT55" i="13"/>
  <c r="AS55" i="13"/>
  <c r="AR55" i="13"/>
  <c r="AQ55" i="13"/>
  <c r="AP55" i="13"/>
  <c r="AO55" i="13"/>
  <c r="AN55" i="13"/>
  <c r="AM55" i="13"/>
  <c r="AL55" i="13"/>
  <c r="W55" i="13"/>
  <c r="V55" i="13" s="1"/>
  <c r="T55" i="13"/>
  <c r="S55" i="13" s="1"/>
  <c r="R55" i="13"/>
  <c r="Q55" i="13" s="1"/>
  <c r="AT54" i="13"/>
  <c r="AS54" i="13"/>
  <c r="AR54" i="13"/>
  <c r="AQ54" i="13"/>
  <c r="AP54" i="13"/>
  <c r="AO54" i="13"/>
  <c r="AN54" i="13"/>
  <c r="AM54" i="13"/>
  <c r="AL54" i="13"/>
  <c r="W54" i="13"/>
  <c r="V54" i="13" s="1"/>
  <c r="T54" i="13"/>
  <c r="S54" i="13" s="1"/>
  <c r="R54" i="13"/>
  <c r="Q54" i="13" s="1"/>
  <c r="AT53" i="13"/>
  <c r="AS53" i="13"/>
  <c r="AR53" i="13"/>
  <c r="AQ53" i="13"/>
  <c r="AP53" i="13"/>
  <c r="AO53" i="13"/>
  <c r="AN53" i="13"/>
  <c r="AM53" i="13"/>
  <c r="AL53" i="13"/>
  <c r="W53" i="13"/>
  <c r="V53" i="13" s="1"/>
  <c r="T53" i="13"/>
  <c r="S53" i="13" s="1"/>
  <c r="R53" i="13"/>
  <c r="Q53" i="13" s="1"/>
  <c r="AT52" i="13"/>
  <c r="AS52" i="13"/>
  <c r="AR52" i="13"/>
  <c r="AQ52" i="13"/>
  <c r="AP52" i="13"/>
  <c r="AO52" i="13"/>
  <c r="AN52" i="13"/>
  <c r="AM52" i="13"/>
  <c r="AL52" i="13"/>
  <c r="W52" i="13"/>
  <c r="V52" i="13" s="1"/>
  <c r="T52" i="13"/>
  <c r="S52" i="13" s="1"/>
  <c r="R52" i="13"/>
  <c r="Q52" i="13" s="1"/>
  <c r="AT51" i="13"/>
  <c r="AS51" i="13"/>
  <c r="AR51" i="13"/>
  <c r="AQ51" i="13"/>
  <c r="AP51" i="13"/>
  <c r="AO51" i="13"/>
  <c r="AN51" i="13"/>
  <c r="AM51" i="13"/>
  <c r="AL51" i="13"/>
  <c r="W51" i="13"/>
  <c r="V51" i="13" s="1"/>
  <c r="T51" i="13"/>
  <c r="S51" i="13" s="1"/>
  <c r="R51" i="13"/>
  <c r="Q51" i="13" s="1"/>
  <c r="AT50" i="13"/>
  <c r="AS50" i="13"/>
  <c r="AR50" i="13"/>
  <c r="AQ50" i="13"/>
  <c r="AP50" i="13"/>
  <c r="AO50" i="13"/>
  <c r="AN50" i="13"/>
  <c r="AM50" i="13"/>
  <c r="AL50" i="13"/>
  <c r="W50" i="13"/>
  <c r="V50" i="13" s="1"/>
  <c r="T50" i="13"/>
  <c r="S50" i="13" s="1"/>
  <c r="R50" i="13"/>
  <c r="Q50" i="13" s="1"/>
  <c r="AT49" i="13"/>
  <c r="AS49" i="13"/>
  <c r="AR49" i="13"/>
  <c r="AQ49" i="13"/>
  <c r="AP49" i="13"/>
  <c r="AO49" i="13"/>
  <c r="AN49" i="13"/>
  <c r="AM49" i="13"/>
  <c r="AL49" i="13"/>
  <c r="W49" i="13"/>
  <c r="V49" i="13" s="1"/>
  <c r="T49" i="13"/>
  <c r="S49" i="13" s="1"/>
  <c r="R49" i="13"/>
  <c r="Q49" i="13" s="1"/>
  <c r="AT48" i="13"/>
  <c r="AS48" i="13"/>
  <c r="AR48" i="13"/>
  <c r="AQ48" i="13"/>
  <c r="AP48" i="13"/>
  <c r="AO48" i="13"/>
  <c r="AN48" i="13"/>
  <c r="AM48" i="13"/>
  <c r="AL48" i="13"/>
  <c r="W48" i="13"/>
  <c r="V48" i="13" s="1"/>
  <c r="T48" i="13"/>
  <c r="S48" i="13" s="1"/>
  <c r="R48" i="13"/>
  <c r="Q48" i="13" s="1"/>
  <c r="AT47" i="13"/>
  <c r="AS47" i="13"/>
  <c r="AR47" i="13"/>
  <c r="AQ47" i="13"/>
  <c r="AP47" i="13"/>
  <c r="AO47" i="13"/>
  <c r="AN47" i="13"/>
  <c r="AM47" i="13"/>
  <c r="AL47" i="13"/>
  <c r="W47" i="13"/>
  <c r="V47" i="13" s="1"/>
  <c r="T47" i="13"/>
  <c r="S47" i="13" s="1"/>
  <c r="R47" i="13"/>
  <c r="Q47" i="13" s="1"/>
  <c r="AT46" i="13"/>
  <c r="AS46" i="13"/>
  <c r="AR46" i="13"/>
  <c r="AQ46" i="13"/>
  <c r="AP46" i="13"/>
  <c r="AO46" i="13"/>
  <c r="AN46" i="13"/>
  <c r="AM46" i="13"/>
  <c r="AL46" i="13"/>
  <c r="W46" i="13"/>
  <c r="V46" i="13" s="1"/>
  <c r="T46" i="13"/>
  <c r="S46" i="13" s="1"/>
  <c r="R46" i="13"/>
  <c r="Q46" i="13" s="1"/>
  <c r="AT45" i="13"/>
  <c r="AS45" i="13"/>
  <c r="AR45" i="13"/>
  <c r="AQ45" i="13"/>
  <c r="AP45" i="13"/>
  <c r="AO45" i="13"/>
  <c r="AN45" i="13"/>
  <c r="AM45" i="13"/>
  <c r="AL45" i="13"/>
  <c r="W45" i="13"/>
  <c r="V45" i="13" s="1"/>
  <c r="T45" i="13"/>
  <c r="S45" i="13" s="1"/>
  <c r="R45" i="13"/>
  <c r="Q45" i="13" s="1"/>
  <c r="AT44" i="13"/>
  <c r="AS44" i="13"/>
  <c r="AR44" i="13"/>
  <c r="AQ44" i="13"/>
  <c r="AP44" i="13"/>
  <c r="AO44" i="13"/>
  <c r="AN44" i="13"/>
  <c r="AM44" i="13"/>
  <c r="AL44" i="13"/>
  <c r="W44" i="13"/>
  <c r="V44" i="13" s="1"/>
  <c r="T44" i="13"/>
  <c r="S44" i="13" s="1"/>
  <c r="R44" i="13"/>
  <c r="Q44" i="13" s="1"/>
  <c r="AT43" i="13"/>
  <c r="AS43" i="13"/>
  <c r="AR43" i="13"/>
  <c r="AQ43" i="13"/>
  <c r="AP43" i="13"/>
  <c r="AO43" i="13"/>
  <c r="AN43" i="13"/>
  <c r="AM43" i="13"/>
  <c r="AL43" i="13"/>
  <c r="W43" i="13"/>
  <c r="V43" i="13" s="1"/>
  <c r="T43" i="13"/>
  <c r="S43" i="13" s="1"/>
  <c r="R43" i="13"/>
  <c r="Q43" i="13" s="1"/>
  <c r="AT42" i="13"/>
  <c r="AS42" i="13"/>
  <c r="AR42" i="13"/>
  <c r="AQ42" i="13"/>
  <c r="AP42" i="13"/>
  <c r="AO42" i="13"/>
  <c r="AN42" i="13"/>
  <c r="AM42" i="13"/>
  <c r="AL42" i="13"/>
  <c r="W42" i="13"/>
  <c r="V42" i="13" s="1"/>
  <c r="T42" i="13"/>
  <c r="S42" i="13" s="1"/>
  <c r="R42" i="13"/>
  <c r="Q42" i="13" s="1"/>
  <c r="AT41" i="13"/>
  <c r="AS41" i="13"/>
  <c r="AR41" i="13"/>
  <c r="AQ41" i="13"/>
  <c r="AP41" i="13"/>
  <c r="AO41" i="13"/>
  <c r="AN41" i="13"/>
  <c r="AM41" i="13"/>
  <c r="AL41" i="13"/>
  <c r="W41" i="13"/>
  <c r="V41" i="13" s="1"/>
  <c r="T41" i="13"/>
  <c r="S41" i="13" s="1"/>
  <c r="R41" i="13"/>
  <c r="Q41" i="13" s="1"/>
  <c r="AT40" i="13"/>
  <c r="AS40" i="13"/>
  <c r="AR40" i="13"/>
  <c r="AQ40" i="13"/>
  <c r="AP40" i="13"/>
  <c r="AO40" i="13"/>
  <c r="AN40" i="13"/>
  <c r="AM40" i="13"/>
  <c r="AL40" i="13"/>
  <c r="W40" i="13"/>
  <c r="V40" i="13" s="1"/>
  <c r="T40" i="13"/>
  <c r="S40" i="13" s="1"/>
  <c r="R40" i="13"/>
  <c r="Q40" i="13" s="1"/>
  <c r="AT39" i="13"/>
  <c r="AS39" i="13"/>
  <c r="AR39" i="13"/>
  <c r="AQ39" i="13"/>
  <c r="AP39" i="13"/>
  <c r="AO39" i="13"/>
  <c r="AN39" i="13"/>
  <c r="AM39" i="13"/>
  <c r="AL39" i="13"/>
  <c r="W39" i="13"/>
  <c r="V39" i="13" s="1"/>
  <c r="T39" i="13"/>
  <c r="S39" i="13" s="1"/>
  <c r="R39" i="13"/>
  <c r="Q39" i="13" s="1"/>
  <c r="AT38" i="13"/>
  <c r="AS38" i="13"/>
  <c r="AR38" i="13"/>
  <c r="AQ38" i="13"/>
  <c r="AP38" i="13"/>
  <c r="AO38" i="13"/>
  <c r="AN38" i="13"/>
  <c r="AM38" i="13"/>
  <c r="AL38" i="13"/>
  <c r="W38" i="13"/>
  <c r="V38" i="13" s="1"/>
  <c r="T38" i="13"/>
  <c r="S38" i="13" s="1"/>
  <c r="R38" i="13"/>
  <c r="Q38" i="13" s="1"/>
  <c r="AT37" i="13"/>
  <c r="AS37" i="13"/>
  <c r="AR37" i="13"/>
  <c r="AQ37" i="13"/>
  <c r="AP37" i="13"/>
  <c r="AO37" i="13"/>
  <c r="AN37" i="13"/>
  <c r="AM37" i="13"/>
  <c r="AL37" i="13"/>
  <c r="W37" i="13"/>
  <c r="V37" i="13" s="1"/>
  <c r="T37" i="13"/>
  <c r="S37" i="13" s="1"/>
  <c r="R37" i="13"/>
  <c r="Q37" i="13" s="1"/>
  <c r="AT36" i="13"/>
  <c r="AS36" i="13"/>
  <c r="AR36" i="13"/>
  <c r="AQ36" i="13"/>
  <c r="AP36" i="13"/>
  <c r="AO36" i="13"/>
  <c r="AN36" i="13"/>
  <c r="AM36" i="13"/>
  <c r="AL36" i="13"/>
  <c r="W36" i="13"/>
  <c r="V36" i="13" s="1"/>
  <c r="T36" i="13"/>
  <c r="S36" i="13" s="1"/>
  <c r="R36" i="13"/>
  <c r="Q36" i="13" s="1"/>
  <c r="AT35" i="13"/>
  <c r="AS35" i="13"/>
  <c r="AR35" i="13"/>
  <c r="AQ35" i="13"/>
  <c r="AP35" i="13"/>
  <c r="AO35" i="13"/>
  <c r="AN35" i="13"/>
  <c r="AM35" i="13"/>
  <c r="AL35" i="13"/>
  <c r="W35" i="13"/>
  <c r="V35" i="13" s="1"/>
  <c r="T35" i="13"/>
  <c r="S35" i="13" s="1"/>
  <c r="R35" i="13"/>
  <c r="Q35" i="13" s="1"/>
  <c r="AT34" i="13"/>
  <c r="AS34" i="13"/>
  <c r="AR34" i="13"/>
  <c r="AQ34" i="13"/>
  <c r="AP34" i="13"/>
  <c r="AO34" i="13"/>
  <c r="AN34" i="13"/>
  <c r="AM34" i="13"/>
  <c r="AL34" i="13"/>
  <c r="W34" i="13"/>
  <c r="V34" i="13" s="1"/>
  <c r="T34" i="13"/>
  <c r="S34" i="13" s="1"/>
  <c r="R34" i="13"/>
  <c r="Q34" i="13" s="1"/>
  <c r="AT33" i="13"/>
  <c r="AS33" i="13"/>
  <c r="AR33" i="13"/>
  <c r="AQ33" i="13"/>
  <c r="AP33" i="13"/>
  <c r="AO33" i="13"/>
  <c r="AN33" i="13"/>
  <c r="AM33" i="13"/>
  <c r="AL33" i="13"/>
  <c r="W33" i="13"/>
  <c r="V33" i="13" s="1"/>
  <c r="T33" i="13"/>
  <c r="S33" i="13" s="1"/>
  <c r="R33" i="13"/>
  <c r="Q33" i="13" s="1"/>
  <c r="AT32" i="13"/>
  <c r="AS32" i="13"/>
  <c r="AR32" i="13"/>
  <c r="AQ32" i="13"/>
  <c r="AP32" i="13"/>
  <c r="AO32" i="13"/>
  <c r="AN32" i="13"/>
  <c r="AM32" i="13"/>
  <c r="AL32" i="13"/>
  <c r="W32" i="13"/>
  <c r="V32" i="13" s="1"/>
  <c r="T32" i="13"/>
  <c r="S32" i="13" s="1"/>
  <c r="R32" i="13"/>
  <c r="Q32" i="13" s="1"/>
  <c r="AT31" i="13"/>
  <c r="AS31" i="13"/>
  <c r="AR31" i="13"/>
  <c r="AQ31" i="13"/>
  <c r="AP31" i="13"/>
  <c r="AO31" i="13"/>
  <c r="AN31" i="13"/>
  <c r="AM31" i="13"/>
  <c r="AL31" i="13"/>
  <c r="W31" i="13"/>
  <c r="V31" i="13" s="1"/>
  <c r="T31" i="13"/>
  <c r="S31" i="13" s="1"/>
  <c r="R31" i="13"/>
  <c r="Q31" i="13" s="1"/>
  <c r="AT30" i="13"/>
  <c r="AS30" i="13"/>
  <c r="AR30" i="13"/>
  <c r="AQ30" i="13"/>
  <c r="AP30" i="13"/>
  <c r="AO30" i="13"/>
  <c r="AN30" i="13"/>
  <c r="AM30" i="13"/>
  <c r="AL30" i="13"/>
  <c r="W30" i="13"/>
  <c r="V30" i="13" s="1"/>
  <c r="T30" i="13"/>
  <c r="S30" i="13" s="1"/>
  <c r="R30" i="13"/>
  <c r="Q30" i="13" s="1"/>
  <c r="AT29" i="13"/>
  <c r="AS29" i="13"/>
  <c r="AR29" i="13"/>
  <c r="AQ29" i="13"/>
  <c r="AP29" i="13"/>
  <c r="AO29" i="13"/>
  <c r="AN29" i="13"/>
  <c r="AM29" i="13"/>
  <c r="AL29" i="13"/>
  <c r="W29" i="13"/>
  <c r="V29" i="13" s="1"/>
  <c r="T29" i="13"/>
  <c r="S29" i="13" s="1"/>
  <c r="R29" i="13"/>
  <c r="Q29" i="13" s="1"/>
  <c r="AT28" i="13"/>
  <c r="AS28" i="13"/>
  <c r="AR28" i="13"/>
  <c r="AQ28" i="13"/>
  <c r="AP28" i="13"/>
  <c r="AO28" i="13"/>
  <c r="AN28" i="13"/>
  <c r="AM28" i="13"/>
  <c r="AL28" i="13"/>
  <c r="W28" i="13"/>
  <c r="V28" i="13" s="1"/>
  <c r="T28" i="13"/>
  <c r="S28" i="13" s="1"/>
  <c r="R28" i="13"/>
  <c r="Q28" i="13" s="1"/>
  <c r="AT27" i="13"/>
  <c r="AS27" i="13"/>
  <c r="AR27" i="13"/>
  <c r="AQ27" i="13"/>
  <c r="AP27" i="13"/>
  <c r="AO27" i="13"/>
  <c r="AN27" i="13"/>
  <c r="AM27" i="13"/>
  <c r="AL27" i="13"/>
  <c r="W27" i="13"/>
  <c r="V27" i="13" s="1"/>
  <c r="T27" i="13"/>
  <c r="S27" i="13" s="1"/>
  <c r="R27" i="13"/>
  <c r="Q27" i="13" s="1"/>
  <c r="AT26" i="13"/>
  <c r="AS26" i="13"/>
  <c r="AR26" i="13"/>
  <c r="AQ26" i="13"/>
  <c r="AP26" i="13"/>
  <c r="AO26" i="13"/>
  <c r="AN26" i="13"/>
  <c r="AM26" i="13"/>
  <c r="AL26" i="13"/>
  <c r="W26" i="13"/>
  <c r="V26" i="13" s="1"/>
  <c r="T26" i="13"/>
  <c r="S26" i="13" s="1"/>
  <c r="R26" i="13"/>
  <c r="Q26" i="13" s="1"/>
  <c r="AT25" i="13"/>
  <c r="AS25" i="13"/>
  <c r="AR25" i="13"/>
  <c r="AQ25" i="13"/>
  <c r="AP25" i="13"/>
  <c r="AO25" i="13"/>
  <c r="AN25" i="13"/>
  <c r="AM25" i="13"/>
  <c r="AL25" i="13"/>
  <c r="W25" i="13"/>
  <c r="V25" i="13" s="1"/>
  <c r="T25" i="13"/>
  <c r="S25" i="13" s="1"/>
  <c r="R25" i="13"/>
  <c r="Q25" i="13" s="1"/>
  <c r="AT24" i="13"/>
  <c r="AS24" i="13"/>
  <c r="AR24" i="13"/>
  <c r="AQ24" i="13"/>
  <c r="AP24" i="13"/>
  <c r="AO24" i="13"/>
  <c r="AN24" i="13"/>
  <c r="AM24" i="13"/>
  <c r="AL24" i="13"/>
  <c r="W24" i="13"/>
  <c r="V24" i="13" s="1"/>
  <c r="T24" i="13"/>
  <c r="S24" i="13" s="1"/>
  <c r="R24" i="13"/>
  <c r="Q24" i="13" s="1"/>
  <c r="AT23" i="13"/>
  <c r="AS23" i="13"/>
  <c r="AR23" i="13"/>
  <c r="AQ23" i="13"/>
  <c r="AP23" i="13"/>
  <c r="AO23" i="13"/>
  <c r="AN23" i="13"/>
  <c r="AM23" i="13"/>
  <c r="AL23" i="13"/>
  <c r="W23" i="13"/>
  <c r="V23" i="13" s="1"/>
  <c r="T23" i="13"/>
  <c r="S23" i="13" s="1"/>
  <c r="R23" i="13"/>
  <c r="Q23" i="13" s="1"/>
  <c r="AT22" i="13"/>
  <c r="AS22" i="13"/>
  <c r="AR22" i="13"/>
  <c r="AQ22" i="13"/>
  <c r="AP22" i="13"/>
  <c r="AO22" i="13"/>
  <c r="AN22" i="13"/>
  <c r="AM22" i="13"/>
  <c r="AL22" i="13"/>
  <c r="W22" i="13"/>
  <c r="V22" i="13" s="1"/>
  <c r="T22" i="13"/>
  <c r="S22" i="13" s="1"/>
  <c r="R22" i="13"/>
  <c r="Q22" i="13" s="1"/>
  <c r="AT21" i="13"/>
  <c r="AS21" i="13"/>
  <c r="AR21" i="13"/>
  <c r="AQ21" i="13"/>
  <c r="AP21" i="13"/>
  <c r="AO21" i="13"/>
  <c r="AN21" i="13"/>
  <c r="AM21" i="13"/>
  <c r="AL21" i="13"/>
  <c r="W21" i="13"/>
  <c r="V21" i="13" s="1"/>
  <c r="T21" i="13"/>
  <c r="S21" i="13" s="1"/>
  <c r="R21" i="13"/>
  <c r="Q21" i="13" s="1"/>
  <c r="AT20" i="13"/>
  <c r="AS20" i="13"/>
  <c r="AR20" i="13"/>
  <c r="AQ20" i="13"/>
  <c r="AP20" i="13"/>
  <c r="AO20" i="13"/>
  <c r="AN20" i="13"/>
  <c r="AM20" i="13"/>
  <c r="AL20" i="13"/>
  <c r="W20" i="13"/>
  <c r="V20" i="13" s="1"/>
  <c r="T20" i="13"/>
  <c r="S20" i="13" s="1"/>
  <c r="R20" i="13"/>
  <c r="Q20" i="13" s="1"/>
  <c r="AT19" i="13"/>
  <c r="AS19" i="13"/>
  <c r="AR19" i="13"/>
  <c r="AQ19" i="13"/>
  <c r="AP19" i="13"/>
  <c r="AO19" i="13"/>
  <c r="AN19" i="13"/>
  <c r="AM19" i="13"/>
  <c r="AL19" i="13"/>
  <c r="W19" i="13"/>
  <c r="V19" i="13" s="1"/>
  <c r="T19" i="13"/>
  <c r="S19" i="13" s="1"/>
  <c r="R19" i="13"/>
  <c r="Q19" i="13" s="1"/>
  <c r="AT18" i="13"/>
  <c r="AS18" i="13"/>
  <c r="AR18" i="13"/>
  <c r="AQ18" i="13"/>
  <c r="AP18" i="13"/>
  <c r="AO18" i="13"/>
  <c r="AN18" i="13"/>
  <c r="AM18" i="13"/>
  <c r="AL18" i="13"/>
  <c r="W18" i="13"/>
  <c r="V18" i="13" s="1"/>
  <c r="T18" i="13"/>
  <c r="S18" i="13" s="1"/>
  <c r="R18" i="13"/>
  <c r="Q18" i="13" s="1"/>
  <c r="AT17" i="13"/>
  <c r="AS17" i="13"/>
  <c r="AR17" i="13"/>
  <c r="AQ17" i="13"/>
  <c r="AP17" i="13"/>
  <c r="AO17" i="13"/>
  <c r="AN17" i="13"/>
  <c r="AM17" i="13"/>
  <c r="AL17" i="13"/>
  <c r="W17" i="13"/>
  <c r="V17" i="13" s="1"/>
  <c r="T17" i="13"/>
  <c r="S17" i="13" s="1"/>
  <c r="R17" i="13"/>
  <c r="Q17" i="13" s="1"/>
  <c r="AT16" i="13"/>
  <c r="AS16" i="13"/>
  <c r="AR16" i="13"/>
  <c r="AQ16" i="13"/>
  <c r="AP16" i="13"/>
  <c r="AO16" i="13"/>
  <c r="AN16" i="13"/>
  <c r="AM16" i="13"/>
  <c r="AL16" i="13"/>
  <c r="W16" i="13"/>
  <c r="V16" i="13" s="1"/>
  <c r="T16" i="13"/>
  <c r="S16" i="13" s="1"/>
  <c r="R16" i="13"/>
  <c r="Q16" i="13" s="1"/>
  <c r="AT15" i="13"/>
  <c r="AS15" i="13"/>
  <c r="AR15" i="13"/>
  <c r="AQ15" i="13"/>
  <c r="AP15" i="13"/>
  <c r="AO15" i="13"/>
  <c r="AN15" i="13"/>
  <c r="AM15" i="13"/>
  <c r="AL15" i="13"/>
  <c r="W15" i="13"/>
  <c r="V15" i="13" s="1"/>
  <c r="T15" i="13"/>
  <c r="S15" i="13" s="1"/>
  <c r="R15" i="13"/>
  <c r="Q15" i="13" s="1"/>
  <c r="AT14" i="13"/>
  <c r="AS14" i="13"/>
  <c r="AR14" i="13"/>
  <c r="AQ14" i="13"/>
  <c r="AP14" i="13"/>
  <c r="AO14" i="13"/>
  <c r="AN14" i="13"/>
  <c r="AM14" i="13"/>
  <c r="AL14" i="13"/>
  <c r="W14" i="13"/>
  <c r="V14" i="13" s="1"/>
  <c r="T14" i="13"/>
  <c r="S14" i="13" s="1"/>
  <c r="R14" i="13"/>
  <c r="Q14" i="13" s="1"/>
  <c r="AT13" i="13"/>
  <c r="AS13" i="13"/>
  <c r="AR13" i="13"/>
  <c r="AQ13" i="13"/>
  <c r="AP13" i="13"/>
  <c r="AO13" i="13"/>
  <c r="AN13" i="13"/>
  <c r="AM13" i="13"/>
  <c r="AL13" i="13"/>
  <c r="W13" i="13"/>
  <c r="V13" i="13" s="1"/>
  <c r="T13" i="13"/>
  <c r="S13" i="13" s="1"/>
  <c r="R13" i="13"/>
  <c r="Q13" i="13" s="1"/>
  <c r="AT12" i="13"/>
  <c r="AS12" i="13"/>
  <c r="AR12" i="13"/>
  <c r="AQ12" i="13"/>
  <c r="AP12" i="13"/>
  <c r="AO12" i="13"/>
  <c r="AN12" i="13"/>
  <c r="AM12" i="13"/>
  <c r="AL12" i="13"/>
  <c r="W12" i="13"/>
  <c r="V12" i="13" s="1"/>
  <c r="T12" i="13"/>
  <c r="S12" i="13" s="1"/>
  <c r="R12" i="13"/>
  <c r="Q12" i="13" s="1"/>
  <c r="AT11" i="13"/>
  <c r="AS11" i="13"/>
  <c r="AR11" i="13"/>
  <c r="AQ11" i="13"/>
  <c r="AP11" i="13"/>
  <c r="AO11" i="13"/>
  <c r="AN11" i="13"/>
  <c r="AM11" i="13"/>
  <c r="AL11" i="13"/>
  <c r="W11" i="13"/>
  <c r="V11" i="13" s="1"/>
  <c r="T11" i="13"/>
  <c r="S11" i="13" s="1"/>
  <c r="R11" i="13"/>
  <c r="Q11" i="13" s="1"/>
  <c r="AT10" i="13"/>
  <c r="AS10" i="13"/>
  <c r="AR10" i="13"/>
  <c r="AQ10" i="13"/>
  <c r="AP10" i="13"/>
  <c r="AO10" i="13"/>
  <c r="AN10" i="13"/>
  <c r="AM10" i="13"/>
  <c r="AL10" i="13"/>
  <c r="W10" i="13"/>
  <c r="V10" i="13" s="1"/>
  <c r="T10" i="13"/>
  <c r="S10" i="13" s="1"/>
  <c r="R10" i="13"/>
  <c r="Q10" i="13" s="1"/>
  <c r="AT9" i="13"/>
  <c r="AS9" i="13"/>
  <c r="AR9" i="13"/>
  <c r="AQ9" i="13"/>
  <c r="AP9" i="13"/>
  <c r="AO9" i="13"/>
  <c r="AN9" i="13"/>
  <c r="AM9" i="13"/>
  <c r="AL9" i="13"/>
  <c r="W9" i="13"/>
  <c r="V9" i="13" s="1"/>
  <c r="T9" i="13"/>
  <c r="S9" i="13" s="1"/>
  <c r="R9" i="13"/>
  <c r="Q9" i="13" s="1"/>
  <c r="AT8" i="13"/>
  <c r="AS8" i="13"/>
  <c r="AR8" i="13"/>
  <c r="AQ8" i="13"/>
  <c r="AP8" i="13"/>
  <c r="AO8" i="13"/>
  <c r="AN8" i="13"/>
  <c r="AM8" i="13"/>
  <c r="AL8" i="13"/>
  <c r="W8" i="13"/>
  <c r="V8" i="13" s="1"/>
  <c r="T8" i="13"/>
  <c r="S8" i="13" s="1"/>
  <c r="R8" i="13"/>
  <c r="Q8" i="13" s="1"/>
  <c r="AT7" i="13"/>
  <c r="AS7" i="13"/>
  <c r="AR7" i="13"/>
  <c r="AQ7" i="13"/>
  <c r="AP7" i="13"/>
  <c r="AO7" i="13"/>
  <c r="AN7" i="13"/>
  <c r="AM7" i="13"/>
  <c r="AL7" i="13"/>
  <c r="W7" i="13"/>
  <c r="V7" i="13" s="1"/>
  <c r="T7" i="13"/>
  <c r="S7" i="13" s="1"/>
  <c r="R7" i="13"/>
  <c r="Q7" i="13" s="1"/>
  <c r="AT6" i="13"/>
  <c r="AS6" i="13"/>
  <c r="AR6" i="13"/>
  <c r="AQ6" i="13"/>
  <c r="AP6" i="13"/>
  <c r="AO6" i="13"/>
  <c r="AN6" i="13"/>
  <c r="AM6" i="13"/>
  <c r="AL6" i="13"/>
  <c r="W6" i="13"/>
  <c r="V6" i="13" s="1"/>
  <c r="T6" i="13"/>
  <c r="S6" i="13" s="1"/>
  <c r="R6" i="13"/>
  <c r="Q6" i="13" s="1"/>
  <c r="AT153" i="13"/>
  <c r="AS153" i="13"/>
  <c r="AR153" i="13"/>
  <c r="AQ153" i="13"/>
  <c r="AP153" i="13"/>
  <c r="AO153" i="13"/>
  <c r="AN153" i="13"/>
  <c r="AM153" i="13"/>
  <c r="AL153" i="13"/>
  <c r="W153" i="13"/>
  <c r="V153" i="13" s="1"/>
  <c r="T153" i="13"/>
  <c r="R153" i="13"/>
  <c r="AT152" i="13"/>
  <c r="AS152" i="13"/>
  <c r="AR152" i="13"/>
  <c r="AQ152" i="13"/>
  <c r="AP152" i="13"/>
  <c r="AO152" i="13"/>
  <c r="AN152" i="13"/>
  <c r="AM152" i="13"/>
  <c r="AL152" i="13"/>
  <c r="W152" i="13"/>
  <c r="V152" i="13" s="1"/>
  <c r="T152" i="13"/>
  <c r="R152" i="13"/>
  <c r="AT151" i="13"/>
  <c r="AS151" i="13"/>
  <c r="AR151" i="13"/>
  <c r="AQ151" i="13"/>
  <c r="AP151" i="13"/>
  <c r="AO151" i="13"/>
  <c r="AN151" i="13"/>
  <c r="AM151" i="13"/>
  <c r="AL151" i="13"/>
  <c r="W151" i="13"/>
  <c r="V151" i="13" s="1"/>
  <c r="T151" i="13"/>
  <c r="S151" i="13" s="1"/>
  <c r="R151" i="13"/>
  <c r="AT150" i="13"/>
  <c r="AS150" i="13"/>
  <c r="AR150" i="13"/>
  <c r="AQ150" i="13"/>
  <c r="AP150" i="13"/>
  <c r="AO150" i="13"/>
  <c r="AN150" i="13"/>
  <c r="AM150" i="13"/>
  <c r="AL150" i="13"/>
  <c r="W150" i="13"/>
  <c r="V150" i="13" s="1"/>
  <c r="T150" i="13"/>
  <c r="S150" i="13" s="1"/>
  <c r="R150" i="13"/>
  <c r="AT149" i="13"/>
  <c r="AS149" i="13"/>
  <c r="AR149" i="13"/>
  <c r="AQ149" i="13"/>
  <c r="AP149" i="13"/>
  <c r="AO149" i="13"/>
  <c r="AN149" i="13"/>
  <c r="AM149" i="13"/>
  <c r="AL149" i="13"/>
  <c r="W149" i="13"/>
  <c r="V149" i="13" s="1"/>
  <c r="T149" i="13"/>
  <c r="S149" i="13" s="1"/>
  <c r="R149" i="13"/>
  <c r="Q149" i="13" s="1"/>
  <c r="AT148" i="13"/>
  <c r="AS148" i="13"/>
  <c r="AR148" i="13"/>
  <c r="AQ148" i="13"/>
  <c r="AP148" i="13"/>
  <c r="AO148" i="13"/>
  <c r="AN148" i="13"/>
  <c r="AM148" i="13"/>
  <c r="AL148" i="13"/>
  <c r="W148" i="13"/>
  <c r="V148" i="13" s="1"/>
  <c r="T148" i="13"/>
  <c r="S148" i="13" s="1"/>
  <c r="R148" i="13"/>
  <c r="Q148" i="13" s="1"/>
  <c r="AT147" i="13"/>
  <c r="AS147" i="13"/>
  <c r="AR147" i="13"/>
  <c r="AQ147" i="13"/>
  <c r="AP147" i="13"/>
  <c r="AO147" i="13"/>
  <c r="AN147" i="13"/>
  <c r="AM147" i="13"/>
  <c r="AL147" i="13"/>
  <c r="W147" i="13"/>
  <c r="V147" i="13" s="1"/>
  <c r="T147" i="13"/>
  <c r="R147" i="13"/>
  <c r="AT146" i="13"/>
  <c r="AS146" i="13"/>
  <c r="AR146" i="13"/>
  <c r="AQ146" i="13"/>
  <c r="AP146" i="13"/>
  <c r="AO146" i="13"/>
  <c r="AN146" i="13"/>
  <c r="AM146" i="13"/>
  <c r="AL146" i="13"/>
  <c r="W146" i="13"/>
  <c r="V146" i="13" s="1"/>
  <c r="T146" i="13"/>
  <c r="R146" i="13"/>
  <c r="AT145" i="13"/>
  <c r="AS145" i="13"/>
  <c r="AR145" i="13"/>
  <c r="AQ145" i="13"/>
  <c r="AP145" i="13"/>
  <c r="AO145" i="13"/>
  <c r="AN145" i="13"/>
  <c r="AM145" i="13"/>
  <c r="AL145" i="13"/>
  <c r="W145" i="13"/>
  <c r="V145" i="13" s="1"/>
  <c r="T145" i="13"/>
  <c r="R145" i="13"/>
  <c r="AT144" i="13"/>
  <c r="AS144" i="13"/>
  <c r="AR144" i="13"/>
  <c r="AQ144" i="13"/>
  <c r="AP144" i="13"/>
  <c r="AO144" i="13"/>
  <c r="AN144" i="13"/>
  <c r="AM144" i="13"/>
  <c r="AL144" i="13"/>
  <c r="W144" i="13"/>
  <c r="V144" i="13" s="1"/>
  <c r="T144" i="13"/>
  <c r="R144" i="13"/>
  <c r="AT143" i="13"/>
  <c r="AS143" i="13"/>
  <c r="AR143" i="13"/>
  <c r="AQ143" i="13"/>
  <c r="AP143" i="13"/>
  <c r="AO143" i="13"/>
  <c r="AN143" i="13"/>
  <c r="AM143" i="13"/>
  <c r="AL143" i="13"/>
  <c r="W143" i="13"/>
  <c r="V143" i="13" s="1"/>
  <c r="T143" i="13"/>
  <c r="R143" i="13"/>
  <c r="AT142" i="13"/>
  <c r="AS142" i="13"/>
  <c r="AR142" i="13"/>
  <c r="AQ142" i="13"/>
  <c r="AP142" i="13"/>
  <c r="AO142" i="13"/>
  <c r="AN142" i="13"/>
  <c r="AM142" i="13"/>
  <c r="AL142" i="13"/>
  <c r="W142" i="13"/>
  <c r="V142" i="13" s="1"/>
  <c r="T142" i="13"/>
  <c r="S142" i="13" s="1"/>
  <c r="R142" i="13"/>
  <c r="AT141" i="13"/>
  <c r="AS141" i="13"/>
  <c r="AR141" i="13"/>
  <c r="AQ141" i="13"/>
  <c r="AP141" i="13"/>
  <c r="AO141" i="13"/>
  <c r="AN141" i="13"/>
  <c r="AM141" i="13"/>
  <c r="AL141" i="13"/>
  <c r="W141" i="13"/>
  <c r="V141" i="13" s="1"/>
  <c r="T141" i="13"/>
  <c r="S141" i="13" s="1"/>
  <c r="R141" i="13"/>
  <c r="AT140" i="13"/>
  <c r="AS140" i="13"/>
  <c r="AR140" i="13"/>
  <c r="AQ140" i="13"/>
  <c r="AP140" i="13"/>
  <c r="AO140" i="13"/>
  <c r="AN140" i="13"/>
  <c r="AM140" i="13"/>
  <c r="AL140" i="13"/>
  <c r="W140" i="13"/>
  <c r="V140" i="13" s="1"/>
  <c r="T140" i="13"/>
  <c r="S140" i="13" s="1"/>
  <c r="R140" i="13"/>
  <c r="AT139" i="13"/>
  <c r="AS139" i="13"/>
  <c r="AR139" i="13"/>
  <c r="AQ139" i="13"/>
  <c r="AP139" i="13"/>
  <c r="AO139" i="13"/>
  <c r="AN139" i="13"/>
  <c r="AM139" i="13"/>
  <c r="AL139" i="13"/>
  <c r="W139" i="13"/>
  <c r="V139" i="13" s="1"/>
  <c r="T139" i="13"/>
  <c r="R139" i="13"/>
  <c r="AT138" i="13"/>
  <c r="AS138" i="13"/>
  <c r="AR138" i="13"/>
  <c r="AQ138" i="13"/>
  <c r="AP138" i="13"/>
  <c r="AO138" i="13"/>
  <c r="AN138" i="13"/>
  <c r="AM138" i="13"/>
  <c r="AL138" i="13"/>
  <c r="W138" i="13"/>
  <c r="V138" i="13" s="1"/>
  <c r="T138" i="13"/>
  <c r="R138" i="13"/>
  <c r="Q138" i="13" s="1"/>
  <c r="AK111" i="13" l="1"/>
  <c r="AK1068" i="13"/>
  <c r="AK110" i="13"/>
  <c r="AK1069" i="13"/>
  <c r="AK1067" i="13"/>
  <c r="AK128" i="13"/>
  <c r="AK129" i="13"/>
  <c r="AK131" i="13"/>
  <c r="AK130" i="13"/>
  <c r="AK138" i="13"/>
  <c r="AK73" i="13"/>
  <c r="AK74" i="13"/>
  <c r="AK77" i="13"/>
  <c r="AK95" i="13"/>
  <c r="AK40" i="13"/>
  <c r="AK41" i="13"/>
  <c r="AK93" i="13"/>
  <c r="AK115" i="13"/>
  <c r="AK117" i="13"/>
  <c r="AK118" i="13"/>
  <c r="AK120" i="13"/>
  <c r="AK11" i="13"/>
  <c r="AK14" i="13"/>
  <c r="AK109" i="13"/>
  <c r="AK20" i="13"/>
  <c r="AK113" i="13"/>
  <c r="AK124" i="13"/>
  <c r="AK126" i="13"/>
  <c r="AK75" i="13"/>
  <c r="AK122" i="13"/>
  <c r="AK29" i="13"/>
  <c r="AK139" i="13"/>
  <c r="AK144" i="13"/>
  <c r="AK145" i="13"/>
  <c r="AK147" i="13"/>
  <c r="AK153" i="13"/>
  <c r="AK33" i="13"/>
  <c r="AK34" i="13"/>
  <c r="AK88" i="13"/>
  <c r="AK92" i="13"/>
  <c r="AK35" i="13"/>
  <c r="AK87" i="13"/>
  <c r="AK89" i="13"/>
  <c r="AK112" i="13"/>
  <c r="AK114" i="13"/>
  <c r="AK90" i="13"/>
  <c r="AK116" i="13"/>
  <c r="AK6" i="13"/>
  <c r="AK12" i="13"/>
  <c r="AK18" i="13"/>
  <c r="AK39" i="13"/>
  <c r="AK72" i="13"/>
  <c r="AK91" i="13"/>
  <c r="AK119" i="13"/>
  <c r="AK121" i="13"/>
  <c r="AK123" i="13"/>
  <c r="AK19" i="13"/>
  <c r="AK76" i="13"/>
  <c r="AK94" i="13"/>
  <c r="AK125" i="13"/>
  <c r="AK45" i="13"/>
  <c r="AK61" i="13"/>
  <c r="AK62" i="13"/>
  <c r="AK23" i="13"/>
  <c r="AK9" i="13"/>
  <c r="AK24" i="13"/>
  <c r="AK46" i="13"/>
  <c r="AK47" i="13"/>
  <c r="AK60" i="13"/>
  <c r="AK10" i="13"/>
  <c r="AK27" i="13"/>
  <c r="AK51" i="13"/>
  <c r="AK63" i="13"/>
  <c r="AK52" i="13"/>
  <c r="AK15" i="13"/>
  <c r="AK21" i="13"/>
  <c r="AK28" i="13"/>
  <c r="AK53" i="13"/>
  <c r="AK64" i="13"/>
  <c r="AK65" i="13"/>
  <c r="AK127" i="13"/>
  <c r="AK134" i="13"/>
  <c r="AK7" i="13"/>
  <c r="AK42" i="13"/>
  <c r="AK48" i="13"/>
  <c r="AK78" i="13"/>
  <c r="AK80" i="13"/>
  <c r="AK96" i="13"/>
  <c r="AK98" i="13"/>
  <c r="AK133" i="13"/>
  <c r="AK135" i="13"/>
  <c r="AK137" i="13"/>
  <c r="AK16" i="13"/>
  <c r="AK25" i="13"/>
  <c r="AK30" i="13"/>
  <c r="AK36" i="13"/>
  <c r="AK54" i="13"/>
  <c r="AK55" i="13"/>
  <c r="AK79" i="13"/>
  <c r="AK97" i="13"/>
  <c r="AK136" i="13"/>
  <c r="AK8" i="13"/>
  <c r="AK17" i="13"/>
  <c r="AK26" i="13"/>
  <c r="AK56" i="13"/>
  <c r="AK66" i="13"/>
  <c r="AK67" i="13"/>
  <c r="AK68" i="13"/>
  <c r="AK81" i="13"/>
  <c r="AK83" i="13"/>
  <c r="AK99" i="13"/>
  <c r="AK101" i="13"/>
  <c r="AK31" i="13"/>
  <c r="AK37" i="13"/>
  <c r="AK43" i="13"/>
  <c r="AK49" i="13"/>
  <c r="AK82" i="13"/>
  <c r="AK100" i="13"/>
  <c r="AK102" i="13"/>
  <c r="AK104" i="13"/>
  <c r="AK32" i="13"/>
  <c r="AK84" i="13"/>
  <c r="AK86" i="13"/>
  <c r="AK103" i="13"/>
  <c r="AK105" i="13"/>
  <c r="AK107" i="13"/>
  <c r="AK13" i="13"/>
  <c r="AK22" i="13"/>
  <c r="AK38" i="13"/>
  <c r="AK44" i="13"/>
  <c r="AK50" i="13"/>
  <c r="AK57" i="13"/>
  <c r="AK58" i="13"/>
  <c r="AK59" i="13"/>
  <c r="AK69" i="13"/>
  <c r="AK70" i="13"/>
  <c r="AK71" i="13"/>
  <c r="AK85" i="13"/>
  <c r="AK106" i="13"/>
  <c r="AK108" i="13"/>
  <c r="AK148" i="13"/>
  <c r="AK141" i="13"/>
  <c r="AK140" i="13"/>
  <c r="AK143" i="13"/>
  <c r="AK146" i="13"/>
  <c r="AK152" i="13"/>
  <c r="AK142" i="13"/>
  <c r="AK151" i="13"/>
  <c r="AK149" i="13"/>
  <c r="AK150" i="13"/>
  <c r="AT1066" i="13" l="1"/>
  <c r="AS1066" i="13"/>
  <c r="AR1066" i="13"/>
  <c r="AQ1066" i="13"/>
  <c r="AP1066" i="13"/>
  <c r="AO1066" i="13"/>
  <c r="AN1066" i="13"/>
  <c r="AM1066" i="13"/>
  <c r="AL1066" i="13"/>
  <c r="W1066" i="13"/>
  <c r="V1066" i="13" s="1"/>
  <c r="T1066" i="13"/>
  <c r="S1066" i="13" s="1"/>
  <c r="R1066" i="13"/>
  <c r="Q1066" i="13" s="1"/>
  <c r="AT1065" i="13"/>
  <c r="AS1065" i="13"/>
  <c r="AR1065" i="13"/>
  <c r="AQ1065" i="13"/>
  <c r="AP1065" i="13"/>
  <c r="AO1065" i="13"/>
  <c r="AN1065" i="13"/>
  <c r="AM1065" i="13"/>
  <c r="AL1065" i="13"/>
  <c r="W1065" i="13"/>
  <c r="V1065" i="13" s="1"/>
  <c r="T1065" i="13"/>
  <c r="S1065" i="13" s="1"/>
  <c r="R1065" i="13"/>
  <c r="Q1065" i="13" s="1"/>
  <c r="AT1064" i="13"/>
  <c r="AS1064" i="13"/>
  <c r="AR1064" i="13"/>
  <c r="AQ1064" i="13"/>
  <c r="AP1064" i="13"/>
  <c r="AO1064" i="13"/>
  <c r="AN1064" i="13"/>
  <c r="AM1064" i="13"/>
  <c r="AL1064" i="13"/>
  <c r="W1064" i="13"/>
  <c r="V1064" i="13" s="1"/>
  <c r="T1064" i="13"/>
  <c r="S1064" i="13" s="1"/>
  <c r="R1064" i="13"/>
  <c r="Q1064" i="13" s="1"/>
  <c r="AT1063" i="13"/>
  <c r="AS1063" i="13"/>
  <c r="AR1063" i="13"/>
  <c r="AQ1063" i="13"/>
  <c r="AP1063" i="13"/>
  <c r="AO1063" i="13"/>
  <c r="AN1063" i="13"/>
  <c r="AM1063" i="13"/>
  <c r="AL1063" i="13"/>
  <c r="W1063" i="13"/>
  <c r="V1063" i="13" s="1"/>
  <c r="T1063" i="13"/>
  <c r="S1063" i="13" s="1"/>
  <c r="R1063" i="13"/>
  <c r="Q1063" i="13" s="1"/>
  <c r="AT1062" i="13"/>
  <c r="AS1062" i="13"/>
  <c r="AR1062" i="13"/>
  <c r="AQ1062" i="13"/>
  <c r="AP1062" i="13"/>
  <c r="AO1062" i="13"/>
  <c r="AN1062" i="13"/>
  <c r="AM1062" i="13"/>
  <c r="AL1062" i="13"/>
  <c r="W1062" i="13"/>
  <c r="V1062" i="13" s="1"/>
  <c r="T1062" i="13"/>
  <c r="S1062" i="13" s="1"/>
  <c r="R1062" i="13"/>
  <c r="Q1062" i="13" s="1"/>
  <c r="AK1066" i="13" l="1"/>
  <c r="AK1065" i="13"/>
  <c r="AK1064" i="13"/>
  <c r="AK1063" i="13"/>
  <c r="AK1062" i="13"/>
  <c r="AT337" i="13" l="1"/>
  <c r="AS337" i="13"/>
  <c r="AR337" i="13"/>
  <c r="AQ337" i="13"/>
  <c r="AP337" i="13"/>
  <c r="AO337" i="13"/>
  <c r="AN337" i="13"/>
  <c r="AM337" i="13"/>
  <c r="AL337" i="13"/>
  <c r="W337" i="13"/>
  <c r="V337" i="13" s="1"/>
  <c r="T337" i="13"/>
  <c r="S337" i="13" s="1"/>
  <c r="R337" i="13"/>
  <c r="Q337" i="13" s="1"/>
  <c r="AT336" i="13"/>
  <c r="AS336" i="13"/>
  <c r="AR336" i="13"/>
  <c r="AQ336" i="13"/>
  <c r="AP336" i="13"/>
  <c r="AO336" i="13"/>
  <c r="AN336" i="13"/>
  <c r="AM336" i="13"/>
  <c r="AL336" i="13"/>
  <c r="W336" i="13"/>
  <c r="V336" i="13" s="1"/>
  <c r="T336" i="13"/>
  <c r="S336" i="13" s="1"/>
  <c r="R336" i="13"/>
  <c r="Q336" i="13" s="1"/>
  <c r="AT335" i="13"/>
  <c r="AS335" i="13"/>
  <c r="AR335" i="13"/>
  <c r="AQ335" i="13"/>
  <c r="AP335" i="13"/>
  <c r="AO335" i="13"/>
  <c r="AN335" i="13"/>
  <c r="AM335" i="13"/>
  <c r="AL335" i="13"/>
  <c r="W335" i="13"/>
  <c r="V335" i="13" s="1"/>
  <c r="T335" i="13"/>
  <c r="S335" i="13" s="1"/>
  <c r="R335" i="13"/>
  <c r="Q335" i="13" s="1"/>
  <c r="AT334" i="13"/>
  <c r="AS334" i="13"/>
  <c r="AR334" i="13"/>
  <c r="AQ334" i="13"/>
  <c r="AP334" i="13"/>
  <c r="AO334" i="13"/>
  <c r="AN334" i="13"/>
  <c r="AM334" i="13"/>
  <c r="AL334" i="13"/>
  <c r="W334" i="13"/>
  <c r="V334" i="13" s="1"/>
  <c r="T334" i="13"/>
  <c r="S334" i="13" s="1"/>
  <c r="R334" i="13"/>
  <c r="Q334" i="13" s="1"/>
  <c r="AT333" i="13"/>
  <c r="AS333" i="13"/>
  <c r="AR333" i="13"/>
  <c r="AQ333" i="13"/>
  <c r="AP333" i="13"/>
  <c r="AO333" i="13"/>
  <c r="AN333" i="13"/>
  <c r="AM333" i="13"/>
  <c r="AL333" i="13"/>
  <c r="W333" i="13"/>
  <c r="V333" i="13" s="1"/>
  <c r="T333" i="13"/>
  <c r="S333" i="13" s="1"/>
  <c r="R333" i="13"/>
  <c r="Q333" i="13" s="1"/>
  <c r="AT332" i="13"/>
  <c r="AS332" i="13"/>
  <c r="AR332" i="13"/>
  <c r="AQ332" i="13"/>
  <c r="AP332" i="13"/>
  <c r="AO332" i="13"/>
  <c r="AN332" i="13"/>
  <c r="AM332" i="13"/>
  <c r="AL332" i="13"/>
  <c r="W332" i="13"/>
  <c r="V332" i="13" s="1"/>
  <c r="T332" i="13"/>
  <c r="S332" i="13" s="1"/>
  <c r="R332" i="13"/>
  <c r="Q332" i="13" s="1"/>
  <c r="AT331" i="13"/>
  <c r="AS331" i="13"/>
  <c r="AR331" i="13"/>
  <c r="AQ331" i="13"/>
  <c r="AP331" i="13"/>
  <c r="AO331" i="13"/>
  <c r="AN331" i="13"/>
  <c r="AM331" i="13"/>
  <c r="AL331" i="13"/>
  <c r="W331" i="13"/>
  <c r="V331" i="13" s="1"/>
  <c r="T331" i="13"/>
  <c r="S331" i="13" s="1"/>
  <c r="R331" i="13"/>
  <c r="Q331" i="13" s="1"/>
  <c r="AT330" i="13"/>
  <c r="AS330" i="13"/>
  <c r="AR330" i="13"/>
  <c r="AQ330" i="13"/>
  <c r="AP330" i="13"/>
  <c r="AO330" i="13"/>
  <c r="AN330" i="13"/>
  <c r="AM330" i="13"/>
  <c r="AL330" i="13"/>
  <c r="W330" i="13"/>
  <c r="V330" i="13" s="1"/>
  <c r="T330" i="13"/>
  <c r="S330" i="13" s="1"/>
  <c r="R330" i="13"/>
  <c r="Q330" i="13" s="1"/>
  <c r="AT329" i="13"/>
  <c r="AS329" i="13"/>
  <c r="AR329" i="13"/>
  <c r="AQ329" i="13"/>
  <c r="AP329" i="13"/>
  <c r="AO329" i="13"/>
  <c r="AN329" i="13"/>
  <c r="AM329" i="13"/>
  <c r="AL329" i="13"/>
  <c r="W329" i="13"/>
  <c r="V329" i="13" s="1"/>
  <c r="T329" i="13"/>
  <c r="R329" i="13"/>
  <c r="Q329" i="13" s="1"/>
  <c r="AT328" i="13"/>
  <c r="AS328" i="13"/>
  <c r="AR328" i="13"/>
  <c r="AQ328" i="13"/>
  <c r="AP328" i="13"/>
  <c r="AO328" i="13"/>
  <c r="AN328" i="13"/>
  <c r="AM328" i="13"/>
  <c r="AL328" i="13"/>
  <c r="W328" i="13"/>
  <c r="V328" i="13" s="1"/>
  <c r="T328" i="13"/>
  <c r="R328" i="13"/>
  <c r="Q328" i="13" s="1"/>
  <c r="AT327" i="13"/>
  <c r="AS327" i="13"/>
  <c r="AR327" i="13"/>
  <c r="AQ327" i="13"/>
  <c r="AP327" i="13"/>
  <c r="AO327" i="13"/>
  <c r="AN327" i="13"/>
  <c r="AM327" i="13"/>
  <c r="AL327" i="13"/>
  <c r="W327" i="13"/>
  <c r="V327" i="13" s="1"/>
  <c r="T327" i="13"/>
  <c r="R327" i="13"/>
  <c r="Q327" i="13" s="1"/>
  <c r="AT323" i="13"/>
  <c r="AS323" i="13"/>
  <c r="AR323" i="13"/>
  <c r="AQ323" i="13"/>
  <c r="AP323" i="13"/>
  <c r="AO323" i="13"/>
  <c r="AN323" i="13"/>
  <c r="AM323" i="13"/>
  <c r="AL323" i="13"/>
  <c r="W323" i="13"/>
  <c r="V323" i="13" s="1"/>
  <c r="T323" i="13"/>
  <c r="S323" i="13" s="1"/>
  <c r="R323" i="13"/>
  <c r="Q323" i="13" s="1"/>
  <c r="AT324" i="13"/>
  <c r="AS324" i="13"/>
  <c r="AR324" i="13"/>
  <c r="AQ324" i="13"/>
  <c r="AP324" i="13"/>
  <c r="AO324" i="13"/>
  <c r="AN324" i="13"/>
  <c r="AM324" i="13"/>
  <c r="AL324" i="13"/>
  <c r="W324" i="13"/>
  <c r="V324" i="13" s="1"/>
  <c r="T324" i="13"/>
  <c r="S324" i="13" s="1"/>
  <c r="R324" i="13"/>
  <c r="Q324" i="13" s="1"/>
  <c r="AT322" i="13"/>
  <c r="AS322" i="13"/>
  <c r="AR322" i="13"/>
  <c r="AQ322" i="13"/>
  <c r="AP322" i="13"/>
  <c r="AO322" i="13"/>
  <c r="AN322" i="13"/>
  <c r="AM322" i="13"/>
  <c r="AL322" i="13"/>
  <c r="W322" i="13"/>
  <c r="V322" i="13" s="1"/>
  <c r="T322" i="13"/>
  <c r="S322" i="13" s="1"/>
  <c r="R322" i="13"/>
  <c r="Q322" i="13" s="1"/>
  <c r="AK329" i="13" l="1"/>
  <c r="AK327" i="13"/>
  <c r="AK328" i="13"/>
  <c r="AK331" i="13"/>
  <c r="AK333" i="13"/>
  <c r="AK335" i="13"/>
  <c r="AK334" i="13"/>
  <c r="AK337" i="13"/>
  <c r="AK336" i="13"/>
  <c r="AK332" i="13"/>
  <c r="AK330" i="13"/>
  <c r="AK323" i="13"/>
  <c r="AK324" i="13"/>
  <c r="AK322" i="13"/>
  <c r="AT321" i="13"/>
  <c r="AR321" i="13"/>
  <c r="AQ321" i="13"/>
  <c r="AP321" i="13"/>
  <c r="AO321" i="13"/>
  <c r="AN321" i="13"/>
  <c r="AM321" i="13"/>
  <c r="AL321" i="13"/>
  <c r="W321" i="13"/>
  <c r="V321" i="13" s="1"/>
  <c r="T321" i="13"/>
  <c r="R321" i="13"/>
  <c r="AT320" i="13"/>
  <c r="AR320" i="13"/>
  <c r="AQ320" i="13"/>
  <c r="AP320" i="13"/>
  <c r="AO320" i="13"/>
  <c r="AN320" i="13"/>
  <c r="AM320" i="13"/>
  <c r="AL320" i="13"/>
  <c r="W320" i="13"/>
  <c r="V320" i="13" s="1"/>
  <c r="T320" i="13"/>
  <c r="R320" i="13"/>
  <c r="AT319" i="13"/>
  <c r="AR319" i="13"/>
  <c r="AQ319" i="13"/>
  <c r="AP319" i="13"/>
  <c r="AO319" i="13"/>
  <c r="AN319" i="13"/>
  <c r="AM319" i="13"/>
  <c r="AL319" i="13"/>
  <c r="W319" i="13"/>
  <c r="V319" i="13" s="1"/>
  <c r="T319" i="13"/>
  <c r="R319" i="13"/>
  <c r="AT318" i="13"/>
  <c r="AS318" i="13"/>
  <c r="AR318" i="13"/>
  <c r="AQ318" i="13"/>
  <c r="AP318" i="13"/>
  <c r="AO318" i="13"/>
  <c r="AN318" i="13"/>
  <c r="AM318" i="13"/>
  <c r="AL318" i="13"/>
  <c r="W318" i="13"/>
  <c r="V318" i="13" s="1"/>
  <c r="T318" i="13"/>
  <c r="S318" i="13" s="1"/>
  <c r="R318" i="13"/>
  <c r="Q318" i="13" s="1"/>
  <c r="AT316" i="13"/>
  <c r="AS316" i="13"/>
  <c r="AR316" i="13"/>
  <c r="AQ316" i="13"/>
  <c r="AP316" i="13"/>
  <c r="AO316" i="13"/>
  <c r="AN316" i="13"/>
  <c r="AM316" i="13"/>
  <c r="AL316" i="13"/>
  <c r="W316" i="13"/>
  <c r="V316" i="13" s="1"/>
  <c r="T316" i="13"/>
  <c r="S316" i="13" s="1"/>
  <c r="R316" i="13"/>
  <c r="Q316" i="13" s="1"/>
  <c r="AT315" i="13"/>
  <c r="AS315" i="13"/>
  <c r="AR315" i="13"/>
  <c r="AQ315" i="13"/>
  <c r="AP315" i="13"/>
  <c r="AO315" i="13"/>
  <c r="AN315" i="13"/>
  <c r="AM315" i="13"/>
  <c r="AL315" i="13"/>
  <c r="W315" i="13"/>
  <c r="V315" i="13" s="1"/>
  <c r="T315" i="13"/>
  <c r="S315" i="13" s="1"/>
  <c r="R315" i="13"/>
  <c r="Q315" i="13" s="1"/>
  <c r="AT317" i="13"/>
  <c r="AS317" i="13"/>
  <c r="AR317" i="13"/>
  <c r="AQ317" i="13"/>
  <c r="AP317" i="13"/>
  <c r="AO317" i="13"/>
  <c r="AN317" i="13"/>
  <c r="AM317" i="13"/>
  <c r="AL317" i="13"/>
  <c r="W317" i="13"/>
  <c r="V317" i="13" s="1"/>
  <c r="T317" i="13"/>
  <c r="S317" i="13" s="1"/>
  <c r="R317" i="13"/>
  <c r="Q317" i="13" s="1"/>
  <c r="AT314" i="13"/>
  <c r="AS314" i="13"/>
  <c r="AR314" i="13"/>
  <c r="AQ314" i="13"/>
  <c r="AP314" i="13"/>
  <c r="AO314" i="13"/>
  <c r="AN314" i="13"/>
  <c r="AM314" i="13"/>
  <c r="AL314" i="13"/>
  <c r="W314" i="13"/>
  <c r="V314" i="13" s="1"/>
  <c r="T314" i="13"/>
  <c r="R314" i="13"/>
  <c r="Q314" i="13" s="1"/>
  <c r="AT313" i="13"/>
  <c r="AS313" i="13"/>
  <c r="AR313" i="13"/>
  <c r="AQ313" i="13"/>
  <c r="AP313" i="13"/>
  <c r="AO313" i="13"/>
  <c r="AN313" i="13"/>
  <c r="AM313" i="13"/>
  <c r="AL313" i="13"/>
  <c r="W313" i="13"/>
  <c r="V313" i="13" s="1"/>
  <c r="T313" i="13"/>
  <c r="R313" i="13"/>
  <c r="Q313" i="13" s="1"/>
  <c r="AT312" i="13"/>
  <c r="AS312" i="13"/>
  <c r="AR312" i="13"/>
  <c r="AQ312" i="13"/>
  <c r="AP312" i="13"/>
  <c r="AO312" i="13"/>
  <c r="AN312" i="13"/>
  <c r="AM312" i="13"/>
  <c r="AL312" i="13"/>
  <c r="W312" i="13"/>
  <c r="V312" i="13" s="1"/>
  <c r="T312" i="13"/>
  <c r="R312" i="13"/>
  <c r="Q312" i="13" s="1"/>
  <c r="AT311" i="13"/>
  <c r="AS311" i="13"/>
  <c r="AR311" i="13"/>
  <c r="AQ311" i="13"/>
  <c r="AP311" i="13"/>
  <c r="AO311" i="13"/>
  <c r="AN311" i="13"/>
  <c r="AM311" i="13"/>
  <c r="AL311" i="13"/>
  <c r="W311" i="13"/>
  <c r="V311" i="13" s="1"/>
  <c r="T311" i="13"/>
  <c r="R311" i="13"/>
  <c r="Q311" i="13" s="1"/>
  <c r="AT310" i="13"/>
  <c r="AS310" i="13"/>
  <c r="AR310" i="13"/>
  <c r="AQ310" i="13"/>
  <c r="AP310" i="13"/>
  <c r="AO310" i="13"/>
  <c r="AN310" i="13"/>
  <c r="AM310" i="13"/>
  <c r="AL310" i="13"/>
  <c r="W310" i="13"/>
  <c r="V310" i="13" s="1"/>
  <c r="T310" i="13"/>
  <c r="R310" i="13"/>
  <c r="Q310" i="13" s="1"/>
  <c r="AT307" i="13"/>
  <c r="AS307" i="13"/>
  <c r="AR307" i="13"/>
  <c r="AQ307" i="13"/>
  <c r="AP307" i="13"/>
  <c r="AO307" i="13"/>
  <c r="AN307" i="13"/>
  <c r="AM307" i="13"/>
  <c r="AL307" i="13"/>
  <c r="W307" i="13"/>
  <c r="V307" i="13" s="1"/>
  <c r="T307" i="13"/>
  <c r="R307" i="13"/>
  <c r="Q307" i="13" s="1"/>
  <c r="AK307" i="13" l="1"/>
  <c r="AK311" i="13"/>
  <c r="AK312" i="13"/>
  <c r="AK321" i="13"/>
  <c r="AK313" i="13"/>
  <c r="AK314" i="13"/>
  <c r="AK319" i="13"/>
  <c r="AK318" i="13"/>
  <c r="AK320" i="13"/>
  <c r="AK316" i="13"/>
  <c r="AK310" i="13"/>
  <c r="AK317" i="13"/>
  <c r="AK315" i="13"/>
  <c r="AT309" i="13"/>
  <c r="AS309" i="13"/>
  <c r="AR309" i="13"/>
  <c r="AQ309" i="13"/>
  <c r="AP309" i="13"/>
  <c r="AO309" i="13"/>
  <c r="AN309" i="13"/>
  <c r="AM309" i="13"/>
  <c r="AL309" i="13"/>
  <c r="W309" i="13"/>
  <c r="V309" i="13" s="1"/>
  <c r="T309" i="13"/>
  <c r="R309" i="13"/>
  <c r="AT308" i="13"/>
  <c r="AS308" i="13"/>
  <c r="AR308" i="13"/>
  <c r="AQ308" i="13"/>
  <c r="AP308" i="13"/>
  <c r="AO308" i="13"/>
  <c r="AN308" i="13"/>
  <c r="AM308" i="13"/>
  <c r="AL308" i="13"/>
  <c r="W308" i="13"/>
  <c r="V308" i="13" s="1"/>
  <c r="T308" i="13"/>
  <c r="R308" i="13"/>
  <c r="Q308" i="13" s="1"/>
  <c r="AT306" i="13"/>
  <c r="AS306" i="13"/>
  <c r="AR306" i="13"/>
  <c r="AQ306" i="13"/>
  <c r="AP306" i="13"/>
  <c r="AO306" i="13"/>
  <c r="AN306" i="13"/>
  <c r="AM306" i="13"/>
  <c r="AL306" i="13"/>
  <c r="W306" i="13"/>
  <c r="V306" i="13" s="1"/>
  <c r="T306" i="13"/>
  <c r="R306" i="13"/>
  <c r="Q306" i="13" s="1"/>
  <c r="AT326" i="13"/>
  <c r="AS326" i="13"/>
  <c r="AR326" i="13"/>
  <c r="AQ326" i="13"/>
  <c r="AP326" i="13"/>
  <c r="AO326" i="13"/>
  <c r="AN326" i="13"/>
  <c r="AM326" i="13"/>
  <c r="AL326" i="13"/>
  <c r="W326" i="13"/>
  <c r="V326" i="13" s="1"/>
  <c r="T326" i="13"/>
  <c r="S326" i="13" s="1"/>
  <c r="R326" i="13"/>
  <c r="Q326" i="13" s="1"/>
  <c r="AT325" i="13"/>
  <c r="AS325" i="13"/>
  <c r="AR325" i="13"/>
  <c r="AQ325" i="13"/>
  <c r="AP325" i="13"/>
  <c r="AO325" i="13"/>
  <c r="AN325" i="13"/>
  <c r="AM325" i="13"/>
  <c r="AL325" i="13"/>
  <c r="W325" i="13"/>
  <c r="V325" i="13" s="1"/>
  <c r="T325" i="13"/>
  <c r="S325" i="13" s="1"/>
  <c r="R325" i="13"/>
  <c r="Q325" i="13" s="1"/>
  <c r="AK306" i="13" l="1"/>
  <c r="AK308" i="13"/>
  <c r="AK309" i="13"/>
  <c r="AK326" i="13"/>
  <c r="AK325" i="13"/>
  <c r="W981" i="13" l="1"/>
  <c r="V981" i="13" s="1"/>
  <c r="T981" i="13"/>
  <c r="R981" i="13"/>
  <c r="W980" i="13"/>
  <c r="V980" i="13" s="1"/>
  <c r="T980" i="13"/>
  <c r="R980" i="13"/>
  <c r="W979" i="13"/>
  <c r="V979" i="13" s="1"/>
  <c r="T979" i="13"/>
  <c r="R979" i="13"/>
  <c r="W978" i="13"/>
  <c r="V978" i="13" s="1"/>
  <c r="T978" i="13"/>
  <c r="R978" i="13"/>
  <c r="W977" i="13"/>
  <c r="V977" i="13" s="1"/>
  <c r="T977" i="13"/>
  <c r="R977" i="13"/>
  <c r="W976" i="13"/>
  <c r="V976" i="13" s="1"/>
  <c r="T976" i="13"/>
  <c r="R976" i="13"/>
  <c r="W975" i="13"/>
  <c r="V975" i="13" s="1"/>
  <c r="T975" i="13"/>
  <c r="R975" i="13"/>
  <c r="W974" i="13"/>
  <c r="V974" i="13" s="1"/>
  <c r="T974" i="13"/>
  <c r="R974" i="13"/>
  <c r="W973" i="13"/>
  <c r="V973" i="13" s="1"/>
  <c r="T973" i="13"/>
  <c r="R973" i="13"/>
  <c r="W972" i="13"/>
  <c r="V972" i="13" s="1"/>
  <c r="T972" i="13"/>
  <c r="R972" i="13"/>
  <c r="W941" i="13"/>
  <c r="V941" i="13" s="1"/>
  <c r="T941" i="13"/>
  <c r="S941" i="13" s="1"/>
  <c r="R941" i="13"/>
  <c r="Q941" i="13" s="1"/>
  <c r="W940" i="13"/>
  <c r="V940" i="13" s="1"/>
  <c r="T940" i="13"/>
  <c r="S940" i="13" s="1"/>
  <c r="R940" i="13"/>
  <c r="Q940" i="13" s="1"/>
  <c r="W939" i="13"/>
  <c r="V939" i="13" s="1"/>
  <c r="T939" i="13"/>
  <c r="S939" i="13" s="1"/>
  <c r="R939" i="13"/>
  <c r="Q939" i="13" s="1"/>
  <c r="W938" i="13"/>
  <c r="V938" i="13" s="1"/>
  <c r="T938" i="13"/>
  <c r="S938" i="13" s="1"/>
  <c r="R938" i="13"/>
  <c r="Q938" i="13" s="1"/>
  <c r="W937" i="13"/>
  <c r="V937" i="13" s="1"/>
  <c r="T937" i="13"/>
  <c r="S937" i="13" s="1"/>
  <c r="R937" i="13"/>
  <c r="Q937" i="13" s="1"/>
  <c r="AT981" i="13"/>
  <c r="AS981" i="13"/>
  <c r="AR981" i="13"/>
  <c r="AQ981" i="13"/>
  <c r="AP981" i="13"/>
  <c r="AO981" i="13"/>
  <c r="AN981" i="13"/>
  <c r="AM981" i="13"/>
  <c r="AL981" i="13"/>
  <c r="AT980" i="13"/>
  <c r="AS980" i="13"/>
  <c r="AR980" i="13"/>
  <c r="AQ980" i="13"/>
  <c r="AP980" i="13"/>
  <c r="AO980" i="13"/>
  <c r="AN980" i="13"/>
  <c r="AM980" i="13"/>
  <c r="AL980" i="13"/>
  <c r="AT979" i="13"/>
  <c r="AS979" i="13"/>
  <c r="AR979" i="13"/>
  <c r="AQ979" i="13"/>
  <c r="AP979" i="13"/>
  <c r="AO979" i="13"/>
  <c r="AN979" i="13"/>
  <c r="AM979" i="13"/>
  <c r="AL979" i="13"/>
  <c r="AT978" i="13"/>
  <c r="AS978" i="13"/>
  <c r="AR978" i="13"/>
  <c r="AQ978" i="13"/>
  <c r="AP978" i="13"/>
  <c r="AO978" i="13"/>
  <c r="AN978" i="13"/>
  <c r="AM978" i="13"/>
  <c r="AL978" i="13"/>
  <c r="AT977" i="13"/>
  <c r="AS977" i="13"/>
  <c r="AR977" i="13"/>
  <c r="AQ977" i="13"/>
  <c r="AP977" i="13"/>
  <c r="AO977" i="13"/>
  <c r="AN977" i="13"/>
  <c r="AM977" i="13"/>
  <c r="AL977" i="13"/>
  <c r="AT976" i="13"/>
  <c r="AS976" i="13"/>
  <c r="AR976" i="13"/>
  <c r="AQ976" i="13"/>
  <c r="AP976" i="13"/>
  <c r="AO976" i="13"/>
  <c r="AN976" i="13"/>
  <c r="AM976" i="13"/>
  <c r="AL976" i="13"/>
  <c r="AT975" i="13"/>
  <c r="AS975" i="13"/>
  <c r="AR975" i="13"/>
  <c r="AQ975" i="13"/>
  <c r="AP975" i="13"/>
  <c r="AO975" i="13"/>
  <c r="AN975" i="13"/>
  <c r="AM975" i="13"/>
  <c r="AL975" i="13"/>
  <c r="AT974" i="13"/>
  <c r="AS974" i="13"/>
  <c r="AR974" i="13"/>
  <c r="AQ974" i="13"/>
  <c r="AP974" i="13"/>
  <c r="AO974" i="13"/>
  <c r="AN974" i="13"/>
  <c r="AM974" i="13"/>
  <c r="AL974" i="13"/>
  <c r="AT973" i="13"/>
  <c r="AS973" i="13"/>
  <c r="AR973" i="13"/>
  <c r="AQ973" i="13"/>
  <c r="AP973" i="13"/>
  <c r="AO973" i="13"/>
  <c r="AN973" i="13"/>
  <c r="AM973" i="13"/>
  <c r="AL973" i="13"/>
  <c r="AT972" i="13"/>
  <c r="AS972" i="13"/>
  <c r="AR972" i="13"/>
  <c r="AQ972" i="13"/>
  <c r="AP972" i="13"/>
  <c r="AO972" i="13"/>
  <c r="AN972" i="13"/>
  <c r="AM972" i="13"/>
  <c r="AL972" i="13"/>
  <c r="AK980" i="13" l="1"/>
  <c r="AK977" i="13"/>
  <c r="AK976" i="13"/>
  <c r="AK975" i="13"/>
  <c r="AK978" i="13"/>
  <c r="AK974" i="13"/>
  <c r="AK979" i="13"/>
  <c r="AK972" i="13"/>
  <c r="AK981" i="13"/>
  <c r="AK973" i="13"/>
  <c r="W292" i="13" l="1"/>
  <c r="V292" i="13" s="1"/>
  <c r="T292" i="13"/>
  <c r="R292" i="13"/>
  <c r="Q292" i="13" s="1"/>
  <c r="W289" i="13"/>
  <c r="V289" i="13" s="1"/>
  <c r="T289" i="13"/>
  <c r="R289" i="13"/>
  <c r="Q289" i="13" s="1"/>
  <c r="J25" i="6"/>
  <c r="W219" i="13"/>
  <c r="V219" i="13" s="1"/>
  <c r="T219" i="13"/>
  <c r="R219" i="13"/>
  <c r="AT219" i="13"/>
  <c r="AS219" i="13"/>
  <c r="AR219" i="13"/>
  <c r="AQ219" i="13"/>
  <c r="AP219" i="13"/>
  <c r="AO219" i="13"/>
  <c r="AN219" i="13"/>
  <c r="AM219" i="13"/>
  <c r="AL219" i="13"/>
  <c r="AK219" i="13" l="1"/>
  <c r="AT204" i="13" l="1"/>
  <c r="AS204" i="13"/>
  <c r="AR204" i="13"/>
  <c r="AQ204" i="13"/>
  <c r="AP204" i="13"/>
  <c r="AO204" i="13"/>
  <c r="AN204" i="13"/>
  <c r="AM204" i="13"/>
  <c r="AL204" i="13"/>
  <c r="W204" i="13"/>
  <c r="V204" i="13" s="1"/>
  <c r="T204" i="13"/>
  <c r="R204" i="13"/>
  <c r="AT203" i="13"/>
  <c r="AS203" i="13"/>
  <c r="AR203" i="13"/>
  <c r="AQ203" i="13"/>
  <c r="AP203" i="13"/>
  <c r="AO203" i="13"/>
  <c r="AN203" i="13"/>
  <c r="AM203" i="13"/>
  <c r="AL203" i="13"/>
  <c r="W203" i="13"/>
  <c r="V203" i="13" s="1"/>
  <c r="T203" i="13"/>
  <c r="R203" i="13"/>
  <c r="Q203" i="13" s="1"/>
  <c r="AT262" i="13"/>
  <c r="AS262" i="13"/>
  <c r="AR262" i="13"/>
  <c r="AQ262" i="13"/>
  <c r="AP262" i="13"/>
  <c r="AO262" i="13"/>
  <c r="AN262" i="13"/>
  <c r="AM262" i="13"/>
  <c r="AL262" i="13"/>
  <c r="W262" i="13"/>
  <c r="V262" i="13" s="1"/>
  <c r="T262" i="13"/>
  <c r="R262" i="13"/>
  <c r="AK203" i="13" l="1"/>
  <c r="AK204" i="13"/>
  <c r="AK262" i="13"/>
  <c r="AT275" i="13"/>
  <c r="AS275" i="13"/>
  <c r="AR275" i="13"/>
  <c r="AQ275" i="13"/>
  <c r="AP275" i="13"/>
  <c r="AO275" i="13"/>
  <c r="AN275" i="13"/>
  <c r="AM275" i="13"/>
  <c r="AL275" i="13"/>
  <c r="W275" i="13"/>
  <c r="V275" i="13" s="1"/>
  <c r="T275" i="13"/>
  <c r="R275" i="13"/>
  <c r="AK275" i="13" l="1"/>
  <c r="AS473" i="13"/>
  <c r="AS474" i="13"/>
  <c r="AS475" i="13"/>
  <c r="AS476" i="13"/>
  <c r="AS477" i="13"/>
  <c r="AT301" i="13" l="1"/>
  <c r="AS301" i="13"/>
  <c r="AR301" i="13"/>
  <c r="AQ301" i="13"/>
  <c r="AP301" i="13"/>
  <c r="AO301" i="13"/>
  <c r="AN301" i="13"/>
  <c r="AM301" i="13"/>
  <c r="AL301" i="13"/>
  <c r="W301" i="13"/>
  <c r="V301" i="13" s="1"/>
  <c r="T301" i="13"/>
  <c r="R301" i="13"/>
  <c r="Q301" i="13" s="1"/>
  <c r="AK301" i="13" l="1"/>
  <c r="AT1011" i="13" l="1"/>
  <c r="AS1011" i="13"/>
  <c r="AR1011" i="13"/>
  <c r="AQ1011" i="13"/>
  <c r="AP1011" i="13"/>
  <c r="AO1011" i="13"/>
  <c r="AN1011" i="13"/>
  <c r="AM1011" i="13"/>
  <c r="AL1011" i="13"/>
  <c r="W1011" i="13"/>
  <c r="V1011" i="13" s="1"/>
  <c r="T1011" i="13"/>
  <c r="R1011" i="13"/>
  <c r="AT1010" i="13"/>
  <c r="AS1010" i="13"/>
  <c r="AR1010" i="13"/>
  <c r="AQ1010" i="13"/>
  <c r="AP1010" i="13"/>
  <c r="AO1010" i="13"/>
  <c r="AN1010" i="13"/>
  <c r="AM1010" i="13"/>
  <c r="AL1010" i="13"/>
  <c r="W1010" i="13"/>
  <c r="V1010" i="13" s="1"/>
  <c r="T1010" i="13"/>
  <c r="R1010" i="13"/>
  <c r="AT1009" i="13"/>
  <c r="AS1009" i="13"/>
  <c r="AR1009" i="13"/>
  <c r="AQ1009" i="13"/>
  <c r="AP1009" i="13"/>
  <c r="AO1009" i="13"/>
  <c r="AN1009" i="13"/>
  <c r="AM1009" i="13"/>
  <c r="AL1009" i="13"/>
  <c r="W1009" i="13"/>
  <c r="V1009" i="13" s="1"/>
  <c r="T1009" i="13"/>
  <c r="R1009" i="13"/>
  <c r="AT1008" i="13"/>
  <c r="AS1008" i="13"/>
  <c r="AR1008" i="13"/>
  <c r="AQ1008" i="13"/>
  <c r="AP1008" i="13"/>
  <c r="AO1008" i="13"/>
  <c r="AN1008" i="13"/>
  <c r="AM1008" i="13"/>
  <c r="AL1008" i="13"/>
  <c r="W1008" i="13"/>
  <c r="V1008" i="13" s="1"/>
  <c r="T1008" i="13"/>
  <c r="R1008" i="13"/>
  <c r="AT1007" i="13"/>
  <c r="AS1007" i="13"/>
  <c r="AR1007" i="13"/>
  <c r="AQ1007" i="13"/>
  <c r="AP1007" i="13"/>
  <c r="AO1007" i="13"/>
  <c r="AN1007" i="13"/>
  <c r="AM1007" i="13"/>
  <c r="AL1007" i="13"/>
  <c r="W1007" i="13"/>
  <c r="V1007" i="13" s="1"/>
  <c r="T1007" i="13"/>
  <c r="R1007" i="13"/>
  <c r="AT1006" i="13"/>
  <c r="AS1006" i="13"/>
  <c r="AR1006" i="13"/>
  <c r="AQ1006" i="13"/>
  <c r="AP1006" i="13"/>
  <c r="AO1006" i="13"/>
  <c r="AN1006" i="13"/>
  <c r="AM1006" i="13"/>
  <c r="AL1006" i="13"/>
  <c r="W1006" i="13"/>
  <c r="V1006" i="13" s="1"/>
  <c r="T1006" i="13"/>
  <c r="R1006" i="13"/>
  <c r="AT1005" i="13"/>
  <c r="AS1005" i="13"/>
  <c r="AR1005" i="13"/>
  <c r="AQ1005" i="13"/>
  <c r="AP1005" i="13"/>
  <c r="AO1005" i="13"/>
  <c r="AN1005" i="13"/>
  <c r="AM1005" i="13"/>
  <c r="AL1005" i="13"/>
  <c r="W1005" i="13"/>
  <c r="V1005" i="13" s="1"/>
  <c r="T1005" i="13"/>
  <c r="R1005" i="13"/>
  <c r="AT1004" i="13"/>
  <c r="AS1004" i="13"/>
  <c r="AR1004" i="13"/>
  <c r="AQ1004" i="13"/>
  <c r="AP1004" i="13"/>
  <c r="AO1004" i="13"/>
  <c r="AN1004" i="13"/>
  <c r="AM1004" i="13"/>
  <c r="AL1004" i="13"/>
  <c r="W1004" i="13"/>
  <c r="V1004" i="13" s="1"/>
  <c r="T1004" i="13"/>
  <c r="R1004" i="13"/>
  <c r="AT1003" i="13"/>
  <c r="AS1003" i="13"/>
  <c r="AR1003" i="13"/>
  <c r="AQ1003" i="13"/>
  <c r="AP1003" i="13"/>
  <c r="AO1003" i="13"/>
  <c r="AN1003" i="13"/>
  <c r="AM1003" i="13"/>
  <c r="AL1003" i="13"/>
  <c r="W1003" i="13"/>
  <c r="V1003" i="13" s="1"/>
  <c r="T1003" i="13"/>
  <c r="R1003" i="13"/>
  <c r="AT1002" i="13"/>
  <c r="AS1002" i="13"/>
  <c r="AR1002" i="13"/>
  <c r="AQ1002" i="13"/>
  <c r="AP1002" i="13"/>
  <c r="AO1002" i="13"/>
  <c r="AN1002" i="13"/>
  <c r="AM1002" i="13"/>
  <c r="AL1002" i="13"/>
  <c r="W1002" i="13"/>
  <c r="V1002" i="13" s="1"/>
  <c r="T1002" i="13"/>
  <c r="R1002" i="13"/>
  <c r="AT1001" i="13"/>
  <c r="AS1001" i="13"/>
  <c r="AR1001" i="13"/>
  <c r="AQ1001" i="13"/>
  <c r="AP1001" i="13"/>
  <c r="AO1001" i="13"/>
  <c r="AN1001" i="13"/>
  <c r="AM1001" i="13"/>
  <c r="AL1001" i="13"/>
  <c r="W1001" i="13"/>
  <c r="V1001" i="13" s="1"/>
  <c r="T1001" i="13"/>
  <c r="R1001" i="13"/>
  <c r="AT1000" i="13"/>
  <c r="AS1000" i="13"/>
  <c r="AR1000" i="13"/>
  <c r="AQ1000" i="13"/>
  <c r="AP1000" i="13"/>
  <c r="AO1000" i="13"/>
  <c r="AN1000" i="13"/>
  <c r="AM1000" i="13"/>
  <c r="AL1000" i="13"/>
  <c r="W1000" i="13"/>
  <c r="V1000" i="13" s="1"/>
  <c r="T1000" i="13"/>
  <c r="R1000" i="13"/>
  <c r="AT999" i="13"/>
  <c r="AS999" i="13"/>
  <c r="AR999" i="13"/>
  <c r="AQ999" i="13"/>
  <c r="AP999" i="13"/>
  <c r="AO999" i="13"/>
  <c r="AN999" i="13"/>
  <c r="AM999" i="13"/>
  <c r="AL999" i="13"/>
  <c r="W999" i="13"/>
  <c r="V999" i="13" s="1"/>
  <c r="T999" i="13"/>
  <c r="R999" i="13"/>
  <c r="AT998" i="13"/>
  <c r="AS998" i="13"/>
  <c r="AR998" i="13"/>
  <c r="AQ998" i="13"/>
  <c r="AP998" i="13"/>
  <c r="AO998" i="13"/>
  <c r="AN998" i="13"/>
  <c r="AM998" i="13"/>
  <c r="AL998" i="13"/>
  <c r="W998" i="13"/>
  <c r="V998" i="13" s="1"/>
  <c r="T998" i="13"/>
  <c r="R998" i="13"/>
  <c r="AT997" i="13"/>
  <c r="AS997" i="13"/>
  <c r="AR997" i="13"/>
  <c r="AQ997" i="13"/>
  <c r="AP997" i="13"/>
  <c r="AO997" i="13"/>
  <c r="AN997" i="13"/>
  <c r="AM997" i="13"/>
  <c r="AL997" i="13"/>
  <c r="W997" i="13"/>
  <c r="V997" i="13" s="1"/>
  <c r="T997" i="13"/>
  <c r="R997" i="13"/>
  <c r="AK997" i="13" l="1"/>
  <c r="AK998" i="13"/>
  <c r="AK999" i="13"/>
  <c r="AK1000" i="13"/>
  <c r="AK1001" i="13"/>
  <c r="AK1008" i="13"/>
  <c r="AK1004" i="13"/>
  <c r="AK1006" i="13"/>
  <c r="AK1011" i="13"/>
  <c r="AK1002" i="13"/>
  <c r="AK1003" i="13"/>
  <c r="AK1005" i="13"/>
  <c r="AK1007" i="13"/>
  <c r="AK1010" i="13"/>
  <c r="AK1009" i="13"/>
  <c r="AA26" i="6" l="1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25" i="6"/>
  <c r="AB26" i="6"/>
  <c r="AC26" i="6"/>
  <c r="AB27" i="6"/>
  <c r="AC27" i="6"/>
  <c r="AB28" i="6"/>
  <c r="AC28" i="6"/>
  <c r="AB29" i="6"/>
  <c r="AC29" i="6"/>
  <c r="AB30" i="6"/>
  <c r="AC30" i="6"/>
  <c r="AB31" i="6"/>
  <c r="AC31" i="6"/>
  <c r="AB32" i="6"/>
  <c r="AC32" i="6"/>
  <c r="AB33" i="6"/>
  <c r="AC33" i="6"/>
  <c r="AB34" i="6"/>
  <c r="AC34" i="6"/>
  <c r="AB35" i="6"/>
  <c r="AC35" i="6"/>
  <c r="AB36" i="6"/>
  <c r="AC36" i="6"/>
  <c r="AB37" i="6"/>
  <c r="AC37" i="6"/>
  <c r="AB38" i="6"/>
  <c r="AC38" i="6"/>
  <c r="AB39" i="6"/>
  <c r="AC39" i="6"/>
  <c r="AB40" i="6"/>
  <c r="AC40" i="6"/>
  <c r="AB41" i="6"/>
  <c r="AC41" i="6"/>
  <c r="AB42" i="6"/>
  <c r="AC42" i="6"/>
  <c r="AB43" i="6"/>
  <c r="AC43" i="6"/>
  <c r="AB44" i="6"/>
  <c r="AC44" i="6"/>
  <c r="AB45" i="6"/>
  <c r="AC45" i="6"/>
  <c r="AB46" i="6"/>
  <c r="AC46" i="6"/>
  <c r="AB47" i="6"/>
  <c r="AC47" i="6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B55" i="6"/>
  <c r="AC55" i="6"/>
  <c r="AB56" i="6"/>
  <c r="AC56" i="6"/>
  <c r="AB57" i="6"/>
  <c r="AC57" i="6"/>
  <c r="AB58" i="6"/>
  <c r="AC58" i="6"/>
  <c r="AB59" i="6"/>
  <c r="AC59" i="6"/>
  <c r="AB60" i="6"/>
  <c r="AC60" i="6"/>
  <c r="AB61" i="6"/>
  <c r="AC61" i="6"/>
  <c r="AB62" i="6"/>
  <c r="AC62" i="6"/>
  <c r="AB63" i="6"/>
  <c r="AC63" i="6"/>
  <c r="AB64" i="6"/>
  <c r="AC64" i="6"/>
  <c r="AB65" i="6"/>
  <c r="AC65" i="6"/>
  <c r="AB66" i="6"/>
  <c r="AC66" i="6"/>
  <c r="AB67" i="6"/>
  <c r="AC67" i="6"/>
  <c r="AB68" i="6"/>
  <c r="AC68" i="6"/>
  <c r="AB69" i="6"/>
  <c r="AC69" i="6"/>
  <c r="AB70" i="6"/>
  <c r="AC70" i="6"/>
  <c r="AB71" i="6"/>
  <c r="AC71" i="6"/>
  <c r="AB72" i="6"/>
  <c r="AC72" i="6"/>
  <c r="AB73" i="6"/>
  <c r="AC73" i="6"/>
  <c r="AB74" i="6"/>
  <c r="AC74" i="6"/>
  <c r="AB75" i="6"/>
  <c r="AC75" i="6"/>
  <c r="AB76" i="6"/>
  <c r="AC76" i="6"/>
  <c r="AB77" i="6"/>
  <c r="AC77" i="6"/>
  <c r="AB78" i="6"/>
  <c r="AC78" i="6"/>
  <c r="AB79" i="6"/>
  <c r="AC79" i="6"/>
  <c r="AB80" i="6"/>
  <c r="AC80" i="6"/>
  <c r="AB81" i="6"/>
  <c r="AC81" i="6"/>
  <c r="AB82" i="6"/>
  <c r="AC82" i="6"/>
  <c r="AB83" i="6"/>
  <c r="AC83" i="6"/>
  <c r="AB84" i="6"/>
  <c r="AC84" i="6"/>
  <c r="AC25" i="6"/>
  <c r="AB25" i="6"/>
  <c r="A25" i="6"/>
  <c r="B26" i="6"/>
  <c r="B27" i="6"/>
  <c r="B28" i="6"/>
  <c r="B29" i="6"/>
  <c r="B30" i="6"/>
  <c r="B31" i="6"/>
  <c r="B32" i="6"/>
  <c r="W272" i="13" l="1"/>
  <c r="V272" i="13" s="1"/>
  <c r="AT162" i="13" l="1"/>
  <c r="AS162" i="13"/>
  <c r="AR162" i="13"/>
  <c r="AQ162" i="13"/>
  <c r="AP162" i="13"/>
  <c r="AO162" i="13"/>
  <c r="AN162" i="13"/>
  <c r="AM162" i="13"/>
  <c r="AL162" i="13"/>
  <c r="W162" i="13"/>
  <c r="V162" i="13" s="1"/>
  <c r="T162" i="13"/>
  <c r="R162" i="13"/>
  <c r="AK162" i="13" l="1"/>
  <c r="T163" i="13" l="1"/>
  <c r="S163" i="13" s="1"/>
  <c r="T164" i="13"/>
  <c r="S164" i="13" s="1"/>
  <c r="T165" i="13"/>
  <c r="S165" i="13" s="1"/>
  <c r="T166" i="13"/>
  <c r="T167" i="13"/>
  <c r="T161" i="13"/>
  <c r="T154" i="13"/>
  <c r="T155" i="13"/>
  <c r="T156" i="13"/>
  <c r="T157" i="13"/>
  <c r="T158" i="13"/>
  <c r="T159" i="13"/>
  <c r="T160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S188" i="13" s="1"/>
  <c r="T189" i="13"/>
  <c r="S189" i="13" s="1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6" i="13"/>
  <c r="T277" i="13"/>
  <c r="T278" i="13"/>
  <c r="T279" i="13"/>
  <c r="T280" i="13"/>
  <c r="T281" i="13"/>
  <c r="T282" i="13"/>
  <c r="T283" i="13"/>
  <c r="T284" i="13"/>
  <c r="T285" i="13"/>
  <c r="T286" i="13"/>
  <c r="S286" i="13" s="1"/>
  <c r="T287" i="13"/>
  <c r="S287" i="13" s="1"/>
  <c r="T288" i="13"/>
  <c r="S288" i="13" s="1"/>
  <c r="T290" i="13"/>
  <c r="T291" i="13"/>
  <c r="T293" i="13"/>
  <c r="T294" i="13"/>
  <c r="T295" i="13"/>
  <c r="T296" i="13"/>
  <c r="T297" i="13"/>
  <c r="T298" i="13"/>
  <c r="T299" i="13"/>
  <c r="T300" i="13"/>
  <c r="T302" i="13"/>
  <c r="T303" i="13"/>
  <c r="T304" i="13"/>
  <c r="T305" i="13"/>
  <c r="T338" i="13"/>
  <c r="T339" i="13"/>
  <c r="T340" i="13"/>
  <c r="T341" i="13"/>
  <c r="T342" i="13"/>
  <c r="T343" i="13"/>
  <c r="T344" i="13"/>
  <c r="T345" i="13"/>
  <c r="T346" i="13"/>
  <c r="T347" i="13"/>
  <c r="T348" i="13"/>
  <c r="T349" i="13"/>
  <c r="T350" i="13"/>
  <c r="T351" i="13"/>
  <c r="T352" i="13"/>
  <c r="T353" i="13"/>
  <c r="T354" i="13"/>
  <c r="T355" i="13"/>
  <c r="T356" i="13"/>
  <c r="T357" i="13"/>
  <c r="T358" i="13"/>
  <c r="T359" i="13"/>
  <c r="T360" i="13"/>
  <c r="T361" i="13"/>
  <c r="T362" i="13"/>
  <c r="T363" i="13"/>
  <c r="T364" i="13"/>
  <c r="T365" i="13"/>
  <c r="T366" i="13"/>
  <c r="T367" i="13"/>
  <c r="T368" i="13"/>
  <c r="T369" i="13"/>
  <c r="T370" i="13"/>
  <c r="T371" i="13"/>
  <c r="T372" i="13"/>
  <c r="T373" i="13"/>
  <c r="T374" i="13"/>
  <c r="T375" i="13"/>
  <c r="T376" i="13"/>
  <c r="T377" i="13"/>
  <c r="T378" i="13"/>
  <c r="T379" i="13"/>
  <c r="T380" i="13"/>
  <c r="T381" i="13"/>
  <c r="T382" i="13"/>
  <c r="T383" i="13"/>
  <c r="T384" i="13"/>
  <c r="T385" i="13"/>
  <c r="T386" i="13"/>
  <c r="T387" i="13"/>
  <c r="T388" i="13"/>
  <c r="T389" i="13"/>
  <c r="T390" i="13"/>
  <c r="T391" i="13"/>
  <c r="T392" i="13"/>
  <c r="T393" i="13"/>
  <c r="T394" i="13"/>
  <c r="T395" i="13"/>
  <c r="T396" i="13"/>
  <c r="T397" i="13"/>
  <c r="T398" i="13"/>
  <c r="T399" i="13"/>
  <c r="T400" i="13"/>
  <c r="T401" i="13"/>
  <c r="T402" i="13"/>
  <c r="T403" i="13"/>
  <c r="T404" i="13"/>
  <c r="T405" i="13"/>
  <c r="T406" i="13"/>
  <c r="T407" i="13"/>
  <c r="T408" i="13"/>
  <c r="T409" i="13"/>
  <c r="T410" i="13"/>
  <c r="T411" i="13"/>
  <c r="T412" i="13"/>
  <c r="T413" i="13"/>
  <c r="T414" i="13"/>
  <c r="T415" i="13"/>
  <c r="T416" i="13"/>
  <c r="T417" i="13"/>
  <c r="T418" i="13"/>
  <c r="T419" i="13"/>
  <c r="T420" i="13"/>
  <c r="T421" i="13"/>
  <c r="T422" i="13"/>
  <c r="T423" i="13"/>
  <c r="T424" i="13"/>
  <c r="T425" i="13"/>
  <c r="T426" i="13"/>
  <c r="T427" i="13"/>
  <c r="T428" i="13"/>
  <c r="T429" i="13"/>
  <c r="T430" i="13"/>
  <c r="T431" i="13"/>
  <c r="T432" i="13"/>
  <c r="T433" i="13"/>
  <c r="T434" i="13"/>
  <c r="T435" i="13"/>
  <c r="T436" i="13"/>
  <c r="T437" i="13"/>
  <c r="T438" i="13"/>
  <c r="T439" i="13"/>
  <c r="T440" i="13"/>
  <c r="T441" i="13"/>
  <c r="T442" i="13"/>
  <c r="T443" i="13"/>
  <c r="T444" i="13"/>
  <c r="T445" i="13"/>
  <c r="T446" i="13"/>
  <c r="T447" i="13"/>
  <c r="T448" i="13"/>
  <c r="T449" i="13"/>
  <c r="T450" i="13"/>
  <c r="T451" i="13"/>
  <c r="T452" i="13"/>
  <c r="T453" i="13"/>
  <c r="T454" i="13"/>
  <c r="T455" i="13"/>
  <c r="T456" i="13"/>
  <c r="T457" i="13"/>
  <c r="T458" i="13"/>
  <c r="T459" i="13"/>
  <c r="T460" i="13"/>
  <c r="T461" i="13"/>
  <c r="T462" i="13"/>
  <c r="T463" i="13"/>
  <c r="T464" i="13"/>
  <c r="T465" i="13"/>
  <c r="T466" i="13"/>
  <c r="T467" i="13"/>
  <c r="T468" i="13"/>
  <c r="T469" i="13"/>
  <c r="T470" i="13"/>
  <c r="T471" i="13"/>
  <c r="T472" i="13"/>
  <c r="T473" i="13"/>
  <c r="S473" i="13" s="1"/>
  <c r="T474" i="13"/>
  <c r="S474" i="13" s="1"/>
  <c r="T475" i="13"/>
  <c r="S475" i="13" s="1"/>
  <c r="T476" i="13"/>
  <c r="S476" i="13" s="1"/>
  <c r="T477" i="13"/>
  <c r="S477" i="13" s="1"/>
  <c r="T478" i="13"/>
  <c r="T479" i="13"/>
  <c r="T480" i="13"/>
  <c r="T481" i="13"/>
  <c r="T482" i="13"/>
  <c r="T483" i="13"/>
  <c r="T484" i="13"/>
  <c r="T485" i="13"/>
  <c r="T486" i="13"/>
  <c r="T487" i="13"/>
  <c r="T488" i="13"/>
  <c r="T489" i="13"/>
  <c r="T490" i="13"/>
  <c r="T491" i="13"/>
  <c r="T492" i="13"/>
  <c r="T493" i="13"/>
  <c r="T494" i="13"/>
  <c r="T495" i="13"/>
  <c r="T496" i="13"/>
  <c r="T497" i="13"/>
  <c r="T498" i="13"/>
  <c r="T499" i="13"/>
  <c r="T500" i="13"/>
  <c r="T501" i="13"/>
  <c r="T502" i="13"/>
  <c r="T503" i="13"/>
  <c r="T504" i="13"/>
  <c r="T505" i="13"/>
  <c r="T506" i="13"/>
  <c r="T507" i="13"/>
  <c r="T508" i="13"/>
  <c r="T509" i="13"/>
  <c r="T510" i="13"/>
  <c r="T511" i="13"/>
  <c r="T512" i="13"/>
  <c r="T513" i="13"/>
  <c r="T514" i="13"/>
  <c r="T515" i="13"/>
  <c r="T516" i="13"/>
  <c r="T517" i="13"/>
  <c r="T518" i="13"/>
  <c r="T519" i="13"/>
  <c r="T520" i="13"/>
  <c r="T521" i="13"/>
  <c r="T522" i="13"/>
  <c r="T523" i="13"/>
  <c r="T524" i="13"/>
  <c r="T525" i="13"/>
  <c r="T526" i="13"/>
  <c r="T527" i="13"/>
  <c r="T528" i="13"/>
  <c r="T529" i="13"/>
  <c r="T530" i="13"/>
  <c r="T531" i="13"/>
  <c r="T532" i="13"/>
  <c r="T533" i="13"/>
  <c r="T534" i="13"/>
  <c r="T535" i="13"/>
  <c r="T536" i="13"/>
  <c r="T537" i="13"/>
  <c r="T538" i="13"/>
  <c r="T539" i="13"/>
  <c r="T540" i="13"/>
  <c r="T541" i="13"/>
  <c r="T542" i="13"/>
  <c r="T543" i="13"/>
  <c r="T544" i="13"/>
  <c r="T545" i="13"/>
  <c r="T546" i="13"/>
  <c r="T547" i="13"/>
  <c r="T548" i="13"/>
  <c r="T549" i="13"/>
  <c r="T550" i="13"/>
  <c r="T551" i="13"/>
  <c r="T552" i="13"/>
  <c r="T553" i="13"/>
  <c r="T554" i="13"/>
  <c r="T555" i="13"/>
  <c r="T556" i="13"/>
  <c r="T557" i="13"/>
  <c r="T558" i="13"/>
  <c r="T559" i="13"/>
  <c r="T560" i="13"/>
  <c r="T561" i="13"/>
  <c r="T562" i="13"/>
  <c r="T563" i="13"/>
  <c r="T564" i="13"/>
  <c r="T565" i="13"/>
  <c r="T566" i="13"/>
  <c r="T567" i="13"/>
  <c r="T568" i="13"/>
  <c r="T569" i="13"/>
  <c r="T570" i="13"/>
  <c r="T571" i="13"/>
  <c r="T572" i="13"/>
  <c r="T573" i="13"/>
  <c r="T574" i="13"/>
  <c r="T575" i="13"/>
  <c r="T576" i="13"/>
  <c r="T577" i="13"/>
  <c r="T578" i="13"/>
  <c r="T579" i="13"/>
  <c r="T580" i="13"/>
  <c r="T581" i="13"/>
  <c r="T582" i="13"/>
  <c r="T583" i="13"/>
  <c r="T584" i="13"/>
  <c r="T585" i="13"/>
  <c r="T586" i="13"/>
  <c r="T587" i="13"/>
  <c r="T588" i="13"/>
  <c r="T589" i="13"/>
  <c r="T590" i="13"/>
  <c r="T591" i="13"/>
  <c r="T592" i="13"/>
  <c r="T593" i="13"/>
  <c r="T594" i="13"/>
  <c r="T595" i="13"/>
  <c r="T596" i="13"/>
  <c r="T597" i="13"/>
  <c r="T598" i="13"/>
  <c r="T599" i="13"/>
  <c r="T600" i="13"/>
  <c r="T601" i="13"/>
  <c r="T602" i="13"/>
  <c r="T603" i="13"/>
  <c r="T604" i="13"/>
  <c r="T605" i="13"/>
  <c r="T606" i="13"/>
  <c r="T607" i="13"/>
  <c r="T608" i="13"/>
  <c r="T609" i="13"/>
  <c r="T610" i="13"/>
  <c r="T611" i="13"/>
  <c r="T612" i="13"/>
  <c r="T613" i="13"/>
  <c r="T614" i="13"/>
  <c r="T615" i="13"/>
  <c r="T616" i="13"/>
  <c r="T617" i="13"/>
  <c r="T618" i="13"/>
  <c r="T619" i="13"/>
  <c r="T620" i="13"/>
  <c r="T621" i="13"/>
  <c r="T622" i="13"/>
  <c r="T623" i="13"/>
  <c r="T624" i="13"/>
  <c r="T625" i="13"/>
  <c r="T626" i="13"/>
  <c r="T627" i="13"/>
  <c r="T628" i="13"/>
  <c r="T629" i="13"/>
  <c r="T630" i="13"/>
  <c r="T631" i="13"/>
  <c r="T632" i="13"/>
  <c r="T633" i="13"/>
  <c r="T634" i="13"/>
  <c r="T635" i="13"/>
  <c r="T636" i="13"/>
  <c r="T637" i="13"/>
  <c r="T638" i="13"/>
  <c r="T639" i="13"/>
  <c r="T640" i="13"/>
  <c r="T641" i="13"/>
  <c r="T642" i="13"/>
  <c r="T643" i="13"/>
  <c r="T644" i="13"/>
  <c r="T645" i="13"/>
  <c r="T646" i="13"/>
  <c r="T647" i="13"/>
  <c r="T648" i="13"/>
  <c r="T649" i="13"/>
  <c r="T650" i="13"/>
  <c r="T651" i="13"/>
  <c r="T652" i="13"/>
  <c r="T653" i="13"/>
  <c r="T654" i="13"/>
  <c r="T655" i="13"/>
  <c r="T656" i="13"/>
  <c r="T657" i="13"/>
  <c r="T658" i="13"/>
  <c r="T659" i="13"/>
  <c r="T660" i="13"/>
  <c r="T661" i="13"/>
  <c r="T662" i="13"/>
  <c r="T663" i="13"/>
  <c r="T664" i="13"/>
  <c r="T665" i="13"/>
  <c r="T666" i="13"/>
  <c r="T667" i="13"/>
  <c r="T668" i="13"/>
  <c r="T669" i="13"/>
  <c r="T670" i="13"/>
  <c r="T671" i="13"/>
  <c r="T672" i="13"/>
  <c r="T673" i="13"/>
  <c r="T674" i="13"/>
  <c r="T675" i="13"/>
  <c r="T676" i="13"/>
  <c r="T677" i="13"/>
  <c r="T678" i="13"/>
  <c r="T679" i="13"/>
  <c r="T680" i="13"/>
  <c r="T681" i="13"/>
  <c r="T682" i="13"/>
  <c r="T683" i="13"/>
  <c r="T684" i="13"/>
  <c r="T685" i="13"/>
  <c r="T686" i="13"/>
  <c r="T687" i="13"/>
  <c r="T688" i="13"/>
  <c r="T689" i="13"/>
  <c r="T690" i="13"/>
  <c r="T691" i="13"/>
  <c r="T692" i="13"/>
  <c r="T693" i="13"/>
  <c r="T694" i="13"/>
  <c r="T695" i="13"/>
  <c r="T696" i="13"/>
  <c r="T697" i="13"/>
  <c r="T698" i="13"/>
  <c r="T699" i="13"/>
  <c r="T700" i="13"/>
  <c r="T701" i="13"/>
  <c r="T702" i="13"/>
  <c r="T703" i="13"/>
  <c r="T704" i="13"/>
  <c r="T705" i="13"/>
  <c r="T706" i="13"/>
  <c r="T707" i="13"/>
  <c r="T708" i="13"/>
  <c r="T709" i="13"/>
  <c r="T710" i="13"/>
  <c r="T711" i="13"/>
  <c r="T712" i="13"/>
  <c r="T713" i="13"/>
  <c r="T714" i="13"/>
  <c r="T715" i="13"/>
  <c r="T716" i="13"/>
  <c r="T717" i="13"/>
  <c r="T718" i="13"/>
  <c r="T719" i="13"/>
  <c r="T720" i="13"/>
  <c r="T721" i="13"/>
  <c r="T722" i="13"/>
  <c r="T723" i="13"/>
  <c r="T724" i="13"/>
  <c r="T725" i="13"/>
  <c r="T726" i="13"/>
  <c r="T727" i="13"/>
  <c r="T728" i="13"/>
  <c r="T729" i="13"/>
  <c r="T730" i="13"/>
  <c r="T731" i="13"/>
  <c r="T732" i="13"/>
  <c r="T733" i="13"/>
  <c r="T734" i="13"/>
  <c r="T735" i="13"/>
  <c r="T736" i="13"/>
  <c r="T737" i="13"/>
  <c r="T738" i="13"/>
  <c r="T739" i="13"/>
  <c r="T740" i="13"/>
  <c r="T741" i="13"/>
  <c r="T742" i="13"/>
  <c r="T743" i="13"/>
  <c r="T744" i="13"/>
  <c r="T745" i="13"/>
  <c r="T746" i="13"/>
  <c r="T747" i="13"/>
  <c r="T748" i="13"/>
  <c r="T749" i="13"/>
  <c r="T750" i="13"/>
  <c r="T751" i="13"/>
  <c r="T752" i="13"/>
  <c r="T753" i="13"/>
  <c r="T754" i="13"/>
  <c r="T755" i="13"/>
  <c r="T756" i="13"/>
  <c r="T757" i="13"/>
  <c r="T758" i="13"/>
  <c r="T759" i="13"/>
  <c r="T760" i="13"/>
  <c r="T761" i="13"/>
  <c r="T762" i="13"/>
  <c r="T763" i="13"/>
  <c r="T764" i="13"/>
  <c r="T765" i="13"/>
  <c r="T766" i="13"/>
  <c r="T767" i="13"/>
  <c r="T768" i="13"/>
  <c r="T769" i="13"/>
  <c r="T770" i="13"/>
  <c r="T771" i="13"/>
  <c r="T772" i="13"/>
  <c r="T773" i="13"/>
  <c r="T774" i="13"/>
  <c r="T775" i="13"/>
  <c r="T776" i="13"/>
  <c r="T777" i="13"/>
  <c r="T778" i="13"/>
  <c r="T779" i="13"/>
  <c r="T780" i="13"/>
  <c r="T781" i="13"/>
  <c r="T782" i="13"/>
  <c r="T783" i="13"/>
  <c r="T784" i="13"/>
  <c r="T785" i="13"/>
  <c r="T786" i="13"/>
  <c r="T787" i="13"/>
  <c r="T788" i="13"/>
  <c r="T789" i="13"/>
  <c r="T790" i="13"/>
  <c r="T791" i="13"/>
  <c r="T792" i="13"/>
  <c r="T793" i="13"/>
  <c r="T794" i="13"/>
  <c r="T795" i="13"/>
  <c r="T796" i="13"/>
  <c r="T797" i="13"/>
  <c r="T798" i="13"/>
  <c r="T799" i="13"/>
  <c r="T800" i="13"/>
  <c r="T801" i="13"/>
  <c r="T802" i="13"/>
  <c r="T803" i="13"/>
  <c r="T804" i="13"/>
  <c r="T805" i="13"/>
  <c r="T806" i="13"/>
  <c r="T807" i="13"/>
  <c r="T808" i="13"/>
  <c r="T809" i="13"/>
  <c r="T810" i="13"/>
  <c r="T811" i="13"/>
  <c r="T812" i="13"/>
  <c r="T813" i="13"/>
  <c r="T814" i="13"/>
  <c r="T815" i="13"/>
  <c r="T816" i="13"/>
  <c r="T817" i="13"/>
  <c r="T818" i="13"/>
  <c r="T819" i="13"/>
  <c r="T820" i="13"/>
  <c r="T821" i="13"/>
  <c r="T822" i="13"/>
  <c r="T823" i="13"/>
  <c r="T824" i="13"/>
  <c r="T825" i="13"/>
  <c r="T826" i="13"/>
  <c r="T827" i="13"/>
  <c r="T828" i="13"/>
  <c r="T829" i="13"/>
  <c r="T830" i="13"/>
  <c r="T831" i="13"/>
  <c r="T832" i="13"/>
  <c r="T833" i="13"/>
  <c r="T834" i="13"/>
  <c r="T835" i="13"/>
  <c r="T836" i="13"/>
  <c r="T837" i="13"/>
  <c r="T838" i="13"/>
  <c r="T839" i="13"/>
  <c r="T840" i="13"/>
  <c r="T841" i="13"/>
  <c r="T842" i="13"/>
  <c r="T843" i="13"/>
  <c r="T844" i="13"/>
  <c r="T845" i="13"/>
  <c r="T846" i="13"/>
  <c r="T847" i="13"/>
  <c r="T848" i="13"/>
  <c r="T849" i="13"/>
  <c r="T850" i="13"/>
  <c r="T851" i="13"/>
  <c r="T852" i="13"/>
  <c r="T853" i="13"/>
  <c r="T854" i="13"/>
  <c r="T855" i="13"/>
  <c r="T856" i="13"/>
  <c r="T857" i="13"/>
  <c r="T858" i="13"/>
  <c r="T859" i="13"/>
  <c r="T860" i="13"/>
  <c r="T861" i="13"/>
  <c r="T862" i="13"/>
  <c r="T863" i="13"/>
  <c r="T864" i="13"/>
  <c r="T865" i="13"/>
  <c r="T866" i="13"/>
  <c r="T867" i="13"/>
  <c r="T868" i="13"/>
  <c r="T869" i="13"/>
  <c r="T870" i="13"/>
  <c r="T871" i="13"/>
  <c r="T872" i="13"/>
  <c r="T873" i="13"/>
  <c r="T874" i="13"/>
  <c r="T875" i="13"/>
  <c r="T876" i="13"/>
  <c r="T877" i="13"/>
  <c r="T878" i="13"/>
  <c r="T879" i="13"/>
  <c r="T880" i="13"/>
  <c r="T881" i="13"/>
  <c r="T882" i="13"/>
  <c r="T883" i="13"/>
  <c r="T884" i="13"/>
  <c r="T885" i="13"/>
  <c r="T886" i="13"/>
  <c r="T887" i="13"/>
  <c r="T888" i="13"/>
  <c r="S888" i="13" s="1"/>
  <c r="T889" i="13"/>
  <c r="S889" i="13" s="1"/>
  <c r="T890" i="13"/>
  <c r="S890" i="13" s="1"/>
  <c r="T891" i="13"/>
  <c r="S891" i="13" s="1"/>
  <c r="T892" i="13"/>
  <c r="T893" i="13"/>
  <c r="T894" i="13"/>
  <c r="T895" i="13"/>
  <c r="T896" i="13"/>
  <c r="T897" i="13"/>
  <c r="T898" i="13"/>
  <c r="T899" i="13"/>
  <c r="T900" i="13"/>
  <c r="T901" i="13"/>
  <c r="T902" i="13"/>
  <c r="S902" i="13" s="1"/>
  <c r="T903" i="13"/>
  <c r="T904" i="13"/>
  <c r="T905" i="13"/>
  <c r="T906" i="13"/>
  <c r="T907" i="13"/>
  <c r="T908" i="13"/>
  <c r="T909" i="13"/>
  <c r="T910" i="13"/>
  <c r="T911" i="13"/>
  <c r="T912" i="13"/>
  <c r="T913" i="13"/>
  <c r="T914" i="13"/>
  <c r="T915" i="13"/>
  <c r="T916" i="13"/>
  <c r="T917" i="13"/>
  <c r="T918" i="13"/>
  <c r="T919" i="13"/>
  <c r="T920" i="13"/>
  <c r="T921" i="13"/>
  <c r="T922" i="13"/>
  <c r="T923" i="13"/>
  <c r="T924" i="13"/>
  <c r="T925" i="13"/>
  <c r="T926" i="13"/>
  <c r="T927" i="13"/>
  <c r="T928" i="13"/>
  <c r="T929" i="13"/>
  <c r="T930" i="13"/>
  <c r="T931" i="13"/>
  <c r="T932" i="13"/>
  <c r="T933" i="13"/>
  <c r="T934" i="13"/>
  <c r="T935" i="13"/>
  <c r="T936" i="13"/>
  <c r="T942" i="13"/>
  <c r="T943" i="13"/>
  <c r="T944" i="13"/>
  <c r="T945" i="13"/>
  <c r="T946" i="13"/>
  <c r="T947" i="13"/>
  <c r="T948" i="13"/>
  <c r="T949" i="13"/>
  <c r="T950" i="13"/>
  <c r="T951" i="13"/>
  <c r="T952" i="13"/>
  <c r="T953" i="13"/>
  <c r="T954" i="13"/>
  <c r="T955" i="13"/>
  <c r="T956" i="13"/>
  <c r="T957" i="13"/>
  <c r="T958" i="13"/>
  <c r="S958" i="13" s="1"/>
  <c r="T959" i="13"/>
  <c r="S959" i="13" s="1"/>
  <c r="T960" i="13"/>
  <c r="S960" i="13" s="1"/>
  <c r="T961" i="13"/>
  <c r="S961" i="13" s="1"/>
  <c r="T962" i="13"/>
  <c r="T963" i="13"/>
  <c r="T964" i="13"/>
  <c r="T965" i="13"/>
  <c r="T966" i="13"/>
  <c r="T967" i="13"/>
  <c r="T968" i="13"/>
  <c r="T969" i="13"/>
  <c r="T970" i="13"/>
  <c r="T971" i="13"/>
  <c r="T982" i="13"/>
  <c r="T983" i="13"/>
  <c r="T984" i="13"/>
  <c r="T985" i="13"/>
  <c r="T986" i="13"/>
  <c r="T987" i="13"/>
  <c r="T988" i="13"/>
  <c r="T989" i="13"/>
  <c r="T990" i="13"/>
  <c r="T991" i="13"/>
  <c r="T992" i="13"/>
  <c r="T993" i="13"/>
  <c r="T994" i="13"/>
  <c r="T995" i="13"/>
  <c r="T996" i="13"/>
  <c r="T1012" i="13"/>
  <c r="T1013" i="13"/>
  <c r="T1014" i="13"/>
  <c r="T1015" i="13"/>
  <c r="T1016" i="13"/>
  <c r="T1017" i="13"/>
  <c r="T1018" i="13"/>
  <c r="T1019" i="13"/>
  <c r="T1020" i="13"/>
  <c r="T1021" i="13"/>
  <c r="T1022" i="13"/>
  <c r="T1023" i="13"/>
  <c r="T1024" i="13"/>
  <c r="T1025" i="13"/>
  <c r="T1026" i="13"/>
  <c r="T1027" i="13"/>
  <c r="T1028" i="13"/>
  <c r="T1029" i="13"/>
  <c r="T1030" i="13"/>
  <c r="T1031" i="13"/>
  <c r="T1032" i="13"/>
  <c r="T1033" i="13"/>
  <c r="T1034" i="13"/>
  <c r="T1035" i="13"/>
  <c r="T1036" i="13"/>
  <c r="T1037" i="13"/>
  <c r="T1038" i="13"/>
  <c r="T1039" i="13"/>
  <c r="T1040" i="13"/>
  <c r="T1041" i="13"/>
  <c r="T1042" i="13"/>
  <c r="T1043" i="13"/>
  <c r="T1044" i="13"/>
  <c r="T1045" i="13"/>
  <c r="T1046" i="13"/>
  <c r="T1047" i="13"/>
  <c r="T1048" i="13"/>
  <c r="T1049" i="13"/>
  <c r="T1050" i="13"/>
  <c r="T1051" i="13"/>
  <c r="T1052" i="13"/>
  <c r="T1053" i="13"/>
  <c r="T1054" i="13"/>
  <c r="T1055" i="13"/>
  <c r="T1056" i="13"/>
  <c r="T1057" i="13"/>
  <c r="T1058" i="13"/>
  <c r="T1059" i="13"/>
  <c r="T1060" i="13"/>
  <c r="T1061" i="13"/>
  <c r="R163" i="13"/>
  <c r="R164" i="13"/>
  <c r="R165" i="13"/>
  <c r="R166" i="13"/>
  <c r="R167" i="13"/>
  <c r="R161" i="13"/>
  <c r="R154" i="13"/>
  <c r="R155" i="13"/>
  <c r="R156" i="13"/>
  <c r="R157" i="13"/>
  <c r="R158" i="13"/>
  <c r="R159" i="13"/>
  <c r="R160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Q188" i="13" s="1"/>
  <c r="R189" i="13"/>
  <c r="Q189" i="13" s="1"/>
  <c r="R190" i="13"/>
  <c r="Q190" i="13" s="1"/>
  <c r="R191" i="13"/>
  <c r="Q191" i="13" s="1"/>
  <c r="R192" i="13"/>
  <c r="Q192" i="13" s="1"/>
  <c r="R193" i="13"/>
  <c r="R194" i="13"/>
  <c r="R195" i="13"/>
  <c r="R196" i="13"/>
  <c r="R197" i="13"/>
  <c r="R198" i="13"/>
  <c r="R199" i="13"/>
  <c r="R200" i="13"/>
  <c r="R201" i="13"/>
  <c r="R202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Q216" i="13" s="1"/>
  <c r="R217" i="13"/>
  <c r="Q217" i="13" s="1"/>
  <c r="R218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Q234" i="13" s="1"/>
  <c r="R235" i="13"/>
  <c r="Q235" i="13" s="1"/>
  <c r="R236" i="13"/>
  <c r="Q236" i="13" s="1"/>
  <c r="R237" i="13"/>
  <c r="Q237" i="13" s="1"/>
  <c r="R238" i="13"/>
  <c r="Q238" i="13" s="1"/>
  <c r="R239" i="13"/>
  <c r="Q239" i="13" s="1"/>
  <c r="R240" i="13"/>
  <c r="Q240" i="13" s="1"/>
  <c r="R241" i="13"/>
  <c r="Q241" i="13" s="1"/>
  <c r="R242" i="13"/>
  <c r="Q242" i="13" s="1"/>
  <c r="R243" i="13"/>
  <c r="Q243" i="13" s="1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6" i="13"/>
  <c r="R277" i="13"/>
  <c r="R278" i="13"/>
  <c r="Q278" i="13" s="1"/>
  <c r="R279" i="13"/>
  <c r="R280" i="13"/>
  <c r="R281" i="13"/>
  <c r="R282" i="13"/>
  <c r="R283" i="13"/>
  <c r="R284" i="13"/>
  <c r="R285" i="13"/>
  <c r="R286" i="13"/>
  <c r="R287" i="13"/>
  <c r="Q287" i="13" s="1"/>
  <c r="R288" i="13"/>
  <c r="Q288" i="13" s="1"/>
  <c r="R290" i="13"/>
  <c r="R291" i="13"/>
  <c r="R293" i="13"/>
  <c r="R294" i="13"/>
  <c r="R295" i="13"/>
  <c r="R296" i="13"/>
  <c r="R297" i="13"/>
  <c r="R298" i="13"/>
  <c r="R299" i="13"/>
  <c r="R300" i="13"/>
  <c r="Q300" i="13" s="1"/>
  <c r="R302" i="13"/>
  <c r="Q302" i="13" s="1"/>
  <c r="R303" i="13"/>
  <c r="R304" i="13"/>
  <c r="R305" i="13"/>
  <c r="R338" i="13"/>
  <c r="R339" i="13"/>
  <c r="R340" i="13"/>
  <c r="R341" i="13"/>
  <c r="R342" i="13"/>
  <c r="R343" i="13"/>
  <c r="R344" i="13"/>
  <c r="R345" i="13"/>
  <c r="R346" i="13"/>
  <c r="R347" i="13"/>
  <c r="R348" i="13"/>
  <c r="R349" i="13"/>
  <c r="R350" i="13"/>
  <c r="R351" i="13"/>
  <c r="R352" i="13"/>
  <c r="R353" i="13"/>
  <c r="R354" i="13"/>
  <c r="R355" i="13"/>
  <c r="R356" i="13"/>
  <c r="R357" i="13"/>
  <c r="R358" i="13"/>
  <c r="R359" i="13"/>
  <c r="R360" i="13"/>
  <c r="R361" i="13"/>
  <c r="R362" i="13"/>
  <c r="Q362" i="13" s="1"/>
  <c r="R363" i="13"/>
  <c r="R364" i="13"/>
  <c r="R365" i="13"/>
  <c r="R366" i="13"/>
  <c r="R367" i="13"/>
  <c r="R368" i="13"/>
  <c r="R369" i="13"/>
  <c r="R370" i="13"/>
  <c r="R371" i="13"/>
  <c r="R372" i="13"/>
  <c r="R373" i="13"/>
  <c r="R374" i="13"/>
  <c r="R375" i="13"/>
  <c r="R376" i="13"/>
  <c r="R377" i="13"/>
  <c r="R378" i="13"/>
  <c r="R379" i="13"/>
  <c r="R380" i="13"/>
  <c r="R381" i="13"/>
  <c r="R382" i="13"/>
  <c r="R383" i="13"/>
  <c r="R384" i="13"/>
  <c r="R385" i="13"/>
  <c r="R386" i="13"/>
  <c r="R387" i="13"/>
  <c r="R388" i="13"/>
  <c r="R389" i="13"/>
  <c r="R390" i="13"/>
  <c r="R391" i="13"/>
  <c r="R392" i="13"/>
  <c r="R393" i="13"/>
  <c r="R394" i="13"/>
  <c r="R395" i="13"/>
  <c r="R396" i="13"/>
  <c r="Q396" i="13" s="1"/>
  <c r="R397" i="13"/>
  <c r="R398" i="13"/>
  <c r="R399" i="13"/>
  <c r="R400" i="13"/>
  <c r="R401" i="13"/>
  <c r="R402" i="13"/>
  <c r="R403" i="13"/>
  <c r="R404" i="13"/>
  <c r="R405" i="13"/>
  <c r="R406" i="13"/>
  <c r="R407" i="13"/>
  <c r="R408" i="13"/>
  <c r="R409" i="13"/>
  <c r="R410" i="13"/>
  <c r="R411" i="13"/>
  <c r="R412" i="13"/>
  <c r="R413" i="13"/>
  <c r="R414" i="13"/>
  <c r="R415" i="13"/>
  <c r="R416" i="13"/>
  <c r="R417" i="13"/>
  <c r="R418" i="13"/>
  <c r="R419" i="13"/>
  <c r="R420" i="13"/>
  <c r="R421" i="13"/>
  <c r="R422" i="13"/>
  <c r="R423" i="13"/>
  <c r="R424" i="13"/>
  <c r="R425" i="13"/>
  <c r="R426" i="13"/>
  <c r="R427" i="13"/>
  <c r="R428" i="13"/>
  <c r="R429" i="13"/>
  <c r="R430" i="13"/>
  <c r="R431" i="13"/>
  <c r="R432" i="13"/>
  <c r="R433" i="13"/>
  <c r="R434" i="13"/>
  <c r="R435" i="13"/>
  <c r="R436" i="13"/>
  <c r="R437" i="13"/>
  <c r="R438" i="13"/>
  <c r="R439" i="13"/>
  <c r="R440" i="13"/>
  <c r="R441" i="13"/>
  <c r="R442" i="13"/>
  <c r="R443" i="13"/>
  <c r="R444" i="13"/>
  <c r="R445" i="13"/>
  <c r="R446" i="13"/>
  <c r="R447" i="13"/>
  <c r="R448" i="13"/>
  <c r="R449" i="13"/>
  <c r="R450" i="13"/>
  <c r="R451" i="13"/>
  <c r="R452" i="13"/>
  <c r="R453" i="13"/>
  <c r="R454" i="13"/>
  <c r="R455" i="13"/>
  <c r="R456" i="13"/>
  <c r="R457" i="13"/>
  <c r="R458" i="13"/>
  <c r="R459" i="13"/>
  <c r="R460" i="13"/>
  <c r="R461" i="13"/>
  <c r="R462" i="13"/>
  <c r="R463" i="13"/>
  <c r="R464" i="13"/>
  <c r="R465" i="13"/>
  <c r="R466" i="13"/>
  <c r="R467" i="13"/>
  <c r="R468" i="13"/>
  <c r="R469" i="13"/>
  <c r="R470" i="13"/>
  <c r="R471" i="13"/>
  <c r="R472" i="13"/>
  <c r="R473" i="13"/>
  <c r="R474" i="13"/>
  <c r="R475" i="13"/>
  <c r="R476" i="13"/>
  <c r="R477" i="13"/>
  <c r="R478" i="13"/>
  <c r="R479" i="13"/>
  <c r="R480" i="13"/>
  <c r="R481" i="13"/>
  <c r="R482" i="13"/>
  <c r="R483" i="13"/>
  <c r="R484" i="13"/>
  <c r="R485" i="13"/>
  <c r="R486" i="13"/>
  <c r="R487" i="13"/>
  <c r="R488" i="13"/>
  <c r="R489" i="13"/>
  <c r="R490" i="13"/>
  <c r="R491" i="13"/>
  <c r="R492" i="13"/>
  <c r="R493" i="13"/>
  <c r="R494" i="13"/>
  <c r="R495" i="13"/>
  <c r="R496" i="13"/>
  <c r="R497" i="13"/>
  <c r="R498" i="13"/>
  <c r="R499" i="13"/>
  <c r="R500" i="13"/>
  <c r="R501" i="13"/>
  <c r="R502" i="13"/>
  <c r="R503" i="13"/>
  <c r="R504" i="13"/>
  <c r="R505" i="13"/>
  <c r="R506" i="13"/>
  <c r="R507" i="13"/>
  <c r="R508" i="13"/>
  <c r="R509" i="13"/>
  <c r="R510" i="13"/>
  <c r="R511" i="13"/>
  <c r="R512" i="13"/>
  <c r="R513" i="13"/>
  <c r="R514" i="13"/>
  <c r="R515" i="13"/>
  <c r="R516" i="13"/>
  <c r="R517" i="13"/>
  <c r="R518" i="13"/>
  <c r="R519" i="13"/>
  <c r="R520" i="13"/>
  <c r="R521" i="13"/>
  <c r="R522" i="13"/>
  <c r="R523" i="13"/>
  <c r="R524" i="13"/>
  <c r="R525" i="13"/>
  <c r="R526" i="13"/>
  <c r="R527" i="13"/>
  <c r="R528" i="13"/>
  <c r="R529" i="13"/>
  <c r="R530" i="13"/>
  <c r="R531" i="13"/>
  <c r="R532" i="13"/>
  <c r="R533" i="13"/>
  <c r="R534" i="13"/>
  <c r="R535" i="13"/>
  <c r="R536" i="13"/>
  <c r="R537" i="13"/>
  <c r="R538" i="13"/>
  <c r="R539" i="13"/>
  <c r="R540" i="13"/>
  <c r="R541" i="13"/>
  <c r="R542" i="13"/>
  <c r="R543" i="13"/>
  <c r="R544" i="13"/>
  <c r="R545" i="13"/>
  <c r="R546" i="13"/>
  <c r="R547" i="13"/>
  <c r="R548" i="13"/>
  <c r="R549" i="13"/>
  <c r="R550" i="13"/>
  <c r="R551" i="13"/>
  <c r="R552" i="13"/>
  <c r="R553" i="13"/>
  <c r="R554" i="13"/>
  <c r="R555" i="13"/>
  <c r="R556" i="13"/>
  <c r="R557" i="13"/>
  <c r="R558" i="13"/>
  <c r="R559" i="13"/>
  <c r="R560" i="13"/>
  <c r="R561" i="13"/>
  <c r="R562" i="13"/>
  <c r="R563" i="13"/>
  <c r="R564" i="13"/>
  <c r="R565" i="13"/>
  <c r="R566" i="13"/>
  <c r="R567" i="13"/>
  <c r="R568" i="13"/>
  <c r="R569" i="13"/>
  <c r="R570" i="13"/>
  <c r="R571" i="13"/>
  <c r="R572" i="13"/>
  <c r="R573" i="13"/>
  <c r="R574" i="13"/>
  <c r="R575" i="13"/>
  <c r="R576" i="13"/>
  <c r="R577" i="13"/>
  <c r="R578" i="13"/>
  <c r="R579" i="13"/>
  <c r="R580" i="13"/>
  <c r="R581" i="13"/>
  <c r="R582" i="13"/>
  <c r="R583" i="13"/>
  <c r="R584" i="13"/>
  <c r="R585" i="13"/>
  <c r="R586" i="13"/>
  <c r="R587" i="13"/>
  <c r="R588" i="13"/>
  <c r="R589" i="13"/>
  <c r="R590" i="13"/>
  <c r="R591" i="13"/>
  <c r="R592" i="13"/>
  <c r="R593" i="13"/>
  <c r="R594" i="13"/>
  <c r="R595" i="13"/>
  <c r="R596" i="13"/>
  <c r="R597" i="13"/>
  <c r="R598" i="13"/>
  <c r="R599" i="13"/>
  <c r="R600" i="13"/>
  <c r="R601" i="13"/>
  <c r="R602" i="13"/>
  <c r="R603" i="13"/>
  <c r="R604" i="13"/>
  <c r="R605" i="13"/>
  <c r="R606" i="13"/>
  <c r="R607" i="13"/>
  <c r="R608" i="13"/>
  <c r="R609" i="13"/>
  <c r="R610" i="13"/>
  <c r="R611" i="13"/>
  <c r="R612" i="13"/>
  <c r="R613" i="13"/>
  <c r="R614" i="13"/>
  <c r="R615" i="13"/>
  <c r="R616" i="13"/>
  <c r="R617" i="13"/>
  <c r="R618" i="13"/>
  <c r="R619" i="13"/>
  <c r="R620" i="13"/>
  <c r="R621" i="13"/>
  <c r="R622" i="13"/>
  <c r="R623" i="13"/>
  <c r="R624" i="13"/>
  <c r="R625" i="13"/>
  <c r="R626" i="13"/>
  <c r="R627" i="13"/>
  <c r="R628" i="13"/>
  <c r="R629" i="13"/>
  <c r="R630" i="13"/>
  <c r="R631" i="13"/>
  <c r="R632" i="13"/>
  <c r="R633" i="13"/>
  <c r="R634" i="13"/>
  <c r="R635" i="13"/>
  <c r="R636" i="13"/>
  <c r="R637" i="13"/>
  <c r="R638" i="13"/>
  <c r="R639" i="13"/>
  <c r="R640" i="13"/>
  <c r="R641" i="13"/>
  <c r="R642" i="13"/>
  <c r="R643" i="13"/>
  <c r="R644" i="13"/>
  <c r="R645" i="13"/>
  <c r="R646" i="13"/>
  <c r="R647" i="13"/>
  <c r="R648" i="13"/>
  <c r="R649" i="13"/>
  <c r="R650" i="13"/>
  <c r="R651" i="13"/>
  <c r="R652" i="13"/>
  <c r="R653" i="13"/>
  <c r="R654" i="13"/>
  <c r="R655" i="13"/>
  <c r="R656" i="13"/>
  <c r="R657" i="13"/>
  <c r="R658" i="13"/>
  <c r="R659" i="13"/>
  <c r="R660" i="13"/>
  <c r="R661" i="13"/>
  <c r="R662" i="13"/>
  <c r="R663" i="13"/>
  <c r="R664" i="13"/>
  <c r="R665" i="13"/>
  <c r="R666" i="13"/>
  <c r="R667" i="13"/>
  <c r="R668" i="13"/>
  <c r="R669" i="13"/>
  <c r="R670" i="13"/>
  <c r="R671" i="13"/>
  <c r="R672" i="13"/>
  <c r="R673" i="13"/>
  <c r="R674" i="13"/>
  <c r="R675" i="13"/>
  <c r="R676" i="13"/>
  <c r="R677" i="13"/>
  <c r="R678" i="13"/>
  <c r="R679" i="13"/>
  <c r="R680" i="13"/>
  <c r="R681" i="13"/>
  <c r="R682" i="13"/>
  <c r="R683" i="13"/>
  <c r="R684" i="13"/>
  <c r="R685" i="13"/>
  <c r="R686" i="13"/>
  <c r="R687" i="13"/>
  <c r="R688" i="13"/>
  <c r="R689" i="13"/>
  <c r="R690" i="13"/>
  <c r="R691" i="13"/>
  <c r="R692" i="13"/>
  <c r="R693" i="13"/>
  <c r="R694" i="13"/>
  <c r="R695" i="13"/>
  <c r="R696" i="13"/>
  <c r="R697" i="13"/>
  <c r="R698" i="13"/>
  <c r="R699" i="13"/>
  <c r="R700" i="13"/>
  <c r="R701" i="13"/>
  <c r="R702" i="13"/>
  <c r="R703" i="13"/>
  <c r="R704" i="13"/>
  <c r="R705" i="13"/>
  <c r="R706" i="13"/>
  <c r="R707" i="13"/>
  <c r="R708" i="13"/>
  <c r="R709" i="13"/>
  <c r="R710" i="13"/>
  <c r="R711" i="13"/>
  <c r="R712" i="13"/>
  <c r="R713" i="13"/>
  <c r="R714" i="13"/>
  <c r="R715" i="13"/>
  <c r="R716" i="13"/>
  <c r="R717" i="13"/>
  <c r="R718" i="13"/>
  <c r="R719" i="13"/>
  <c r="R720" i="13"/>
  <c r="R721" i="13"/>
  <c r="R722" i="13"/>
  <c r="R723" i="13"/>
  <c r="R724" i="13"/>
  <c r="R725" i="13"/>
  <c r="R726" i="13"/>
  <c r="R727" i="13"/>
  <c r="R728" i="13"/>
  <c r="R729" i="13"/>
  <c r="R730" i="13"/>
  <c r="R731" i="13"/>
  <c r="R732" i="13"/>
  <c r="R733" i="13"/>
  <c r="R734" i="13"/>
  <c r="R735" i="13"/>
  <c r="R736" i="13"/>
  <c r="R737" i="13"/>
  <c r="R738" i="13"/>
  <c r="R739" i="13"/>
  <c r="R740" i="13"/>
  <c r="R741" i="13"/>
  <c r="R742" i="13"/>
  <c r="R743" i="13"/>
  <c r="R744" i="13"/>
  <c r="R745" i="13"/>
  <c r="R746" i="13"/>
  <c r="R747" i="13"/>
  <c r="R748" i="13"/>
  <c r="R749" i="13"/>
  <c r="R750" i="13"/>
  <c r="R751" i="13"/>
  <c r="R752" i="13"/>
  <c r="R753" i="13"/>
  <c r="R754" i="13"/>
  <c r="R755" i="13"/>
  <c r="R756" i="13"/>
  <c r="R757" i="13"/>
  <c r="R758" i="13"/>
  <c r="R759" i="13"/>
  <c r="R760" i="13"/>
  <c r="R761" i="13"/>
  <c r="R762" i="13"/>
  <c r="R763" i="13"/>
  <c r="R764" i="13"/>
  <c r="R765" i="13"/>
  <c r="R766" i="13"/>
  <c r="R767" i="13"/>
  <c r="R768" i="13"/>
  <c r="R769" i="13"/>
  <c r="R770" i="13"/>
  <c r="R771" i="13"/>
  <c r="R772" i="13"/>
  <c r="R773" i="13"/>
  <c r="R774" i="13"/>
  <c r="R775" i="13"/>
  <c r="R776" i="13"/>
  <c r="R777" i="13"/>
  <c r="R778" i="13"/>
  <c r="R779" i="13"/>
  <c r="R780" i="13"/>
  <c r="R781" i="13"/>
  <c r="R782" i="13"/>
  <c r="R783" i="13"/>
  <c r="R784" i="13"/>
  <c r="R785" i="13"/>
  <c r="R786" i="13"/>
  <c r="R787" i="13"/>
  <c r="R788" i="13"/>
  <c r="R789" i="13"/>
  <c r="R790" i="13"/>
  <c r="R791" i="13"/>
  <c r="R792" i="13"/>
  <c r="R793" i="13"/>
  <c r="R794" i="13"/>
  <c r="R795" i="13"/>
  <c r="R796" i="13"/>
  <c r="R797" i="13"/>
  <c r="R798" i="13"/>
  <c r="R799" i="13"/>
  <c r="R800" i="13"/>
  <c r="R801" i="13"/>
  <c r="R802" i="13"/>
  <c r="R803" i="13"/>
  <c r="R804" i="13"/>
  <c r="R805" i="13"/>
  <c r="R806" i="13"/>
  <c r="R807" i="13"/>
  <c r="R808" i="13"/>
  <c r="R809" i="13"/>
  <c r="R810" i="13"/>
  <c r="R811" i="13"/>
  <c r="R812" i="13"/>
  <c r="R813" i="13"/>
  <c r="R814" i="13"/>
  <c r="R815" i="13"/>
  <c r="R816" i="13"/>
  <c r="R817" i="13"/>
  <c r="R818" i="13"/>
  <c r="R819" i="13"/>
  <c r="R820" i="13"/>
  <c r="R821" i="13"/>
  <c r="R822" i="13"/>
  <c r="R823" i="13"/>
  <c r="R824" i="13"/>
  <c r="R825" i="13"/>
  <c r="R826" i="13"/>
  <c r="R827" i="13"/>
  <c r="R828" i="13"/>
  <c r="R829" i="13"/>
  <c r="R830" i="13"/>
  <c r="R831" i="13"/>
  <c r="R832" i="13"/>
  <c r="R833" i="13"/>
  <c r="R834" i="13"/>
  <c r="R835" i="13"/>
  <c r="R836" i="13"/>
  <c r="R837" i="13"/>
  <c r="R838" i="13"/>
  <c r="R839" i="13"/>
  <c r="R840" i="13"/>
  <c r="R841" i="13"/>
  <c r="R842" i="13"/>
  <c r="R843" i="13"/>
  <c r="R844" i="13"/>
  <c r="R845" i="13"/>
  <c r="R846" i="13"/>
  <c r="R847" i="13"/>
  <c r="R848" i="13"/>
  <c r="R849" i="13"/>
  <c r="R850" i="13"/>
  <c r="R851" i="13"/>
  <c r="R852" i="13"/>
  <c r="R853" i="13"/>
  <c r="R854" i="13"/>
  <c r="R855" i="13"/>
  <c r="R856" i="13"/>
  <c r="R857" i="13"/>
  <c r="R858" i="13"/>
  <c r="R859" i="13"/>
  <c r="R860" i="13"/>
  <c r="R861" i="13"/>
  <c r="R862" i="13"/>
  <c r="R863" i="13"/>
  <c r="R864" i="13"/>
  <c r="R865" i="13"/>
  <c r="R866" i="13"/>
  <c r="R867" i="13"/>
  <c r="R868" i="13"/>
  <c r="R869" i="13"/>
  <c r="R870" i="13"/>
  <c r="R871" i="13"/>
  <c r="R872" i="13"/>
  <c r="R873" i="13"/>
  <c r="R874" i="13"/>
  <c r="R875" i="13"/>
  <c r="R876" i="13"/>
  <c r="R877" i="13"/>
  <c r="R878" i="13"/>
  <c r="R879" i="13"/>
  <c r="R880" i="13"/>
  <c r="R881" i="13"/>
  <c r="R882" i="13"/>
  <c r="R883" i="13"/>
  <c r="R884" i="13"/>
  <c r="R885" i="13"/>
  <c r="R886" i="13"/>
  <c r="R887" i="13"/>
  <c r="R888" i="13"/>
  <c r="R889" i="13"/>
  <c r="R890" i="13"/>
  <c r="R891" i="13"/>
  <c r="R892" i="13"/>
  <c r="Q892" i="13" s="1"/>
  <c r="R893" i="13"/>
  <c r="Q893" i="13" s="1"/>
  <c r="R894" i="13"/>
  <c r="R895" i="13"/>
  <c r="R896" i="13"/>
  <c r="R897" i="13"/>
  <c r="R898" i="13"/>
  <c r="R899" i="13"/>
  <c r="R900" i="13"/>
  <c r="R901" i="13"/>
  <c r="R902" i="13"/>
  <c r="R903" i="13"/>
  <c r="R904" i="13"/>
  <c r="R905" i="13"/>
  <c r="R906" i="13"/>
  <c r="R907" i="13"/>
  <c r="R908" i="13"/>
  <c r="R909" i="13"/>
  <c r="R910" i="13"/>
  <c r="R911" i="13"/>
  <c r="R912" i="13"/>
  <c r="R913" i="13"/>
  <c r="R914" i="13"/>
  <c r="R915" i="13"/>
  <c r="R916" i="13"/>
  <c r="R917" i="13"/>
  <c r="R918" i="13"/>
  <c r="R919" i="13"/>
  <c r="R920" i="13"/>
  <c r="R921" i="13"/>
  <c r="R922" i="13"/>
  <c r="R923" i="13"/>
  <c r="R924" i="13"/>
  <c r="R925" i="13"/>
  <c r="R926" i="13"/>
  <c r="R927" i="13"/>
  <c r="R928" i="13"/>
  <c r="R929" i="13"/>
  <c r="R930" i="13"/>
  <c r="R931" i="13"/>
  <c r="R932" i="13"/>
  <c r="R933" i="13"/>
  <c r="R934" i="13"/>
  <c r="R935" i="13"/>
  <c r="R936" i="13"/>
  <c r="R942" i="13"/>
  <c r="R943" i="13"/>
  <c r="R944" i="13"/>
  <c r="R945" i="13"/>
  <c r="R946" i="13"/>
  <c r="R947" i="13"/>
  <c r="R948" i="13"/>
  <c r="R949" i="13"/>
  <c r="R950" i="13"/>
  <c r="R951" i="13"/>
  <c r="R952" i="13"/>
  <c r="R953" i="13"/>
  <c r="R954" i="13"/>
  <c r="R955" i="13"/>
  <c r="R956" i="13"/>
  <c r="R957" i="13"/>
  <c r="Q957" i="13" s="1"/>
  <c r="R958" i="13"/>
  <c r="R959" i="13"/>
  <c r="R960" i="13"/>
  <c r="R961" i="13"/>
  <c r="R962" i="13"/>
  <c r="Q962" i="13" s="1"/>
  <c r="R963" i="13"/>
  <c r="Q963" i="13" s="1"/>
  <c r="R964" i="13"/>
  <c r="Q964" i="13" s="1"/>
  <c r="R965" i="13"/>
  <c r="Q965" i="13" s="1"/>
  <c r="R966" i="13"/>
  <c r="Q966" i="13" s="1"/>
  <c r="R967" i="13"/>
  <c r="R968" i="13"/>
  <c r="R969" i="13"/>
  <c r="R970" i="13"/>
  <c r="R971" i="13"/>
  <c r="R982" i="13"/>
  <c r="R983" i="13"/>
  <c r="R984" i="13"/>
  <c r="R985" i="13"/>
  <c r="R986" i="13"/>
  <c r="R987" i="13"/>
  <c r="R988" i="13"/>
  <c r="R989" i="13"/>
  <c r="R990" i="13"/>
  <c r="R991" i="13"/>
  <c r="R992" i="13"/>
  <c r="R993" i="13"/>
  <c r="R994" i="13"/>
  <c r="R995" i="13"/>
  <c r="R996" i="13"/>
  <c r="R1012" i="13"/>
  <c r="Q1012" i="13" s="1"/>
  <c r="R1013" i="13"/>
  <c r="Q1013" i="13" s="1"/>
  <c r="R1014" i="13"/>
  <c r="Q1014" i="13" s="1"/>
  <c r="R1015" i="13"/>
  <c r="Q1015" i="13" s="1"/>
  <c r="R1016" i="13"/>
  <c r="Q1016" i="13" s="1"/>
  <c r="R1017" i="13"/>
  <c r="Q1017" i="13" s="1"/>
  <c r="R1018" i="13"/>
  <c r="Q1018" i="13" s="1"/>
  <c r="R1019" i="13"/>
  <c r="Q1019" i="13" s="1"/>
  <c r="R1020" i="13"/>
  <c r="Q1020" i="13" s="1"/>
  <c r="R1021" i="13"/>
  <c r="Q1021" i="13" s="1"/>
  <c r="R1022" i="13"/>
  <c r="Q1022" i="13" s="1"/>
  <c r="R1023" i="13"/>
  <c r="Q1023" i="13" s="1"/>
  <c r="R1024" i="13"/>
  <c r="Q1024" i="13" s="1"/>
  <c r="R1025" i="13"/>
  <c r="Q1025" i="13" s="1"/>
  <c r="R1026" i="13"/>
  <c r="Q1026" i="13" s="1"/>
  <c r="R1027" i="13"/>
  <c r="Q1027" i="13" s="1"/>
  <c r="R1028" i="13"/>
  <c r="Q1028" i="13" s="1"/>
  <c r="R1029" i="13"/>
  <c r="Q1029" i="13" s="1"/>
  <c r="R1030" i="13"/>
  <c r="Q1030" i="13" s="1"/>
  <c r="R1031" i="13"/>
  <c r="Q1031" i="13" s="1"/>
  <c r="R1032" i="13"/>
  <c r="Q1032" i="13" s="1"/>
  <c r="R1033" i="13"/>
  <c r="Q1033" i="13" s="1"/>
  <c r="R1034" i="13"/>
  <c r="Q1034" i="13" s="1"/>
  <c r="R1035" i="13"/>
  <c r="Q1035" i="13" s="1"/>
  <c r="R1036" i="13"/>
  <c r="Q1036" i="13" s="1"/>
  <c r="R1037" i="13"/>
  <c r="Q1037" i="13" s="1"/>
  <c r="R1038" i="13"/>
  <c r="Q1038" i="13" s="1"/>
  <c r="R1039" i="13"/>
  <c r="Q1039" i="13" s="1"/>
  <c r="R1040" i="13"/>
  <c r="Q1040" i="13" s="1"/>
  <c r="R1041" i="13"/>
  <c r="Q1041" i="13" s="1"/>
  <c r="R1042" i="13"/>
  <c r="Q1042" i="13" s="1"/>
  <c r="R1043" i="13"/>
  <c r="Q1043" i="13" s="1"/>
  <c r="R1044" i="13"/>
  <c r="Q1044" i="13" s="1"/>
  <c r="R1045" i="13"/>
  <c r="Q1045" i="13" s="1"/>
  <c r="R1046" i="13"/>
  <c r="Q1046" i="13" s="1"/>
  <c r="R1047" i="13"/>
  <c r="Q1047" i="13" s="1"/>
  <c r="R1048" i="13"/>
  <c r="Q1048" i="13" s="1"/>
  <c r="R1049" i="13"/>
  <c r="Q1049" i="13" s="1"/>
  <c r="R1050" i="13"/>
  <c r="Q1050" i="13" s="1"/>
  <c r="R1051" i="13"/>
  <c r="Q1051" i="13" s="1"/>
  <c r="R1052" i="13"/>
  <c r="Q1052" i="13" s="1"/>
  <c r="R1053" i="13"/>
  <c r="Q1053" i="13" s="1"/>
  <c r="R1054" i="13"/>
  <c r="Q1054" i="13" s="1"/>
  <c r="R1055" i="13"/>
  <c r="Q1055" i="13" s="1"/>
  <c r="R1056" i="13"/>
  <c r="Q1056" i="13" s="1"/>
  <c r="R1057" i="13"/>
  <c r="Q1057" i="13" s="1"/>
  <c r="R1058" i="13"/>
  <c r="Q1058" i="13" s="1"/>
  <c r="R1059" i="13"/>
  <c r="Q1059" i="13" s="1"/>
  <c r="R1060" i="13"/>
  <c r="Q1060" i="13" s="1"/>
  <c r="R1061" i="13"/>
  <c r="Q1061" i="13" s="1"/>
  <c r="AT161" i="13" l="1"/>
  <c r="AS161" i="13"/>
  <c r="AR161" i="13"/>
  <c r="AQ161" i="13"/>
  <c r="AP161" i="13"/>
  <c r="AO161" i="13"/>
  <c r="AN161" i="13"/>
  <c r="AM161" i="13"/>
  <c r="AL161" i="13"/>
  <c r="W161" i="13"/>
  <c r="V161" i="13" s="1"/>
  <c r="AK161" i="13" l="1"/>
  <c r="Q13" i="14"/>
  <c r="Q14" i="14"/>
  <c r="Q15" i="14"/>
  <c r="Q16" i="14"/>
  <c r="Q17" i="14"/>
  <c r="AT1061" i="13"/>
  <c r="AS1061" i="13"/>
  <c r="AR1061" i="13"/>
  <c r="AQ1061" i="13"/>
  <c r="AP1061" i="13"/>
  <c r="AO1061" i="13"/>
  <c r="AN1061" i="13"/>
  <c r="AM1061" i="13"/>
  <c r="AL1061" i="13"/>
  <c r="AT1060" i="13"/>
  <c r="AS1060" i="13"/>
  <c r="AR1060" i="13"/>
  <c r="AQ1060" i="13"/>
  <c r="AP1060" i="13"/>
  <c r="AO1060" i="13"/>
  <c r="AN1060" i="13"/>
  <c r="AM1060" i="13"/>
  <c r="AL1060" i="13"/>
  <c r="AT1059" i="13"/>
  <c r="AS1059" i="13"/>
  <c r="AR1059" i="13"/>
  <c r="AQ1059" i="13"/>
  <c r="AP1059" i="13"/>
  <c r="AO1059" i="13"/>
  <c r="AN1059" i="13"/>
  <c r="AM1059" i="13"/>
  <c r="AL1059" i="13"/>
  <c r="AT1058" i="13"/>
  <c r="AS1058" i="13"/>
  <c r="AR1058" i="13"/>
  <c r="AQ1058" i="13"/>
  <c r="AP1058" i="13"/>
  <c r="AO1058" i="13"/>
  <c r="AN1058" i="13"/>
  <c r="AM1058" i="13"/>
  <c r="AL1058" i="13"/>
  <c r="AT1057" i="13"/>
  <c r="AS1057" i="13"/>
  <c r="AR1057" i="13"/>
  <c r="AQ1057" i="13"/>
  <c r="AP1057" i="13"/>
  <c r="AO1057" i="13"/>
  <c r="AN1057" i="13"/>
  <c r="AM1057" i="13"/>
  <c r="AL1057" i="13"/>
  <c r="AT1056" i="13"/>
  <c r="AS1056" i="13"/>
  <c r="AR1056" i="13"/>
  <c r="AQ1056" i="13"/>
  <c r="AP1056" i="13"/>
  <c r="AO1056" i="13"/>
  <c r="AN1056" i="13"/>
  <c r="AM1056" i="13"/>
  <c r="AL1056" i="13"/>
  <c r="AT1055" i="13"/>
  <c r="AS1055" i="13"/>
  <c r="AR1055" i="13"/>
  <c r="AQ1055" i="13"/>
  <c r="AP1055" i="13"/>
  <c r="AO1055" i="13"/>
  <c r="AN1055" i="13"/>
  <c r="AM1055" i="13"/>
  <c r="AL1055" i="13"/>
  <c r="AT1054" i="13"/>
  <c r="AS1054" i="13"/>
  <c r="AR1054" i="13"/>
  <c r="AQ1054" i="13"/>
  <c r="AP1054" i="13"/>
  <c r="AO1054" i="13"/>
  <c r="AN1054" i="13"/>
  <c r="AM1054" i="13"/>
  <c r="AL1054" i="13"/>
  <c r="AT1053" i="13"/>
  <c r="AS1053" i="13"/>
  <c r="AR1053" i="13"/>
  <c r="AQ1053" i="13"/>
  <c r="AP1053" i="13"/>
  <c r="AO1053" i="13"/>
  <c r="AN1053" i="13"/>
  <c r="AM1053" i="13"/>
  <c r="AL1053" i="13"/>
  <c r="AT1052" i="13"/>
  <c r="AS1052" i="13"/>
  <c r="AR1052" i="13"/>
  <c r="AQ1052" i="13"/>
  <c r="AP1052" i="13"/>
  <c r="AO1052" i="13"/>
  <c r="AN1052" i="13"/>
  <c r="AM1052" i="13"/>
  <c r="AL1052" i="13"/>
  <c r="AT1051" i="13"/>
  <c r="AS1051" i="13"/>
  <c r="AR1051" i="13"/>
  <c r="AQ1051" i="13"/>
  <c r="AP1051" i="13"/>
  <c r="AO1051" i="13"/>
  <c r="AN1051" i="13"/>
  <c r="AM1051" i="13"/>
  <c r="AL1051" i="13"/>
  <c r="AT1050" i="13"/>
  <c r="AS1050" i="13"/>
  <c r="AR1050" i="13"/>
  <c r="AQ1050" i="13"/>
  <c r="AP1050" i="13"/>
  <c r="AO1050" i="13"/>
  <c r="AN1050" i="13"/>
  <c r="AM1050" i="13"/>
  <c r="AL1050" i="13"/>
  <c r="AT1049" i="13"/>
  <c r="AS1049" i="13"/>
  <c r="AR1049" i="13"/>
  <c r="AQ1049" i="13"/>
  <c r="AP1049" i="13"/>
  <c r="AO1049" i="13"/>
  <c r="AN1049" i="13"/>
  <c r="AM1049" i="13"/>
  <c r="AL1049" i="13"/>
  <c r="AT1048" i="13"/>
  <c r="AS1048" i="13"/>
  <c r="AR1048" i="13"/>
  <c r="AQ1048" i="13"/>
  <c r="AP1048" i="13"/>
  <c r="AO1048" i="13"/>
  <c r="AN1048" i="13"/>
  <c r="AM1048" i="13"/>
  <c r="AL1048" i="13"/>
  <c r="AT1047" i="13"/>
  <c r="AS1047" i="13"/>
  <c r="AR1047" i="13"/>
  <c r="AQ1047" i="13"/>
  <c r="AP1047" i="13"/>
  <c r="AO1047" i="13"/>
  <c r="AN1047" i="13"/>
  <c r="AM1047" i="13"/>
  <c r="AL1047" i="13"/>
  <c r="AT1046" i="13"/>
  <c r="AS1046" i="13"/>
  <c r="AR1046" i="13"/>
  <c r="AQ1046" i="13"/>
  <c r="AP1046" i="13"/>
  <c r="AO1046" i="13"/>
  <c r="AN1046" i="13"/>
  <c r="AM1046" i="13"/>
  <c r="AL1046" i="13"/>
  <c r="AT1045" i="13"/>
  <c r="AS1045" i="13"/>
  <c r="AR1045" i="13"/>
  <c r="AQ1045" i="13"/>
  <c r="AP1045" i="13"/>
  <c r="AO1045" i="13"/>
  <c r="AN1045" i="13"/>
  <c r="AM1045" i="13"/>
  <c r="AL1045" i="13"/>
  <c r="AT1044" i="13"/>
  <c r="AS1044" i="13"/>
  <c r="AR1044" i="13"/>
  <c r="AQ1044" i="13"/>
  <c r="AP1044" i="13"/>
  <c r="AO1044" i="13"/>
  <c r="AN1044" i="13"/>
  <c r="AM1044" i="13"/>
  <c r="AL1044" i="13"/>
  <c r="AT1043" i="13"/>
  <c r="AS1043" i="13"/>
  <c r="AR1043" i="13"/>
  <c r="AQ1043" i="13"/>
  <c r="AP1043" i="13"/>
  <c r="AO1043" i="13"/>
  <c r="AN1043" i="13"/>
  <c r="AM1043" i="13"/>
  <c r="AL1043" i="13"/>
  <c r="AT1042" i="13"/>
  <c r="AS1042" i="13"/>
  <c r="AR1042" i="13"/>
  <c r="AQ1042" i="13"/>
  <c r="AP1042" i="13"/>
  <c r="AO1042" i="13"/>
  <c r="AN1042" i="13"/>
  <c r="AM1042" i="13"/>
  <c r="AL1042" i="13"/>
  <c r="AT1041" i="13"/>
  <c r="AS1041" i="13"/>
  <c r="AR1041" i="13"/>
  <c r="AQ1041" i="13"/>
  <c r="AP1041" i="13"/>
  <c r="AO1041" i="13"/>
  <c r="AN1041" i="13"/>
  <c r="AM1041" i="13"/>
  <c r="AL1041" i="13"/>
  <c r="AT1040" i="13"/>
  <c r="AS1040" i="13"/>
  <c r="AR1040" i="13"/>
  <c r="AQ1040" i="13"/>
  <c r="AP1040" i="13"/>
  <c r="AO1040" i="13"/>
  <c r="AN1040" i="13"/>
  <c r="AM1040" i="13"/>
  <c r="AL1040" i="13"/>
  <c r="AT1039" i="13"/>
  <c r="AS1039" i="13"/>
  <c r="AR1039" i="13"/>
  <c r="AQ1039" i="13"/>
  <c r="AP1039" i="13"/>
  <c r="AO1039" i="13"/>
  <c r="AN1039" i="13"/>
  <c r="AM1039" i="13"/>
  <c r="AL1039" i="13"/>
  <c r="AT1038" i="13"/>
  <c r="AS1038" i="13"/>
  <c r="AR1038" i="13"/>
  <c r="AQ1038" i="13"/>
  <c r="AP1038" i="13"/>
  <c r="AO1038" i="13"/>
  <c r="AN1038" i="13"/>
  <c r="AM1038" i="13"/>
  <c r="AL1038" i="13"/>
  <c r="AT1037" i="13"/>
  <c r="AS1037" i="13"/>
  <c r="AR1037" i="13"/>
  <c r="AQ1037" i="13"/>
  <c r="AP1037" i="13"/>
  <c r="AO1037" i="13"/>
  <c r="AN1037" i="13"/>
  <c r="AM1037" i="13"/>
  <c r="AL1037" i="13"/>
  <c r="AT1036" i="13"/>
  <c r="AS1036" i="13"/>
  <c r="AR1036" i="13"/>
  <c r="AQ1036" i="13"/>
  <c r="AP1036" i="13"/>
  <c r="AO1036" i="13"/>
  <c r="AN1036" i="13"/>
  <c r="AM1036" i="13"/>
  <c r="AL1036" i="13"/>
  <c r="AT1035" i="13"/>
  <c r="AS1035" i="13"/>
  <c r="AR1035" i="13"/>
  <c r="AQ1035" i="13"/>
  <c r="AP1035" i="13"/>
  <c r="AO1035" i="13"/>
  <c r="AN1035" i="13"/>
  <c r="AM1035" i="13"/>
  <c r="AL1035" i="13"/>
  <c r="AT1034" i="13"/>
  <c r="AS1034" i="13"/>
  <c r="AR1034" i="13"/>
  <c r="AQ1034" i="13"/>
  <c r="AP1034" i="13"/>
  <c r="AO1034" i="13"/>
  <c r="AN1034" i="13"/>
  <c r="AM1034" i="13"/>
  <c r="AL1034" i="13"/>
  <c r="AT1033" i="13"/>
  <c r="AS1033" i="13"/>
  <c r="AR1033" i="13"/>
  <c r="AQ1033" i="13"/>
  <c r="AP1033" i="13"/>
  <c r="AO1033" i="13"/>
  <c r="AN1033" i="13"/>
  <c r="AM1033" i="13"/>
  <c r="AL1033" i="13"/>
  <c r="AT1032" i="13"/>
  <c r="AS1032" i="13"/>
  <c r="AR1032" i="13"/>
  <c r="AQ1032" i="13"/>
  <c r="AP1032" i="13"/>
  <c r="AO1032" i="13"/>
  <c r="AN1032" i="13"/>
  <c r="AM1032" i="13"/>
  <c r="AL1032" i="13"/>
  <c r="AT1031" i="13"/>
  <c r="AS1031" i="13"/>
  <c r="AR1031" i="13"/>
  <c r="AQ1031" i="13"/>
  <c r="AP1031" i="13"/>
  <c r="AO1031" i="13"/>
  <c r="AN1031" i="13"/>
  <c r="AM1031" i="13"/>
  <c r="AL1031" i="13"/>
  <c r="AT1030" i="13"/>
  <c r="AS1030" i="13"/>
  <c r="AR1030" i="13"/>
  <c r="AQ1030" i="13"/>
  <c r="AP1030" i="13"/>
  <c r="AO1030" i="13"/>
  <c r="AN1030" i="13"/>
  <c r="AM1030" i="13"/>
  <c r="AL1030" i="13"/>
  <c r="AT1029" i="13"/>
  <c r="AS1029" i="13"/>
  <c r="AR1029" i="13"/>
  <c r="AQ1029" i="13"/>
  <c r="AP1029" i="13"/>
  <c r="AO1029" i="13"/>
  <c r="AN1029" i="13"/>
  <c r="AM1029" i="13"/>
  <c r="AL1029" i="13"/>
  <c r="AT1028" i="13"/>
  <c r="AS1028" i="13"/>
  <c r="AR1028" i="13"/>
  <c r="AQ1028" i="13"/>
  <c r="AP1028" i="13"/>
  <c r="AO1028" i="13"/>
  <c r="AN1028" i="13"/>
  <c r="AM1028" i="13"/>
  <c r="AL1028" i="13"/>
  <c r="AT1027" i="13"/>
  <c r="AS1027" i="13"/>
  <c r="AR1027" i="13"/>
  <c r="AQ1027" i="13"/>
  <c r="AP1027" i="13"/>
  <c r="AO1027" i="13"/>
  <c r="AN1027" i="13"/>
  <c r="AM1027" i="13"/>
  <c r="AL1027" i="13"/>
  <c r="AT1026" i="13"/>
  <c r="AS1026" i="13"/>
  <c r="AR1026" i="13"/>
  <c r="AQ1026" i="13"/>
  <c r="AP1026" i="13"/>
  <c r="AO1026" i="13"/>
  <c r="AN1026" i="13"/>
  <c r="AM1026" i="13"/>
  <c r="AL1026" i="13"/>
  <c r="AT1025" i="13"/>
  <c r="AS1025" i="13"/>
  <c r="AR1025" i="13"/>
  <c r="AQ1025" i="13"/>
  <c r="AP1025" i="13"/>
  <c r="AO1025" i="13"/>
  <c r="AN1025" i="13"/>
  <c r="AM1025" i="13"/>
  <c r="AL1025" i="13"/>
  <c r="AT1024" i="13"/>
  <c r="AS1024" i="13"/>
  <c r="AR1024" i="13"/>
  <c r="AQ1024" i="13"/>
  <c r="AP1024" i="13"/>
  <c r="AO1024" i="13"/>
  <c r="AN1024" i="13"/>
  <c r="AM1024" i="13"/>
  <c r="AL1024" i="13"/>
  <c r="AT1023" i="13"/>
  <c r="AS1023" i="13"/>
  <c r="AR1023" i="13"/>
  <c r="AQ1023" i="13"/>
  <c r="AP1023" i="13"/>
  <c r="AO1023" i="13"/>
  <c r="AN1023" i="13"/>
  <c r="AM1023" i="13"/>
  <c r="AL1023" i="13"/>
  <c r="AT1022" i="13"/>
  <c r="AS1022" i="13"/>
  <c r="AR1022" i="13"/>
  <c r="AQ1022" i="13"/>
  <c r="AP1022" i="13"/>
  <c r="AO1022" i="13"/>
  <c r="AN1022" i="13"/>
  <c r="AM1022" i="13"/>
  <c r="AL1022" i="13"/>
  <c r="AT1021" i="13"/>
  <c r="AS1021" i="13"/>
  <c r="AR1021" i="13"/>
  <c r="AQ1021" i="13"/>
  <c r="AP1021" i="13"/>
  <c r="AO1021" i="13"/>
  <c r="AN1021" i="13"/>
  <c r="AM1021" i="13"/>
  <c r="AL1021" i="13"/>
  <c r="AT1020" i="13"/>
  <c r="AS1020" i="13"/>
  <c r="AR1020" i="13"/>
  <c r="AQ1020" i="13"/>
  <c r="AP1020" i="13"/>
  <c r="AO1020" i="13"/>
  <c r="AN1020" i="13"/>
  <c r="AM1020" i="13"/>
  <c r="AL1020" i="13"/>
  <c r="AT1019" i="13"/>
  <c r="AS1019" i="13"/>
  <c r="AR1019" i="13"/>
  <c r="AQ1019" i="13"/>
  <c r="AP1019" i="13"/>
  <c r="AO1019" i="13"/>
  <c r="AN1019" i="13"/>
  <c r="AM1019" i="13"/>
  <c r="AL1019" i="13"/>
  <c r="AT1018" i="13"/>
  <c r="AS1018" i="13"/>
  <c r="AR1018" i="13"/>
  <c r="AQ1018" i="13"/>
  <c r="AP1018" i="13"/>
  <c r="AO1018" i="13"/>
  <c r="AN1018" i="13"/>
  <c r="AM1018" i="13"/>
  <c r="AL1018" i="13"/>
  <c r="AT1017" i="13"/>
  <c r="AS1017" i="13"/>
  <c r="AR1017" i="13"/>
  <c r="AQ1017" i="13"/>
  <c r="AP1017" i="13"/>
  <c r="AO1017" i="13"/>
  <c r="AN1017" i="13"/>
  <c r="AM1017" i="13"/>
  <c r="AL1017" i="13"/>
  <c r="AT1016" i="13"/>
  <c r="AS1016" i="13"/>
  <c r="AR1016" i="13"/>
  <c r="AQ1016" i="13"/>
  <c r="AP1016" i="13"/>
  <c r="AO1016" i="13"/>
  <c r="AN1016" i="13"/>
  <c r="AM1016" i="13"/>
  <c r="AL1016" i="13"/>
  <c r="AT1015" i="13"/>
  <c r="AS1015" i="13"/>
  <c r="AR1015" i="13"/>
  <c r="AQ1015" i="13"/>
  <c r="AP1015" i="13"/>
  <c r="AO1015" i="13"/>
  <c r="AN1015" i="13"/>
  <c r="AM1015" i="13"/>
  <c r="AL1015" i="13"/>
  <c r="AT1014" i="13"/>
  <c r="AS1014" i="13"/>
  <c r="AR1014" i="13"/>
  <c r="AQ1014" i="13"/>
  <c r="AP1014" i="13"/>
  <c r="AO1014" i="13"/>
  <c r="AN1014" i="13"/>
  <c r="AM1014" i="13"/>
  <c r="AL1014" i="13"/>
  <c r="AT1013" i="13"/>
  <c r="AS1013" i="13"/>
  <c r="AR1013" i="13"/>
  <c r="AQ1013" i="13"/>
  <c r="AP1013" i="13"/>
  <c r="AO1013" i="13"/>
  <c r="AN1013" i="13"/>
  <c r="AM1013" i="13"/>
  <c r="AL1013" i="13"/>
  <c r="AT1012" i="13"/>
  <c r="AS1012" i="13"/>
  <c r="AR1012" i="13"/>
  <c r="AQ1012" i="13"/>
  <c r="AP1012" i="13"/>
  <c r="AO1012" i="13"/>
  <c r="AN1012" i="13"/>
  <c r="AM1012" i="13"/>
  <c r="AL1012" i="13"/>
  <c r="AT996" i="13"/>
  <c r="AS996" i="13"/>
  <c r="AR996" i="13"/>
  <c r="AQ996" i="13"/>
  <c r="AP996" i="13"/>
  <c r="AO996" i="13"/>
  <c r="AN996" i="13"/>
  <c r="AM996" i="13"/>
  <c r="AL996" i="13"/>
  <c r="AT995" i="13"/>
  <c r="AS995" i="13"/>
  <c r="AR995" i="13"/>
  <c r="AQ995" i="13"/>
  <c r="AP995" i="13"/>
  <c r="AO995" i="13"/>
  <c r="AN995" i="13"/>
  <c r="AM995" i="13"/>
  <c r="AL995" i="13"/>
  <c r="AT994" i="13"/>
  <c r="AS994" i="13"/>
  <c r="AR994" i="13"/>
  <c r="AQ994" i="13"/>
  <c r="AP994" i="13"/>
  <c r="AO994" i="13"/>
  <c r="AN994" i="13"/>
  <c r="AM994" i="13"/>
  <c r="AL994" i="13"/>
  <c r="AT993" i="13"/>
  <c r="AS993" i="13"/>
  <c r="AR993" i="13"/>
  <c r="AQ993" i="13"/>
  <c r="AP993" i="13"/>
  <c r="AO993" i="13"/>
  <c r="AN993" i="13"/>
  <c r="AM993" i="13"/>
  <c r="AL993" i="13"/>
  <c r="AT992" i="13"/>
  <c r="AS992" i="13"/>
  <c r="AR992" i="13"/>
  <c r="AQ992" i="13"/>
  <c r="AP992" i="13"/>
  <c r="AO992" i="13"/>
  <c r="AN992" i="13"/>
  <c r="AM992" i="13"/>
  <c r="AL992" i="13"/>
  <c r="AT991" i="13"/>
  <c r="AS991" i="13"/>
  <c r="AR991" i="13"/>
  <c r="AQ991" i="13"/>
  <c r="AP991" i="13"/>
  <c r="AO991" i="13"/>
  <c r="AN991" i="13"/>
  <c r="AM991" i="13"/>
  <c r="AL991" i="13"/>
  <c r="AT990" i="13"/>
  <c r="AS990" i="13"/>
  <c r="AR990" i="13"/>
  <c r="AQ990" i="13"/>
  <c r="AP990" i="13"/>
  <c r="AO990" i="13"/>
  <c r="AN990" i="13"/>
  <c r="AM990" i="13"/>
  <c r="AL990" i="13"/>
  <c r="AT989" i="13"/>
  <c r="AS989" i="13"/>
  <c r="AR989" i="13"/>
  <c r="AQ989" i="13"/>
  <c r="AP989" i="13"/>
  <c r="AO989" i="13"/>
  <c r="AN989" i="13"/>
  <c r="AM989" i="13"/>
  <c r="AL989" i="13"/>
  <c r="AT988" i="13"/>
  <c r="AS988" i="13"/>
  <c r="AR988" i="13"/>
  <c r="AQ988" i="13"/>
  <c r="AP988" i="13"/>
  <c r="AO988" i="13"/>
  <c r="AN988" i="13"/>
  <c r="AM988" i="13"/>
  <c r="AL988" i="13"/>
  <c r="AT987" i="13"/>
  <c r="AS987" i="13"/>
  <c r="AR987" i="13"/>
  <c r="AQ987" i="13"/>
  <c r="AP987" i="13"/>
  <c r="AO987" i="13"/>
  <c r="AN987" i="13"/>
  <c r="AM987" i="13"/>
  <c r="AL987" i="13"/>
  <c r="AT986" i="13"/>
  <c r="AS986" i="13"/>
  <c r="AR986" i="13"/>
  <c r="AQ986" i="13"/>
  <c r="AP986" i="13"/>
  <c r="AO986" i="13"/>
  <c r="AN986" i="13"/>
  <c r="AM986" i="13"/>
  <c r="AL986" i="13"/>
  <c r="AT985" i="13"/>
  <c r="AS985" i="13"/>
  <c r="AR985" i="13"/>
  <c r="AQ985" i="13"/>
  <c r="AP985" i="13"/>
  <c r="AO985" i="13"/>
  <c r="AN985" i="13"/>
  <c r="AM985" i="13"/>
  <c r="AL985" i="13"/>
  <c r="AT984" i="13"/>
  <c r="AS984" i="13"/>
  <c r="AR984" i="13"/>
  <c r="AQ984" i="13"/>
  <c r="AP984" i="13"/>
  <c r="AO984" i="13"/>
  <c r="AN984" i="13"/>
  <c r="AM984" i="13"/>
  <c r="AL984" i="13"/>
  <c r="AT983" i="13"/>
  <c r="AS983" i="13"/>
  <c r="AR983" i="13"/>
  <c r="AQ983" i="13"/>
  <c r="AP983" i="13"/>
  <c r="AO983" i="13"/>
  <c r="AN983" i="13"/>
  <c r="AM983" i="13"/>
  <c r="AL983" i="13"/>
  <c r="AT982" i="13"/>
  <c r="AS982" i="13"/>
  <c r="AR982" i="13"/>
  <c r="AQ982" i="13"/>
  <c r="AP982" i="13"/>
  <c r="AO982" i="13"/>
  <c r="AN982" i="13"/>
  <c r="AM982" i="13"/>
  <c r="AL982" i="13"/>
  <c r="AT971" i="13"/>
  <c r="AS971" i="13"/>
  <c r="AR971" i="13"/>
  <c r="AQ971" i="13"/>
  <c r="AP971" i="13"/>
  <c r="AO971" i="13"/>
  <c r="AN971" i="13"/>
  <c r="AM971" i="13"/>
  <c r="AL971" i="13"/>
  <c r="AT970" i="13"/>
  <c r="AS970" i="13"/>
  <c r="AR970" i="13"/>
  <c r="AQ970" i="13"/>
  <c r="AP970" i="13"/>
  <c r="AO970" i="13"/>
  <c r="AN970" i="13"/>
  <c r="AM970" i="13"/>
  <c r="AL970" i="13"/>
  <c r="AT969" i="13"/>
  <c r="AS969" i="13"/>
  <c r="AR969" i="13"/>
  <c r="AQ969" i="13"/>
  <c r="AP969" i="13"/>
  <c r="AO969" i="13"/>
  <c r="AN969" i="13"/>
  <c r="AM969" i="13"/>
  <c r="AL969" i="13"/>
  <c r="AT968" i="13"/>
  <c r="AS968" i="13"/>
  <c r="AR968" i="13"/>
  <c r="AQ968" i="13"/>
  <c r="AP968" i="13"/>
  <c r="AO968" i="13"/>
  <c r="AN968" i="13"/>
  <c r="AM968" i="13"/>
  <c r="AL968" i="13"/>
  <c r="AT967" i="13"/>
  <c r="AS967" i="13"/>
  <c r="AR967" i="13"/>
  <c r="AQ967" i="13"/>
  <c r="AP967" i="13"/>
  <c r="AO967" i="13"/>
  <c r="AN967" i="13"/>
  <c r="AM967" i="13"/>
  <c r="AL967" i="13"/>
  <c r="AT966" i="13"/>
  <c r="AS966" i="13"/>
  <c r="AR966" i="13"/>
  <c r="AQ966" i="13"/>
  <c r="AP966" i="13"/>
  <c r="AO966" i="13"/>
  <c r="AN966" i="13"/>
  <c r="AM966" i="13"/>
  <c r="AL966" i="13"/>
  <c r="AT965" i="13"/>
  <c r="AS965" i="13"/>
  <c r="AR965" i="13"/>
  <c r="AQ965" i="13"/>
  <c r="AP965" i="13"/>
  <c r="AO965" i="13"/>
  <c r="AN965" i="13"/>
  <c r="AM965" i="13"/>
  <c r="AL965" i="13"/>
  <c r="AT964" i="13"/>
  <c r="AS964" i="13"/>
  <c r="AR964" i="13"/>
  <c r="AQ964" i="13"/>
  <c r="AP964" i="13"/>
  <c r="AO964" i="13"/>
  <c r="AN964" i="13"/>
  <c r="AM964" i="13"/>
  <c r="AL964" i="13"/>
  <c r="AT963" i="13"/>
  <c r="AS963" i="13"/>
  <c r="AR963" i="13"/>
  <c r="AQ963" i="13"/>
  <c r="AP963" i="13"/>
  <c r="AO963" i="13"/>
  <c r="AN963" i="13"/>
  <c r="AM963" i="13"/>
  <c r="AL963" i="13"/>
  <c r="AT962" i="13"/>
  <c r="AS962" i="13"/>
  <c r="AR962" i="13"/>
  <c r="AQ962" i="13"/>
  <c r="AP962" i="13"/>
  <c r="AO962" i="13"/>
  <c r="AN962" i="13"/>
  <c r="AM962" i="13"/>
  <c r="AL962" i="13"/>
  <c r="AT961" i="13"/>
  <c r="AS961" i="13"/>
  <c r="AR961" i="13"/>
  <c r="AQ961" i="13"/>
  <c r="AP961" i="13"/>
  <c r="AO961" i="13"/>
  <c r="AN961" i="13"/>
  <c r="AM961" i="13"/>
  <c r="AL961" i="13"/>
  <c r="AT960" i="13"/>
  <c r="AS960" i="13"/>
  <c r="AR960" i="13"/>
  <c r="AQ960" i="13"/>
  <c r="AP960" i="13"/>
  <c r="AO960" i="13"/>
  <c r="AN960" i="13"/>
  <c r="AM960" i="13"/>
  <c r="AL960" i="13"/>
  <c r="AT959" i="13"/>
  <c r="AS959" i="13"/>
  <c r="AR959" i="13"/>
  <c r="AQ959" i="13"/>
  <c r="AP959" i="13"/>
  <c r="AO959" i="13"/>
  <c r="AN959" i="13"/>
  <c r="AM959" i="13"/>
  <c r="AL959" i="13"/>
  <c r="AT958" i="13"/>
  <c r="AS958" i="13"/>
  <c r="AR958" i="13"/>
  <c r="AQ958" i="13"/>
  <c r="AP958" i="13"/>
  <c r="AO958" i="13"/>
  <c r="AN958" i="13"/>
  <c r="AM958" i="13"/>
  <c r="AL958" i="13"/>
  <c r="AT957" i="13"/>
  <c r="AS957" i="13"/>
  <c r="AR957" i="13"/>
  <c r="AQ957" i="13"/>
  <c r="AP957" i="13"/>
  <c r="AO957" i="13"/>
  <c r="AN957" i="13"/>
  <c r="AM957" i="13"/>
  <c r="AL957" i="13"/>
  <c r="AT956" i="13"/>
  <c r="AS956" i="13"/>
  <c r="AR956" i="13"/>
  <c r="AQ956" i="13"/>
  <c r="AP956" i="13"/>
  <c r="AO956" i="13"/>
  <c r="AN956" i="13"/>
  <c r="AM956" i="13"/>
  <c r="AL956" i="13"/>
  <c r="AT955" i="13"/>
  <c r="AS955" i="13"/>
  <c r="AR955" i="13"/>
  <c r="AQ955" i="13"/>
  <c r="AP955" i="13"/>
  <c r="AO955" i="13"/>
  <c r="AN955" i="13"/>
  <c r="AM955" i="13"/>
  <c r="AL955" i="13"/>
  <c r="AT954" i="13"/>
  <c r="AS954" i="13"/>
  <c r="AR954" i="13"/>
  <c r="AQ954" i="13"/>
  <c r="AP954" i="13"/>
  <c r="AO954" i="13"/>
  <c r="AN954" i="13"/>
  <c r="AM954" i="13"/>
  <c r="AL954" i="13"/>
  <c r="AT953" i="13"/>
  <c r="AS953" i="13"/>
  <c r="AR953" i="13"/>
  <c r="AQ953" i="13"/>
  <c r="AP953" i="13"/>
  <c r="AO953" i="13"/>
  <c r="AN953" i="13"/>
  <c r="AM953" i="13"/>
  <c r="AL953" i="13"/>
  <c r="AT952" i="13"/>
  <c r="AS952" i="13"/>
  <c r="AR952" i="13"/>
  <c r="AQ952" i="13"/>
  <c r="AP952" i="13"/>
  <c r="AO952" i="13"/>
  <c r="AN952" i="13"/>
  <c r="AM952" i="13"/>
  <c r="AL952" i="13"/>
  <c r="AT951" i="13"/>
  <c r="AS951" i="13"/>
  <c r="AR951" i="13"/>
  <c r="AQ951" i="13"/>
  <c r="AP951" i="13"/>
  <c r="AO951" i="13"/>
  <c r="AN951" i="13"/>
  <c r="AM951" i="13"/>
  <c r="AL951" i="13"/>
  <c r="AT950" i="13"/>
  <c r="AS950" i="13"/>
  <c r="AR950" i="13"/>
  <c r="AQ950" i="13"/>
  <c r="AP950" i="13"/>
  <c r="AO950" i="13"/>
  <c r="AN950" i="13"/>
  <c r="AM950" i="13"/>
  <c r="AL950" i="13"/>
  <c r="AT949" i="13"/>
  <c r="AS949" i="13"/>
  <c r="AR949" i="13"/>
  <c r="AQ949" i="13"/>
  <c r="AP949" i="13"/>
  <c r="AO949" i="13"/>
  <c r="AN949" i="13"/>
  <c r="AM949" i="13"/>
  <c r="AL949" i="13"/>
  <c r="AT948" i="13"/>
  <c r="AS948" i="13"/>
  <c r="AR948" i="13"/>
  <c r="AQ948" i="13"/>
  <c r="AP948" i="13"/>
  <c r="AO948" i="13"/>
  <c r="AN948" i="13"/>
  <c r="AM948" i="13"/>
  <c r="AL948" i="13"/>
  <c r="AT947" i="13"/>
  <c r="AS947" i="13"/>
  <c r="AR947" i="13"/>
  <c r="AQ947" i="13"/>
  <c r="AP947" i="13"/>
  <c r="AO947" i="13"/>
  <c r="AN947" i="13"/>
  <c r="AM947" i="13"/>
  <c r="AL947" i="13"/>
  <c r="AT946" i="13"/>
  <c r="AS946" i="13"/>
  <c r="AR946" i="13"/>
  <c r="AQ946" i="13"/>
  <c r="AP946" i="13"/>
  <c r="AO946" i="13"/>
  <c r="AN946" i="13"/>
  <c r="AM946" i="13"/>
  <c r="AL946" i="13"/>
  <c r="AT945" i="13"/>
  <c r="AS945" i="13"/>
  <c r="AR945" i="13"/>
  <c r="AQ945" i="13"/>
  <c r="AP945" i="13"/>
  <c r="AO945" i="13"/>
  <c r="AN945" i="13"/>
  <c r="AM945" i="13"/>
  <c r="AL945" i="13"/>
  <c r="AT944" i="13"/>
  <c r="AS944" i="13"/>
  <c r="AR944" i="13"/>
  <c r="AQ944" i="13"/>
  <c r="AP944" i="13"/>
  <c r="AO944" i="13"/>
  <c r="AN944" i="13"/>
  <c r="AM944" i="13"/>
  <c r="AL944" i="13"/>
  <c r="AT943" i="13"/>
  <c r="AS943" i="13"/>
  <c r="AR943" i="13"/>
  <c r="AQ943" i="13"/>
  <c r="AP943" i="13"/>
  <c r="AO943" i="13"/>
  <c r="AN943" i="13"/>
  <c r="AM943" i="13"/>
  <c r="AL943" i="13"/>
  <c r="AT942" i="13"/>
  <c r="AS942" i="13"/>
  <c r="AR942" i="13"/>
  <c r="AQ942" i="13"/>
  <c r="AP942" i="13"/>
  <c r="AO942" i="13"/>
  <c r="AN942" i="13"/>
  <c r="AM942" i="13"/>
  <c r="AL942" i="13"/>
  <c r="AT941" i="13"/>
  <c r="AS941" i="13"/>
  <c r="AR941" i="13"/>
  <c r="AQ941" i="13"/>
  <c r="AP941" i="13"/>
  <c r="AO941" i="13"/>
  <c r="AN941" i="13"/>
  <c r="AM941" i="13"/>
  <c r="AL941" i="13"/>
  <c r="AT940" i="13"/>
  <c r="AS940" i="13"/>
  <c r="AR940" i="13"/>
  <c r="AQ940" i="13"/>
  <c r="AP940" i="13"/>
  <c r="AO940" i="13"/>
  <c r="AN940" i="13"/>
  <c r="AM940" i="13"/>
  <c r="AL940" i="13"/>
  <c r="AT939" i="13"/>
  <c r="AS939" i="13"/>
  <c r="AR939" i="13"/>
  <c r="AQ939" i="13"/>
  <c r="AP939" i="13"/>
  <c r="AO939" i="13"/>
  <c r="AN939" i="13"/>
  <c r="AM939" i="13"/>
  <c r="AL939" i="13"/>
  <c r="AT938" i="13"/>
  <c r="AS938" i="13"/>
  <c r="AR938" i="13"/>
  <c r="AQ938" i="13"/>
  <c r="AP938" i="13"/>
  <c r="AO938" i="13"/>
  <c r="AN938" i="13"/>
  <c r="AM938" i="13"/>
  <c r="AL938" i="13"/>
  <c r="AT937" i="13"/>
  <c r="AS937" i="13"/>
  <c r="AR937" i="13"/>
  <c r="AQ937" i="13"/>
  <c r="AP937" i="13"/>
  <c r="AO937" i="13"/>
  <c r="AN937" i="13"/>
  <c r="AM937" i="13"/>
  <c r="AL937" i="13"/>
  <c r="AT936" i="13"/>
  <c r="AS936" i="13"/>
  <c r="AR936" i="13"/>
  <c r="AQ936" i="13"/>
  <c r="AP936" i="13"/>
  <c r="AO936" i="13"/>
  <c r="AN936" i="13"/>
  <c r="AM936" i="13"/>
  <c r="AL936" i="13"/>
  <c r="AT935" i="13"/>
  <c r="AS935" i="13"/>
  <c r="AR935" i="13"/>
  <c r="AQ935" i="13"/>
  <c r="AP935" i="13"/>
  <c r="AO935" i="13"/>
  <c r="AN935" i="13"/>
  <c r="AM935" i="13"/>
  <c r="AL935" i="13"/>
  <c r="AT934" i="13"/>
  <c r="AS934" i="13"/>
  <c r="AR934" i="13"/>
  <c r="AQ934" i="13"/>
  <c r="AP934" i="13"/>
  <c r="AO934" i="13"/>
  <c r="AN934" i="13"/>
  <c r="AM934" i="13"/>
  <c r="AL934" i="13"/>
  <c r="AT933" i="13"/>
  <c r="AS933" i="13"/>
  <c r="AR933" i="13"/>
  <c r="AQ933" i="13"/>
  <c r="AP933" i="13"/>
  <c r="AO933" i="13"/>
  <c r="AN933" i="13"/>
  <c r="AM933" i="13"/>
  <c r="AL933" i="13"/>
  <c r="AT932" i="13"/>
  <c r="AS932" i="13"/>
  <c r="AR932" i="13"/>
  <c r="AQ932" i="13"/>
  <c r="AP932" i="13"/>
  <c r="AO932" i="13"/>
  <c r="AN932" i="13"/>
  <c r="AM932" i="13"/>
  <c r="AL932" i="13"/>
  <c r="AT931" i="13"/>
  <c r="AS931" i="13"/>
  <c r="AR931" i="13"/>
  <c r="AQ931" i="13"/>
  <c r="AP931" i="13"/>
  <c r="AO931" i="13"/>
  <c r="AN931" i="13"/>
  <c r="AM931" i="13"/>
  <c r="AL931" i="13"/>
  <c r="AT930" i="13"/>
  <c r="AS930" i="13"/>
  <c r="AR930" i="13"/>
  <c r="AQ930" i="13"/>
  <c r="AP930" i="13"/>
  <c r="AO930" i="13"/>
  <c r="AN930" i="13"/>
  <c r="AM930" i="13"/>
  <c r="AL930" i="13"/>
  <c r="AT929" i="13"/>
  <c r="AS929" i="13"/>
  <c r="AR929" i="13"/>
  <c r="AQ929" i="13"/>
  <c r="AP929" i="13"/>
  <c r="AO929" i="13"/>
  <c r="AN929" i="13"/>
  <c r="AM929" i="13"/>
  <c r="AL929" i="13"/>
  <c r="AT928" i="13"/>
  <c r="AS928" i="13"/>
  <c r="AR928" i="13"/>
  <c r="AQ928" i="13"/>
  <c r="AP928" i="13"/>
  <c r="AO928" i="13"/>
  <c r="AN928" i="13"/>
  <c r="AM928" i="13"/>
  <c r="AL928" i="13"/>
  <c r="AT927" i="13"/>
  <c r="AS927" i="13"/>
  <c r="AR927" i="13"/>
  <c r="AQ927" i="13"/>
  <c r="AP927" i="13"/>
  <c r="AO927" i="13"/>
  <c r="AN927" i="13"/>
  <c r="AM927" i="13"/>
  <c r="AL927" i="13"/>
  <c r="AT926" i="13"/>
  <c r="AS926" i="13"/>
  <c r="AR926" i="13"/>
  <c r="AQ926" i="13"/>
  <c r="AP926" i="13"/>
  <c r="AO926" i="13"/>
  <c r="AN926" i="13"/>
  <c r="AM926" i="13"/>
  <c r="AL926" i="13"/>
  <c r="AT925" i="13"/>
  <c r="AS925" i="13"/>
  <c r="AR925" i="13"/>
  <c r="AQ925" i="13"/>
  <c r="AP925" i="13"/>
  <c r="AO925" i="13"/>
  <c r="AN925" i="13"/>
  <c r="AM925" i="13"/>
  <c r="AL925" i="13"/>
  <c r="AT924" i="13"/>
  <c r="AS924" i="13"/>
  <c r="AR924" i="13"/>
  <c r="AQ924" i="13"/>
  <c r="AP924" i="13"/>
  <c r="AO924" i="13"/>
  <c r="AN924" i="13"/>
  <c r="AM924" i="13"/>
  <c r="AL924" i="13"/>
  <c r="AT923" i="13"/>
  <c r="AS923" i="13"/>
  <c r="AR923" i="13"/>
  <c r="AQ923" i="13"/>
  <c r="AP923" i="13"/>
  <c r="AO923" i="13"/>
  <c r="AN923" i="13"/>
  <c r="AM923" i="13"/>
  <c r="AL923" i="13"/>
  <c r="AT922" i="13"/>
  <c r="AS922" i="13"/>
  <c r="AR922" i="13"/>
  <c r="AQ922" i="13"/>
  <c r="AP922" i="13"/>
  <c r="AO922" i="13"/>
  <c r="AN922" i="13"/>
  <c r="AM922" i="13"/>
  <c r="AL922" i="13"/>
  <c r="AT921" i="13"/>
  <c r="AS921" i="13"/>
  <c r="AR921" i="13"/>
  <c r="AQ921" i="13"/>
  <c r="AP921" i="13"/>
  <c r="AO921" i="13"/>
  <c r="AN921" i="13"/>
  <c r="AM921" i="13"/>
  <c r="AL921" i="13"/>
  <c r="AT920" i="13"/>
  <c r="AS920" i="13"/>
  <c r="AR920" i="13"/>
  <c r="AQ920" i="13"/>
  <c r="AP920" i="13"/>
  <c r="AO920" i="13"/>
  <c r="AN920" i="13"/>
  <c r="AM920" i="13"/>
  <c r="AL920" i="13"/>
  <c r="AT919" i="13"/>
  <c r="AS919" i="13"/>
  <c r="AR919" i="13"/>
  <c r="AQ919" i="13"/>
  <c r="AP919" i="13"/>
  <c r="AO919" i="13"/>
  <c r="AN919" i="13"/>
  <c r="AM919" i="13"/>
  <c r="AL919" i="13"/>
  <c r="AT918" i="13"/>
  <c r="AS918" i="13"/>
  <c r="AR918" i="13"/>
  <c r="AQ918" i="13"/>
  <c r="AP918" i="13"/>
  <c r="AO918" i="13"/>
  <c r="AN918" i="13"/>
  <c r="AM918" i="13"/>
  <c r="AL918" i="13"/>
  <c r="AT917" i="13"/>
  <c r="AS917" i="13"/>
  <c r="AR917" i="13"/>
  <c r="AQ917" i="13"/>
  <c r="AP917" i="13"/>
  <c r="AO917" i="13"/>
  <c r="AN917" i="13"/>
  <c r="AM917" i="13"/>
  <c r="AL917" i="13"/>
  <c r="AT916" i="13"/>
  <c r="AS916" i="13"/>
  <c r="AR916" i="13"/>
  <c r="AQ916" i="13"/>
  <c r="AP916" i="13"/>
  <c r="AO916" i="13"/>
  <c r="AN916" i="13"/>
  <c r="AM916" i="13"/>
  <c r="AL916" i="13"/>
  <c r="AT915" i="13"/>
  <c r="AS915" i="13"/>
  <c r="AR915" i="13"/>
  <c r="AQ915" i="13"/>
  <c r="AP915" i="13"/>
  <c r="AO915" i="13"/>
  <c r="AN915" i="13"/>
  <c r="AM915" i="13"/>
  <c r="AL915" i="13"/>
  <c r="AT914" i="13"/>
  <c r="AS914" i="13"/>
  <c r="AR914" i="13"/>
  <c r="AQ914" i="13"/>
  <c r="AP914" i="13"/>
  <c r="AO914" i="13"/>
  <c r="AN914" i="13"/>
  <c r="AM914" i="13"/>
  <c r="AL914" i="13"/>
  <c r="AT913" i="13"/>
  <c r="AS913" i="13"/>
  <c r="AR913" i="13"/>
  <c r="AQ913" i="13"/>
  <c r="AP913" i="13"/>
  <c r="AO913" i="13"/>
  <c r="AN913" i="13"/>
  <c r="AM913" i="13"/>
  <c r="AL913" i="13"/>
  <c r="AT912" i="13"/>
  <c r="AS912" i="13"/>
  <c r="AR912" i="13"/>
  <c r="AQ912" i="13"/>
  <c r="AP912" i="13"/>
  <c r="AO912" i="13"/>
  <c r="AN912" i="13"/>
  <c r="AM912" i="13"/>
  <c r="AL912" i="13"/>
  <c r="AT911" i="13"/>
  <c r="AS911" i="13"/>
  <c r="AR911" i="13"/>
  <c r="AQ911" i="13"/>
  <c r="AP911" i="13"/>
  <c r="AO911" i="13"/>
  <c r="AN911" i="13"/>
  <c r="AM911" i="13"/>
  <c r="AL911" i="13"/>
  <c r="AT910" i="13"/>
  <c r="AS910" i="13"/>
  <c r="AR910" i="13"/>
  <c r="AQ910" i="13"/>
  <c r="AP910" i="13"/>
  <c r="AO910" i="13"/>
  <c r="AN910" i="13"/>
  <c r="AM910" i="13"/>
  <c r="AL910" i="13"/>
  <c r="AT909" i="13"/>
  <c r="AS909" i="13"/>
  <c r="AR909" i="13"/>
  <c r="AQ909" i="13"/>
  <c r="AP909" i="13"/>
  <c r="AO909" i="13"/>
  <c r="AN909" i="13"/>
  <c r="AM909" i="13"/>
  <c r="AL909" i="13"/>
  <c r="AT908" i="13"/>
  <c r="AS908" i="13"/>
  <c r="AR908" i="13"/>
  <c r="AQ908" i="13"/>
  <c r="AP908" i="13"/>
  <c r="AO908" i="13"/>
  <c r="AN908" i="13"/>
  <c r="AM908" i="13"/>
  <c r="AL908" i="13"/>
  <c r="AT907" i="13"/>
  <c r="AS907" i="13"/>
  <c r="AR907" i="13"/>
  <c r="AQ907" i="13"/>
  <c r="AP907" i="13"/>
  <c r="AO907" i="13"/>
  <c r="AN907" i="13"/>
  <c r="AM907" i="13"/>
  <c r="AL907" i="13"/>
  <c r="AT906" i="13"/>
  <c r="AS906" i="13"/>
  <c r="AR906" i="13"/>
  <c r="AQ906" i="13"/>
  <c r="AP906" i="13"/>
  <c r="AO906" i="13"/>
  <c r="AN906" i="13"/>
  <c r="AM906" i="13"/>
  <c r="AL906" i="13"/>
  <c r="AT905" i="13"/>
  <c r="AS905" i="13"/>
  <c r="AR905" i="13"/>
  <c r="AQ905" i="13"/>
  <c r="AP905" i="13"/>
  <c r="AO905" i="13"/>
  <c r="AN905" i="13"/>
  <c r="AM905" i="13"/>
  <c r="AL905" i="13"/>
  <c r="AT904" i="13"/>
  <c r="AS904" i="13"/>
  <c r="AR904" i="13"/>
  <c r="AQ904" i="13"/>
  <c r="AP904" i="13"/>
  <c r="AO904" i="13"/>
  <c r="AN904" i="13"/>
  <c r="AM904" i="13"/>
  <c r="AL904" i="13"/>
  <c r="AT903" i="13"/>
  <c r="AS903" i="13"/>
  <c r="AR903" i="13"/>
  <c r="AQ903" i="13"/>
  <c r="AP903" i="13"/>
  <c r="AO903" i="13"/>
  <c r="AN903" i="13"/>
  <c r="AM903" i="13"/>
  <c r="AL903" i="13"/>
  <c r="AT902" i="13"/>
  <c r="AS902" i="13"/>
  <c r="AR902" i="13"/>
  <c r="AQ902" i="13"/>
  <c r="AP902" i="13"/>
  <c r="AO902" i="13"/>
  <c r="AN902" i="13"/>
  <c r="AM902" i="13"/>
  <c r="AL902" i="13"/>
  <c r="AT901" i="13"/>
  <c r="AS901" i="13"/>
  <c r="AR901" i="13"/>
  <c r="AQ901" i="13"/>
  <c r="AP901" i="13"/>
  <c r="AO901" i="13"/>
  <c r="AN901" i="13"/>
  <c r="AM901" i="13"/>
  <c r="AL901" i="13"/>
  <c r="AT900" i="13"/>
  <c r="AS900" i="13"/>
  <c r="AR900" i="13"/>
  <c r="AQ900" i="13"/>
  <c r="AP900" i="13"/>
  <c r="AO900" i="13"/>
  <c r="AN900" i="13"/>
  <c r="AM900" i="13"/>
  <c r="AL900" i="13"/>
  <c r="AT899" i="13"/>
  <c r="AS899" i="13"/>
  <c r="AR899" i="13"/>
  <c r="AQ899" i="13"/>
  <c r="AP899" i="13"/>
  <c r="AO899" i="13"/>
  <c r="AN899" i="13"/>
  <c r="AM899" i="13"/>
  <c r="AL899" i="13"/>
  <c r="AT898" i="13"/>
  <c r="AS898" i="13"/>
  <c r="AR898" i="13"/>
  <c r="AQ898" i="13"/>
  <c r="AP898" i="13"/>
  <c r="AO898" i="13"/>
  <c r="AN898" i="13"/>
  <c r="AM898" i="13"/>
  <c r="AL898" i="13"/>
  <c r="AT897" i="13"/>
  <c r="AS897" i="13"/>
  <c r="AR897" i="13"/>
  <c r="AQ897" i="13"/>
  <c r="AP897" i="13"/>
  <c r="AO897" i="13"/>
  <c r="AN897" i="13"/>
  <c r="AM897" i="13"/>
  <c r="AL897" i="13"/>
  <c r="AT896" i="13"/>
  <c r="AS896" i="13"/>
  <c r="AR896" i="13"/>
  <c r="AQ896" i="13"/>
  <c r="AP896" i="13"/>
  <c r="AO896" i="13"/>
  <c r="AN896" i="13"/>
  <c r="AM896" i="13"/>
  <c r="AL896" i="13"/>
  <c r="AT895" i="13"/>
  <c r="AS895" i="13"/>
  <c r="AR895" i="13"/>
  <c r="AQ895" i="13"/>
  <c r="AP895" i="13"/>
  <c r="AO895" i="13"/>
  <c r="AN895" i="13"/>
  <c r="AM895" i="13"/>
  <c r="AL895" i="13"/>
  <c r="AT894" i="13"/>
  <c r="AS894" i="13"/>
  <c r="AR894" i="13"/>
  <c r="AQ894" i="13"/>
  <c r="AP894" i="13"/>
  <c r="AO894" i="13"/>
  <c r="AN894" i="13"/>
  <c r="AM894" i="13"/>
  <c r="AL894" i="13"/>
  <c r="AT893" i="13"/>
  <c r="AS893" i="13"/>
  <c r="AR893" i="13"/>
  <c r="AQ893" i="13"/>
  <c r="AP893" i="13"/>
  <c r="AO893" i="13"/>
  <c r="AN893" i="13"/>
  <c r="AM893" i="13"/>
  <c r="AL893" i="13"/>
  <c r="AT892" i="13"/>
  <c r="AS892" i="13"/>
  <c r="AR892" i="13"/>
  <c r="AQ892" i="13"/>
  <c r="AP892" i="13"/>
  <c r="AO892" i="13"/>
  <c r="AN892" i="13"/>
  <c r="AM892" i="13"/>
  <c r="AL892" i="13"/>
  <c r="AT891" i="13"/>
  <c r="AS891" i="13"/>
  <c r="AR891" i="13"/>
  <c r="AQ891" i="13"/>
  <c r="AP891" i="13"/>
  <c r="AO891" i="13"/>
  <c r="AN891" i="13"/>
  <c r="AM891" i="13"/>
  <c r="AL891" i="13"/>
  <c r="AT890" i="13"/>
  <c r="AS890" i="13"/>
  <c r="AR890" i="13"/>
  <c r="AQ890" i="13"/>
  <c r="AP890" i="13"/>
  <c r="AO890" i="13"/>
  <c r="AN890" i="13"/>
  <c r="AM890" i="13"/>
  <c r="AL890" i="13"/>
  <c r="AT889" i="13"/>
  <c r="AS889" i="13"/>
  <c r="AR889" i="13"/>
  <c r="AQ889" i="13"/>
  <c r="AP889" i="13"/>
  <c r="AO889" i="13"/>
  <c r="AN889" i="13"/>
  <c r="AM889" i="13"/>
  <c r="AL889" i="13"/>
  <c r="AT888" i="13"/>
  <c r="AS888" i="13"/>
  <c r="AR888" i="13"/>
  <c r="AQ888" i="13"/>
  <c r="AP888" i="13"/>
  <c r="AO888" i="13"/>
  <c r="AN888" i="13"/>
  <c r="AM888" i="13"/>
  <c r="AL888" i="13"/>
  <c r="AT887" i="13"/>
  <c r="AS887" i="13"/>
  <c r="AR887" i="13"/>
  <c r="AQ887" i="13"/>
  <c r="AP887" i="13"/>
  <c r="AO887" i="13"/>
  <c r="AN887" i="13"/>
  <c r="AM887" i="13"/>
  <c r="AL887" i="13"/>
  <c r="AT886" i="13"/>
  <c r="AS886" i="13"/>
  <c r="AR886" i="13"/>
  <c r="AQ886" i="13"/>
  <c r="AP886" i="13"/>
  <c r="AO886" i="13"/>
  <c r="AN886" i="13"/>
  <c r="AM886" i="13"/>
  <c r="AL886" i="13"/>
  <c r="AT885" i="13"/>
  <c r="AS885" i="13"/>
  <c r="AR885" i="13"/>
  <c r="AQ885" i="13"/>
  <c r="AP885" i="13"/>
  <c r="AO885" i="13"/>
  <c r="AN885" i="13"/>
  <c r="AM885" i="13"/>
  <c r="AL885" i="13"/>
  <c r="AT884" i="13"/>
  <c r="AS884" i="13"/>
  <c r="AR884" i="13"/>
  <c r="AQ884" i="13"/>
  <c r="AP884" i="13"/>
  <c r="AO884" i="13"/>
  <c r="AN884" i="13"/>
  <c r="AM884" i="13"/>
  <c r="AL884" i="13"/>
  <c r="AT883" i="13"/>
  <c r="AS883" i="13"/>
  <c r="AR883" i="13"/>
  <c r="AQ883" i="13"/>
  <c r="AP883" i="13"/>
  <c r="AO883" i="13"/>
  <c r="AN883" i="13"/>
  <c r="AM883" i="13"/>
  <c r="AL883" i="13"/>
  <c r="AT882" i="13"/>
  <c r="AS882" i="13"/>
  <c r="AR882" i="13"/>
  <c r="AQ882" i="13"/>
  <c r="AP882" i="13"/>
  <c r="AO882" i="13"/>
  <c r="AN882" i="13"/>
  <c r="AM882" i="13"/>
  <c r="AL882" i="13"/>
  <c r="AT881" i="13"/>
  <c r="AS881" i="13"/>
  <c r="AR881" i="13"/>
  <c r="AQ881" i="13"/>
  <c r="AP881" i="13"/>
  <c r="AO881" i="13"/>
  <c r="AN881" i="13"/>
  <c r="AM881" i="13"/>
  <c r="AL881" i="13"/>
  <c r="AT880" i="13"/>
  <c r="AS880" i="13"/>
  <c r="AR880" i="13"/>
  <c r="AQ880" i="13"/>
  <c r="AP880" i="13"/>
  <c r="AO880" i="13"/>
  <c r="AN880" i="13"/>
  <c r="AM880" i="13"/>
  <c r="AL880" i="13"/>
  <c r="AT879" i="13"/>
  <c r="AS879" i="13"/>
  <c r="AR879" i="13"/>
  <c r="AQ879" i="13"/>
  <c r="AP879" i="13"/>
  <c r="AO879" i="13"/>
  <c r="AN879" i="13"/>
  <c r="AM879" i="13"/>
  <c r="AL879" i="13"/>
  <c r="AT878" i="13"/>
  <c r="AS878" i="13"/>
  <c r="AR878" i="13"/>
  <c r="AQ878" i="13"/>
  <c r="AP878" i="13"/>
  <c r="AO878" i="13"/>
  <c r="AN878" i="13"/>
  <c r="AM878" i="13"/>
  <c r="AL878" i="13"/>
  <c r="AT877" i="13"/>
  <c r="AS877" i="13"/>
  <c r="AR877" i="13"/>
  <c r="AQ877" i="13"/>
  <c r="AP877" i="13"/>
  <c r="AO877" i="13"/>
  <c r="AN877" i="13"/>
  <c r="AM877" i="13"/>
  <c r="AL877" i="13"/>
  <c r="AT876" i="13"/>
  <c r="AS876" i="13"/>
  <c r="AR876" i="13"/>
  <c r="AQ876" i="13"/>
  <c r="AP876" i="13"/>
  <c r="AO876" i="13"/>
  <c r="AN876" i="13"/>
  <c r="AM876" i="13"/>
  <c r="AL876" i="13"/>
  <c r="AT875" i="13"/>
  <c r="AS875" i="13"/>
  <c r="AR875" i="13"/>
  <c r="AQ875" i="13"/>
  <c r="AP875" i="13"/>
  <c r="AO875" i="13"/>
  <c r="AN875" i="13"/>
  <c r="AM875" i="13"/>
  <c r="AL875" i="13"/>
  <c r="AT874" i="13"/>
  <c r="AS874" i="13"/>
  <c r="AR874" i="13"/>
  <c r="AQ874" i="13"/>
  <c r="AP874" i="13"/>
  <c r="AO874" i="13"/>
  <c r="AN874" i="13"/>
  <c r="AM874" i="13"/>
  <c r="AL874" i="13"/>
  <c r="AT873" i="13"/>
  <c r="AS873" i="13"/>
  <c r="AR873" i="13"/>
  <c r="AQ873" i="13"/>
  <c r="AP873" i="13"/>
  <c r="AO873" i="13"/>
  <c r="AN873" i="13"/>
  <c r="AM873" i="13"/>
  <c r="AL873" i="13"/>
  <c r="AT872" i="13"/>
  <c r="AS872" i="13"/>
  <c r="AR872" i="13"/>
  <c r="AQ872" i="13"/>
  <c r="AP872" i="13"/>
  <c r="AO872" i="13"/>
  <c r="AN872" i="13"/>
  <c r="AM872" i="13"/>
  <c r="AL872" i="13"/>
  <c r="AT871" i="13"/>
  <c r="AS871" i="13"/>
  <c r="AR871" i="13"/>
  <c r="AQ871" i="13"/>
  <c r="AP871" i="13"/>
  <c r="AO871" i="13"/>
  <c r="AN871" i="13"/>
  <c r="AM871" i="13"/>
  <c r="AL871" i="13"/>
  <c r="AT870" i="13"/>
  <c r="AS870" i="13"/>
  <c r="AR870" i="13"/>
  <c r="AQ870" i="13"/>
  <c r="AP870" i="13"/>
  <c r="AO870" i="13"/>
  <c r="AN870" i="13"/>
  <c r="AM870" i="13"/>
  <c r="AL870" i="13"/>
  <c r="AT869" i="13"/>
  <c r="AS869" i="13"/>
  <c r="AR869" i="13"/>
  <c r="AQ869" i="13"/>
  <c r="AP869" i="13"/>
  <c r="AO869" i="13"/>
  <c r="AN869" i="13"/>
  <c r="AM869" i="13"/>
  <c r="AL869" i="13"/>
  <c r="AT868" i="13"/>
  <c r="AS868" i="13"/>
  <c r="AR868" i="13"/>
  <c r="AQ868" i="13"/>
  <c r="AP868" i="13"/>
  <c r="AO868" i="13"/>
  <c r="AN868" i="13"/>
  <c r="AM868" i="13"/>
  <c r="AL868" i="13"/>
  <c r="AT867" i="13"/>
  <c r="AS867" i="13"/>
  <c r="AR867" i="13"/>
  <c r="AQ867" i="13"/>
  <c r="AP867" i="13"/>
  <c r="AO867" i="13"/>
  <c r="AN867" i="13"/>
  <c r="AM867" i="13"/>
  <c r="AL867" i="13"/>
  <c r="AT866" i="13"/>
  <c r="AS866" i="13"/>
  <c r="AR866" i="13"/>
  <c r="AQ866" i="13"/>
  <c r="AP866" i="13"/>
  <c r="AO866" i="13"/>
  <c r="AN866" i="13"/>
  <c r="AM866" i="13"/>
  <c r="AL866" i="13"/>
  <c r="AT865" i="13"/>
  <c r="AS865" i="13"/>
  <c r="AR865" i="13"/>
  <c r="AQ865" i="13"/>
  <c r="AP865" i="13"/>
  <c r="AO865" i="13"/>
  <c r="AN865" i="13"/>
  <c r="AM865" i="13"/>
  <c r="AL865" i="13"/>
  <c r="AT864" i="13"/>
  <c r="AS864" i="13"/>
  <c r="AR864" i="13"/>
  <c r="AQ864" i="13"/>
  <c r="AP864" i="13"/>
  <c r="AO864" i="13"/>
  <c r="AN864" i="13"/>
  <c r="AM864" i="13"/>
  <c r="AL864" i="13"/>
  <c r="AT863" i="13"/>
  <c r="AS863" i="13"/>
  <c r="AR863" i="13"/>
  <c r="AQ863" i="13"/>
  <c r="AP863" i="13"/>
  <c r="AO863" i="13"/>
  <c r="AN863" i="13"/>
  <c r="AM863" i="13"/>
  <c r="AL863" i="13"/>
  <c r="AT862" i="13"/>
  <c r="AS862" i="13"/>
  <c r="AR862" i="13"/>
  <c r="AQ862" i="13"/>
  <c r="AP862" i="13"/>
  <c r="AO862" i="13"/>
  <c r="AN862" i="13"/>
  <c r="AM862" i="13"/>
  <c r="AL862" i="13"/>
  <c r="AT861" i="13"/>
  <c r="AS861" i="13"/>
  <c r="AR861" i="13"/>
  <c r="AQ861" i="13"/>
  <c r="AP861" i="13"/>
  <c r="AO861" i="13"/>
  <c r="AN861" i="13"/>
  <c r="AM861" i="13"/>
  <c r="AL861" i="13"/>
  <c r="AT860" i="13"/>
  <c r="AS860" i="13"/>
  <c r="AR860" i="13"/>
  <c r="AQ860" i="13"/>
  <c r="AP860" i="13"/>
  <c r="AO860" i="13"/>
  <c r="AN860" i="13"/>
  <c r="AM860" i="13"/>
  <c r="AL860" i="13"/>
  <c r="AT859" i="13"/>
  <c r="AS859" i="13"/>
  <c r="AR859" i="13"/>
  <c r="AQ859" i="13"/>
  <c r="AP859" i="13"/>
  <c r="AO859" i="13"/>
  <c r="AN859" i="13"/>
  <c r="AM859" i="13"/>
  <c r="AL859" i="13"/>
  <c r="AT858" i="13"/>
  <c r="AS858" i="13"/>
  <c r="AR858" i="13"/>
  <c r="AQ858" i="13"/>
  <c r="AP858" i="13"/>
  <c r="AO858" i="13"/>
  <c r="AN858" i="13"/>
  <c r="AM858" i="13"/>
  <c r="AL858" i="13"/>
  <c r="AT857" i="13"/>
  <c r="AS857" i="13"/>
  <c r="AR857" i="13"/>
  <c r="AQ857" i="13"/>
  <c r="AP857" i="13"/>
  <c r="AO857" i="13"/>
  <c r="AN857" i="13"/>
  <c r="AM857" i="13"/>
  <c r="AL857" i="13"/>
  <c r="AT856" i="13"/>
  <c r="AS856" i="13"/>
  <c r="AR856" i="13"/>
  <c r="AQ856" i="13"/>
  <c r="AP856" i="13"/>
  <c r="AO856" i="13"/>
  <c r="AN856" i="13"/>
  <c r="AM856" i="13"/>
  <c r="AL856" i="13"/>
  <c r="AT855" i="13"/>
  <c r="AS855" i="13"/>
  <c r="AR855" i="13"/>
  <c r="AQ855" i="13"/>
  <c r="AP855" i="13"/>
  <c r="AO855" i="13"/>
  <c r="AN855" i="13"/>
  <c r="AM855" i="13"/>
  <c r="AL855" i="13"/>
  <c r="AT854" i="13"/>
  <c r="AS854" i="13"/>
  <c r="AR854" i="13"/>
  <c r="AQ854" i="13"/>
  <c r="AP854" i="13"/>
  <c r="AO854" i="13"/>
  <c r="AN854" i="13"/>
  <c r="AM854" i="13"/>
  <c r="AL854" i="13"/>
  <c r="AT853" i="13"/>
  <c r="AS853" i="13"/>
  <c r="AR853" i="13"/>
  <c r="AQ853" i="13"/>
  <c r="AP853" i="13"/>
  <c r="AO853" i="13"/>
  <c r="AN853" i="13"/>
  <c r="AM853" i="13"/>
  <c r="AL853" i="13"/>
  <c r="AT852" i="13"/>
  <c r="AS852" i="13"/>
  <c r="AR852" i="13"/>
  <c r="AQ852" i="13"/>
  <c r="AP852" i="13"/>
  <c r="AO852" i="13"/>
  <c r="AN852" i="13"/>
  <c r="AM852" i="13"/>
  <c r="AL852" i="13"/>
  <c r="AT851" i="13"/>
  <c r="AS851" i="13"/>
  <c r="AR851" i="13"/>
  <c r="AQ851" i="13"/>
  <c r="AP851" i="13"/>
  <c r="AO851" i="13"/>
  <c r="AN851" i="13"/>
  <c r="AM851" i="13"/>
  <c r="AL851" i="13"/>
  <c r="AT850" i="13"/>
  <c r="AS850" i="13"/>
  <c r="AR850" i="13"/>
  <c r="AQ850" i="13"/>
  <c r="AP850" i="13"/>
  <c r="AO850" i="13"/>
  <c r="AN850" i="13"/>
  <c r="AM850" i="13"/>
  <c r="AL850" i="13"/>
  <c r="AT849" i="13"/>
  <c r="AS849" i="13"/>
  <c r="AR849" i="13"/>
  <c r="AQ849" i="13"/>
  <c r="AP849" i="13"/>
  <c r="AO849" i="13"/>
  <c r="AN849" i="13"/>
  <c r="AM849" i="13"/>
  <c r="AL849" i="13"/>
  <c r="AT848" i="13"/>
  <c r="AS848" i="13"/>
  <c r="AR848" i="13"/>
  <c r="AQ848" i="13"/>
  <c r="AP848" i="13"/>
  <c r="AO848" i="13"/>
  <c r="AN848" i="13"/>
  <c r="AM848" i="13"/>
  <c r="AL848" i="13"/>
  <c r="AT847" i="13"/>
  <c r="AS847" i="13"/>
  <c r="AR847" i="13"/>
  <c r="AQ847" i="13"/>
  <c r="AP847" i="13"/>
  <c r="AO847" i="13"/>
  <c r="AN847" i="13"/>
  <c r="AM847" i="13"/>
  <c r="AL847" i="13"/>
  <c r="AT846" i="13"/>
  <c r="AS846" i="13"/>
  <c r="AR846" i="13"/>
  <c r="AQ846" i="13"/>
  <c r="AP846" i="13"/>
  <c r="AO846" i="13"/>
  <c r="AN846" i="13"/>
  <c r="AM846" i="13"/>
  <c r="AL846" i="13"/>
  <c r="AT845" i="13"/>
  <c r="AS845" i="13"/>
  <c r="AR845" i="13"/>
  <c r="AQ845" i="13"/>
  <c r="AP845" i="13"/>
  <c r="AO845" i="13"/>
  <c r="AN845" i="13"/>
  <c r="AM845" i="13"/>
  <c r="AL845" i="13"/>
  <c r="AT844" i="13"/>
  <c r="AS844" i="13"/>
  <c r="AR844" i="13"/>
  <c r="AQ844" i="13"/>
  <c r="AP844" i="13"/>
  <c r="AO844" i="13"/>
  <c r="AN844" i="13"/>
  <c r="AM844" i="13"/>
  <c r="AL844" i="13"/>
  <c r="AT843" i="13"/>
  <c r="AS843" i="13"/>
  <c r="AR843" i="13"/>
  <c r="AQ843" i="13"/>
  <c r="AP843" i="13"/>
  <c r="AO843" i="13"/>
  <c r="AN843" i="13"/>
  <c r="AM843" i="13"/>
  <c r="AL843" i="13"/>
  <c r="AT842" i="13"/>
  <c r="AS842" i="13"/>
  <c r="AR842" i="13"/>
  <c r="AQ842" i="13"/>
  <c r="AP842" i="13"/>
  <c r="AO842" i="13"/>
  <c r="AN842" i="13"/>
  <c r="AM842" i="13"/>
  <c r="AL842" i="13"/>
  <c r="AT841" i="13"/>
  <c r="AS841" i="13"/>
  <c r="AR841" i="13"/>
  <c r="AQ841" i="13"/>
  <c r="AP841" i="13"/>
  <c r="AO841" i="13"/>
  <c r="AN841" i="13"/>
  <c r="AM841" i="13"/>
  <c r="AL841" i="13"/>
  <c r="AT840" i="13"/>
  <c r="AS840" i="13"/>
  <c r="AR840" i="13"/>
  <c r="AQ840" i="13"/>
  <c r="AP840" i="13"/>
  <c r="AO840" i="13"/>
  <c r="AN840" i="13"/>
  <c r="AM840" i="13"/>
  <c r="AL840" i="13"/>
  <c r="AT839" i="13"/>
  <c r="AS839" i="13"/>
  <c r="AR839" i="13"/>
  <c r="AQ839" i="13"/>
  <c r="AP839" i="13"/>
  <c r="AO839" i="13"/>
  <c r="AN839" i="13"/>
  <c r="AM839" i="13"/>
  <c r="AL839" i="13"/>
  <c r="AT838" i="13"/>
  <c r="AS838" i="13"/>
  <c r="AR838" i="13"/>
  <c r="AQ838" i="13"/>
  <c r="AP838" i="13"/>
  <c r="AO838" i="13"/>
  <c r="AN838" i="13"/>
  <c r="AM838" i="13"/>
  <c r="AL838" i="13"/>
  <c r="AT837" i="13"/>
  <c r="AS837" i="13"/>
  <c r="AR837" i="13"/>
  <c r="AQ837" i="13"/>
  <c r="AP837" i="13"/>
  <c r="AO837" i="13"/>
  <c r="AN837" i="13"/>
  <c r="AM837" i="13"/>
  <c r="AL837" i="13"/>
  <c r="AT836" i="13"/>
  <c r="AS836" i="13"/>
  <c r="AR836" i="13"/>
  <c r="AQ836" i="13"/>
  <c r="AP836" i="13"/>
  <c r="AO836" i="13"/>
  <c r="AN836" i="13"/>
  <c r="AM836" i="13"/>
  <c r="AL836" i="13"/>
  <c r="AT835" i="13"/>
  <c r="AS835" i="13"/>
  <c r="AR835" i="13"/>
  <c r="AQ835" i="13"/>
  <c r="AP835" i="13"/>
  <c r="AO835" i="13"/>
  <c r="AN835" i="13"/>
  <c r="AM835" i="13"/>
  <c r="AL835" i="13"/>
  <c r="AT834" i="13"/>
  <c r="AS834" i="13"/>
  <c r="AR834" i="13"/>
  <c r="AQ834" i="13"/>
  <c r="AP834" i="13"/>
  <c r="AO834" i="13"/>
  <c r="AN834" i="13"/>
  <c r="AM834" i="13"/>
  <c r="AL834" i="13"/>
  <c r="AT833" i="13"/>
  <c r="AS833" i="13"/>
  <c r="AR833" i="13"/>
  <c r="AQ833" i="13"/>
  <c r="AP833" i="13"/>
  <c r="AO833" i="13"/>
  <c r="AN833" i="13"/>
  <c r="AM833" i="13"/>
  <c r="AL833" i="13"/>
  <c r="AT832" i="13"/>
  <c r="AS832" i="13"/>
  <c r="AR832" i="13"/>
  <c r="AQ832" i="13"/>
  <c r="AP832" i="13"/>
  <c r="AO832" i="13"/>
  <c r="AN832" i="13"/>
  <c r="AM832" i="13"/>
  <c r="AL832" i="13"/>
  <c r="AT831" i="13"/>
  <c r="AS831" i="13"/>
  <c r="AR831" i="13"/>
  <c r="AQ831" i="13"/>
  <c r="AP831" i="13"/>
  <c r="AO831" i="13"/>
  <c r="AN831" i="13"/>
  <c r="AM831" i="13"/>
  <c r="AL831" i="13"/>
  <c r="AT830" i="13"/>
  <c r="AS830" i="13"/>
  <c r="AR830" i="13"/>
  <c r="AQ830" i="13"/>
  <c r="AP830" i="13"/>
  <c r="AO830" i="13"/>
  <c r="AN830" i="13"/>
  <c r="AM830" i="13"/>
  <c r="AL830" i="13"/>
  <c r="AT829" i="13"/>
  <c r="AS829" i="13"/>
  <c r="AR829" i="13"/>
  <c r="AQ829" i="13"/>
  <c r="AP829" i="13"/>
  <c r="AO829" i="13"/>
  <c r="AN829" i="13"/>
  <c r="AM829" i="13"/>
  <c r="AL829" i="13"/>
  <c r="AT828" i="13"/>
  <c r="AS828" i="13"/>
  <c r="AR828" i="13"/>
  <c r="AQ828" i="13"/>
  <c r="AP828" i="13"/>
  <c r="AO828" i="13"/>
  <c r="AN828" i="13"/>
  <c r="AM828" i="13"/>
  <c r="AL828" i="13"/>
  <c r="AT827" i="13"/>
  <c r="AS827" i="13"/>
  <c r="AR827" i="13"/>
  <c r="AQ827" i="13"/>
  <c r="AP827" i="13"/>
  <c r="AO827" i="13"/>
  <c r="AN827" i="13"/>
  <c r="AM827" i="13"/>
  <c r="AL827" i="13"/>
  <c r="AT826" i="13"/>
  <c r="AS826" i="13"/>
  <c r="AR826" i="13"/>
  <c r="AQ826" i="13"/>
  <c r="AP826" i="13"/>
  <c r="AO826" i="13"/>
  <c r="AN826" i="13"/>
  <c r="AM826" i="13"/>
  <c r="AL826" i="13"/>
  <c r="AT825" i="13"/>
  <c r="AS825" i="13"/>
  <c r="AR825" i="13"/>
  <c r="AQ825" i="13"/>
  <c r="AP825" i="13"/>
  <c r="AO825" i="13"/>
  <c r="AN825" i="13"/>
  <c r="AM825" i="13"/>
  <c r="AL825" i="13"/>
  <c r="AT824" i="13"/>
  <c r="AS824" i="13"/>
  <c r="AR824" i="13"/>
  <c r="AQ824" i="13"/>
  <c r="AP824" i="13"/>
  <c r="AO824" i="13"/>
  <c r="AN824" i="13"/>
  <c r="AM824" i="13"/>
  <c r="AL824" i="13"/>
  <c r="AT823" i="13"/>
  <c r="AS823" i="13"/>
  <c r="AR823" i="13"/>
  <c r="AQ823" i="13"/>
  <c r="AP823" i="13"/>
  <c r="AO823" i="13"/>
  <c r="AN823" i="13"/>
  <c r="AM823" i="13"/>
  <c r="AL823" i="13"/>
  <c r="AT822" i="13"/>
  <c r="AS822" i="13"/>
  <c r="AR822" i="13"/>
  <c r="AQ822" i="13"/>
  <c r="AP822" i="13"/>
  <c r="AO822" i="13"/>
  <c r="AN822" i="13"/>
  <c r="AM822" i="13"/>
  <c r="AL822" i="13"/>
  <c r="AT821" i="13"/>
  <c r="AS821" i="13"/>
  <c r="AR821" i="13"/>
  <c r="AQ821" i="13"/>
  <c r="AP821" i="13"/>
  <c r="AO821" i="13"/>
  <c r="AN821" i="13"/>
  <c r="AM821" i="13"/>
  <c r="AL821" i="13"/>
  <c r="AT820" i="13"/>
  <c r="AS820" i="13"/>
  <c r="AR820" i="13"/>
  <c r="AQ820" i="13"/>
  <c r="AP820" i="13"/>
  <c r="AO820" i="13"/>
  <c r="AN820" i="13"/>
  <c r="AM820" i="13"/>
  <c r="AL820" i="13"/>
  <c r="AT819" i="13"/>
  <c r="AS819" i="13"/>
  <c r="AR819" i="13"/>
  <c r="AQ819" i="13"/>
  <c r="AP819" i="13"/>
  <c r="AO819" i="13"/>
  <c r="AN819" i="13"/>
  <c r="AM819" i="13"/>
  <c r="AL819" i="13"/>
  <c r="AT818" i="13"/>
  <c r="AS818" i="13"/>
  <c r="AR818" i="13"/>
  <c r="AQ818" i="13"/>
  <c r="AP818" i="13"/>
  <c r="AO818" i="13"/>
  <c r="AN818" i="13"/>
  <c r="AM818" i="13"/>
  <c r="AL818" i="13"/>
  <c r="AT817" i="13"/>
  <c r="AS817" i="13"/>
  <c r="AR817" i="13"/>
  <c r="AQ817" i="13"/>
  <c r="AP817" i="13"/>
  <c r="AO817" i="13"/>
  <c r="AN817" i="13"/>
  <c r="AM817" i="13"/>
  <c r="AL817" i="13"/>
  <c r="AT816" i="13"/>
  <c r="AS816" i="13"/>
  <c r="AR816" i="13"/>
  <c r="AQ816" i="13"/>
  <c r="AP816" i="13"/>
  <c r="AO816" i="13"/>
  <c r="AN816" i="13"/>
  <c r="AM816" i="13"/>
  <c r="AL816" i="13"/>
  <c r="AT815" i="13"/>
  <c r="AS815" i="13"/>
  <c r="AR815" i="13"/>
  <c r="AQ815" i="13"/>
  <c r="AP815" i="13"/>
  <c r="AO815" i="13"/>
  <c r="AN815" i="13"/>
  <c r="AM815" i="13"/>
  <c r="AL815" i="13"/>
  <c r="AT814" i="13"/>
  <c r="AS814" i="13"/>
  <c r="AR814" i="13"/>
  <c r="AQ814" i="13"/>
  <c r="AP814" i="13"/>
  <c r="AO814" i="13"/>
  <c r="AN814" i="13"/>
  <c r="AM814" i="13"/>
  <c r="AL814" i="13"/>
  <c r="AT813" i="13"/>
  <c r="AS813" i="13"/>
  <c r="AR813" i="13"/>
  <c r="AQ813" i="13"/>
  <c r="AP813" i="13"/>
  <c r="AO813" i="13"/>
  <c r="AN813" i="13"/>
  <c r="AM813" i="13"/>
  <c r="AL813" i="13"/>
  <c r="AT812" i="13"/>
  <c r="AS812" i="13"/>
  <c r="AR812" i="13"/>
  <c r="AQ812" i="13"/>
  <c r="AP812" i="13"/>
  <c r="AO812" i="13"/>
  <c r="AN812" i="13"/>
  <c r="AM812" i="13"/>
  <c r="AL812" i="13"/>
  <c r="AT811" i="13"/>
  <c r="AS811" i="13"/>
  <c r="AR811" i="13"/>
  <c r="AQ811" i="13"/>
  <c r="AP811" i="13"/>
  <c r="AO811" i="13"/>
  <c r="AN811" i="13"/>
  <c r="AM811" i="13"/>
  <c r="AL811" i="13"/>
  <c r="AT810" i="13"/>
  <c r="AS810" i="13"/>
  <c r="AR810" i="13"/>
  <c r="AQ810" i="13"/>
  <c r="AP810" i="13"/>
  <c r="AO810" i="13"/>
  <c r="AN810" i="13"/>
  <c r="AM810" i="13"/>
  <c r="AL810" i="13"/>
  <c r="AT809" i="13"/>
  <c r="AS809" i="13"/>
  <c r="AR809" i="13"/>
  <c r="AQ809" i="13"/>
  <c r="AP809" i="13"/>
  <c r="AO809" i="13"/>
  <c r="AN809" i="13"/>
  <c r="AM809" i="13"/>
  <c r="AL809" i="13"/>
  <c r="AT808" i="13"/>
  <c r="AS808" i="13"/>
  <c r="AR808" i="13"/>
  <c r="AQ808" i="13"/>
  <c r="AP808" i="13"/>
  <c r="AO808" i="13"/>
  <c r="AN808" i="13"/>
  <c r="AM808" i="13"/>
  <c r="AL808" i="13"/>
  <c r="AT807" i="13"/>
  <c r="AS807" i="13"/>
  <c r="AR807" i="13"/>
  <c r="AQ807" i="13"/>
  <c r="AP807" i="13"/>
  <c r="AO807" i="13"/>
  <c r="AN807" i="13"/>
  <c r="AM807" i="13"/>
  <c r="AL807" i="13"/>
  <c r="AT806" i="13"/>
  <c r="AS806" i="13"/>
  <c r="AR806" i="13"/>
  <c r="AQ806" i="13"/>
  <c r="AP806" i="13"/>
  <c r="AO806" i="13"/>
  <c r="AN806" i="13"/>
  <c r="AM806" i="13"/>
  <c r="AL806" i="13"/>
  <c r="AT805" i="13"/>
  <c r="AS805" i="13"/>
  <c r="AR805" i="13"/>
  <c r="AQ805" i="13"/>
  <c r="AP805" i="13"/>
  <c r="AO805" i="13"/>
  <c r="AN805" i="13"/>
  <c r="AM805" i="13"/>
  <c r="AL805" i="13"/>
  <c r="AT804" i="13"/>
  <c r="AS804" i="13"/>
  <c r="AR804" i="13"/>
  <c r="AQ804" i="13"/>
  <c r="AP804" i="13"/>
  <c r="AO804" i="13"/>
  <c r="AN804" i="13"/>
  <c r="AM804" i="13"/>
  <c r="AL804" i="13"/>
  <c r="AT803" i="13"/>
  <c r="AS803" i="13"/>
  <c r="AR803" i="13"/>
  <c r="AQ803" i="13"/>
  <c r="AP803" i="13"/>
  <c r="AO803" i="13"/>
  <c r="AN803" i="13"/>
  <c r="AM803" i="13"/>
  <c r="AL803" i="13"/>
  <c r="AT802" i="13"/>
  <c r="AS802" i="13"/>
  <c r="AR802" i="13"/>
  <c r="AQ802" i="13"/>
  <c r="AP802" i="13"/>
  <c r="AO802" i="13"/>
  <c r="AN802" i="13"/>
  <c r="AM802" i="13"/>
  <c r="AL802" i="13"/>
  <c r="AT801" i="13"/>
  <c r="AS801" i="13"/>
  <c r="AR801" i="13"/>
  <c r="AQ801" i="13"/>
  <c r="AP801" i="13"/>
  <c r="AO801" i="13"/>
  <c r="AN801" i="13"/>
  <c r="AM801" i="13"/>
  <c r="AL801" i="13"/>
  <c r="AT800" i="13"/>
  <c r="AS800" i="13"/>
  <c r="AR800" i="13"/>
  <c r="AQ800" i="13"/>
  <c r="AP800" i="13"/>
  <c r="AO800" i="13"/>
  <c r="AN800" i="13"/>
  <c r="AM800" i="13"/>
  <c r="AL800" i="13"/>
  <c r="AT799" i="13"/>
  <c r="AS799" i="13"/>
  <c r="AR799" i="13"/>
  <c r="AQ799" i="13"/>
  <c r="AP799" i="13"/>
  <c r="AO799" i="13"/>
  <c r="AN799" i="13"/>
  <c r="AM799" i="13"/>
  <c r="AL799" i="13"/>
  <c r="AT798" i="13"/>
  <c r="AS798" i="13"/>
  <c r="AR798" i="13"/>
  <c r="AQ798" i="13"/>
  <c r="AP798" i="13"/>
  <c r="AO798" i="13"/>
  <c r="AN798" i="13"/>
  <c r="AM798" i="13"/>
  <c r="AL798" i="13"/>
  <c r="AT797" i="13"/>
  <c r="AS797" i="13"/>
  <c r="AR797" i="13"/>
  <c r="AQ797" i="13"/>
  <c r="AP797" i="13"/>
  <c r="AO797" i="13"/>
  <c r="AN797" i="13"/>
  <c r="AM797" i="13"/>
  <c r="AL797" i="13"/>
  <c r="AT796" i="13"/>
  <c r="AS796" i="13"/>
  <c r="AR796" i="13"/>
  <c r="AQ796" i="13"/>
  <c r="AP796" i="13"/>
  <c r="AO796" i="13"/>
  <c r="AN796" i="13"/>
  <c r="AM796" i="13"/>
  <c r="AL796" i="13"/>
  <c r="AT795" i="13"/>
  <c r="AS795" i="13"/>
  <c r="AR795" i="13"/>
  <c r="AQ795" i="13"/>
  <c r="AP795" i="13"/>
  <c r="AO795" i="13"/>
  <c r="AN795" i="13"/>
  <c r="AM795" i="13"/>
  <c r="AL795" i="13"/>
  <c r="AT794" i="13"/>
  <c r="AS794" i="13"/>
  <c r="AR794" i="13"/>
  <c r="AQ794" i="13"/>
  <c r="AP794" i="13"/>
  <c r="AO794" i="13"/>
  <c r="AN794" i="13"/>
  <c r="AM794" i="13"/>
  <c r="AL794" i="13"/>
  <c r="AT793" i="13"/>
  <c r="AS793" i="13"/>
  <c r="AR793" i="13"/>
  <c r="AQ793" i="13"/>
  <c r="AP793" i="13"/>
  <c r="AO793" i="13"/>
  <c r="AN793" i="13"/>
  <c r="AM793" i="13"/>
  <c r="AL793" i="13"/>
  <c r="AT792" i="13"/>
  <c r="AS792" i="13"/>
  <c r="AR792" i="13"/>
  <c r="AQ792" i="13"/>
  <c r="AP792" i="13"/>
  <c r="AO792" i="13"/>
  <c r="AN792" i="13"/>
  <c r="AM792" i="13"/>
  <c r="AL792" i="13"/>
  <c r="AT791" i="13"/>
  <c r="AS791" i="13"/>
  <c r="AR791" i="13"/>
  <c r="AQ791" i="13"/>
  <c r="AP791" i="13"/>
  <c r="AO791" i="13"/>
  <c r="AN791" i="13"/>
  <c r="AM791" i="13"/>
  <c r="AL791" i="13"/>
  <c r="AT790" i="13"/>
  <c r="AS790" i="13"/>
  <c r="AR790" i="13"/>
  <c r="AQ790" i="13"/>
  <c r="AP790" i="13"/>
  <c r="AO790" i="13"/>
  <c r="AN790" i="13"/>
  <c r="AM790" i="13"/>
  <c r="AL790" i="13"/>
  <c r="AT789" i="13"/>
  <c r="AS789" i="13"/>
  <c r="AR789" i="13"/>
  <c r="AQ789" i="13"/>
  <c r="AP789" i="13"/>
  <c r="AO789" i="13"/>
  <c r="AN789" i="13"/>
  <c r="AM789" i="13"/>
  <c r="AL789" i="13"/>
  <c r="AT788" i="13"/>
  <c r="AS788" i="13"/>
  <c r="AR788" i="13"/>
  <c r="AQ788" i="13"/>
  <c r="AP788" i="13"/>
  <c r="AO788" i="13"/>
  <c r="AN788" i="13"/>
  <c r="AM788" i="13"/>
  <c r="AL788" i="13"/>
  <c r="AT787" i="13"/>
  <c r="AS787" i="13"/>
  <c r="AR787" i="13"/>
  <c r="AQ787" i="13"/>
  <c r="AP787" i="13"/>
  <c r="AO787" i="13"/>
  <c r="AN787" i="13"/>
  <c r="AM787" i="13"/>
  <c r="AL787" i="13"/>
  <c r="AT786" i="13"/>
  <c r="AS786" i="13"/>
  <c r="AR786" i="13"/>
  <c r="AQ786" i="13"/>
  <c r="AP786" i="13"/>
  <c r="AO786" i="13"/>
  <c r="AN786" i="13"/>
  <c r="AM786" i="13"/>
  <c r="AL786" i="13"/>
  <c r="AT785" i="13"/>
  <c r="AS785" i="13"/>
  <c r="AR785" i="13"/>
  <c r="AQ785" i="13"/>
  <c r="AP785" i="13"/>
  <c r="AO785" i="13"/>
  <c r="AN785" i="13"/>
  <c r="AM785" i="13"/>
  <c r="AL785" i="13"/>
  <c r="AT784" i="13"/>
  <c r="AS784" i="13"/>
  <c r="AR784" i="13"/>
  <c r="AQ784" i="13"/>
  <c r="AP784" i="13"/>
  <c r="AO784" i="13"/>
  <c r="AN784" i="13"/>
  <c r="AM784" i="13"/>
  <c r="AL784" i="13"/>
  <c r="AT783" i="13"/>
  <c r="AS783" i="13"/>
  <c r="AR783" i="13"/>
  <c r="AQ783" i="13"/>
  <c r="AP783" i="13"/>
  <c r="AO783" i="13"/>
  <c r="AN783" i="13"/>
  <c r="AM783" i="13"/>
  <c r="AL783" i="13"/>
  <c r="AT782" i="13"/>
  <c r="AS782" i="13"/>
  <c r="AR782" i="13"/>
  <c r="AQ782" i="13"/>
  <c r="AP782" i="13"/>
  <c r="AO782" i="13"/>
  <c r="AN782" i="13"/>
  <c r="AM782" i="13"/>
  <c r="AL782" i="13"/>
  <c r="AT781" i="13"/>
  <c r="AS781" i="13"/>
  <c r="AR781" i="13"/>
  <c r="AQ781" i="13"/>
  <c r="AP781" i="13"/>
  <c r="AO781" i="13"/>
  <c r="AN781" i="13"/>
  <c r="AM781" i="13"/>
  <c r="AL781" i="13"/>
  <c r="AT780" i="13"/>
  <c r="AS780" i="13"/>
  <c r="AR780" i="13"/>
  <c r="AQ780" i="13"/>
  <c r="AP780" i="13"/>
  <c r="AO780" i="13"/>
  <c r="AN780" i="13"/>
  <c r="AM780" i="13"/>
  <c r="AL780" i="13"/>
  <c r="AT779" i="13"/>
  <c r="AS779" i="13"/>
  <c r="AR779" i="13"/>
  <c r="AQ779" i="13"/>
  <c r="AP779" i="13"/>
  <c r="AO779" i="13"/>
  <c r="AN779" i="13"/>
  <c r="AM779" i="13"/>
  <c r="AL779" i="13"/>
  <c r="AT778" i="13"/>
  <c r="AS778" i="13"/>
  <c r="AR778" i="13"/>
  <c r="AQ778" i="13"/>
  <c r="AP778" i="13"/>
  <c r="AO778" i="13"/>
  <c r="AN778" i="13"/>
  <c r="AM778" i="13"/>
  <c r="AL778" i="13"/>
  <c r="AT777" i="13"/>
  <c r="AS777" i="13"/>
  <c r="AR777" i="13"/>
  <c r="AQ777" i="13"/>
  <c r="AP777" i="13"/>
  <c r="AO777" i="13"/>
  <c r="AN777" i="13"/>
  <c r="AM777" i="13"/>
  <c r="AL777" i="13"/>
  <c r="AT776" i="13"/>
  <c r="AS776" i="13"/>
  <c r="AR776" i="13"/>
  <c r="AQ776" i="13"/>
  <c r="AP776" i="13"/>
  <c r="AO776" i="13"/>
  <c r="AN776" i="13"/>
  <c r="AM776" i="13"/>
  <c r="AL776" i="13"/>
  <c r="AT775" i="13"/>
  <c r="AS775" i="13"/>
  <c r="AR775" i="13"/>
  <c r="AQ775" i="13"/>
  <c r="AP775" i="13"/>
  <c r="AO775" i="13"/>
  <c r="AN775" i="13"/>
  <c r="AM775" i="13"/>
  <c r="AL775" i="13"/>
  <c r="AT774" i="13"/>
  <c r="AS774" i="13"/>
  <c r="AR774" i="13"/>
  <c r="AQ774" i="13"/>
  <c r="AP774" i="13"/>
  <c r="AO774" i="13"/>
  <c r="AN774" i="13"/>
  <c r="AM774" i="13"/>
  <c r="AL774" i="13"/>
  <c r="AT773" i="13"/>
  <c r="AS773" i="13"/>
  <c r="AR773" i="13"/>
  <c r="AQ773" i="13"/>
  <c r="AP773" i="13"/>
  <c r="AO773" i="13"/>
  <c r="AN773" i="13"/>
  <c r="AM773" i="13"/>
  <c r="AL773" i="13"/>
  <c r="AT772" i="13"/>
  <c r="AS772" i="13"/>
  <c r="AR772" i="13"/>
  <c r="AQ772" i="13"/>
  <c r="AP772" i="13"/>
  <c r="AO772" i="13"/>
  <c r="AN772" i="13"/>
  <c r="AM772" i="13"/>
  <c r="AL772" i="13"/>
  <c r="AT771" i="13"/>
  <c r="AS771" i="13"/>
  <c r="AR771" i="13"/>
  <c r="AQ771" i="13"/>
  <c r="AP771" i="13"/>
  <c r="AO771" i="13"/>
  <c r="AN771" i="13"/>
  <c r="AM771" i="13"/>
  <c r="AL771" i="13"/>
  <c r="AT770" i="13"/>
  <c r="AS770" i="13"/>
  <c r="AR770" i="13"/>
  <c r="AQ770" i="13"/>
  <c r="AP770" i="13"/>
  <c r="AO770" i="13"/>
  <c r="AN770" i="13"/>
  <c r="AM770" i="13"/>
  <c r="AL770" i="13"/>
  <c r="AT769" i="13"/>
  <c r="AS769" i="13"/>
  <c r="AR769" i="13"/>
  <c r="AQ769" i="13"/>
  <c r="AP769" i="13"/>
  <c r="AO769" i="13"/>
  <c r="AN769" i="13"/>
  <c r="AM769" i="13"/>
  <c r="AL769" i="13"/>
  <c r="AT768" i="13"/>
  <c r="AS768" i="13"/>
  <c r="AR768" i="13"/>
  <c r="AQ768" i="13"/>
  <c r="AP768" i="13"/>
  <c r="AO768" i="13"/>
  <c r="AN768" i="13"/>
  <c r="AM768" i="13"/>
  <c r="AL768" i="13"/>
  <c r="AT767" i="13"/>
  <c r="AS767" i="13"/>
  <c r="AR767" i="13"/>
  <c r="AQ767" i="13"/>
  <c r="AP767" i="13"/>
  <c r="AO767" i="13"/>
  <c r="AN767" i="13"/>
  <c r="AM767" i="13"/>
  <c r="AL767" i="13"/>
  <c r="AT766" i="13"/>
  <c r="AS766" i="13"/>
  <c r="AR766" i="13"/>
  <c r="AQ766" i="13"/>
  <c r="AP766" i="13"/>
  <c r="AO766" i="13"/>
  <c r="AN766" i="13"/>
  <c r="AM766" i="13"/>
  <c r="AL766" i="13"/>
  <c r="AT765" i="13"/>
  <c r="AS765" i="13"/>
  <c r="AR765" i="13"/>
  <c r="AQ765" i="13"/>
  <c r="AP765" i="13"/>
  <c r="AO765" i="13"/>
  <c r="AN765" i="13"/>
  <c r="AM765" i="13"/>
  <c r="AL765" i="13"/>
  <c r="AT764" i="13"/>
  <c r="AS764" i="13"/>
  <c r="AR764" i="13"/>
  <c r="AQ764" i="13"/>
  <c r="AP764" i="13"/>
  <c r="AO764" i="13"/>
  <c r="AN764" i="13"/>
  <c r="AM764" i="13"/>
  <c r="AL764" i="13"/>
  <c r="AT763" i="13"/>
  <c r="AS763" i="13"/>
  <c r="AR763" i="13"/>
  <c r="AQ763" i="13"/>
  <c r="AP763" i="13"/>
  <c r="AO763" i="13"/>
  <c r="AN763" i="13"/>
  <c r="AM763" i="13"/>
  <c r="AL763" i="13"/>
  <c r="AT762" i="13"/>
  <c r="AS762" i="13"/>
  <c r="AR762" i="13"/>
  <c r="AQ762" i="13"/>
  <c r="AP762" i="13"/>
  <c r="AO762" i="13"/>
  <c r="AN762" i="13"/>
  <c r="AM762" i="13"/>
  <c r="AL762" i="13"/>
  <c r="AT761" i="13"/>
  <c r="AS761" i="13"/>
  <c r="AR761" i="13"/>
  <c r="AQ761" i="13"/>
  <c r="AP761" i="13"/>
  <c r="AO761" i="13"/>
  <c r="AN761" i="13"/>
  <c r="AM761" i="13"/>
  <c r="AL761" i="13"/>
  <c r="AT760" i="13"/>
  <c r="AS760" i="13"/>
  <c r="AR760" i="13"/>
  <c r="AQ760" i="13"/>
  <c r="AP760" i="13"/>
  <c r="AO760" i="13"/>
  <c r="AN760" i="13"/>
  <c r="AM760" i="13"/>
  <c r="AL760" i="13"/>
  <c r="AT759" i="13"/>
  <c r="AS759" i="13"/>
  <c r="AR759" i="13"/>
  <c r="AQ759" i="13"/>
  <c r="AP759" i="13"/>
  <c r="AO759" i="13"/>
  <c r="AN759" i="13"/>
  <c r="AM759" i="13"/>
  <c r="AL759" i="13"/>
  <c r="AT758" i="13"/>
  <c r="AS758" i="13"/>
  <c r="AR758" i="13"/>
  <c r="AQ758" i="13"/>
  <c r="AP758" i="13"/>
  <c r="AO758" i="13"/>
  <c r="AN758" i="13"/>
  <c r="AM758" i="13"/>
  <c r="AL758" i="13"/>
  <c r="AT757" i="13"/>
  <c r="AS757" i="13"/>
  <c r="AR757" i="13"/>
  <c r="AQ757" i="13"/>
  <c r="AP757" i="13"/>
  <c r="AO757" i="13"/>
  <c r="AN757" i="13"/>
  <c r="AM757" i="13"/>
  <c r="AL757" i="13"/>
  <c r="AT756" i="13"/>
  <c r="AS756" i="13"/>
  <c r="AR756" i="13"/>
  <c r="AQ756" i="13"/>
  <c r="AP756" i="13"/>
  <c r="AO756" i="13"/>
  <c r="AN756" i="13"/>
  <c r="AM756" i="13"/>
  <c r="AL756" i="13"/>
  <c r="AT755" i="13"/>
  <c r="AS755" i="13"/>
  <c r="AR755" i="13"/>
  <c r="AQ755" i="13"/>
  <c r="AP755" i="13"/>
  <c r="AO755" i="13"/>
  <c r="AN755" i="13"/>
  <c r="AM755" i="13"/>
  <c r="AL755" i="13"/>
  <c r="AT754" i="13"/>
  <c r="AS754" i="13"/>
  <c r="AR754" i="13"/>
  <c r="AQ754" i="13"/>
  <c r="AP754" i="13"/>
  <c r="AO754" i="13"/>
  <c r="AN754" i="13"/>
  <c r="AM754" i="13"/>
  <c r="AL754" i="13"/>
  <c r="AT753" i="13"/>
  <c r="AS753" i="13"/>
  <c r="AR753" i="13"/>
  <c r="AQ753" i="13"/>
  <c r="AP753" i="13"/>
  <c r="AO753" i="13"/>
  <c r="AN753" i="13"/>
  <c r="AM753" i="13"/>
  <c r="AL753" i="13"/>
  <c r="AT752" i="13"/>
  <c r="AS752" i="13"/>
  <c r="AR752" i="13"/>
  <c r="AQ752" i="13"/>
  <c r="AP752" i="13"/>
  <c r="AO752" i="13"/>
  <c r="AN752" i="13"/>
  <c r="AM752" i="13"/>
  <c r="AL752" i="13"/>
  <c r="AT751" i="13"/>
  <c r="AS751" i="13"/>
  <c r="AR751" i="13"/>
  <c r="AQ751" i="13"/>
  <c r="AP751" i="13"/>
  <c r="AO751" i="13"/>
  <c r="AN751" i="13"/>
  <c r="AM751" i="13"/>
  <c r="AL751" i="13"/>
  <c r="AT750" i="13"/>
  <c r="AS750" i="13"/>
  <c r="AR750" i="13"/>
  <c r="AQ750" i="13"/>
  <c r="AP750" i="13"/>
  <c r="AO750" i="13"/>
  <c r="AN750" i="13"/>
  <c r="AM750" i="13"/>
  <c r="AL750" i="13"/>
  <c r="AT749" i="13"/>
  <c r="AS749" i="13"/>
  <c r="AR749" i="13"/>
  <c r="AQ749" i="13"/>
  <c r="AP749" i="13"/>
  <c r="AO749" i="13"/>
  <c r="AN749" i="13"/>
  <c r="AM749" i="13"/>
  <c r="AL749" i="13"/>
  <c r="AT748" i="13"/>
  <c r="AS748" i="13"/>
  <c r="AR748" i="13"/>
  <c r="AQ748" i="13"/>
  <c r="AP748" i="13"/>
  <c r="AO748" i="13"/>
  <c r="AN748" i="13"/>
  <c r="AM748" i="13"/>
  <c r="AL748" i="13"/>
  <c r="AT747" i="13"/>
  <c r="AS747" i="13"/>
  <c r="AR747" i="13"/>
  <c r="AQ747" i="13"/>
  <c r="AP747" i="13"/>
  <c r="AO747" i="13"/>
  <c r="AN747" i="13"/>
  <c r="AM747" i="13"/>
  <c r="AL747" i="13"/>
  <c r="AT746" i="13"/>
  <c r="AS746" i="13"/>
  <c r="AR746" i="13"/>
  <c r="AQ746" i="13"/>
  <c r="AP746" i="13"/>
  <c r="AO746" i="13"/>
  <c r="AN746" i="13"/>
  <c r="AM746" i="13"/>
  <c r="AL746" i="13"/>
  <c r="AT745" i="13"/>
  <c r="AS745" i="13"/>
  <c r="AR745" i="13"/>
  <c r="AQ745" i="13"/>
  <c r="AP745" i="13"/>
  <c r="AO745" i="13"/>
  <c r="AN745" i="13"/>
  <c r="AM745" i="13"/>
  <c r="AL745" i="13"/>
  <c r="AT744" i="13"/>
  <c r="AS744" i="13"/>
  <c r="AR744" i="13"/>
  <c r="AQ744" i="13"/>
  <c r="AP744" i="13"/>
  <c r="AO744" i="13"/>
  <c r="AN744" i="13"/>
  <c r="AM744" i="13"/>
  <c r="AL744" i="13"/>
  <c r="AT743" i="13"/>
  <c r="AS743" i="13"/>
  <c r="AR743" i="13"/>
  <c r="AQ743" i="13"/>
  <c r="AP743" i="13"/>
  <c r="AO743" i="13"/>
  <c r="AN743" i="13"/>
  <c r="AM743" i="13"/>
  <c r="AL743" i="13"/>
  <c r="AT742" i="13"/>
  <c r="AS742" i="13"/>
  <c r="AR742" i="13"/>
  <c r="AQ742" i="13"/>
  <c r="AP742" i="13"/>
  <c r="AO742" i="13"/>
  <c r="AN742" i="13"/>
  <c r="AM742" i="13"/>
  <c r="AL742" i="13"/>
  <c r="AT741" i="13"/>
  <c r="AS741" i="13"/>
  <c r="AR741" i="13"/>
  <c r="AQ741" i="13"/>
  <c r="AP741" i="13"/>
  <c r="AO741" i="13"/>
  <c r="AN741" i="13"/>
  <c r="AM741" i="13"/>
  <c r="AL741" i="13"/>
  <c r="AT740" i="13"/>
  <c r="AS740" i="13"/>
  <c r="AR740" i="13"/>
  <c r="AQ740" i="13"/>
  <c r="AP740" i="13"/>
  <c r="AO740" i="13"/>
  <c r="AN740" i="13"/>
  <c r="AM740" i="13"/>
  <c r="AL740" i="13"/>
  <c r="AT739" i="13"/>
  <c r="AS739" i="13"/>
  <c r="AR739" i="13"/>
  <c r="AQ739" i="13"/>
  <c r="AP739" i="13"/>
  <c r="AO739" i="13"/>
  <c r="AN739" i="13"/>
  <c r="AM739" i="13"/>
  <c r="AL739" i="13"/>
  <c r="AT738" i="13"/>
  <c r="AS738" i="13"/>
  <c r="AR738" i="13"/>
  <c r="AQ738" i="13"/>
  <c r="AP738" i="13"/>
  <c r="AO738" i="13"/>
  <c r="AN738" i="13"/>
  <c r="AM738" i="13"/>
  <c r="AL738" i="13"/>
  <c r="AT737" i="13"/>
  <c r="AS737" i="13"/>
  <c r="AR737" i="13"/>
  <c r="AQ737" i="13"/>
  <c r="AP737" i="13"/>
  <c r="AO737" i="13"/>
  <c r="AN737" i="13"/>
  <c r="AM737" i="13"/>
  <c r="AL737" i="13"/>
  <c r="AT736" i="13"/>
  <c r="AS736" i="13"/>
  <c r="AR736" i="13"/>
  <c r="AQ736" i="13"/>
  <c r="AP736" i="13"/>
  <c r="AO736" i="13"/>
  <c r="AN736" i="13"/>
  <c r="AM736" i="13"/>
  <c r="AL736" i="13"/>
  <c r="AT735" i="13"/>
  <c r="AS735" i="13"/>
  <c r="AR735" i="13"/>
  <c r="AQ735" i="13"/>
  <c r="AP735" i="13"/>
  <c r="AO735" i="13"/>
  <c r="AN735" i="13"/>
  <c r="AM735" i="13"/>
  <c r="AL735" i="13"/>
  <c r="AT734" i="13"/>
  <c r="AS734" i="13"/>
  <c r="AR734" i="13"/>
  <c r="AQ734" i="13"/>
  <c r="AP734" i="13"/>
  <c r="AO734" i="13"/>
  <c r="AN734" i="13"/>
  <c r="AM734" i="13"/>
  <c r="AL734" i="13"/>
  <c r="AT733" i="13"/>
  <c r="AS733" i="13"/>
  <c r="AR733" i="13"/>
  <c r="AQ733" i="13"/>
  <c r="AP733" i="13"/>
  <c r="AO733" i="13"/>
  <c r="AN733" i="13"/>
  <c r="AM733" i="13"/>
  <c r="AL733" i="13"/>
  <c r="AT732" i="13"/>
  <c r="AS732" i="13"/>
  <c r="AR732" i="13"/>
  <c r="AQ732" i="13"/>
  <c r="AP732" i="13"/>
  <c r="AO732" i="13"/>
  <c r="AN732" i="13"/>
  <c r="AM732" i="13"/>
  <c r="AL732" i="13"/>
  <c r="AT731" i="13"/>
  <c r="AS731" i="13"/>
  <c r="AR731" i="13"/>
  <c r="AQ731" i="13"/>
  <c r="AP731" i="13"/>
  <c r="AO731" i="13"/>
  <c r="AN731" i="13"/>
  <c r="AM731" i="13"/>
  <c r="AL731" i="13"/>
  <c r="AT730" i="13"/>
  <c r="AS730" i="13"/>
  <c r="AR730" i="13"/>
  <c r="AQ730" i="13"/>
  <c r="AP730" i="13"/>
  <c r="AO730" i="13"/>
  <c r="AN730" i="13"/>
  <c r="AM730" i="13"/>
  <c r="AL730" i="13"/>
  <c r="AT729" i="13"/>
  <c r="AS729" i="13"/>
  <c r="AR729" i="13"/>
  <c r="AQ729" i="13"/>
  <c r="AP729" i="13"/>
  <c r="AO729" i="13"/>
  <c r="AN729" i="13"/>
  <c r="AM729" i="13"/>
  <c r="AL729" i="13"/>
  <c r="AT728" i="13"/>
  <c r="AS728" i="13"/>
  <c r="AR728" i="13"/>
  <c r="AQ728" i="13"/>
  <c r="AP728" i="13"/>
  <c r="AO728" i="13"/>
  <c r="AN728" i="13"/>
  <c r="AM728" i="13"/>
  <c r="AL728" i="13"/>
  <c r="AT727" i="13"/>
  <c r="AS727" i="13"/>
  <c r="AR727" i="13"/>
  <c r="AQ727" i="13"/>
  <c r="AP727" i="13"/>
  <c r="AO727" i="13"/>
  <c r="AN727" i="13"/>
  <c r="AM727" i="13"/>
  <c r="AL727" i="13"/>
  <c r="AT726" i="13"/>
  <c r="AS726" i="13"/>
  <c r="AR726" i="13"/>
  <c r="AQ726" i="13"/>
  <c r="AP726" i="13"/>
  <c r="AO726" i="13"/>
  <c r="AN726" i="13"/>
  <c r="AM726" i="13"/>
  <c r="AL726" i="13"/>
  <c r="AT725" i="13"/>
  <c r="AS725" i="13"/>
  <c r="AR725" i="13"/>
  <c r="AQ725" i="13"/>
  <c r="AP725" i="13"/>
  <c r="AO725" i="13"/>
  <c r="AN725" i="13"/>
  <c r="AM725" i="13"/>
  <c r="AL725" i="13"/>
  <c r="AT724" i="13"/>
  <c r="AS724" i="13"/>
  <c r="AR724" i="13"/>
  <c r="AQ724" i="13"/>
  <c r="AP724" i="13"/>
  <c r="AO724" i="13"/>
  <c r="AN724" i="13"/>
  <c r="AM724" i="13"/>
  <c r="AL724" i="13"/>
  <c r="AT723" i="13"/>
  <c r="AS723" i="13"/>
  <c r="AR723" i="13"/>
  <c r="AQ723" i="13"/>
  <c r="AP723" i="13"/>
  <c r="AO723" i="13"/>
  <c r="AN723" i="13"/>
  <c r="AM723" i="13"/>
  <c r="AL723" i="13"/>
  <c r="AT722" i="13"/>
  <c r="AS722" i="13"/>
  <c r="AR722" i="13"/>
  <c r="AQ722" i="13"/>
  <c r="AP722" i="13"/>
  <c r="AO722" i="13"/>
  <c r="AN722" i="13"/>
  <c r="AM722" i="13"/>
  <c r="AL722" i="13"/>
  <c r="AT721" i="13"/>
  <c r="AS721" i="13"/>
  <c r="AR721" i="13"/>
  <c r="AQ721" i="13"/>
  <c r="AP721" i="13"/>
  <c r="AO721" i="13"/>
  <c r="AN721" i="13"/>
  <c r="AM721" i="13"/>
  <c r="AL721" i="13"/>
  <c r="AT720" i="13"/>
  <c r="AS720" i="13"/>
  <c r="AR720" i="13"/>
  <c r="AQ720" i="13"/>
  <c r="AP720" i="13"/>
  <c r="AO720" i="13"/>
  <c r="AN720" i="13"/>
  <c r="AM720" i="13"/>
  <c r="AL720" i="13"/>
  <c r="AT719" i="13"/>
  <c r="AS719" i="13"/>
  <c r="AR719" i="13"/>
  <c r="AQ719" i="13"/>
  <c r="AP719" i="13"/>
  <c r="AO719" i="13"/>
  <c r="AN719" i="13"/>
  <c r="AM719" i="13"/>
  <c r="AL719" i="13"/>
  <c r="AT718" i="13"/>
  <c r="AS718" i="13"/>
  <c r="AR718" i="13"/>
  <c r="AQ718" i="13"/>
  <c r="AP718" i="13"/>
  <c r="AO718" i="13"/>
  <c r="AN718" i="13"/>
  <c r="AM718" i="13"/>
  <c r="AL718" i="13"/>
  <c r="AT717" i="13"/>
  <c r="AS717" i="13"/>
  <c r="AR717" i="13"/>
  <c r="AQ717" i="13"/>
  <c r="AP717" i="13"/>
  <c r="AO717" i="13"/>
  <c r="AN717" i="13"/>
  <c r="AM717" i="13"/>
  <c r="AL717" i="13"/>
  <c r="AT716" i="13"/>
  <c r="AS716" i="13"/>
  <c r="AR716" i="13"/>
  <c r="AQ716" i="13"/>
  <c r="AP716" i="13"/>
  <c r="AO716" i="13"/>
  <c r="AN716" i="13"/>
  <c r="AM716" i="13"/>
  <c r="AL716" i="13"/>
  <c r="AT715" i="13"/>
  <c r="AS715" i="13"/>
  <c r="AR715" i="13"/>
  <c r="AQ715" i="13"/>
  <c r="AP715" i="13"/>
  <c r="AO715" i="13"/>
  <c r="AN715" i="13"/>
  <c r="AM715" i="13"/>
  <c r="AL715" i="13"/>
  <c r="AT714" i="13"/>
  <c r="AS714" i="13"/>
  <c r="AR714" i="13"/>
  <c r="AQ714" i="13"/>
  <c r="AP714" i="13"/>
  <c r="AO714" i="13"/>
  <c r="AN714" i="13"/>
  <c r="AM714" i="13"/>
  <c r="AL714" i="13"/>
  <c r="AT713" i="13"/>
  <c r="AS713" i="13"/>
  <c r="AR713" i="13"/>
  <c r="AQ713" i="13"/>
  <c r="AP713" i="13"/>
  <c r="AO713" i="13"/>
  <c r="AN713" i="13"/>
  <c r="AM713" i="13"/>
  <c r="AL713" i="13"/>
  <c r="AT712" i="13"/>
  <c r="AS712" i="13"/>
  <c r="AR712" i="13"/>
  <c r="AQ712" i="13"/>
  <c r="AP712" i="13"/>
  <c r="AO712" i="13"/>
  <c r="AN712" i="13"/>
  <c r="AM712" i="13"/>
  <c r="AL712" i="13"/>
  <c r="AT711" i="13"/>
  <c r="AS711" i="13"/>
  <c r="AR711" i="13"/>
  <c r="AQ711" i="13"/>
  <c r="AP711" i="13"/>
  <c r="AO711" i="13"/>
  <c r="AN711" i="13"/>
  <c r="AM711" i="13"/>
  <c r="AL711" i="13"/>
  <c r="AT710" i="13"/>
  <c r="AS710" i="13"/>
  <c r="AR710" i="13"/>
  <c r="AQ710" i="13"/>
  <c r="AP710" i="13"/>
  <c r="AO710" i="13"/>
  <c r="AN710" i="13"/>
  <c r="AM710" i="13"/>
  <c r="AL710" i="13"/>
  <c r="AT709" i="13"/>
  <c r="AS709" i="13"/>
  <c r="AR709" i="13"/>
  <c r="AQ709" i="13"/>
  <c r="AP709" i="13"/>
  <c r="AO709" i="13"/>
  <c r="AN709" i="13"/>
  <c r="AM709" i="13"/>
  <c r="AL709" i="13"/>
  <c r="AT708" i="13"/>
  <c r="AS708" i="13"/>
  <c r="AR708" i="13"/>
  <c r="AQ708" i="13"/>
  <c r="AP708" i="13"/>
  <c r="AO708" i="13"/>
  <c r="AN708" i="13"/>
  <c r="AM708" i="13"/>
  <c r="AL708" i="13"/>
  <c r="AT707" i="13"/>
  <c r="AS707" i="13"/>
  <c r="AR707" i="13"/>
  <c r="AQ707" i="13"/>
  <c r="AP707" i="13"/>
  <c r="AO707" i="13"/>
  <c r="AN707" i="13"/>
  <c r="AM707" i="13"/>
  <c r="AL707" i="13"/>
  <c r="AT706" i="13"/>
  <c r="AS706" i="13"/>
  <c r="AR706" i="13"/>
  <c r="AQ706" i="13"/>
  <c r="AP706" i="13"/>
  <c r="AO706" i="13"/>
  <c r="AN706" i="13"/>
  <c r="AM706" i="13"/>
  <c r="AL706" i="13"/>
  <c r="AT705" i="13"/>
  <c r="AS705" i="13"/>
  <c r="AR705" i="13"/>
  <c r="AQ705" i="13"/>
  <c r="AP705" i="13"/>
  <c r="AO705" i="13"/>
  <c r="AN705" i="13"/>
  <c r="AM705" i="13"/>
  <c r="AL705" i="13"/>
  <c r="AT704" i="13"/>
  <c r="AS704" i="13"/>
  <c r="AR704" i="13"/>
  <c r="AQ704" i="13"/>
  <c r="AP704" i="13"/>
  <c r="AO704" i="13"/>
  <c r="AN704" i="13"/>
  <c r="AM704" i="13"/>
  <c r="AL704" i="13"/>
  <c r="AT703" i="13"/>
  <c r="AS703" i="13"/>
  <c r="AR703" i="13"/>
  <c r="AQ703" i="13"/>
  <c r="AP703" i="13"/>
  <c r="AO703" i="13"/>
  <c r="AN703" i="13"/>
  <c r="AM703" i="13"/>
  <c r="AL703" i="13"/>
  <c r="AT702" i="13"/>
  <c r="AS702" i="13"/>
  <c r="AR702" i="13"/>
  <c r="AQ702" i="13"/>
  <c r="AP702" i="13"/>
  <c r="AO702" i="13"/>
  <c r="AN702" i="13"/>
  <c r="AM702" i="13"/>
  <c r="AL702" i="13"/>
  <c r="AT701" i="13"/>
  <c r="AS701" i="13"/>
  <c r="AR701" i="13"/>
  <c r="AQ701" i="13"/>
  <c r="AP701" i="13"/>
  <c r="AO701" i="13"/>
  <c r="AN701" i="13"/>
  <c r="AM701" i="13"/>
  <c r="AL701" i="13"/>
  <c r="AT700" i="13"/>
  <c r="AS700" i="13"/>
  <c r="AR700" i="13"/>
  <c r="AQ700" i="13"/>
  <c r="AP700" i="13"/>
  <c r="AO700" i="13"/>
  <c r="AN700" i="13"/>
  <c r="AM700" i="13"/>
  <c r="AL700" i="13"/>
  <c r="AT699" i="13"/>
  <c r="AS699" i="13"/>
  <c r="AR699" i="13"/>
  <c r="AQ699" i="13"/>
  <c r="AP699" i="13"/>
  <c r="AO699" i="13"/>
  <c r="AN699" i="13"/>
  <c r="AM699" i="13"/>
  <c r="AL699" i="13"/>
  <c r="AT698" i="13"/>
  <c r="AS698" i="13"/>
  <c r="AR698" i="13"/>
  <c r="AQ698" i="13"/>
  <c r="AP698" i="13"/>
  <c r="AO698" i="13"/>
  <c r="AN698" i="13"/>
  <c r="AM698" i="13"/>
  <c r="AL698" i="13"/>
  <c r="AT697" i="13"/>
  <c r="AS697" i="13"/>
  <c r="AR697" i="13"/>
  <c r="AQ697" i="13"/>
  <c r="AP697" i="13"/>
  <c r="AO697" i="13"/>
  <c r="AN697" i="13"/>
  <c r="AM697" i="13"/>
  <c r="AL697" i="13"/>
  <c r="AT696" i="13"/>
  <c r="AS696" i="13"/>
  <c r="AR696" i="13"/>
  <c r="AQ696" i="13"/>
  <c r="AP696" i="13"/>
  <c r="AO696" i="13"/>
  <c r="AN696" i="13"/>
  <c r="AM696" i="13"/>
  <c r="AL696" i="13"/>
  <c r="AT695" i="13"/>
  <c r="AS695" i="13"/>
  <c r="AR695" i="13"/>
  <c r="AQ695" i="13"/>
  <c r="AP695" i="13"/>
  <c r="AO695" i="13"/>
  <c r="AN695" i="13"/>
  <c r="AM695" i="13"/>
  <c r="AL695" i="13"/>
  <c r="AT694" i="13"/>
  <c r="AS694" i="13"/>
  <c r="AR694" i="13"/>
  <c r="AQ694" i="13"/>
  <c r="AP694" i="13"/>
  <c r="AO694" i="13"/>
  <c r="AN694" i="13"/>
  <c r="AM694" i="13"/>
  <c r="AL694" i="13"/>
  <c r="AT693" i="13"/>
  <c r="AS693" i="13"/>
  <c r="AR693" i="13"/>
  <c r="AQ693" i="13"/>
  <c r="AP693" i="13"/>
  <c r="AO693" i="13"/>
  <c r="AN693" i="13"/>
  <c r="AM693" i="13"/>
  <c r="AL693" i="13"/>
  <c r="AT692" i="13"/>
  <c r="AS692" i="13"/>
  <c r="AR692" i="13"/>
  <c r="AQ692" i="13"/>
  <c r="AP692" i="13"/>
  <c r="AO692" i="13"/>
  <c r="AN692" i="13"/>
  <c r="AM692" i="13"/>
  <c r="AL692" i="13"/>
  <c r="AT691" i="13"/>
  <c r="AS691" i="13"/>
  <c r="AR691" i="13"/>
  <c r="AQ691" i="13"/>
  <c r="AP691" i="13"/>
  <c r="AO691" i="13"/>
  <c r="AN691" i="13"/>
  <c r="AM691" i="13"/>
  <c r="AL691" i="13"/>
  <c r="AT690" i="13"/>
  <c r="AS690" i="13"/>
  <c r="AR690" i="13"/>
  <c r="AQ690" i="13"/>
  <c r="AP690" i="13"/>
  <c r="AO690" i="13"/>
  <c r="AN690" i="13"/>
  <c r="AM690" i="13"/>
  <c r="AL690" i="13"/>
  <c r="AT689" i="13"/>
  <c r="AS689" i="13"/>
  <c r="AR689" i="13"/>
  <c r="AQ689" i="13"/>
  <c r="AP689" i="13"/>
  <c r="AO689" i="13"/>
  <c r="AN689" i="13"/>
  <c r="AM689" i="13"/>
  <c r="AL689" i="13"/>
  <c r="AT688" i="13"/>
  <c r="AS688" i="13"/>
  <c r="AR688" i="13"/>
  <c r="AQ688" i="13"/>
  <c r="AP688" i="13"/>
  <c r="AO688" i="13"/>
  <c r="AN688" i="13"/>
  <c r="AM688" i="13"/>
  <c r="AL688" i="13"/>
  <c r="AT687" i="13"/>
  <c r="AS687" i="13"/>
  <c r="AR687" i="13"/>
  <c r="AQ687" i="13"/>
  <c r="AP687" i="13"/>
  <c r="AO687" i="13"/>
  <c r="AN687" i="13"/>
  <c r="AM687" i="13"/>
  <c r="AL687" i="13"/>
  <c r="AT686" i="13"/>
  <c r="AS686" i="13"/>
  <c r="AR686" i="13"/>
  <c r="AQ686" i="13"/>
  <c r="AP686" i="13"/>
  <c r="AO686" i="13"/>
  <c r="AN686" i="13"/>
  <c r="AM686" i="13"/>
  <c r="AL686" i="13"/>
  <c r="AT685" i="13"/>
  <c r="AS685" i="13"/>
  <c r="AR685" i="13"/>
  <c r="AQ685" i="13"/>
  <c r="AP685" i="13"/>
  <c r="AO685" i="13"/>
  <c r="AN685" i="13"/>
  <c r="AM685" i="13"/>
  <c r="AL685" i="13"/>
  <c r="AT684" i="13"/>
  <c r="AS684" i="13"/>
  <c r="AR684" i="13"/>
  <c r="AQ684" i="13"/>
  <c r="AP684" i="13"/>
  <c r="AO684" i="13"/>
  <c r="AN684" i="13"/>
  <c r="AM684" i="13"/>
  <c r="AL684" i="13"/>
  <c r="AT683" i="13"/>
  <c r="AS683" i="13"/>
  <c r="AR683" i="13"/>
  <c r="AQ683" i="13"/>
  <c r="AP683" i="13"/>
  <c r="AO683" i="13"/>
  <c r="AN683" i="13"/>
  <c r="AM683" i="13"/>
  <c r="AL683" i="13"/>
  <c r="AT682" i="13"/>
  <c r="AS682" i="13"/>
  <c r="AR682" i="13"/>
  <c r="AQ682" i="13"/>
  <c r="AP682" i="13"/>
  <c r="AO682" i="13"/>
  <c r="AN682" i="13"/>
  <c r="AM682" i="13"/>
  <c r="AL682" i="13"/>
  <c r="AT681" i="13"/>
  <c r="AS681" i="13"/>
  <c r="AR681" i="13"/>
  <c r="AQ681" i="13"/>
  <c r="AP681" i="13"/>
  <c r="AO681" i="13"/>
  <c r="AN681" i="13"/>
  <c r="AM681" i="13"/>
  <c r="AL681" i="13"/>
  <c r="AT680" i="13"/>
  <c r="AS680" i="13"/>
  <c r="AR680" i="13"/>
  <c r="AQ680" i="13"/>
  <c r="AP680" i="13"/>
  <c r="AO680" i="13"/>
  <c r="AN680" i="13"/>
  <c r="AM680" i="13"/>
  <c r="AL680" i="13"/>
  <c r="AT679" i="13"/>
  <c r="AS679" i="13"/>
  <c r="AR679" i="13"/>
  <c r="AQ679" i="13"/>
  <c r="AP679" i="13"/>
  <c r="AO679" i="13"/>
  <c r="AN679" i="13"/>
  <c r="AM679" i="13"/>
  <c r="AL679" i="13"/>
  <c r="AT678" i="13"/>
  <c r="AS678" i="13"/>
  <c r="AR678" i="13"/>
  <c r="AQ678" i="13"/>
  <c r="AP678" i="13"/>
  <c r="AO678" i="13"/>
  <c r="AN678" i="13"/>
  <c r="AM678" i="13"/>
  <c r="AL678" i="13"/>
  <c r="AT677" i="13"/>
  <c r="AS677" i="13"/>
  <c r="AR677" i="13"/>
  <c r="AQ677" i="13"/>
  <c r="AP677" i="13"/>
  <c r="AO677" i="13"/>
  <c r="AN677" i="13"/>
  <c r="AM677" i="13"/>
  <c r="AL677" i="13"/>
  <c r="AT676" i="13"/>
  <c r="AS676" i="13"/>
  <c r="AR676" i="13"/>
  <c r="AQ676" i="13"/>
  <c r="AP676" i="13"/>
  <c r="AO676" i="13"/>
  <c r="AN676" i="13"/>
  <c r="AM676" i="13"/>
  <c r="AL676" i="13"/>
  <c r="AT675" i="13"/>
  <c r="AS675" i="13"/>
  <c r="AR675" i="13"/>
  <c r="AQ675" i="13"/>
  <c r="AP675" i="13"/>
  <c r="AO675" i="13"/>
  <c r="AN675" i="13"/>
  <c r="AM675" i="13"/>
  <c r="AL675" i="13"/>
  <c r="AT674" i="13"/>
  <c r="AS674" i="13"/>
  <c r="AR674" i="13"/>
  <c r="AQ674" i="13"/>
  <c r="AP674" i="13"/>
  <c r="AO674" i="13"/>
  <c r="AN674" i="13"/>
  <c r="AM674" i="13"/>
  <c r="AL674" i="13"/>
  <c r="AT673" i="13"/>
  <c r="AS673" i="13"/>
  <c r="AR673" i="13"/>
  <c r="AQ673" i="13"/>
  <c r="AP673" i="13"/>
  <c r="AO673" i="13"/>
  <c r="AN673" i="13"/>
  <c r="AM673" i="13"/>
  <c r="AL673" i="13"/>
  <c r="AT672" i="13"/>
  <c r="AS672" i="13"/>
  <c r="AR672" i="13"/>
  <c r="AQ672" i="13"/>
  <c r="AP672" i="13"/>
  <c r="AO672" i="13"/>
  <c r="AN672" i="13"/>
  <c r="AM672" i="13"/>
  <c r="AL672" i="13"/>
  <c r="AT671" i="13"/>
  <c r="AS671" i="13"/>
  <c r="AR671" i="13"/>
  <c r="AQ671" i="13"/>
  <c r="AP671" i="13"/>
  <c r="AO671" i="13"/>
  <c r="AN671" i="13"/>
  <c r="AM671" i="13"/>
  <c r="AL671" i="13"/>
  <c r="AT670" i="13"/>
  <c r="AS670" i="13"/>
  <c r="AR670" i="13"/>
  <c r="AQ670" i="13"/>
  <c r="AP670" i="13"/>
  <c r="AO670" i="13"/>
  <c r="AN670" i="13"/>
  <c r="AM670" i="13"/>
  <c r="AL670" i="13"/>
  <c r="AT669" i="13"/>
  <c r="AS669" i="13"/>
  <c r="AR669" i="13"/>
  <c r="AQ669" i="13"/>
  <c r="AP669" i="13"/>
  <c r="AO669" i="13"/>
  <c r="AN669" i="13"/>
  <c r="AM669" i="13"/>
  <c r="AL669" i="13"/>
  <c r="AT668" i="13"/>
  <c r="AS668" i="13"/>
  <c r="AR668" i="13"/>
  <c r="AQ668" i="13"/>
  <c r="AP668" i="13"/>
  <c r="AO668" i="13"/>
  <c r="AN668" i="13"/>
  <c r="AM668" i="13"/>
  <c r="AL668" i="13"/>
  <c r="AT667" i="13"/>
  <c r="AS667" i="13"/>
  <c r="AR667" i="13"/>
  <c r="AQ667" i="13"/>
  <c r="AP667" i="13"/>
  <c r="AO667" i="13"/>
  <c r="AN667" i="13"/>
  <c r="AM667" i="13"/>
  <c r="AL667" i="13"/>
  <c r="AT666" i="13"/>
  <c r="AS666" i="13"/>
  <c r="AR666" i="13"/>
  <c r="AQ666" i="13"/>
  <c r="AP666" i="13"/>
  <c r="AO666" i="13"/>
  <c r="AN666" i="13"/>
  <c r="AM666" i="13"/>
  <c r="AL666" i="13"/>
  <c r="AT665" i="13"/>
  <c r="AS665" i="13"/>
  <c r="AR665" i="13"/>
  <c r="AQ665" i="13"/>
  <c r="AP665" i="13"/>
  <c r="AO665" i="13"/>
  <c r="AN665" i="13"/>
  <c r="AM665" i="13"/>
  <c r="AL665" i="13"/>
  <c r="AT664" i="13"/>
  <c r="AS664" i="13"/>
  <c r="AR664" i="13"/>
  <c r="AQ664" i="13"/>
  <c r="AP664" i="13"/>
  <c r="AO664" i="13"/>
  <c r="AN664" i="13"/>
  <c r="AM664" i="13"/>
  <c r="AL664" i="13"/>
  <c r="AT663" i="13"/>
  <c r="AS663" i="13"/>
  <c r="AR663" i="13"/>
  <c r="AQ663" i="13"/>
  <c r="AP663" i="13"/>
  <c r="AO663" i="13"/>
  <c r="AN663" i="13"/>
  <c r="AM663" i="13"/>
  <c r="AL663" i="13"/>
  <c r="AT662" i="13"/>
  <c r="AS662" i="13"/>
  <c r="AR662" i="13"/>
  <c r="AQ662" i="13"/>
  <c r="AP662" i="13"/>
  <c r="AO662" i="13"/>
  <c r="AN662" i="13"/>
  <c r="AM662" i="13"/>
  <c r="AL662" i="13"/>
  <c r="AT661" i="13"/>
  <c r="AS661" i="13"/>
  <c r="AR661" i="13"/>
  <c r="AQ661" i="13"/>
  <c r="AP661" i="13"/>
  <c r="AO661" i="13"/>
  <c r="AN661" i="13"/>
  <c r="AM661" i="13"/>
  <c r="AL661" i="13"/>
  <c r="AT660" i="13"/>
  <c r="AS660" i="13"/>
  <c r="AR660" i="13"/>
  <c r="AQ660" i="13"/>
  <c r="AP660" i="13"/>
  <c r="AO660" i="13"/>
  <c r="AN660" i="13"/>
  <c r="AM660" i="13"/>
  <c r="AL660" i="13"/>
  <c r="AT659" i="13"/>
  <c r="AS659" i="13"/>
  <c r="AR659" i="13"/>
  <c r="AQ659" i="13"/>
  <c r="AP659" i="13"/>
  <c r="AO659" i="13"/>
  <c r="AN659" i="13"/>
  <c r="AM659" i="13"/>
  <c r="AL659" i="13"/>
  <c r="AT658" i="13"/>
  <c r="AS658" i="13"/>
  <c r="AR658" i="13"/>
  <c r="AQ658" i="13"/>
  <c r="AP658" i="13"/>
  <c r="AO658" i="13"/>
  <c r="AN658" i="13"/>
  <c r="AM658" i="13"/>
  <c r="AL658" i="13"/>
  <c r="AT657" i="13"/>
  <c r="AS657" i="13"/>
  <c r="AR657" i="13"/>
  <c r="AQ657" i="13"/>
  <c r="AP657" i="13"/>
  <c r="AO657" i="13"/>
  <c r="AN657" i="13"/>
  <c r="AM657" i="13"/>
  <c r="AL657" i="13"/>
  <c r="AT656" i="13"/>
  <c r="AS656" i="13"/>
  <c r="AR656" i="13"/>
  <c r="AQ656" i="13"/>
  <c r="AP656" i="13"/>
  <c r="AO656" i="13"/>
  <c r="AN656" i="13"/>
  <c r="AM656" i="13"/>
  <c r="AL656" i="13"/>
  <c r="AT655" i="13"/>
  <c r="AS655" i="13"/>
  <c r="AR655" i="13"/>
  <c r="AQ655" i="13"/>
  <c r="AP655" i="13"/>
  <c r="AO655" i="13"/>
  <c r="AN655" i="13"/>
  <c r="AM655" i="13"/>
  <c r="AL655" i="13"/>
  <c r="AT654" i="13"/>
  <c r="AS654" i="13"/>
  <c r="AR654" i="13"/>
  <c r="AQ654" i="13"/>
  <c r="AP654" i="13"/>
  <c r="AO654" i="13"/>
  <c r="AN654" i="13"/>
  <c r="AM654" i="13"/>
  <c r="AL654" i="13"/>
  <c r="AT653" i="13"/>
  <c r="AS653" i="13"/>
  <c r="AR653" i="13"/>
  <c r="AQ653" i="13"/>
  <c r="AP653" i="13"/>
  <c r="AO653" i="13"/>
  <c r="AN653" i="13"/>
  <c r="AM653" i="13"/>
  <c r="AL653" i="13"/>
  <c r="AT652" i="13"/>
  <c r="AS652" i="13"/>
  <c r="AR652" i="13"/>
  <c r="AQ652" i="13"/>
  <c r="AP652" i="13"/>
  <c r="AO652" i="13"/>
  <c r="AN652" i="13"/>
  <c r="AM652" i="13"/>
  <c r="AL652" i="13"/>
  <c r="AT651" i="13"/>
  <c r="AS651" i="13"/>
  <c r="AR651" i="13"/>
  <c r="AQ651" i="13"/>
  <c r="AP651" i="13"/>
  <c r="AO651" i="13"/>
  <c r="AN651" i="13"/>
  <c r="AM651" i="13"/>
  <c r="AL651" i="13"/>
  <c r="AT650" i="13"/>
  <c r="AS650" i="13"/>
  <c r="AR650" i="13"/>
  <c r="AQ650" i="13"/>
  <c r="AP650" i="13"/>
  <c r="AO650" i="13"/>
  <c r="AN650" i="13"/>
  <c r="AM650" i="13"/>
  <c r="AL650" i="13"/>
  <c r="AT649" i="13"/>
  <c r="AS649" i="13"/>
  <c r="AR649" i="13"/>
  <c r="AQ649" i="13"/>
  <c r="AP649" i="13"/>
  <c r="AO649" i="13"/>
  <c r="AN649" i="13"/>
  <c r="AM649" i="13"/>
  <c r="AL649" i="13"/>
  <c r="AT648" i="13"/>
  <c r="AS648" i="13"/>
  <c r="AR648" i="13"/>
  <c r="AQ648" i="13"/>
  <c r="AP648" i="13"/>
  <c r="AO648" i="13"/>
  <c r="AN648" i="13"/>
  <c r="AM648" i="13"/>
  <c r="AL648" i="13"/>
  <c r="AT647" i="13"/>
  <c r="AS647" i="13"/>
  <c r="AR647" i="13"/>
  <c r="AQ647" i="13"/>
  <c r="AP647" i="13"/>
  <c r="AO647" i="13"/>
  <c r="AN647" i="13"/>
  <c r="AM647" i="13"/>
  <c r="AL647" i="13"/>
  <c r="AT646" i="13"/>
  <c r="AS646" i="13"/>
  <c r="AR646" i="13"/>
  <c r="AQ646" i="13"/>
  <c r="AP646" i="13"/>
  <c r="AO646" i="13"/>
  <c r="AN646" i="13"/>
  <c r="AM646" i="13"/>
  <c r="AL646" i="13"/>
  <c r="AT645" i="13"/>
  <c r="AS645" i="13"/>
  <c r="AR645" i="13"/>
  <c r="AQ645" i="13"/>
  <c r="AP645" i="13"/>
  <c r="AO645" i="13"/>
  <c r="AN645" i="13"/>
  <c r="AM645" i="13"/>
  <c r="AL645" i="13"/>
  <c r="AT644" i="13"/>
  <c r="AS644" i="13"/>
  <c r="AR644" i="13"/>
  <c r="AQ644" i="13"/>
  <c r="AP644" i="13"/>
  <c r="AO644" i="13"/>
  <c r="AN644" i="13"/>
  <c r="AM644" i="13"/>
  <c r="AL644" i="13"/>
  <c r="AT643" i="13"/>
  <c r="AS643" i="13"/>
  <c r="AR643" i="13"/>
  <c r="AQ643" i="13"/>
  <c r="AP643" i="13"/>
  <c r="AO643" i="13"/>
  <c r="AN643" i="13"/>
  <c r="AM643" i="13"/>
  <c r="AL643" i="13"/>
  <c r="AT642" i="13"/>
  <c r="AS642" i="13"/>
  <c r="AR642" i="13"/>
  <c r="AQ642" i="13"/>
  <c r="AP642" i="13"/>
  <c r="AO642" i="13"/>
  <c r="AN642" i="13"/>
  <c r="AM642" i="13"/>
  <c r="AL642" i="13"/>
  <c r="AT641" i="13"/>
  <c r="AS641" i="13"/>
  <c r="AR641" i="13"/>
  <c r="AQ641" i="13"/>
  <c r="AP641" i="13"/>
  <c r="AO641" i="13"/>
  <c r="AN641" i="13"/>
  <c r="AM641" i="13"/>
  <c r="AL641" i="13"/>
  <c r="AT640" i="13"/>
  <c r="AS640" i="13"/>
  <c r="AR640" i="13"/>
  <c r="AQ640" i="13"/>
  <c r="AP640" i="13"/>
  <c r="AO640" i="13"/>
  <c r="AN640" i="13"/>
  <c r="AM640" i="13"/>
  <c r="AL640" i="13"/>
  <c r="AT639" i="13"/>
  <c r="AS639" i="13"/>
  <c r="AR639" i="13"/>
  <c r="AQ639" i="13"/>
  <c r="AP639" i="13"/>
  <c r="AO639" i="13"/>
  <c r="AN639" i="13"/>
  <c r="AM639" i="13"/>
  <c r="AL639" i="13"/>
  <c r="AT638" i="13"/>
  <c r="AS638" i="13"/>
  <c r="AR638" i="13"/>
  <c r="AQ638" i="13"/>
  <c r="AP638" i="13"/>
  <c r="AO638" i="13"/>
  <c r="AN638" i="13"/>
  <c r="AM638" i="13"/>
  <c r="AL638" i="13"/>
  <c r="AT637" i="13"/>
  <c r="AS637" i="13"/>
  <c r="AR637" i="13"/>
  <c r="AQ637" i="13"/>
  <c r="AP637" i="13"/>
  <c r="AO637" i="13"/>
  <c r="AN637" i="13"/>
  <c r="AM637" i="13"/>
  <c r="AL637" i="13"/>
  <c r="AT636" i="13"/>
  <c r="AS636" i="13"/>
  <c r="AR636" i="13"/>
  <c r="AQ636" i="13"/>
  <c r="AP636" i="13"/>
  <c r="AO636" i="13"/>
  <c r="AN636" i="13"/>
  <c r="AM636" i="13"/>
  <c r="AL636" i="13"/>
  <c r="AT635" i="13"/>
  <c r="AS635" i="13"/>
  <c r="AR635" i="13"/>
  <c r="AQ635" i="13"/>
  <c r="AP635" i="13"/>
  <c r="AO635" i="13"/>
  <c r="AN635" i="13"/>
  <c r="AM635" i="13"/>
  <c r="AL635" i="13"/>
  <c r="AT634" i="13"/>
  <c r="AS634" i="13"/>
  <c r="AR634" i="13"/>
  <c r="AQ634" i="13"/>
  <c r="AP634" i="13"/>
  <c r="AO634" i="13"/>
  <c r="AN634" i="13"/>
  <c r="AM634" i="13"/>
  <c r="AL634" i="13"/>
  <c r="AT633" i="13"/>
  <c r="AS633" i="13"/>
  <c r="AR633" i="13"/>
  <c r="AQ633" i="13"/>
  <c r="AP633" i="13"/>
  <c r="AO633" i="13"/>
  <c r="AN633" i="13"/>
  <c r="AM633" i="13"/>
  <c r="AL633" i="13"/>
  <c r="AT632" i="13"/>
  <c r="AS632" i="13"/>
  <c r="AR632" i="13"/>
  <c r="AQ632" i="13"/>
  <c r="AP632" i="13"/>
  <c r="AO632" i="13"/>
  <c r="AN632" i="13"/>
  <c r="AM632" i="13"/>
  <c r="AL632" i="13"/>
  <c r="AT631" i="13"/>
  <c r="AS631" i="13"/>
  <c r="AR631" i="13"/>
  <c r="AQ631" i="13"/>
  <c r="AP631" i="13"/>
  <c r="AO631" i="13"/>
  <c r="AN631" i="13"/>
  <c r="AM631" i="13"/>
  <c r="AL631" i="13"/>
  <c r="AT630" i="13"/>
  <c r="AS630" i="13"/>
  <c r="AR630" i="13"/>
  <c r="AQ630" i="13"/>
  <c r="AP630" i="13"/>
  <c r="AO630" i="13"/>
  <c r="AN630" i="13"/>
  <c r="AM630" i="13"/>
  <c r="AL630" i="13"/>
  <c r="AT629" i="13"/>
  <c r="AS629" i="13"/>
  <c r="AR629" i="13"/>
  <c r="AQ629" i="13"/>
  <c r="AP629" i="13"/>
  <c r="AO629" i="13"/>
  <c r="AN629" i="13"/>
  <c r="AM629" i="13"/>
  <c r="AL629" i="13"/>
  <c r="AT628" i="13"/>
  <c r="AS628" i="13"/>
  <c r="AR628" i="13"/>
  <c r="AQ628" i="13"/>
  <c r="AP628" i="13"/>
  <c r="AO628" i="13"/>
  <c r="AN628" i="13"/>
  <c r="AM628" i="13"/>
  <c r="AL628" i="13"/>
  <c r="AT627" i="13"/>
  <c r="AS627" i="13"/>
  <c r="AR627" i="13"/>
  <c r="AQ627" i="13"/>
  <c r="AP627" i="13"/>
  <c r="AO627" i="13"/>
  <c r="AN627" i="13"/>
  <c r="AM627" i="13"/>
  <c r="AL627" i="13"/>
  <c r="AT626" i="13"/>
  <c r="AS626" i="13"/>
  <c r="AR626" i="13"/>
  <c r="AQ626" i="13"/>
  <c r="AP626" i="13"/>
  <c r="AO626" i="13"/>
  <c r="AN626" i="13"/>
  <c r="AM626" i="13"/>
  <c r="AL626" i="13"/>
  <c r="AT625" i="13"/>
  <c r="AS625" i="13"/>
  <c r="AR625" i="13"/>
  <c r="AQ625" i="13"/>
  <c r="AP625" i="13"/>
  <c r="AO625" i="13"/>
  <c r="AN625" i="13"/>
  <c r="AM625" i="13"/>
  <c r="AL625" i="13"/>
  <c r="AT624" i="13"/>
  <c r="AS624" i="13"/>
  <c r="AR624" i="13"/>
  <c r="AQ624" i="13"/>
  <c r="AP624" i="13"/>
  <c r="AO624" i="13"/>
  <c r="AN624" i="13"/>
  <c r="AM624" i="13"/>
  <c r="AL624" i="13"/>
  <c r="AT623" i="13"/>
  <c r="AS623" i="13"/>
  <c r="AR623" i="13"/>
  <c r="AQ623" i="13"/>
  <c r="AP623" i="13"/>
  <c r="AO623" i="13"/>
  <c r="AN623" i="13"/>
  <c r="AM623" i="13"/>
  <c r="AL623" i="13"/>
  <c r="AT622" i="13"/>
  <c r="AS622" i="13"/>
  <c r="AR622" i="13"/>
  <c r="AQ622" i="13"/>
  <c r="AP622" i="13"/>
  <c r="AO622" i="13"/>
  <c r="AN622" i="13"/>
  <c r="AM622" i="13"/>
  <c r="AL622" i="13"/>
  <c r="AT621" i="13"/>
  <c r="AS621" i="13"/>
  <c r="AR621" i="13"/>
  <c r="AQ621" i="13"/>
  <c r="AP621" i="13"/>
  <c r="AO621" i="13"/>
  <c r="AN621" i="13"/>
  <c r="AM621" i="13"/>
  <c r="AL621" i="13"/>
  <c r="AT620" i="13"/>
  <c r="AS620" i="13"/>
  <c r="AR620" i="13"/>
  <c r="AQ620" i="13"/>
  <c r="AP620" i="13"/>
  <c r="AO620" i="13"/>
  <c r="AN620" i="13"/>
  <c r="AM620" i="13"/>
  <c r="AL620" i="13"/>
  <c r="AT619" i="13"/>
  <c r="AS619" i="13"/>
  <c r="AR619" i="13"/>
  <c r="AQ619" i="13"/>
  <c r="AP619" i="13"/>
  <c r="AO619" i="13"/>
  <c r="AN619" i="13"/>
  <c r="AM619" i="13"/>
  <c r="AL619" i="13"/>
  <c r="AT618" i="13"/>
  <c r="AS618" i="13"/>
  <c r="AR618" i="13"/>
  <c r="AQ618" i="13"/>
  <c r="AP618" i="13"/>
  <c r="AO618" i="13"/>
  <c r="AN618" i="13"/>
  <c r="AM618" i="13"/>
  <c r="AL618" i="13"/>
  <c r="AT617" i="13"/>
  <c r="AS617" i="13"/>
  <c r="AR617" i="13"/>
  <c r="AQ617" i="13"/>
  <c r="AP617" i="13"/>
  <c r="AO617" i="13"/>
  <c r="AN617" i="13"/>
  <c r="AM617" i="13"/>
  <c r="AL617" i="13"/>
  <c r="AT616" i="13"/>
  <c r="AS616" i="13"/>
  <c r="AR616" i="13"/>
  <c r="AQ616" i="13"/>
  <c r="AP616" i="13"/>
  <c r="AO616" i="13"/>
  <c r="AN616" i="13"/>
  <c r="AM616" i="13"/>
  <c r="AL616" i="13"/>
  <c r="AT615" i="13"/>
  <c r="AS615" i="13"/>
  <c r="AR615" i="13"/>
  <c r="AQ615" i="13"/>
  <c r="AP615" i="13"/>
  <c r="AO615" i="13"/>
  <c r="AN615" i="13"/>
  <c r="AM615" i="13"/>
  <c r="AL615" i="13"/>
  <c r="AT614" i="13"/>
  <c r="AS614" i="13"/>
  <c r="AR614" i="13"/>
  <c r="AQ614" i="13"/>
  <c r="AP614" i="13"/>
  <c r="AO614" i="13"/>
  <c r="AN614" i="13"/>
  <c r="AM614" i="13"/>
  <c r="AL614" i="13"/>
  <c r="AT613" i="13"/>
  <c r="AS613" i="13"/>
  <c r="AR613" i="13"/>
  <c r="AQ613" i="13"/>
  <c r="AP613" i="13"/>
  <c r="AO613" i="13"/>
  <c r="AN613" i="13"/>
  <c r="AM613" i="13"/>
  <c r="AL613" i="13"/>
  <c r="AT612" i="13"/>
  <c r="AS612" i="13"/>
  <c r="AR612" i="13"/>
  <c r="AQ612" i="13"/>
  <c r="AP612" i="13"/>
  <c r="AO612" i="13"/>
  <c r="AN612" i="13"/>
  <c r="AM612" i="13"/>
  <c r="AL612" i="13"/>
  <c r="AT611" i="13"/>
  <c r="AS611" i="13"/>
  <c r="AR611" i="13"/>
  <c r="AQ611" i="13"/>
  <c r="AP611" i="13"/>
  <c r="AO611" i="13"/>
  <c r="AN611" i="13"/>
  <c r="AM611" i="13"/>
  <c r="AL611" i="13"/>
  <c r="AT610" i="13"/>
  <c r="AS610" i="13"/>
  <c r="AR610" i="13"/>
  <c r="AQ610" i="13"/>
  <c r="AP610" i="13"/>
  <c r="AO610" i="13"/>
  <c r="AN610" i="13"/>
  <c r="AM610" i="13"/>
  <c r="AL610" i="13"/>
  <c r="AT609" i="13"/>
  <c r="AS609" i="13"/>
  <c r="AR609" i="13"/>
  <c r="AQ609" i="13"/>
  <c r="AP609" i="13"/>
  <c r="AO609" i="13"/>
  <c r="AN609" i="13"/>
  <c r="AM609" i="13"/>
  <c r="AL609" i="13"/>
  <c r="AT608" i="13"/>
  <c r="AS608" i="13"/>
  <c r="AR608" i="13"/>
  <c r="AQ608" i="13"/>
  <c r="AP608" i="13"/>
  <c r="AO608" i="13"/>
  <c r="AN608" i="13"/>
  <c r="AM608" i="13"/>
  <c r="AL608" i="13"/>
  <c r="AT607" i="13"/>
  <c r="AS607" i="13"/>
  <c r="AR607" i="13"/>
  <c r="AQ607" i="13"/>
  <c r="AP607" i="13"/>
  <c r="AO607" i="13"/>
  <c r="AN607" i="13"/>
  <c r="AM607" i="13"/>
  <c r="AL607" i="13"/>
  <c r="AT606" i="13"/>
  <c r="AS606" i="13"/>
  <c r="AR606" i="13"/>
  <c r="AQ606" i="13"/>
  <c r="AP606" i="13"/>
  <c r="AO606" i="13"/>
  <c r="AN606" i="13"/>
  <c r="AM606" i="13"/>
  <c r="AL606" i="13"/>
  <c r="AT605" i="13"/>
  <c r="AS605" i="13"/>
  <c r="AR605" i="13"/>
  <c r="AQ605" i="13"/>
  <c r="AP605" i="13"/>
  <c r="AO605" i="13"/>
  <c r="AN605" i="13"/>
  <c r="AM605" i="13"/>
  <c r="AL605" i="13"/>
  <c r="AT604" i="13"/>
  <c r="AS604" i="13"/>
  <c r="AR604" i="13"/>
  <c r="AQ604" i="13"/>
  <c r="AP604" i="13"/>
  <c r="AO604" i="13"/>
  <c r="AN604" i="13"/>
  <c r="AM604" i="13"/>
  <c r="AL604" i="13"/>
  <c r="AT603" i="13"/>
  <c r="AS603" i="13"/>
  <c r="AR603" i="13"/>
  <c r="AQ603" i="13"/>
  <c r="AP603" i="13"/>
  <c r="AO603" i="13"/>
  <c r="AN603" i="13"/>
  <c r="AM603" i="13"/>
  <c r="AL603" i="13"/>
  <c r="AT602" i="13"/>
  <c r="AS602" i="13"/>
  <c r="AR602" i="13"/>
  <c r="AQ602" i="13"/>
  <c r="AP602" i="13"/>
  <c r="AO602" i="13"/>
  <c r="AN602" i="13"/>
  <c r="AM602" i="13"/>
  <c r="AL602" i="13"/>
  <c r="AT601" i="13"/>
  <c r="AS601" i="13"/>
  <c r="AR601" i="13"/>
  <c r="AQ601" i="13"/>
  <c r="AP601" i="13"/>
  <c r="AO601" i="13"/>
  <c r="AN601" i="13"/>
  <c r="AM601" i="13"/>
  <c r="AL601" i="13"/>
  <c r="AT600" i="13"/>
  <c r="AS600" i="13"/>
  <c r="AR600" i="13"/>
  <c r="AQ600" i="13"/>
  <c r="AP600" i="13"/>
  <c r="AO600" i="13"/>
  <c r="AN600" i="13"/>
  <c r="AM600" i="13"/>
  <c r="AL600" i="13"/>
  <c r="AT599" i="13"/>
  <c r="AS599" i="13"/>
  <c r="AR599" i="13"/>
  <c r="AQ599" i="13"/>
  <c r="AP599" i="13"/>
  <c r="AO599" i="13"/>
  <c r="AN599" i="13"/>
  <c r="AM599" i="13"/>
  <c r="AL599" i="13"/>
  <c r="AT598" i="13"/>
  <c r="AS598" i="13"/>
  <c r="AR598" i="13"/>
  <c r="AQ598" i="13"/>
  <c r="AP598" i="13"/>
  <c r="AO598" i="13"/>
  <c r="AN598" i="13"/>
  <c r="AM598" i="13"/>
  <c r="AL598" i="13"/>
  <c r="AT597" i="13"/>
  <c r="AS597" i="13"/>
  <c r="AR597" i="13"/>
  <c r="AQ597" i="13"/>
  <c r="AP597" i="13"/>
  <c r="AO597" i="13"/>
  <c r="AN597" i="13"/>
  <c r="AM597" i="13"/>
  <c r="AL597" i="13"/>
  <c r="AT596" i="13"/>
  <c r="AS596" i="13"/>
  <c r="AR596" i="13"/>
  <c r="AQ596" i="13"/>
  <c r="AP596" i="13"/>
  <c r="AO596" i="13"/>
  <c r="AN596" i="13"/>
  <c r="AM596" i="13"/>
  <c r="AL596" i="13"/>
  <c r="AT595" i="13"/>
  <c r="AS595" i="13"/>
  <c r="AR595" i="13"/>
  <c r="AQ595" i="13"/>
  <c r="AP595" i="13"/>
  <c r="AO595" i="13"/>
  <c r="AN595" i="13"/>
  <c r="AM595" i="13"/>
  <c r="AL595" i="13"/>
  <c r="AT594" i="13"/>
  <c r="AS594" i="13"/>
  <c r="AR594" i="13"/>
  <c r="AQ594" i="13"/>
  <c r="AP594" i="13"/>
  <c r="AO594" i="13"/>
  <c r="AN594" i="13"/>
  <c r="AM594" i="13"/>
  <c r="AL594" i="13"/>
  <c r="AT593" i="13"/>
  <c r="AS593" i="13"/>
  <c r="AR593" i="13"/>
  <c r="AQ593" i="13"/>
  <c r="AP593" i="13"/>
  <c r="AO593" i="13"/>
  <c r="AN593" i="13"/>
  <c r="AM593" i="13"/>
  <c r="AL593" i="13"/>
  <c r="AT592" i="13"/>
  <c r="AS592" i="13"/>
  <c r="AR592" i="13"/>
  <c r="AQ592" i="13"/>
  <c r="AP592" i="13"/>
  <c r="AO592" i="13"/>
  <c r="AN592" i="13"/>
  <c r="AM592" i="13"/>
  <c r="AL592" i="13"/>
  <c r="AT591" i="13"/>
  <c r="AS591" i="13"/>
  <c r="AR591" i="13"/>
  <c r="AQ591" i="13"/>
  <c r="AP591" i="13"/>
  <c r="AO591" i="13"/>
  <c r="AN591" i="13"/>
  <c r="AM591" i="13"/>
  <c r="AL591" i="13"/>
  <c r="AT590" i="13"/>
  <c r="AS590" i="13"/>
  <c r="AR590" i="13"/>
  <c r="AQ590" i="13"/>
  <c r="AP590" i="13"/>
  <c r="AO590" i="13"/>
  <c r="AN590" i="13"/>
  <c r="AM590" i="13"/>
  <c r="AL590" i="13"/>
  <c r="AT589" i="13"/>
  <c r="AS589" i="13"/>
  <c r="AR589" i="13"/>
  <c r="AQ589" i="13"/>
  <c r="AP589" i="13"/>
  <c r="AO589" i="13"/>
  <c r="AN589" i="13"/>
  <c r="AM589" i="13"/>
  <c r="AL589" i="13"/>
  <c r="AT588" i="13"/>
  <c r="AS588" i="13"/>
  <c r="AR588" i="13"/>
  <c r="AQ588" i="13"/>
  <c r="AP588" i="13"/>
  <c r="AO588" i="13"/>
  <c r="AN588" i="13"/>
  <c r="AM588" i="13"/>
  <c r="AL588" i="13"/>
  <c r="AT587" i="13"/>
  <c r="AS587" i="13"/>
  <c r="AR587" i="13"/>
  <c r="AQ587" i="13"/>
  <c r="AP587" i="13"/>
  <c r="AO587" i="13"/>
  <c r="AN587" i="13"/>
  <c r="AM587" i="13"/>
  <c r="AL587" i="13"/>
  <c r="AT586" i="13"/>
  <c r="AS586" i="13"/>
  <c r="AR586" i="13"/>
  <c r="AQ586" i="13"/>
  <c r="AP586" i="13"/>
  <c r="AO586" i="13"/>
  <c r="AN586" i="13"/>
  <c r="AM586" i="13"/>
  <c r="AL586" i="13"/>
  <c r="AT585" i="13"/>
  <c r="AS585" i="13"/>
  <c r="AR585" i="13"/>
  <c r="AQ585" i="13"/>
  <c r="AP585" i="13"/>
  <c r="AO585" i="13"/>
  <c r="AN585" i="13"/>
  <c r="AM585" i="13"/>
  <c r="AL585" i="13"/>
  <c r="AT584" i="13"/>
  <c r="AS584" i="13"/>
  <c r="AR584" i="13"/>
  <c r="AQ584" i="13"/>
  <c r="AP584" i="13"/>
  <c r="AO584" i="13"/>
  <c r="AN584" i="13"/>
  <c r="AM584" i="13"/>
  <c r="AL584" i="13"/>
  <c r="AT583" i="13"/>
  <c r="AS583" i="13"/>
  <c r="AR583" i="13"/>
  <c r="AQ583" i="13"/>
  <c r="AP583" i="13"/>
  <c r="AO583" i="13"/>
  <c r="AN583" i="13"/>
  <c r="AM583" i="13"/>
  <c r="AL583" i="13"/>
  <c r="AT582" i="13"/>
  <c r="AS582" i="13"/>
  <c r="AR582" i="13"/>
  <c r="AQ582" i="13"/>
  <c r="AP582" i="13"/>
  <c r="AO582" i="13"/>
  <c r="AN582" i="13"/>
  <c r="AM582" i="13"/>
  <c r="AL582" i="13"/>
  <c r="AT581" i="13"/>
  <c r="AS581" i="13"/>
  <c r="AR581" i="13"/>
  <c r="AQ581" i="13"/>
  <c r="AP581" i="13"/>
  <c r="AO581" i="13"/>
  <c r="AN581" i="13"/>
  <c r="AM581" i="13"/>
  <c r="AL581" i="13"/>
  <c r="AT580" i="13"/>
  <c r="AS580" i="13"/>
  <c r="AR580" i="13"/>
  <c r="AQ580" i="13"/>
  <c r="AP580" i="13"/>
  <c r="AO580" i="13"/>
  <c r="AN580" i="13"/>
  <c r="AM580" i="13"/>
  <c r="AL580" i="13"/>
  <c r="AT579" i="13"/>
  <c r="AS579" i="13"/>
  <c r="AR579" i="13"/>
  <c r="AQ579" i="13"/>
  <c r="AP579" i="13"/>
  <c r="AO579" i="13"/>
  <c r="AN579" i="13"/>
  <c r="AM579" i="13"/>
  <c r="AL579" i="13"/>
  <c r="AT578" i="13"/>
  <c r="AS578" i="13"/>
  <c r="AR578" i="13"/>
  <c r="AQ578" i="13"/>
  <c r="AP578" i="13"/>
  <c r="AO578" i="13"/>
  <c r="AN578" i="13"/>
  <c r="AM578" i="13"/>
  <c r="AL578" i="13"/>
  <c r="AT577" i="13"/>
  <c r="AS577" i="13"/>
  <c r="AR577" i="13"/>
  <c r="AQ577" i="13"/>
  <c r="AP577" i="13"/>
  <c r="AO577" i="13"/>
  <c r="AN577" i="13"/>
  <c r="AM577" i="13"/>
  <c r="AL577" i="13"/>
  <c r="AT576" i="13"/>
  <c r="AS576" i="13"/>
  <c r="AR576" i="13"/>
  <c r="AQ576" i="13"/>
  <c r="AP576" i="13"/>
  <c r="AO576" i="13"/>
  <c r="AN576" i="13"/>
  <c r="AM576" i="13"/>
  <c r="AL576" i="13"/>
  <c r="AT575" i="13"/>
  <c r="AS575" i="13"/>
  <c r="AR575" i="13"/>
  <c r="AQ575" i="13"/>
  <c r="AP575" i="13"/>
  <c r="AO575" i="13"/>
  <c r="AN575" i="13"/>
  <c r="AM575" i="13"/>
  <c r="AL575" i="13"/>
  <c r="AT574" i="13"/>
  <c r="AS574" i="13"/>
  <c r="AR574" i="13"/>
  <c r="AQ574" i="13"/>
  <c r="AP574" i="13"/>
  <c r="AO574" i="13"/>
  <c r="AN574" i="13"/>
  <c r="AM574" i="13"/>
  <c r="AL574" i="13"/>
  <c r="AT573" i="13"/>
  <c r="AS573" i="13"/>
  <c r="AR573" i="13"/>
  <c r="AQ573" i="13"/>
  <c r="AP573" i="13"/>
  <c r="AO573" i="13"/>
  <c r="AN573" i="13"/>
  <c r="AM573" i="13"/>
  <c r="AL573" i="13"/>
  <c r="AT572" i="13"/>
  <c r="AS572" i="13"/>
  <c r="AR572" i="13"/>
  <c r="AQ572" i="13"/>
  <c r="AP572" i="13"/>
  <c r="AO572" i="13"/>
  <c r="AN572" i="13"/>
  <c r="AM572" i="13"/>
  <c r="AL572" i="13"/>
  <c r="AT571" i="13"/>
  <c r="AS571" i="13"/>
  <c r="AR571" i="13"/>
  <c r="AQ571" i="13"/>
  <c r="AP571" i="13"/>
  <c r="AO571" i="13"/>
  <c r="AN571" i="13"/>
  <c r="AM571" i="13"/>
  <c r="AL571" i="13"/>
  <c r="AT570" i="13"/>
  <c r="AS570" i="13"/>
  <c r="AR570" i="13"/>
  <c r="AQ570" i="13"/>
  <c r="AP570" i="13"/>
  <c r="AO570" i="13"/>
  <c r="AN570" i="13"/>
  <c r="AM570" i="13"/>
  <c r="AL570" i="13"/>
  <c r="AT569" i="13"/>
  <c r="AS569" i="13"/>
  <c r="AR569" i="13"/>
  <c r="AQ569" i="13"/>
  <c r="AP569" i="13"/>
  <c r="AO569" i="13"/>
  <c r="AN569" i="13"/>
  <c r="AM569" i="13"/>
  <c r="AL569" i="13"/>
  <c r="AT568" i="13"/>
  <c r="AS568" i="13"/>
  <c r="AR568" i="13"/>
  <c r="AQ568" i="13"/>
  <c r="AP568" i="13"/>
  <c r="AO568" i="13"/>
  <c r="AN568" i="13"/>
  <c r="AM568" i="13"/>
  <c r="AL568" i="13"/>
  <c r="AT567" i="13"/>
  <c r="AS567" i="13"/>
  <c r="AR567" i="13"/>
  <c r="AQ567" i="13"/>
  <c r="AP567" i="13"/>
  <c r="AO567" i="13"/>
  <c r="AN567" i="13"/>
  <c r="AM567" i="13"/>
  <c r="AL567" i="13"/>
  <c r="AT566" i="13"/>
  <c r="AS566" i="13"/>
  <c r="AR566" i="13"/>
  <c r="AQ566" i="13"/>
  <c r="AP566" i="13"/>
  <c r="AO566" i="13"/>
  <c r="AN566" i="13"/>
  <c r="AM566" i="13"/>
  <c r="AL566" i="13"/>
  <c r="AT565" i="13"/>
  <c r="AS565" i="13"/>
  <c r="AR565" i="13"/>
  <c r="AQ565" i="13"/>
  <c r="AP565" i="13"/>
  <c r="AO565" i="13"/>
  <c r="AN565" i="13"/>
  <c r="AM565" i="13"/>
  <c r="AL565" i="13"/>
  <c r="AT564" i="13"/>
  <c r="AS564" i="13"/>
  <c r="AR564" i="13"/>
  <c r="AQ564" i="13"/>
  <c r="AP564" i="13"/>
  <c r="AO564" i="13"/>
  <c r="AN564" i="13"/>
  <c r="AM564" i="13"/>
  <c r="AL564" i="13"/>
  <c r="AT563" i="13"/>
  <c r="AS563" i="13"/>
  <c r="AR563" i="13"/>
  <c r="AQ563" i="13"/>
  <c r="AP563" i="13"/>
  <c r="AO563" i="13"/>
  <c r="AN563" i="13"/>
  <c r="AM563" i="13"/>
  <c r="AL563" i="13"/>
  <c r="AT562" i="13"/>
  <c r="AS562" i="13"/>
  <c r="AR562" i="13"/>
  <c r="AQ562" i="13"/>
  <c r="AP562" i="13"/>
  <c r="AO562" i="13"/>
  <c r="AN562" i="13"/>
  <c r="AM562" i="13"/>
  <c r="AL562" i="13"/>
  <c r="AT561" i="13"/>
  <c r="AS561" i="13"/>
  <c r="AR561" i="13"/>
  <c r="AQ561" i="13"/>
  <c r="AP561" i="13"/>
  <c r="AO561" i="13"/>
  <c r="AN561" i="13"/>
  <c r="AM561" i="13"/>
  <c r="AL561" i="13"/>
  <c r="AT560" i="13"/>
  <c r="AS560" i="13"/>
  <c r="AR560" i="13"/>
  <c r="AQ560" i="13"/>
  <c r="AP560" i="13"/>
  <c r="AO560" i="13"/>
  <c r="AN560" i="13"/>
  <c r="AM560" i="13"/>
  <c r="AL560" i="13"/>
  <c r="AT559" i="13"/>
  <c r="AS559" i="13"/>
  <c r="AR559" i="13"/>
  <c r="AQ559" i="13"/>
  <c r="AP559" i="13"/>
  <c r="AO559" i="13"/>
  <c r="AN559" i="13"/>
  <c r="AM559" i="13"/>
  <c r="AL559" i="13"/>
  <c r="AT558" i="13"/>
  <c r="AS558" i="13"/>
  <c r="AR558" i="13"/>
  <c r="AQ558" i="13"/>
  <c r="AP558" i="13"/>
  <c r="AO558" i="13"/>
  <c r="AN558" i="13"/>
  <c r="AM558" i="13"/>
  <c r="AL558" i="13"/>
  <c r="AT557" i="13"/>
  <c r="AS557" i="13"/>
  <c r="AR557" i="13"/>
  <c r="AQ557" i="13"/>
  <c r="AP557" i="13"/>
  <c r="AO557" i="13"/>
  <c r="AN557" i="13"/>
  <c r="AM557" i="13"/>
  <c r="AL557" i="13"/>
  <c r="AT556" i="13"/>
  <c r="AS556" i="13"/>
  <c r="AR556" i="13"/>
  <c r="AQ556" i="13"/>
  <c r="AP556" i="13"/>
  <c r="AO556" i="13"/>
  <c r="AN556" i="13"/>
  <c r="AM556" i="13"/>
  <c r="AL556" i="13"/>
  <c r="AT555" i="13"/>
  <c r="AS555" i="13"/>
  <c r="AR555" i="13"/>
  <c r="AQ555" i="13"/>
  <c r="AP555" i="13"/>
  <c r="AO555" i="13"/>
  <c r="AN555" i="13"/>
  <c r="AM555" i="13"/>
  <c r="AL555" i="13"/>
  <c r="AT554" i="13"/>
  <c r="AS554" i="13"/>
  <c r="AR554" i="13"/>
  <c r="AQ554" i="13"/>
  <c r="AP554" i="13"/>
  <c r="AO554" i="13"/>
  <c r="AN554" i="13"/>
  <c r="AM554" i="13"/>
  <c r="AL554" i="13"/>
  <c r="AT553" i="13"/>
  <c r="AS553" i="13"/>
  <c r="AR553" i="13"/>
  <c r="AQ553" i="13"/>
  <c r="AP553" i="13"/>
  <c r="AO553" i="13"/>
  <c r="AN553" i="13"/>
  <c r="AM553" i="13"/>
  <c r="AL553" i="13"/>
  <c r="AT552" i="13"/>
  <c r="AS552" i="13"/>
  <c r="AR552" i="13"/>
  <c r="AQ552" i="13"/>
  <c r="AP552" i="13"/>
  <c r="AO552" i="13"/>
  <c r="AN552" i="13"/>
  <c r="AM552" i="13"/>
  <c r="AL552" i="13"/>
  <c r="AT551" i="13"/>
  <c r="AS551" i="13"/>
  <c r="AR551" i="13"/>
  <c r="AQ551" i="13"/>
  <c r="AP551" i="13"/>
  <c r="AO551" i="13"/>
  <c r="AN551" i="13"/>
  <c r="AM551" i="13"/>
  <c r="AL551" i="13"/>
  <c r="AT550" i="13"/>
  <c r="AS550" i="13"/>
  <c r="AR550" i="13"/>
  <c r="AQ550" i="13"/>
  <c r="AP550" i="13"/>
  <c r="AO550" i="13"/>
  <c r="AN550" i="13"/>
  <c r="AM550" i="13"/>
  <c r="AL550" i="13"/>
  <c r="AT549" i="13"/>
  <c r="AS549" i="13"/>
  <c r="AR549" i="13"/>
  <c r="AQ549" i="13"/>
  <c r="AP549" i="13"/>
  <c r="AO549" i="13"/>
  <c r="AN549" i="13"/>
  <c r="AM549" i="13"/>
  <c r="AL549" i="13"/>
  <c r="AT548" i="13"/>
  <c r="AS548" i="13"/>
  <c r="AR548" i="13"/>
  <c r="AQ548" i="13"/>
  <c r="AP548" i="13"/>
  <c r="AO548" i="13"/>
  <c r="AN548" i="13"/>
  <c r="AM548" i="13"/>
  <c r="AL548" i="13"/>
  <c r="AT547" i="13"/>
  <c r="AS547" i="13"/>
  <c r="AR547" i="13"/>
  <c r="AQ547" i="13"/>
  <c r="AP547" i="13"/>
  <c r="AO547" i="13"/>
  <c r="AN547" i="13"/>
  <c r="AM547" i="13"/>
  <c r="AL547" i="13"/>
  <c r="AT546" i="13"/>
  <c r="AS546" i="13"/>
  <c r="AR546" i="13"/>
  <c r="AQ546" i="13"/>
  <c r="AP546" i="13"/>
  <c r="AO546" i="13"/>
  <c r="AN546" i="13"/>
  <c r="AM546" i="13"/>
  <c r="AL546" i="13"/>
  <c r="AT545" i="13"/>
  <c r="AS545" i="13"/>
  <c r="AR545" i="13"/>
  <c r="AQ545" i="13"/>
  <c r="AP545" i="13"/>
  <c r="AO545" i="13"/>
  <c r="AN545" i="13"/>
  <c r="AM545" i="13"/>
  <c r="AL545" i="13"/>
  <c r="AT544" i="13"/>
  <c r="AS544" i="13"/>
  <c r="AR544" i="13"/>
  <c r="AQ544" i="13"/>
  <c r="AP544" i="13"/>
  <c r="AO544" i="13"/>
  <c r="AN544" i="13"/>
  <c r="AM544" i="13"/>
  <c r="AL544" i="13"/>
  <c r="AT543" i="13"/>
  <c r="AS543" i="13"/>
  <c r="AR543" i="13"/>
  <c r="AQ543" i="13"/>
  <c r="AP543" i="13"/>
  <c r="AO543" i="13"/>
  <c r="AN543" i="13"/>
  <c r="AM543" i="13"/>
  <c r="AL543" i="13"/>
  <c r="AT542" i="13"/>
  <c r="AS542" i="13"/>
  <c r="AR542" i="13"/>
  <c r="AQ542" i="13"/>
  <c r="AP542" i="13"/>
  <c r="AO542" i="13"/>
  <c r="AN542" i="13"/>
  <c r="AM542" i="13"/>
  <c r="AL542" i="13"/>
  <c r="AT541" i="13"/>
  <c r="AS541" i="13"/>
  <c r="AR541" i="13"/>
  <c r="AQ541" i="13"/>
  <c r="AP541" i="13"/>
  <c r="AO541" i="13"/>
  <c r="AN541" i="13"/>
  <c r="AM541" i="13"/>
  <c r="AL541" i="13"/>
  <c r="AT540" i="13"/>
  <c r="AS540" i="13"/>
  <c r="AR540" i="13"/>
  <c r="AQ540" i="13"/>
  <c r="AP540" i="13"/>
  <c r="AO540" i="13"/>
  <c r="AN540" i="13"/>
  <c r="AM540" i="13"/>
  <c r="AL540" i="13"/>
  <c r="AT539" i="13"/>
  <c r="AS539" i="13"/>
  <c r="AR539" i="13"/>
  <c r="AQ539" i="13"/>
  <c r="AP539" i="13"/>
  <c r="AO539" i="13"/>
  <c r="AN539" i="13"/>
  <c r="AM539" i="13"/>
  <c r="AL539" i="13"/>
  <c r="AT538" i="13"/>
  <c r="AS538" i="13"/>
  <c r="AR538" i="13"/>
  <c r="AQ538" i="13"/>
  <c r="AP538" i="13"/>
  <c r="AO538" i="13"/>
  <c r="AN538" i="13"/>
  <c r="AM538" i="13"/>
  <c r="AL538" i="13"/>
  <c r="AT537" i="13"/>
  <c r="AS537" i="13"/>
  <c r="AR537" i="13"/>
  <c r="AQ537" i="13"/>
  <c r="AP537" i="13"/>
  <c r="AO537" i="13"/>
  <c r="AN537" i="13"/>
  <c r="AM537" i="13"/>
  <c r="AL537" i="13"/>
  <c r="AT536" i="13"/>
  <c r="AS536" i="13"/>
  <c r="AR536" i="13"/>
  <c r="AQ536" i="13"/>
  <c r="AP536" i="13"/>
  <c r="AO536" i="13"/>
  <c r="AN536" i="13"/>
  <c r="AM536" i="13"/>
  <c r="AL536" i="13"/>
  <c r="AT535" i="13"/>
  <c r="AS535" i="13"/>
  <c r="AR535" i="13"/>
  <c r="AQ535" i="13"/>
  <c r="AP535" i="13"/>
  <c r="AO535" i="13"/>
  <c r="AN535" i="13"/>
  <c r="AM535" i="13"/>
  <c r="AL535" i="13"/>
  <c r="AT534" i="13"/>
  <c r="AS534" i="13"/>
  <c r="AR534" i="13"/>
  <c r="AQ534" i="13"/>
  <c r="AP534" i="13"/>
  <c r="AO534" i="13"/>
  <c r="AN534" i="13"/>
  <c r="AM534" i="13"/>
  <c r="AL534" i="13"/>
  <c r="AT533" i="13"/>
  <c r="AS533" i="13"/>
  <c r="AR533" i="13"/>
  <c r="AQ533" i="13"/>
  <c r="AP533" i="13"/>
  <c r="AO533" i="13"/>
  <c r="AN533" i="13"/>
  <c r="AM533" i="13"/>
  <c r="AL533" i="13"/>
  <c r="AT532" i="13"/>
  <c r="AS532" i="13"/>
  <c r="AR532" i="13"/>
  <c r="AQ532" i="13"/>
  <c r="AP532" i="13"/>
  <c r="AO532" i="13"/>
  <c r="AN532" i="13"/>
  <c r="AM532" i="13"/>
  <c r="AL532" i="13"/>
  <c r="AT531" i="13"/>
  <c r="AS531" i="13"/>
  <c r="AR531" i="13"/>
  <c r="AQ531" i="13"/>
  <c r="AP531" i="13"/>
  <c r="AO531" i="13"/>
  <c r="AN531" i="13"/>
  <c r="AM531" i="13"/>
  <c r="AL531" i="13"/>
  <c r="AT530" i="13"/>
  <c r="AS530" i="13"/>
  <c r="AR530" i="13"/>
  <c r="AQ530" i="13"/>
  <c r="AP530" i="13"/>
  <c r="AO530" i="13"/>
  <c r="AN530" i="13"/>
  <c r="AM530" i="13"/>
  <c r="AL530" i="13"/>
  <c r="AT529" i="13"/>
  <c r="AS529" i="13"/>
  <c r="AR529" i="13"/>
  <c r="AQ529" i="13"/>
  <c r="AP529" i="13"/>
  <c r="AO529" i="13"/>
  <c r="AN529" i="13"/>
  <c r="AM529" i="13"/>
  <c r="AL529" i="13"/>
  <c r="AT528" i="13"/>
  <c r="AS528" i="13"/>
  <c r="AR528" i="13"/>
  <c r="AQ528" i="13"/>
  <c r="AP528" i="13"/>
  <c r="AO528" i="13"/>
  <c r="AN528" i="13"/>
  <c r="AM528" i="13"/>
  <c r="AL528" i="13"/>
  <c r="AT527" i="13"/>
  <c r="AS527" i="13"/>
  <c r="AR527" i="13"/>
  <c r="AQ527" i="13"/>
  <c r="AP527" i="13"/>
  <c r="AO527" i="13"/>
  <c r="AN527" i="13"/>
  <c r="AM527" i="13"/>
  <c r="AL527" i="13"/>
  <c r="AT526" i="13"/>
  <c r="AS526" i="13"/>
  <c r="AR526" i="13"/>
  <c r="AQ526" i="13"/>
  <c r="AP526" i="13"/>
  <c r="AO526" i="13"/>
  <c r="AN526" i="13"/>
  <c r="AM526" i="13"/>
  <c r="AL526" i="13"/>
  <c r="AT525" i="13"/>
  <c r="AS525" i="13"/>
  <c r="AR525" i="13"/>
  <c r="AQ525" i="13"/>
  <c r="AP525" i="13"/>
  <c r="AO525" i="13"/>
  <c r="AN525" i="13"/>
  <c r="AM525" i="13"/>
  <c r="AL525" i="13"/>
  <c r="AT524" i="13"/>
  <c r="AS524" i="13"/>
  <c r="AR524" i="13"/>
  <c r="AQ524" i="13"/>
  <c r="AP524" i="13"/>
  <c r="AO524" i="13"/>
  <c r="AN524" i="13"/>
  <c r="AM524" i="13"/>
  <c r="AL524" i="13"/>
  <c r="AT523" i="13"/>
  <c r="AS523" i="13"/>
  <c r="AR523" i="13"/>
  <c r="AQ523" i="13"/>
  <c r="AP523" i="13"/>
  <c r="AO523" i="13"/>
  <c r="AN523" i="13"/>
  <c r="AM523" i="13"/>
  <c r="AL523" i="13"/>
  <c r="AT522" i="13"/>
  <c r="AS522" i="13"/>
  <c r="AR522" i="13"/>
  <c r="AQ522" i="13"/>
  <c r="AP522" i="13"/>
  <c r="AO522" i="13"/>
  <c r="AN522" i="13"/>
  <c r="AM522" i="13"/>
  <c r="AL522" i="13"/>
  <c r="AT521" i="13"/>
  <c r="AS521" i="13"/>
  <c r="AR521" i="13"/>
  <c r="AQ521" i="13"/>
  <c r="AP521" i="13"/>
  <c r="AO521" i="13"/>
  <c r="AN521" i="13"/>
  <c r="AM521" i="13"/>
  <c r="AL521" i="13"/>
  <c r="AT520" i="13"/>
  <c r="AS520" i="13"/>
  <c r="AR520" i="13"/>
  <c r="AQ520" i="13"/>
  <c r="AP520" i="13"/>
  <c r="AO520" i="13"/>
  <c r="AN520" i="13"/>
  <c r="AM520" i="13"/>
  <c r="AL520" i="13"/>
  <c r="AT519" i="13"/>
  <c r="AS519" i="13"/>
  <c r="AR519" i="13"/>
  <c r="AQ519" i="13"/>
  <c r="AP519" i="13"/>
  <c r="AO519" i="13"/>
  <c r="AN519" i="13"/>
  <c r="AM519" i="13"/>
  <c r="AL519" i="13"/>
  <c r="AT518" i="13"/>
  <c r="AS518" i="13"/>
  <c r="AR518" i="13"/>
  <c r="AQ518" i="13"/>
  <c r="AP518" i="13"/>
  <c r="AO518" i="13"/>
  <c r="AN518" i="13"/>
  <c r="AM518" i="13"/>
  <c r="AL518" i="13"/>
  <c r="AT517" i="13"/>
  <c r="AS517" i="13"/>
  <c r="AR517" i="13"/>
  <c r="AQ517" i="13"/>
  <c r="AP517" i="13"/>
  <c r="AO517" i="13"/>
  <c r="AN517" i="13"/>
  <c r="AM517" i="13"/>
  <c r="AL517" i="13"/>
  <c r="AT516" i="13"/>
  <c r="AS516" i="13"/>
  <c r="AR516" i="13"/>
  <c r="AQ516" i="13"/>
  <c r="AP516" i="13"/>
  <c r="AO516" i="13"/>
  <c r="AN516" i="13"/>
  <c r="AM516" i="13"/>
  <c r="AL516" i="13"/>
  <c r="AT515" i="13"/>
  <c r="AS515" i="13"/>
  <c r="AR515" i="13"/>
  <c r="AQ515" i="13"/>
  <c r="AP515" i="13"/>
  <c r="AO515" i="13"/>
  <c r="AN515" i="13"/>
  <c r="AM515" i="13"/>
  <c r="AL515" i="13"/>
  <c r="AT514" i="13"/>
  <c r="AS514" i="13"/>
  <c r="AR514" i="13"/>
  <c r="AQ514" i="13"/>
  <c r="AP514" i="13"/>
  <c r="AO514" i="13"/>
  <c r="AN514" i="13"/>
  <c r="AM514" i="13"/>
  <c r="AL514" i="13"/>
  <c r="AT513" i="13"/>
  <c r="AS513" i="13"/>
  <c r="AR513" i="13"/>
  <c r="AQ513" i="13"/>
  <c r="AP513" i="13"/>
  <c r="AO513" i="13"/>
  <c r="AN513" i="13"/>
  <c r="AM513" i="13"/>
  <c r="AL513" i="13"/>
  <c r="AT512" i="13"/>
  <c r="AS512" i="13"/>
  <c r="AR512" i="13"/>
  <c r="AQ512" i="13"/>
  <c r="AP512" i="13"/>
  <c r="AO512" i="13"/>
  <c r="AN512" i="13"/>
  <c r="AM512" i="13"/>
  <c r="AL512" i="13"/>
  <c r="AT511" i="13"/>
  <c r="AS511" i="13"/>
  <c r="AR511" i="13"/>
  <c r="AQ511" i="13"/>
  <c r="AP511" i="13"/>
  <c r="AO511" i="13"/>
  <c r="AN511" i="13"/>
  <c r="AM511" i="13"/>
  <c r="AL511" i="13"/>
  <c r="AT510" i="13"/>
  <c r="AS510" i="13"/>
  <c r="AR510" i="13"/>
  <c r="AQ510" i="13"/>
  <c r="AP510" i="13"/>
  <c r="AO510" i="13"/>
  <c r="AN510" i="13"/>
  <c r="AM510" i="13"/>
  <c r="AL510" i="13"/>
  <c r="AT509" i="13"/>
  <c r="AS509" i="13"/>
  <c r="AR509" i="13"/>
  <c r="AQ509" i="13"/>
  <c r="AP509" i="13"/>
  <c r="AO509" i="13"/>
  <c r="AN509" i="13"/>
  <c r="AM509" i="13"/>
  <c r="AL509" i="13"/>
  <c r="AT508" i="13"/>
  <c r="AS508" i="13"/>
  <c r="AR508" i="13"/>
  <c r="AQ508" i="13"/>
  <c r="AP508" i="13"/>
  <c r="AO508" i="13"/>
  <c r="AN508" i="13"/>
  <c r="AM508" i="13"/>
  <c r="AL508" i="13"/>
  <c r="AT507" i="13"/>
  <c r="AS507" i="13"/>
  <c r="AR507" i="13"/>
  <c r="AQ507" i="13"/>
  <c r="AP507" i="13"/>
  <c r="AO507" i="13"/>
  <c r="AN507" i="13"/>
  <c r="AM507" i="13"/>
  <c r="AL507" i="13"/>
  <c r="AT506" i="13"/>
  <c r="AS506" i="13"/>
  <c r="AR506" i="13"/>
  <c r="AQ506" i="13"/>
  <c r="AP506" i="13"/>
  <c r="AO506" i="13"/>
  <c r="AN506" i="13"/>
  <c r="AM506" i="13"/>
  <c r="AL506" i="13"/>
  <c r="AT505" i="13"/>
  <c r="AS505" i="13"/>
  <c r="AR505" i="13"/>
  <c r="AQ505" i="13"/>
  <c r="AP505" i="13"/>
  <c r="AO505" i="13"/>
  <c r="AN505" i="13"/>
  <c r="AM505" i="13"/>
  <c r="AL505" i="13"/>
  <c r="AT504" i="13"/>
  <c r="AS504" i="13"/>
  <c r="AR504" i="13"/>
  <c r="AQ504" i="13"/>
  <c r="AP504" i="13"/>
  <c r="AO504" i="13"/>
  <c r="AN504" i="13"/>
  <c r="AM504" i="13"/>
  <c r="AL504" i="13"/>
  <c r="AT503" i="13"/>
  <c r="AS503" i="13"/>
  <c r="AR503" i="13"/>
  <c r="AQ503" i="13"/>
  <c r="AP503" i="13"/>
  <c r="AO503" i="13"/>
  <c r="AN503" i="13"/>
  <c r="AM503" i="13"/>
  <c r="AL503" i="13"/>
  <c r="AT502" i="13"/>
  <c r="AS502" i="13"/>
  <c r="AR502" i="13"/>
  <c r="AQ502" i="13"/>
  <c r="AP502" i="13"/>
  <c r="AO502" i="13"/>
  <c r="AN502" i="13"/>
  <c r="AM502" i="13"/>
  <c r="AL502" i="13"/>
  <c r="AT501" i="13"/>
  <c r="AS501" i="13"/>
  <c r="AR501" i="13"/>
  <c r="AQ501" i="13"/>
  <c r="AP501" i="13"/>
  <c r="AO501" i="13"/>
  <c r="AN501" i="13"/>
  <c r="AM501" i="13"/>
  <c r="AL501" i="13"/>
  <c r="AT500" i="13"/>
  <c r="AS500" i="13"/>
  <c r="AR500" i="13"/>
  <c r="AQ500" i="13"/>
  <c r="AP500" i="13"/>
  <c r="AO500" i="13"/>
  <c r="AN500" i="13"/>
  <c r="AM500" i="13"/>
  <c r="AL500" i="13"/>
  <c r="AT499" i="13"/>
  <c r="AS499" i="13"/>
  <c r="AR499" i="13"/>
  <c r="AQ499" i="13"/>
  <c r="AP499" i="13"/>
  <c r="AO499" i="13"/>
  <c r="AN499" i="13"/>
  <c r="AM499" i="13"/>
  <c r="AL499" i="13"/>
  <c r="AT498" i="13"/>
  <c r="AS498" i="13"/>
  <c r="AR498" i="13"/>
  <c r="AQ498" i="13"/>
  <c r="AP498" i="13"/>
  <c r="AO498" i="13"/>
  <c r="AN498" i="13"/>
  <c r="AM498" i="13"/>
  <c r="AL498" i="13"/>
  <c r="AT497" i="13"/>
  <c r="AS497" i="13"/>
  <c r="AR497" i="13"/>
  <c r="AQ497" i="13"/>
  <c r="AP497" i="13"/>
  <c r="AO497" i="13"/>
  <c r="AN497" i="13"/>
  <c r="AM497" i="13"/>
  <c r="AL497" i="13"/>
  <c r="AT496" i="13"/>
  <c r="AS496" i="13"/>
  <c r="AR496" i="13"/>
  <c r="AQ496" i="13"/>
  <c r="AP496" i="13"/>
  <c r="AO496" i="13"/>
  <c r="AN496" i="13"/>
  <c r="AM496" i="13"/>
  <c r="AL496" i="13"/>
  <c r="AT495" i="13"/>
  <c r="AS495" i="13"/>
  <c r="AR495" i="13"/>
  <c r="AQ495" i="13"/>
  <c r="AP495" i="13"/>
  <c r="AO495" i="13"/>
  <c r="AN495" i="13"/>
  <c r="AM495" i="13"/>
  <c r="AL495" i="13"/>
  <c r="AT494" i="13"/>
  <c r="AS494" i="13"/>
  <c r="AR494" i="13"/>
  <c r="AQ494" i="13"/>
  <c r="AP494" i="13"/>
  <c r="AO494" i="13"/>
  <c r="AN494" i="13"/>
  <c r="AM494" i="13"/>
  <c r="AL494" i="13"/>
  <c r="AT493" i="13"/>
  <c r="AS493" i="13"/>
  <c r="AR493" i="13"/>
  <c r="AQ493" i="13"/>
  <c r="AP493" i="13"/>
  <c r="AO493" i="13"/>
  <c r="AN493" i="13"/>
  <c r="AM493" i="13"/>
  <c r="AL493" i="13"/>
  <c r="AT492" i="13"/>
  <c r="AS492" i="13"/>
  <c r="AR492" i="13"/>
  <c r="AQ492" i="13"/>
  <c r="AP492" i="13"/>
  <c r="AO492" i="13"/>
  <c r="AN492" i="13"/>
  <c r="AM492" i="13"/>
  <c r="AL492" i="13"/>
  <c r="AT491" i="13"/>
  <c r="AS491" i="13"/>
  <c r="AR491" i="13"/>
  <c r="AQ491" i="13"/>
  <c r="AP491" i="13"/>
  <c r="AO491" i="13"/>
  <c r="AN491" i="13"/>
  <c r="AM491" i="13"/>
  <c r="AL491" i="13"/>
  <c r="AT490" i="13"/>
  <c r="AS490" i="13"/>
  <c r="AR490" i="13"/>
  <c r="AQ490" i="13"/>
  <c r="AP490" i="13"/>
  <c r="AO490" i="13"/>
  <c r="AN490" i="13"/>
  <c r="AM490" i="13"/>
  <c r="AL490" i="13"/>
  <c r="AT489" i="13"/>
  <c r="AS489" i="13"/>
  <c r="AR489" i="13"/>
  <c r="AQ489" i="13"/>
  <c r="AP489" i="13"/>
  <c r="AO489" i="13"/>
  <c r="AN489" i="13"/>
  <c r="AM489" i="13"/>
  <c r="AL489" i="13"/>
  <c r="AT488" i="13"/>
  <c r="AS488" i="13"/>
  <c r="AR488" i="13"/>
  <c r="AQ488" i="13"/>
  <c r="AP488" i="13"/>
  <c r="AO488" i="13"/>
  <c r="AN488" i="13"/>
  <c r="AM488" i="13"/>
  <c r="AL488" i="13"/>
  <c r="AT487" i="13"/>
  <c r="AS487" i="13"/>
  <c r="AR487" i="13"/>
  <c r="AQ487" i="13"/>
  <c r="AP487" i="13"/>
  <c r="AO487" i="13"/>
  <c r="AN487" i="13"/>
  <c r="AM487" i="13"/>
  <c r="AL487" i="13"/>
  <c r="AT486" i="13"/>
  <c r="AS486" i="13"/>
  <c r="AR486" i="13"/>
  <c r="AQ486" i="13"/>
  <c r="AP486" i="13"/>
  <c r="AO486" i="13"/>
  <c r="AN486" i="13"/>
  <c r="AM486" i="13"/>
  <c r="AL486" i="13"/>
  <c r="AT485" i="13"/>
  <c r="AS485" i="13"/>
  <c r="AR485" i="13"/>
  <c r="AQ485" i="13"/>
  <c r="AP485" i="13"/>
  <c r="AO485" i="13"/>
  <c r="AN485" i="13"/>
  <c r="AM485" i="13"/>
  <c r="AL485" i="13"/>
  <c r="AT484" i="13"/>
  <c r="AS484" i="13"/>
  <c r="AR484" i="13"/>
  <c r="AQ484" i="13"/>
  <c r="AP484" i="13"/>
  <c r="AO484" i="13"/>
  <c r="AN484" i="13"/>
  <c r="AM484" i="13"/>
  <c r="AL484" i="13"/>
  <c r="AT483" i="13"/>
  <c r="AS483" i="13"/>
  <c r="AR483" i="13"/>
  <c r="AQ483" i="13"/>
  <c r="AP483" i="13"/>
  <c r="AO483" i="13"/>
  <c r="AN483" i="13"/>
  <c r="AM483" i="13"/>
  <c r="AL483" i="13"/>
  <c r="AT482" i="13"/>
  <c r="AS482" i="13"/>
  <c r="AR482" i="13"/>
  <c r="AQ482" i="13"/>
  <c r="AP482" i="13"/>
  <c r="AO482" i="13"/>
  <c r="AN482" i="13"/>
  <c r="AM482" i="13"/>
  <c r="AL482" i="13"/>
  <c r="AT481" i="13"/>
  <c r="AS481" i="13"/>
  <c r="AR481" i="13"/>
  <c r="AQ481" i="13"/>
  <c r="AP481" i="13"/>
  <c r="AO481" i="13"/>
  <c r="AN481" i="13"/>
  <c r="AM481" i="13"/>
  <c r="AL481" i="13"/>
  <c r="AT480" i="13"/>
  <c r="AS480" i="13"/>
  <c r="AR480" i="13"/>
  <c r="AQ480" i="13"/>
  <c r="AP480" i="13"/>
  <c r="AO480" i="13"/>
  <c r="AN480" i="13"/>
  <c r="AM480" i="13"/>
  <c r="AL480" i="13"/>
  <c r="AT479" i="13"/>
  <c r="AS479" i="13"/>
  <c r="AR479" i="13"/>
  <c r="AQ479" i="13"/>
  <c r="AP479" i="13"/>
  <c r="AO479" i="13"/>
  <c r="AN479" i="13"/>
  <c r="AM479" i="13"/>
  <c r="AL479" i="13"/>
  <c r="AT478" i="13"/>
  <c r="AS478" i="13"/>
  <c r="AR478" i="13"/>
  <c r="AQ478" i="13"/>
  <c r="AP478" i="13"/>
  <c r="AO478" i="13"/>
  <c r="AN478" i="13"/>
  <c r="AM478" i="13"/>
  <c r="AL478" i="13"/>
  <c r="AT477" i="13"/>
  <c r="AR477" i="13"/>
  <c r="AQ477" i="13"/>
  <c r="AP477" i="13"/>
  <c r="AO477" i="13"/>
  <c r="AN477" i="13"/>
  <c r="AM477" i="13"/>
  <c r="AL477" i="13"/>
  <c r="AT476" i="13"/>
  <c r="AR476" i="13"/>
  <c r="AQ476" i="13"/>
  <c r="AP476" i="13"/>
  <c r="AO476" i="13"/>
  <c r="AN476" i="13"/>
  <c r="AM476" i="13"/>
  <c r="AL476" i="13"/>
  <c r="AT475" i="13"/>
  <c r="AR475" i="13"/>
  <c r="AQ475" i="13"/>
  <c r="AP475" i="13"/>
  <c r="AO475" i="13"/>
  <c r="AN475" i="13"/>
  <c r="AM475" i="13"/>
  <c r="AL475" i="13"/>
  <c r="AT474" i="13"/>
  <c r="AR474" i="13"/>
  <c r="AQ474" i="13"/>
  <c r="AP474" i="13"/>
  <c r="AO474" i="13"/>
  <c r="AN474" i="13"/>
  <c r="AM474" i="13"/>
  <c r="AL474" i="13"/>
  <c r="AT473" i="13"/>
  <c r="AR473" i="13"/>
  <c r="AQ473" i="13"/>
  <c r="AP473" i="13"/>
  <c r="AO473" i="13"/>
  <c r="AN473" i="13"/>
  <c r="AM473" i="13"/>
  <c r="AL473" i="13"/>
  <c r="AT472" i="13"/>
  <c r="AS472" i="13"/>
  <c r="AR472" i="13"/>
  <c r="AQ472" i="13"/>
  <c r="AP472" i="13"/>
  <c r="AO472" i="13"/>
  <c r="AN472" i="13"/>
  <c r="AM472" i="13"/>
  <c r="AL472" i="13"/>
  <c r="AT471" i="13"/>
  <c r="AS471" i="13"/>
  <c r="AR471" i="13"/>
  <c r="AQ471" i="13"/>
  <c r="AP471" i="13"/>
  <c r="AO471" i="13"/>
  <c r="AN471" i="13"/>
  <c r="AM471" i="13"/>
  <c r="AL471" i="13"/>
  <c r="AT470" i="13"/>
  <c r="AS470" i="13"/>
  <c r="AR470" i="13"/>
  <c r="AQ470" i="13"/>
  <c r="AP470" i="13"/>
  <c r="AO470" i="13"/>
  <c r="AN470" i="13"/>
  <c r="AM470" i="13"/>
  <c r="AL470" i="13"/>
  <c r="AT469" i="13"/>
  <c r="AS469" i="13"/>
  <c r="AR469" i="13"/>
  <c r="AQ469" i="13"/>
  <c r="AP469" i="13"/>
  <c r="AO469" i="13"/>
  <c r="AN469" i="13"/>
  <c r="AM469" i="13"/>
  <c r="AL469" i="13"/>
  <c r="AT468" i="13"/>
  <c r="AS468" i="13"/>
  <c r="AR468" i="13"/>
  <c r="AQ468" i="13"/>
  <c r="AP468" i="13"/>
  <c r="AO468" i="13"/>
  <c r="AN468" i="13"/>
  <c r="AM468" i="13"/>
  <c r="AL468" i="13"/>
  <c r="AT467" i="13"/>
  <c r="AS467" i="13"/>
  <c r="AR467" i="13"/>
  <c r="AQ467" i="13"/>
  <c r="AP467" i="13"/>
  <c r="AO467" i="13"/>
  <c r="AN467" i="13"/>
  <c r="AM467" i="13"/>
  <c r="AL467" i="13"/>
  <c r="AT466" i="13"/>
  <c r="AS466" i="13"/>
  <c r="AR466" i="13"/>
  <c r="AQ466" i="13"/>
  <c r="AP466" i="13"/>
  <c r="AO466" i="13"/>
  <c r="AN466" i="13"/>
  <c r="AM466" i="13"/>
  <c r="AL466" i="13"/>
  <c r="AT465" i="13"/>
  <c r="AS465" i="13"/>
  <c r="AR465" i="13"/>
  <c r="AQ465" i="13"/>
  <c r="AP465" i="13"/>
  <c r="AO465" i="13"/>
  <c r="AN465" i="13"/>
  <c r="AM465" i="13"/>
  <c r="AL465" i="13"/>
  <c r="AT464" i="13"/>
  <c r="AS464" i="13"/>
  <c r="AR464" i="13"/>
  <c r="AQ464" i="13"/>
  <c r="AP464" i="13"/>
  <c r="AO464" i="13"/>
  <c r="AN464" i="13"/>
  <c r="AM464" i="13"/>
  <c r="AL464" i="13"/>
  <c r="AT463" i="13"/>
  <c r="AS463" i="13"/>
  <c r="AR463" i="13"/>
  <c r="AQ463" i="13"/>
  <c r="AP463" i="13"/>
  <c r="AO463" i="13"/>
  <c r="AN463" i="13"/>
  <c r="AM463" i="13"/>
  <c r="AL463" i="13"/>
  <c r="AT462" i="13"/>
  <c r="AS462" i="13"/>
  <c r="AR462" i="13"/>
  <c r="AQ462" i="13"/>
  <c r="AP462" i="13"/>
  <c r="AO462" i="13"/>
  <c r="AN462" i="13"/>
  <c r="AM462" i="13"/>
  <c r="AL462" i="13"/>
  <c r="AT461" i="13"/>
  <c r="AS461" i="13"/>
  <c r="AR461" i="13"/>
  <c r="AQ461" i="13"/>
  <c r="AP461" i="13"/>
  <c r="AO461" i="13"/>
  <c r="AN461" i="13"/>
  <c r="AM461" i="13"/>
  <c r="AL461" i="13"/>
  <c r="AT460" i="13"/>
  <c r="AS460" i="13"/>
  <c r="AR460" i="13"/>
  <c r="AQ460" i="13"/>
  <c r="AP460" i="13"/>
  <c r="AO460" i="13"/>
  <c r="AN460" i="13"/>
  <c r="AM460" i="13"/>
  <c r="AL460" i="13"/>
  <c r="AT459" i="13"/>
  <c r="AS459" i="13"/>
  <c r="AR459" i="13"/>
  <c r="AQ459" i="13"/>
  <c r="AP459" i="13"/>
  <c r="AO459" i="13"/>
  <c r="AN459" i="13"/>
  <c r="AM459" i="13"/>
  <c r="AL459" i="13"/>
  <c r="AT458" i="13"/>
  <c r="AS458" i="13"/>
  <c r="AR458" i="13"/>
  <c r="AQ458" i="13"/>
  <c r="AP458" i="13"/>
  <c r="AO458" i="13"/>
  <c r="AN458" i="13"/>
  <c r="AM458" i="13"/>
  <c r="AL458" i="13"/>
  <c r="AT457" i="13"/>
  <c r="AS457" i="13"/>
  <c r="AR457" i="13"/>
  <c r="AQ457" i="13"/>
  <c r="AP457" i="13"/>
  <c r="AO457" i="13"/>
  <c r="AN457" i="13"/>
  <c r="AM457" i="13"/>
  <c r="AL457" i="13"/>
  <c r="AT456" i="13"/>
  <c r="AS456" i="13"/>
  <c r="AR456" i="13"/>
  <c r="AQ456" i="13"/>
  <c r="AP456" i="13"/>
  <c r="AO456" i="13"/>
  <c r="AN456" i="13"/>
  <c r="AM456" i="13"/>
  <c r="AL456" i="13"/>
  <c r="AT455" i="13"/>
  <c r="AS455" i="13"/>
  <c r="AR455" i="13"/>
  <c r="AQ455" i="13"/>
  <c r="AP455" i="13"/>
  <c r="AO455" i="13"/>
  <c r="AN455" i="13"/>
  <c r="AM455" i="13"/>
  <c r="AL455" i="13"/>
  <c r="AT454" i="13"/>
  <c r="AS454" i="13"/>
  <c r="AR454" i="13"/>
  <c r="AQ454" i="13"/>
  <c r="AP454" i="13"/>
  <c r="AO454" i="13"/>
  <c r="AN454" i="13"/>
  <c r="AM454" i="13"/>
  <c r="AL454" i="13"/>
  <c r="AT453" i="13"/>
  <c r="AS453" i="13"/>
  <c r="AR453" i="13"/>
  <c r="AQ453" i="13"/>
  <c r="AP453" i="13"/>
  <c r="AO453" i="13"/>
  <c r="AN453" i="13"/>
  <c r="AM453" i="13"/>
  <c r="AL453" i="13"/>
  <c r="AT452" i="13"/>
  <c r="AS452" i="13"/>
  <c r="AR452" i="13"/>
  <c r="AQ452" i="13"/>
  <c r="AP452" i="13"/>
  <c r="AO452" i="13"/>
  <c r="AN452" i="13"/>
  <c r="AM452" i="13"/>
  <c r="AL452" i="13"/>
  <c r="AT451" i="13"/>
  <c r="AS451" i="13"/>
  <c r="AR451" i="13"/>
  <c r="AQ451" i="13"/>
  <c r="AP451" i="13"/>
  <c r="AO451" i="13"/>
  <c r="AN451" i="13"/>
  <c r="AM451" i="13"/>
  <c r="AL451" i="13"/>
  <c r="AT450" i="13"/>
  <c r="AS450" i="13"/>
  <c r="AR450" i="13"/>
  <c r="AQ450" i="13"/>
  <c r="AP450" i="13"/>
  <c r="AO450" i="13"/>
  <c r="AN450" i="13"/>
  <c r="AM450" i="13"/>
  <c r="AL450" i="13"/>
  <c r="AT449" i="13"/>
  <c r="AS449" i="13"/>
  <c r="AR449" i="13"/>
  <c r="AQ449" i="13"/>
  <c r="AP449" i="13"/>
  <c r="AO449" i="13"/>
  <c r="AN449" i="13"/>
  <c r="AM449" i="13"/>
  <c r="AL449" i="13"/>
  <c r="AT448" i="13"/>
  <c r="AS448" i="13"/>
  <c r="AR448" i="13"/>
  <c r="AQ448" i="13"/>
  <c r="AP448" i="13"/>
  <c r="AO448" i="13"/>
  <c r="AN448" i="13"/>
  <c r="AM448" i="13"/>
  <c r="AL448" i="13"/>
  <c r="AT447" i="13"/>
  <c r="AS447" i="13"/>
  <c r="AR447" i="13"/>
  <c r="AQ447" i="13"/>
  <c r="AP447" i="13"/>
  <c r="AO447" i="13"/>
  <c r="AN447" i="13"/>
  <c r="AM447" i="13"/>
  <c r="AL447" i="13"/>
  <c r="AT446" i="13"/>
  <c r="AS446" i="13"/>
  <c r="AR446" i="13"/>
  <c r="AQ446" i="13"/>
  <c r="AP446" i="13"/>
  <c r="AO446" i="13"/>
  <c r="AN446" i="13"/>
  <c r="AM446" i="13"/>
  <c r="AL446" i="13"/>
  <c r="AT445" i="13"/>
  <c r="AS445" i="13"/>
  <c r="AR445" i="13"/>
  <c r="AQ445" i="13"/>
  <c r="AP445" i="13"/>
  <c r="AO445" i="13"/>
  <c r="AN445" i="13"/>
  <c r="AM445" i="13"/>
  <c r="AL445" i="13"/>
  <c r="AT444" i="13"/>
  <c r="AS444" i="13"/>
  <c r="AR444" i="13"/>
  <c r="AQ444" i="13"/>
  <c r="AP444" i="13"/>
  <c r="AO444" i="13"/>
  <c r="AN444" i="13"/>
  <c r="AM444" i="13"/>
  <c r="AL444" i="13"/>
  <c r="AT443" i="13"/>
  <c r="AS443" i="13"/>
  <c r="AR443" i="13"/>
  <c r="AQ443" i="13"/>
  <c r="AP443" i="13"/>
  <c r="AO443" i="13"/>
  <c r="AN443" i="13"/>
  <c r="AM443" i="13"/>
  <c r="AL443" i="13"/>
  <c r="AT442" i="13"/>
  <c r="AS442" i="13"/>
  <c r="AR442" i="13"/>
  <c r="AQ442" i="13"/>
  <c r="AP442" i="13"/>
  <c r="AO442" i="13"/>
  <c r="AN442" i="13"/>
  <c r="AM442" i="13"/>
  <c r="AL442" i="13"/>
  <c r="AT441" i="13"/>
  <c r="AS441" i="13"/>
  <c r="AR441" i="13"/>
  <c r="AQ441" i="13"/>
  <c r="AP441" i="13"/>
  <c r="AO441" i="13"/>
  <c r="AN441" i="13"/>
  <c r="AM441" i="13"/>
  <c r="AL441" i="13"/>
  <c r="AT440" i="13"/>
  <c r="AS440" i="13"/>
  <c r="AR440" i="13"/>
  <c r="AQ440" i="13"/>
  <c r="AP440" i="13"/>
  <c r="AO440" i="13"/>
  <c r="AN440" i="13"/>
  <c r="AM440" i="13"/>
  <c r="AL440" i="13"/>
  <c r="AT439" i="13"/>
  <c r="AS439" i="13"/>
  <c r="AR439" i="13"/>
  <c r="AQ439" i="13"/>
  <c r="AP439" i="13"/>
  <c r="AO439" i="13"/>
  <c r="AN439" i="13"/>
  <c r="AM439" i="13"/>
  <c r="AL439" i="13"/>
  <c r="AT438" i="13"/>
  <c r="AS438" i="13"/>
  <c r="AR438" i="13"/>
  <c r="AQ438" i="13"/>
  <c r="AP438" i="13"/>
  <c r="AO438" i="13"/>
  <c r="AN438" i="13"/>
  <c r="AM438" i="13"/>
  <c r="AL438" i="13"/>
  <c r="AT437" i="13"/>
  <c r="AS437" i="13"/>
  <c r="AR437" i="13"/>
  <c r="AQ437" i="13"/>
  <c r="AP437" i="13"/>
  <c r="AO437" i="13"/>
  <c r="AN437" i="13"/>
  <c r="AM437" i="13"/>
  <c r="AL437" i="13"/>
  <c r="AT436" i="13"/>
  <c r="AS436" i="13"/>
  <c r="AR436" i="13"/>
  <c r="AQ436" i="13"/>
  <c r="AP436" i="13"/>
  <c r="AO436" i="13"/>
  <c r="AN436" i="13"/>
  <c r="AM436" i="13"/>
  <c r="AL436" i="13"/>
  <c r="AT435" i="13"/>
  <c r="AS435" i="13"/>
  <c r="AR435" i="13"/>
  <c r="AQ435" i="13"/>
  <c r="AP435" i="13"/>
  <c r="AO435" i="13"/>
  <c r="AN435" i="13"/>
  <c r="AM435" i="13"/>
  <c r="AL435" i="13"/>
  <c r="AT434" i="13"/>
  <c r="AS434" i="13"/>
  <c r="AR434" i="13"/>
  <c r="AQ434" i="13"/>
  <c r="AP434" i="13"/>
  <c r="AO434" i="13"/>
  <c r="AN434" i="13"/>
  <c r="AM434" i="13"/>
  <c r="AL434" i="13"/>
  <c r="AT433" i="13"/>
  <c r="AS433" i="13"/>
  <c r="AR433" i="13"/>
  <c r="AQ433" i="13"/>
  <c r="AP433" i="13"/>
  <c r="AO433" i="13"/>
  <c r="AN433" i="13"/>
  <c r="AM433" i="13"/>
  <c r="AL433" i="13"/>
  <c r="AT432" i="13"/>
  <c r="AS432" i="13"/>
  <c r="AR432" i="13"/>
  <c r="AQ432" i="13"/>
  <c r="AP432" i="13"/>
  <c r="AO432" i="13"/>
  <c r="AN432" i="13"/>
  <c r="AM432" i="13"/>
  <c r="AL432" i="13"/>
  <c r="AT431" i="13"/>
  <c r="AS431" i="13"/>
  <c r="AR431" i="13"/>
  <c r="AQ431" i="13"/>
  <c r="AP431" i="13"/>
  <c r="AO431" i="13"/>
  <c r="AN431" i="13"/>
  <c r="AM431" i="13"/>
  <c r="AL431" i="13"/>
  <c r="AT430" i="13"/>
  <c r="AS430" i="13"/>
  <c r="AR430" i="13"/>
  <c r="AQ430" i="13"/>
  <c r="AP430" i="13"/>
  <c r="AO430" i="13"/>
  <c r="AN430" i="13"/>
  <c r="AM430" i="13"/>
  <c r="AL430" i="13"/>
  <c r="AT429" i="13"/>
  <c r="AS429" i="13"/>
  <c r="AR429" i="13"/>
  <c r="AQ429" i="13"/>
  <c r="AP429" i="13"/>
  <c r="AO429" i="13"/>
  <c r="AN429" i="13"/>
  <c r="AM429" i="13"/>
  <c r="AL429" i="13"/>
  <c r="AT428" i="13"/>
  <c r="AS428" i="13"/>
  <c r="AR428" i="13"/>
  <c r="AQ428" i="13"/>
  <c r="AP428" i="13"/>
  <c r="AO428" i="13"/>
  <c r="AN428" i="13"/>
  <c r="AM428" i="13"/>
  <c r="AL428" i="13"/>
  <c r="AT427" i="13"/>
  <c r="AS427" i="13"/>
  <c r="AR427" i="13"/>
  <c r="AQ427" i="13"/>
  <c r="AP427" i="13"/>
  <c r="AO427" i="13"/>
  <c r="AN427" i="13"/>
  <c r="AM427" i="13"/>
  <c r="AL427" i="13"/>
  <c r="AT426" i="13"/>
  <c r="AS426" i="13"/>
  <c r="AR426" i="13"/>
  <c r="AQ426" i="13"/>
  <c r="AP426" i="13"/>
  <c r="AO426" i="13"/>
  <c r="AN426" i="13"/>
  <c r="AM426" i="13"/>
  <c r="AL426" i="13"/>
  <c r="AT425" i="13"/>
  <c r="AS425" i="13"/>
  <c r="AR425" i="13"/>
  <c r="AQ425" i="13"/>
  <c r="AP425" i="13"/>
  <c r="AO425" i="13"/>
  <c r="AN425" i="13"/>
  <c r="AM425" i="13"/>
  <c r="AL425" i="13"/>
  <c r="AT424" i="13"/>
  <c r="AS424" i="13"/>
  <c r="AR424" i="13"/>
  <c r="AQ424" i="13"/>
  <c r="AP424" i="13"/>
  <c r="AO424" i="13"/>
  <c r="AN424" i="13"/>
  <c r="AM424" i="13"/>
  <c r="AL424" i="13"/>
  <c r="AT423" i="13"/>
  <c r="AS423" i="13"/>
  <c r="AR423" i="13"/>
  <c r="AQ423" i="13"/>
  <c r="AP423" i="13"/>
  <c r="AO423" i="13"/>
  <c r="AN423" i="13"/>
  <c r="AM423" i="13"/>
  <c r="AL423" i="13"/>
  <c r="AT422" i="13"/>
  <c r="AS422" i="13"/>
  <c r="AR422" i="13"/>
  <c r="AQ422" i="13"/>
  <c r="AP422" i="13"/>
  <c r="AO422" i="13"/>
  <c r="AN422" i="13"/>
  <c r="AM422" i="13"/>
  <c r="AL422" i="13"/>
  <c r="AT421" i="13"/>
  <c r="AS421" i="13"/>
  <c r="AR421" i="13"/>
  <c r="AQ421" i="13"/>
  <c r="AP421" i="13"/>
  <c r="AO421" i="13"/>
  <c r="AN421" i="13"/>
  <c r="AM421" i="13"/>
  <c r="AL421" i="13"/>
  <c r="AT420" i="13"/>
  <c r="AS420" i="13"/>
  <c r="AR420" i="13"/>
  <c r="AQ420" i="13"/>
  <c r="AP420" i="13"/>
  <c r="AO420" i="13"/>
  <c r="AN420" i="13"/>
  <c r="AM420" i="13"/>
  <c r="AL420" i="13"/>
  <c r="AT419" i="13"/>
  <c r="AS419" i="13"/>
  <c r="AR419" i="13"/>
  <c r="AQ419" i="13"/>
  <c r="AP419" i="13"/>
  <c r="AO419" i="13"/>
  <c r="AN419" i="13"/>
  <c r="AM419" i="13"/>
  <c r="AL419" i="13"/>
  <c r="AT418" i="13"/>
  <c r="AS418" i="13"/>
  <c r="AR418" i="13"/>
  <c r="AQ418" i="13"/>
  <c r="AP418" i="13"/>
  <c r="AO418" i="13"/>
  <c r="AN418" i="13"/>
  <c r="AM418" i="13"/>
  <c r="AL418" i="13"/>
  <c r="AT417" i="13"/>
  <c r="AS417" i="13"/>
  <c r="AR417" i="13"/>
  <c r="AQ417" i="13"/>
  <c r="AP417" i="13"/>
  <c r="AO417" i="13"/>
  <c r="AN417" i="13"/>
  <c r="AM417" i="13"/>
  <c r="AL417" i="13"/>
  <c r="AT416" i="13"/>
  <c r="AS416" i="13"/>
  <c r="AR416" i="13"/>
  <c r="AQ416" i="13"/>
  <c r="AP416" i="13"/>
  <c r="AO416" i="13"/>
  <c r="AN416" i="13"/>
  <c r="AM416" i="13"/>
  <c r="AL416" i="13"/>
  <c r="AT415" i="13"/>
  <c r="AS415" i="13"/>
  <c r="AR415" i="13"/>
  <c r="AQ415" i="13"/>
  <c r="AP415" i="13"/>
  <c r="AO415" i="13"/>
  <c r="AN415" i="13"/>
  <c r="AM415" i="13"/>
  <c r="AL415" i="13"/>
  <c r="AT414" i="13"/>
  <c r="AS414" i="13"/>
  <c r="AR414" i="13"/>
  <c r="AQ414" i="13"/>
  <c r="AP414" i="13"/>
  <c r="AO414" i="13"/>
  <c r="AN414" i="13"/>
  <c r="AM414" i="13"/>
  <c r="AL414" i="13"/>
  <c r="AT413" i="13"/>
  <c r="AS413" i="13"/>
  <c r="AR413" i="13"/>
  <c r="AQ413" i="13"/>
  <c r="AP413" i="13"/>
  <c r="AO413" i="13"/>
  <c r="AN413" i="13"/>
  <c r="AM413" i="13"/>
  <c r="AL413" i="13"/>
  <c r="AT412" i="13"/>
  <c r="AS412" i="13"/>
  <c r="AR412" i="13"/>
  <c r="AQ412" i="13"/>
  <c r="AP412" i="13"/>
  <c r="AO412" i="13"/>
  <c r="AN412" i="13"/>
  <c r="AM412" i="13"/>
  <c r="AL412" i="13"/>
  <c r="AT411" i="13"/>
  <c r="AS411" i="13"/>
  <c r="AR411" i="13"/>
  <c r="AQ411" i="13"/>
  <c r="AP411" i="13"/>
  <c r="AO411" i="13"/>
  <c r="AN411" i="13"/>
  <c r="AM411" i="13"/>
  <c r="AL411" i="13"/>
  <c r="AT410" i="13"/>
  <c r="AS410" i="13"/>
  <c r="AR410" i="13"/>
  <c r="AQ410" i="13"/>
  <c r="AP410" i="13"/>
  <c r="AO410" i="13"/>
  <c r="AN410" i="13"/>
  <c r="AM410" i="13"/>
  <c r="AL410" i="13"/>
  <c r="AT409" i="13"/>
  <c r="AS409" i="13"/>
  <c r="AR409" i="13"/>
  <c r="AQ409" i="13"/>
  <c r="AP409" i="13"/>
  <c r="AO409" i="13"/>
  <c r="AN409" i="13"/>
  <c r="AM409" i="13"/>
  <c r="AL409" i="13"/>
  <c r="AT408" i="13"/>
  <c r="AS408" i="13"/>
  <c r="AR408" i="13"/>
  <c r="AQ408" i="13"/>
  <c r="AP408" i="13"/>
  <c r="AO408" i="13"/>
  <c r="AN408" i="13"/>
  <c r="AM408" i="13"/>
  <c r="AL408" i="13"/>
  <c r="AT407" i="13"/>
  <c r="AS407" i="13"/>
  <c r="AR407" i="13"/>
  <c r="AQ407" i="13"/>
  <c r="AP407" i="13"/>
  <c r="AO407" i="13"/>
  <c r="AN407" i="13"/>
  <c r="AM407" i="13"/>
  <c r="AL407" i="13"/>
  <c r="AT406" i="13"/>
  <c r="AS406" i="13"/>
  <c r="AR406" i="13"/>
  <c r="AQ406" i="13"/>
  <c r="AP406" i="13"/>
  <c r="AO406" i="13"/>
  <c r="AN406" i="13"/>
  <c r="AM406" i="13"/>
  <c r="AL406" i="13"/>
  <c r="AT405" i="13"/>
  <c r="AS405" i="13"/>
  <c r="AR405" i="13"/>
  <c r="AQ405" i="13"/>
  <c r="AP405" i="13"/>
  <c r="AO405" i="13"/>
  <c r="AN405" i="13"/>
  <c r="AM405" i="13"/>
  <c r="AL405" i="13"/>
  <c r="AT404" i="13"/>
  <c r="AS404" i="13"/>
  <c r="AR404" i="13"/>
  <c r="AQ404" i="13"/>
  <c r="AP404" i="13"/>
  <c r="AO404" i="13"/>
  <c r="AN404" i="13"/>
  <c r="AM404" i="13"/>
  <c r="AL404" i="13"/>
  <c r="AT403" i="13"/>
  <c r="AS403" i="13"/>
  <c r="AR403" i="13"/>
  <c r="AQ403" i="13"/>
  <c r="AP403" i="13"/>
  <c r="AO403" i="13"/>
  <c r="AN403" i="13"/>
  <c r="AM403" i="13"/>
  <c r="AL403" i="13"/>
  <c r="AT402" i="13"/>
  <c r="AS402" i="13"/>
  <c r="AR402" i="13"/>
  <c r="AQ402" i="13"/>
  <c r="AP402" i="13"/>
  <c r="AO402" i="13"/>
  <c r="AN402" i="13"/>
  <c r="AM402" i="13"/>
  <c r="AL402" i="13"/>
  <c r="AT401" i="13"/>
  <c r="AS401" i="13"/>
  <c r="AR401" i="13"/>
  <c r="AQ401" i="13"/>
  <c r="AP401" i="13"/>
  <c r="AO401" i="13"/>
  <c r="AN401" i="13"/>
  <c r="AM401" i="13"/>
  <c r="AL401" i="13"/>
  <c r="AT400" i="13"/>
  <c r="AS400" i="13"/>
  <c r="AR400" i="13"/>
  <c r="AQ400" i="13"/>
  <c r="AP400" i="13"/>
  <c r="AO400" i="13"/>
  <c r="AN400" i="13"/>
  <c r="AM400" i="13"/>
  <c r="AL400" i="13"/>
  <c r="AT399" i="13"/>
  <c r="AS399" i="13"/>
  <c r="AR399" i="13"/>
  <c r="AQ399" i="13"/>
  <c r="AP399" i="13"/>
  <c r="AO399" i="13"/>
  <c r="AN399" i="13"/>
  <c r="AM399" i="13"/>
  <c r="AL399" i="13"/>
  <c r="AT398" i="13"/>
  <c r="AS398" i="13"/>
  <c r="AR398" i="13"/>
  <c r="AQ398" i="13"/>
  <c r="AP398" i="13"/>
  <c r="AO398" i="13"/>
  <c r="AN398" i="13"/>
  <c r="AM398" i="13"/>
  <c r="AL398" i="13"/>
  <c r="AT397" i="13"/>
  <c r="AS397" i="13"/>
  <c r="AR397" i="13"/>
  <c r="AQ397" i="13"/>
  <c r="AP397" i="13"/>
  <c r="AO397" i="13"/>
  <c r="AN397" i="13"/>
  <c r="AM397" i="13"/>
  <c r="AL397" i="13"/>
  <c r="AT396" i="13"/>
  <c r="AS396" i="13"/>
  <c r="AR396" i="13"/>
  <c r="AQ396" i="13"/>
  <c r="AP396" i="13"/>
  <c r="AO396" i="13"/>
  <c r="AN396" i="13"/>
  <c r="AM396" i="13"/>
  <c r="AL396" i="13"/>
  <c r="AT395" i="13"/>
  <c r="AS395" i="13"/>
  <c r="AR395" i="13"/>
  <c r="AQ395" i="13"/>
  <c r="AP395" i="13"/>
  <c r="AO395" i="13"/>
  <c r="AN395" i="13"/>
  <c r="AM395" i="13"/>
  <c r="AL395" i="13"/>
  <c r="AT394" i="13"/>
  <c r="AS394" i="13"/>
  <c r="AR394" i="13"/>
  <c r="AQ394" i="13"/>
  <c r="AP394" i="13"/>
  <c r="AO394" i="13"/>
  <c r="AN394" i="13"/>
  <c r="AM394" i="13"/>
  <c r="AL394" i="13"/>
  <c r="AT393" i="13"/>
  <c r="AS393" i="13"/>
  <c r="AR393" i="13"/>
  <c r="AQ393" i="13"/>
  <c r="AP393" i="13"/>
  <c r="AO393" i="13"/>
  <c r="AN393" i="13"/>
  <c r="AM393" i="13"/>
  <c r="AL393" i="13"/>
  <c r="AT392" i="13"/>
  <c r="AS392" i="13"/>
  <c r="AR392" i="13"/>
  <c r="AQ392" i="13"/>
  <c r="AP392" i="13"/>
  <c r="AO392" i="13"/>
  <c r="AN392" i="13"/>
  <c r="AM392" i="13"/>
  <c r="AL392" i="13"/>
  <c r="AT391" i="13"/>
  <c r="AS391" i="13"/>
  <c r="AR391" i="13"/>
  <c r="AQ391" i="13"/>
  <c r="AP391" i="13"/>
  <c r="AO391" i="13"/>
  <c r="AN391" i="13"/>
  <c r="AM391" i="13"/>
  <c r="AL391" i="13"/>
  <c r="AT390" i="13"/>
  <c r="AS390" i="13"/>
  <c r="AR390" i="13"/>
  <c r="AQ390" i="13"/>
  <c r="AP390" i="13"/>
  <c r="AO390" i="13"/>
  <c r="AN390" i="13"/>
  <c r="AM390" i="13"/>
  <c r="AL390" i="13"/>
  <c r="AT389" i="13"/>
  <c r="AS389" i="13"/>
  <c r="AR389" i="13"/>
  <c r="AQ389" i="13"/>
  <c r="AP389" i="13"/>
  <c r="AO389" i="13"/>
  <c r="AN389" i="13"/>
  <c r="AM389" i="13"/>
  <c r="AL389" i="13"/>
  <c r="AT388" i="13"/>
  <c r="AS388" i="13"/>
  <c r="AR388" i="13"/>
  <c r="AQ388" i="13"/>
  <c r="AP388" i="13"/>
  <c r="AO388" i="13"/>
  <c r="AN388" i="13"/>
  <c r="AM388" i="13"/>
  <c r="AL388" i="13"/>
  <c r="AT387" i="13"/>
  <c r="AS387" i="13"/>
  <c r="AR387" i="13"/>
  <c r="AQ387" i="13"/>
  <c r="AP387" i="13"/>
  <c r="AO387" i="13"/>
  <c r="AN387" i="13"/>
  <c r="AM387" i="13"/>
  <c r="AL387" i="13"/>
  <c r="AT386" i="13"/>
  <c r="AS386" i="13"/>
  <c r="AR386" i="13"/>
  <c r="AQ386" i="13"/>
  <c r="AP386" i="13"/>
  <c r="AO386" i="13"/>
  <c r="AN386" i="13"/>
  <c r="AM386" i="13"/>
  <c r="AL386" i="13"/>
  <c r="AT385" i="13"/>
  <c r="AS385" i="13"/>
  <c r="AR385" i="13"/>
  <c r="AQ385" i="13"/>
  <c r="AP385" i="13"/>
  <c r="AO385" i="13"/>
  <c r="AN385" i="13"/>
  <c r="AM385" i="13"/>
  <c r="AL385" i="13"/>
  <c r="AT384" i="13"/>
  <c r="AS384" i="13"/>
  <c r="AR384" i="13"/>
  <c r="AQ384" i="13"/>
  <c r="AP384" i="13"/>
  <c r="AO384" i="13"/>
  <c r="AN384" i="13"/>
  <c r="AM384" i="13"/>
  <c r="AL384" i="13"/>
  <c r="AT383" i="13"/>
  <c r="AS383" i="13"/>
  <c r="AR383" i="13"/>
  <c r="AQ383" i="13"/>
  <c r="AP383" i="13"/>
  <c r="AO383" i="13"/>
  <c r="AN383" i="13"/>
  <c r="AM383" i="13"/>
  <c r="AL383" i="13"/>
  <c r="AT382" i="13"/>
  <c r="AS382" i="13"/>
  <c r="AR382" i="13"/>
  <c r="AQ382" i="13"/>
  <c r="AP382" i="13"/>
  <c r="AO382" i="13"/>
  <c r="AN382" i="13"/>
  <c r="AM382" i="13"/>
  <c r="AL382" i="13"/>
  <c r="AT381" i="13"/>
  <c r="AS381" i="13"/>
  <c r="AR381" i="13"/>
  <c r="AQ381" i="13"/>
  <c r="AP381" i="13"/>
  <c r="AO381" i="13"/>
  <c r="AN381" i="13"/>
  <c r="AM381" i="13"/>
  <c r="AL381" i="13"/>
  <c r="AT380" i="13"/>
  <c r="AS380" i="13"/>
  <c r="AR380" i="13"/>
  <c r="AQ380" i="13"/>
  <c r="AP380" i="13"/>
  <c r="AO380" i="13"/>
  <c r="AN380" i="13"/>
  <c r="AM380" i="13"/>
  <c r="AL380" i="13"/>
  <c r="AT379" i="13"/>
  <c r="AS379" i="13"/>
  <c r="AR379" i="13"/>
  <c r="AQ379" i="13"/>
  <c r="AP379" i="13"/>
  <c r="AO379" i="13"/>
  <c r="AN379" i="13"/>
  <c r="AM379" i="13"/>
  <c r="AL379" i="13"/>
  <c r="AT378" i="13"/>
  <c r="AS378" i="13"/>
  <c r="AR378" i="13"/>
  <c r="AQ378" i="13"/>
  <c r="AP378" i="13"/>
  <c r="AO378" i="13"/>
  <c r="AN378" i="13"/>
  <c r="AM378" i="13"/>
  <c r="AL378" i="13"/>
  <c r="AT377" i="13"/>
  <c r="AS377" i="13"/>
  <c r="AR377" i="13"/>
  <c r="AQ377" i="13"/>
  <c r="AP377" i="13"/>
  <c r="AO377" i="13"/>
  <c r="AN377" i="13"/>
  <c r="AM377" i="13"/>
  <c r="AL377" i="13"/>
  <c r="AT376" i="13"/>
  <c r="AS376" i="13"/>
  <c r="AR376" i="13"/>
  <c r="AQ376" i="13"/>
  <c r="AP376" i="13"/>
  <c r="AO376" i="13"/>
  <c r="AN376" i="13"/>
  <c r="AM376" i="13"/>
  <c r="AL376" i="13"/>
  <c r="AT375" i="13"/>
  <c r="AS375" i="13"/>
  <c r="AR375" i="13"/>
  <c r="AQ375" i="13"/>
  <c r="AP375" i="13"/>
  <c r="AO375" i="13"/>
  <c r="AN375" i="13"/>
  <c r="AM375" i="13"/>
  <c r="AL375" i="13"/>
  <c r="AT374" i="13"/>
  <c r="AS374" i="13"/>
  <c r="AR374" i="13"/>
  <c r="AQ374" i="13"/>
  <c r="AP374" i="13"/>
  <c r="AO374" i="13"/>
  <c r="AN374" i="13"/>
  <c r="AM374" i="13"/>
  <c r="AL374" i="13"/>
  <c r="AT373" i="13"/>
  <c r="AS373" i="13"/>
  <c r="AR373" i="13"/>
  <c r="AQ373" i="13"/>
  <c r="AP373" i="13"/>
  <c r="AO373" i="13"/>
  <c r="AN373" i="13"/>
  <c r="AM373" i="13"/>
  <c r="AL373" i="13"/>
  <c r="AT372" i="13"/>
  <c r="AS372" i="13"/>
  <c r="AR372" i="13"/>
  <c r="AQ372" i="13"/>
  <c r="AP372" i="13"/>
  <c r="AO372" i="13"/>
  <c r="AN372" i="13"/>
  <c r="AM372" i="13"/>
  <c r="AL372" i="13"/>
  <c r="AT371" i="13"/>
  <c r="AS371" i="13"/>
  <c r="AR371" i="13"/>
  <c r="AQ371" i="13"/>
  <c r="AP371" i="13"/>
  <c r="AO371" i="13"/>
  <c r="AN371" i="13"/>
  <c r="AM371" i="13"/>
  <c r="AL371" i="13"/>
  <c r="AT370" i="13"/>
  <c r="AS370" i="13"/>
  <c r="AR370" i="13"/>
  <c r="AQ370" i="13"/>
  <c r="AP370" i="13"/>
  <c r="AO370" i="13"/>
  <c r="AN370" i="13"/>
  <c r="AM370" i="13"/>
  <c r="AL370" i="13"/>
  <c r="AT369" i="13"/>
  <c r="AS369" i="13"/>
  <c r="AR369" i="13"/>
  <c r="AQ369" i="13"/>
  <c r="AP369" i="13"/>
  <c r="AO369" i="13"/>
  <c r="AN369" i="13"/>
  <c r="AM369" i="13"/>
  <c r="AL369" i="13"/>
  <c r="AT368" i="13"/>
  <c r="AS368" i="13"/>
  <c r="AR368" i="13"/>
  <c r="AQ368" i="13"/>
  <c r="AP368" i="13"/>
  <c r="AO368" i="13"/>
  <c r="AN368" i="13"/>
  <c r="AM368" i="13"/>
  <c r="AL368" i="13"/>
  <c r="AT367" i="13"/>
  <c r="AS367" i="13"/>
  <c r="AR367" i="13"/>
  <c r="AQ367" i="13"/>
  <c r="AP367" i="13"/>
  <c r="AO367" i="13"/>
  <c r="AN367" i="13"/>
  <c r="AM367" i="13"/>
  <c r="AL367" i="13"/>
  <c r="AT366" i="13"/>
  <c r="AS366" i="13"/>
  <c r="AR366" i="13"/>
  <c r="AQ366" i="13"/>
  <c r="AP366" i="13"/>
  <c r="AO366" i="13"/>
  <c r="AN366" i="13"/>
  <c r="AM366" i="13"/>
  <c r="AL366" i="13"/>
  <c r="AT365" i="13"/>
  <c r="AS365" i="13"/>
  <c r="AR365" i="13"/>
  <c r="AQ365" i="13"/>
  <c r="AP365" i="13"/>
  <c r="AO365" i="13"/>
  <c r="AN365" i="13"/>
  <c r="AM365" i="13"/>
  <c r="AL365" i="13"/>
  <c r="AT364" i="13"/>
  <c r="AS364" i="13"/>
  <c r="AR364" i="13"/>
  <c r="AQ364" i="13"/>
  <c r="AP364" i="13"/>
  <c r="AO364" i="13"/>
  <c r="AN364" i="13"/>
  <c r="AM364" i="13"/>
  <c r="AL364" i="13"/>
  <c r="AT363" i="13"/>
  <c r="AS363" i="13"/>
  <c r="AR363" i="13"/>
  <c r="AQ363" i="13"/>
  <c r="AP363" i="13"/>
  <c r="AO363" i="13"/>
  <c r="AN363" i="13"/>
  <c r="AM363" i="13"/>
  <c r="AL363" i="13"/>
  <c r="AT362" i="13"/>
  <c r="AS362" i="13"/>
  <c r="AR362" i="13"/>
  <c r="AQ362" i="13"/>
  <c r="AP362" i="13"/>
  <c r="AO362" i="13"/>
  <c r="AN362" i="13"/>
  <c r="AM362" i="13"/>
  <c r="AL362" i="13"/>
  <c r="AT361" i="13"/>
  <c r="AS361" i="13"/>
  <c r="AR361" i="13"/>
  <c r="AQ361" i="13"/>
  <c r="AP361" i="13"/>
  <c r="AO361" i="13"/>
  <c r="AN361" i="13"/>
  <c r="AM361" i="13"/>
  <c r="AL361" i="13"/>
  <c r="AT360" i="13"/>
  <c r="AS360" i="13"/>
  <c r="AR360" i="13"/>
  <c r="AQ360" i="13"/>
  <c r="AP360" i="13"/>
  <c r="AO360" i="13"/>
  <c r="AN360" i="13"/>
  <c r="AM360" i="13"/>
  <c r="AL360" i="13"/>
  <c r="AT359" i="13"/>
  <c r="AS359" i="13"/>
  <c r="AR359" i="13"/>
  <c r="AQ359" i="13"/>
  <c r="AP359" i="13"/>
  <c r="AO359" i="13"/>
  <c r="AN359" i="13"/>
  <c r="AM359" i="13"/>
  <c r="AL359" i="13"/>
  <c r="AT358" i="13"/>
  <c r="AS358" i="13"/>
  <c r="AR358" i="13"/>
  <c r="AQ358" i="13"/>
  <c r="AP358" i="13"/>
  <c r="AO358" i="13"/>
  <c r="AN358" i="13"/>
  <c r="AM358" i="13"/>
  <c r="AL358" i="13"/>
  <c r="AT357" i="13"/>
  <c r="AS357" i="13"/>
  <c r="AR357" i="13"/>
  <c r="AQ357" i="13"/>
  <c r="AP357" i="13"/>
  <c r="AO357" i="13"/>
  <c r="AN357" i="13"/>
  <c r="AM357" i="13"/>
  <c r="AL357" i="13"/>
  <c r="AT356" i="13"/>
  <c r="AS356" i="13"/>
  <c r="AR356" i="13"/>
  <c r="AQ356" i="13"/>
  <c r="AP356" i="13"/>
  <c r="AO356" i="13"/>
  <c r="AN356" i="13"/>
  <c r="AM356" i="13"/>
  <c r="AL356" i="13"/>
  <c r="AT355" i="13"/>
  <c r="AS355" i="13"/>
  <c r="AR355" i="13"/>
  <c r="AQ355" i="13"/>
  <c r="AP355" i="13"/>
  <c r="AO355" i="13"/>
  <c r="AN355" i="13"/>
  <c r="AM355" i="13"/>
  <c r="AL355" i="13"/>
  <c r="AT354" i="13"/>
  <c r="AS354" i="13"/>
  <c r="AR354" i="13"/>
  <c r="AQ354" i="13"/>
  <c r="AP354" i="13"/>
  <c r="AO354" i="13"/>
  <c r="AN354" i="13"/>
  <c r="AM354" i="13"/>
  <c r="AL354" i="13"/>
  <c r="AT353" i="13"/>
  <c r="AS353" i="13"/>
  <c r="AR353" i="13"/>
  <c r="AQ353" i="13"/>
  <c r="AP353" i="13"/>
  <c r="AO353" i="13"/>
  <c r="AN353" i="13"/>
  <c r="AM353" i="13"/>
  <c r="AL353" i="13"/>
  <c r="AT352" i="13"/>
  <c r="AS352" i="13"/>
  <c r="AR352" i="13"/>
  <c r="AQ352" i="13"/>
  <c r="AP352" i="13"/>
  <c r="AO352" i="13"/>
  <c r="AN352" i="13"/>
  <c r="AM352" i="13"/>
  <c r="AL352" i="13"/>
  <c r="AT351" i="13"/>
  <c r="AS351" i="13"/>
  <c r="AR351" i="13"/>
  <c r="AQ351" i="13"/>
  <c r="AP351" i="13"/>
  <c r="AO351" i="13"/>
  <c r="AN351" i="13"/>
  <c r="AM351" i="13"/>
  <c r="AL351" i="13"/>
  <c r="AT350" i="13"/>
  <c r="AS350" i="13"/>
  <c r="AR350" i="13"/>
  <c r="AQ350" i="13"/>
  <c r="AP350" i="13"/>
  <c r="AO350" i="13"/>
  <c r="AN350" i="13"/>
  <c r="AM350" i="13"/>
  <c r="AL350" i="13"/>
  <c r="AT349" i="13"/>
  <c r="AS349" i="13"/>
  <c r="AR349" i="13"/>
  <c r="AQ349" i="13"/>
  <c r="AP349" i="13"/>
  <c r="AO349" i="13"/>
  <c r="AN349" i="13"/>
  <c r="AM349" i="13"/>
  <c r="AL349" i="13"/>
  <c r="AT348" i="13"/>
  <c r="AS348" i="13"/>
  <c r="AR348" i="13"/>
  <c r="AQ348" i="13"/>
  <c r="AP348" i="13"/>
  <c r="AO348" i="13"/>
  <c r="AN348" i="13"/>
  <c r="AM348" i="13"/>
  <c r="AL348" i="13"/>
  <c r="AT347" i="13"/>
  <c r="AS347" i="13"/>
  <c r="AR347" i="13"/>
  <c r="AQ347" i="13"/>
  <c r="AP347" i="13"/>
  <c r="AO347" i="13"/>
  <c r="AN347" i="13"/>
  <c r="AM347" i="13"/>
  <c r="AL347" i="13"/>
  <c r="AT346" i="13"/>
  <c r="AS346" i="13"/>
  <c r="AR346" i="13"/>
  <c r="AQ346" i="13"/>
  <c r="AP346" i="13"/>
  <c r="AO346" i="13"/>
  <c r="AN346" i="13"/>
  <c r="AM346" i="13"/>
  <c r="AL346" i="13"/>
  <c r="AT345" i="13"/>
  <c r="AS345" i="13"/>
  <c r="AR345" i="13"/>
  <c r="AQ345" i="13"/>
  <c r="AP345" i="13"/>
  <c r="AO345" i="13"/>
  <c r="AN345" i="13"/>
  <c r="AM345" i="13"/>
  <c r="AL345" i="13"/>
  <c r="AT344" i="13"/>
  <c r="AS344" i="13"/>
  <c r="AR344" i="13"/>
  <c r="AQ344" i="13"/>
  <c r="AP344" i="13"/>
  <c r="AO344" i="13"/>
  <c r="AN344" i="13"/>
  <c r="AM344" i="13"/>
  <c r="AL344" i="13"/>
  <c r="AT343" i="13"/>
  <c r="AS343" i="13"/>
  <c r="AR343" i="13"/>
  <c r="AQ343" i="13"/>
  <c r="AP343" i="13"/>
  <c r="AO343" i="13"/>
  <c r="AN343" i="13"/>
  <c r="AM343" i="13"/>
  <c r="AL343" i="13"/>
  <c r="AT342" i="13"/>
  <c r="AS342" i="13"/>
  <c r="AR342" i="13"/>
  <c r="AQ342" i="13"/>
  <c r="AP342" i="13"/>
  <c r="AO342" i="13"/>
  <c r="AN342" i="13"/>
  <c r="AM342" i="13"/>
  <c r="AL342" i="13"/>
  <c r="AT341" i="13"/>
  <c r="AS341" i="13"/>
  <c r="AR341" i="13"/>
  <c r="AQ341" i="13"/>
  <c r="AP341" i="13"/>
  <c r="AO341" i="13"/>
  <c r="AN341" i="13"/>
  <c r="AM341" i="13"/>
  <c r="AL341" i="13"/>
  <c r="AT340" i="13"/>
  <c r="AS340" i="13"/>
  <c r="AR340" i="13"/>
  <c r="AQ340" i="13"/>
  <c r="AP340" i="13"/>
  <c r="AO340" i="13"/>
  <c r="AN340" i="13"/>
  <c r="AM340" i="13"/>
  <c r="AL340" i="13"/>
  <c r="AT339" i="13"/>
  <c r="AS339" i="13"/>
  <c r="AR339" i="13"/>
  <c r="AQ339" i="13"/>
  <c r="AP339" i="13"/>
  <c r="AO339" i="13"/>
  <c r="AN339" i="13"/>
  <c r="AM339" i="13"/>
  <c r="AL339" i="13"/>
  <c r="AT338" i="13"/>
  <c r="AS338" i="13"/>
  <c r="AR338" i="13"/>
  <c r="AQ338" i="13"/>
  <c r="AP338" i="13"/>
  <c r="AO338" i="13"/>
  <c r="AN338" i="13"/>
  <c r="AM338" i="13"/>
  <c r="AL338" i="13"/>
  <c r="AT305" i="13"/>
  <c r="AR305" i="13"/>
  <c r="AQ305" i="13"/>
  <c r="AP305" i="13"/>
  <c r="AO305" i="13"/>
  <c r="AN305" i="13"/>
  <c r="AM305" i="13"/>
  <c r="AL305" i="13"/>
  <c r="AT304" i="13"/>
  <c r="AR304" i="13"/>
  <c r="AQ304" i="13"/>
  <c r="AP304" i="13"/>
  <c r="AN304" i="13"/>
  <c r="AM304" i="13"/>
  <c r="AL304" i="13"/>
  <c r="AT303" i="13"/>
  <c r="AR303" i="13"/>
  <c r="AQ303" i="13"/>
  <c r="AP303" i="13"/>
  <c r="AO303" i="13"/>
  <c r="AN303" i="13"/>
  <c r="AM303" i="13"/>
  <c r="AL303" i="13"/>
  <c r="AT302" i="13"/>
  <c r="AS302" i="13"/>
  <c r="AR302" i="13"/>
  <c r="AQ302" i="13"/>
  <c r="AP302" i="13"/>
  <c r="AO302" i="13"/>
  <c r="AN302" i="13"/>
  <c r="AM302" i="13"/>
  <c r="AL302" i="13"/>
  <c r="AT300" i="13"/>
  <c r="AS300" i="13"/>
  <c r="AR300" i="13"/>
  <c r="AQ300" i="13"/>
  <c r="AP300" i="13"/>
  <c r="AO300" i="13"/>
  <c r="AN300" i="13"/>
  <c r="AM300" i="13"/>
  <c r="AL300" i="13"/>
  <c r="AT299" i="13"/>
  <c r="AS299" i="13"/>
  <c r="AR299" i="13"/>
  <c r="AQ299" i="13"/>
  <c r="AP299" i="13"/>
  <c r="AO299" i="13"/>
  <c r="AN299" i="13"/>
  <c r="AM299" i="13"/>
  <c r="AL299" i="13"/>
  <c r="AT298" i="13"/>
  <c r="AS298" i="13"/>
  <c r="AR298" i="13"/>
  <c r="AQ298" i="13"/>
  <c r="AP298" i="13"/>
  <c r="AO298" i="13"/>
  <c r="AN298" i="13"/>
  <c r="AM298" i="13"/>
  <c r="AL298" i="13"/>
  <c r="AT297" i="13"/>
  <c r="AS297" i="13"/>
  <c r="AR297" i="13"/>
  <c r="AQ297" i="13"/>
  <c r="AP297" i="13"/>
  <c r="AO297" i="13"/>
  <c r="AN297" i="13"/>
  <c r="AM297" i="13"/>
  <c r="AL297" i="13"/>
  <c r="AT296" i="13"/>
  <c r="AS296" i="13"/>
  <c r="AR296" i="13"/>
  <c r="AQ296" i="13"/>
  <c r="AP296" i="13"/>
  <c r="AO296" i="13"/>
  <c r="AN296" i="13"/>
  <c r="AM296" i="13"/>
  <c r="AL296" i="13"/>
  <c r="AT295" i="13"/>
  <c r="AS295" i="13"/>
  <c r="AR295" i="13"/>
  <c r="AQ295" i="13"/>
  <c r="AP295" i="13"/>
  <c r="AO295" i="13"/>
  <c r="AN295" i="13"/>
  <c r="AM295" i="13"/>
  <c r="AL295" i="13"/>
  <c r="AT294" i="13"/>
  <c r="AS294" i="13"/>
  <c r="AR294" i="13"/>
  <c r="AQ294" i="13"/>
  <c r="AP294" i="13"/>
  <c r="AO294" i="13"/>
  <c r="AN294" i="13"/>
  <c r="AM294" i="13"/>
  <c r="AL294" i="13"/>
  <c r="AT293" i="13"/>
  <c r="AS293" i="13"/>
  <c r="AR293" i="13"/>
  <c r="AQ293" i="13"/>
  <c r="AP293" i="13"/>
  <c r="AO293" i="13"/>
  <c r="AN293" i="13"/>
  <c r="AM293" i="13"/>
  <c r="AL293" i="13"/>
  <c r="AT292" i="13"/>
  <c r="AS292" i="13"/>
  <c r="AR292" i="13"/>
  <c r="AQ292" i="13"/>
  <c r="AP292" i="13"/>
  <c r="AO292" i="13"/>
  <c r="AN292" i="13"/>
  <c r="AM292" i="13"/>
  <c r="AL292" i="13"/>
  <c r="AT291" i="13"/>
  <c r="AS291" i="13"/>
  <c r="AR291" i="13"/>
  <c r="AQ291" i="13"/>
  <c r="AP291" i="13"/>
  <c r="AO291" i="13"/>
  <c r="AN291" i="13"/>
  <c r="AM291" i="13"/>
  <c r="AL291" i="13"/>
  <c r="AT290" i="13"/>
  <c r="AS290" i="13"/>
  <c r="AR290" i="13"/>
  <c r="AQ290" i="13"/>
  <c r="AP290" i="13"/>
  <c r="AO290" i="13"/>
  <c r="AN290" i="13"/>
  <c r="AM290" i="13"/>
  <c r="AL290" i="13"/>
  <c r="AT289" i="13"/>
  <c r="AS289" i="13"/>
  <c r="AR289" i="13"/>
  <c r="AQ289" i="13"/>
  <c r="AP289" i="13"/>
  <c r="AO289" i="13"/>
  <c r="AN289" i="13"/>
  <c r="AM289" i="13"/>
  <c r="AL289" i="13"/>
  <c r="AT288" i="13"/>
  <c r="AR288" i="13"/>
  <c r="AQ288" i="13"/>
  <c r="AP288" i="13"/>
  <c r="AO288" i="13"/>
  <c r="AN288" i="13"/>
  <c r="AM288" i="13"/>
  <c r="AL288" i="13"/>
  <c r="AT287" i="13"/>
  <c r="AR287" i="13"/>
  <c r="AQ287" i="13"/>
  <c r="AP287" i="13"/>
  <c r="AO287" i="13"/>
  <c r="AN287" i="13"/>
  <c r="AM287" i="13"/>
  <c r="AL287" i="13"/>
  <c r="AT286" i="13"/>
  <c r="AR286" i="13"/>
  <c r="AQ286" i="13"/>
  <c r="AP286" i="13"/>
  <c r="AO286" i="13"/>
  <c r="AN286" i="13"/>
  <c r="AM286" i="13"/>
  <c r="AL286" i="13"/>
  <c r="AT285" i="13"/>
  <c r="AS285" i="13"/>
  <c r="AR285" i="13"/>
  <c r="AQ285" i="13"/>
  <c r="AP285" i="13"/>
  <c r="AO285" i="13"/>
  <c r="AN285" i="13"/>
  <c r="AM285" i="13"/>
  <c r="AL285" i="13"/>
  <c r="AT284" i="13"/>
  <c r="AS284" i="13"/>
  <c r="AR284" i="13"/>
  <c r="AQ284" i="13"/>
  <c r="AP284" i="13"/>
  <c r="AO284" i="13"/>
  <c r="AN284" i="13"/>
  <c r="AM284" i="13"/>
  <c r="AL284" i="13"/>
  <c r="AT283" i="13"/>
  <c r="AS283" i="13"/>
  <c r="AR283" i="13"/>
  <c r="AQ283" i="13"/>
  <c r="AP283" i="13"/>
  <c r="AO283" i="13"/>
  <c r="AN283" i="13"/>
  <c r="AM283" i="13"/>
  <c r="AL283" i="13"/>
  <c r="AT282" i="13"/>
  <c r="AS282" i="13"/>
  <c r="AR282" i="13"/>
  <c r="AQ282" i="13"/>
  <c r="AP282" i="13"/>
  <c r="AO282" i="13"/>
  <c r="AN282" i="13"/>
  <c r="AM282" i="13"/>
  <c r="AL282" i="13"/>
  <c r="AT281" i="13"/>
  <c r="AS281" i="13"/>
  <c r="AR281" i="13"/>
  <c r="AQ281" i="13"/>
  <c r="AP281" i="13"/>
  <c r="AO281" i="13"/>
  <c r="AN281" i="13"/>
  <c r="AM281" i="13"/>
  <c r="AL281" i="13"/>
  <c r="AT280" i="13"/>
  <c r="AS280" i="13"/>
  <c r="AR280" i="13"/>
  <c r="AQ280" i="13"/>
  <c r="AP280" i="13"/>
  <c r="AO280" i="13"/>
  <c r="AN280" i="13"/>
  <c r="AM280" i="13"/>
  <c r="AL280" i="13"/>
  <c r="AT279" i="13"/>
  <c r="AS279" i="13"/>
  <c r="AR279" i="13"/>
  <c r="AQ279" i="13"/>
  <c r="AP279" i="13"/>
  <c r="AO279" i="13"/>
  <c r="AN279" i="13"/>
  <c r="AM279" i="13"/>
  <c r="AL279" i="13"/>
  <c r="AT278" i="13"/>
  <c r="AS278" i="13"/>
  <c r="AR278" i="13"/>
  <c r="AQ278" i="13"/>
  <c r="AP278" i="13"/>
  <c r="AO278" i="13"/>
  <c r="AN278" i="13"/>
  <c r="AM278" i="13"/>
  <c r="AL278" i="13"/>
  <c r="AT277" i="13"/>
  <c r="AS277" i="13"/>
  <c r="AR277" i="13"/>
  <c r="AQ277" i="13"/>
  <c r="AP277" i="13"/>
  <c r="AO277" i="13"/>
  <c r="AN277" i="13"/>
  <c r="AM277" i="13"/>
  <c r="AL277" i="13"/>
  <c r="AT276" i="13"/>
  <c r="AS276" i="13"/>
  <c r="AR276" i="13"/>
  <c r="AQ276" i="13"/>
  <c r="AP276" i="13"/>
  <c r="AO276" i="13"/>
  <c r="AN276" i="13"/>
  <c r="AM276" i="13"/>
  <c r="AL276" i="13"/>
  <c r="AT274" i="13"/>
  <c r="AS274" i="13"/>
  <c r="AR274" i="13"/>
  <c r="AQ274" i="13"/>
  <c r="AP274" i="13"/>
  <c r="AO274" i="13"/>
  <c r="AN274" i="13"/>
  <c r="AM274" i="13"/>
  <c r="AL274" i="13"/>
  <c r="AT273" i="13"/>
  <c r="AS273" i="13"/>
  <c r="AR273" i="13"/>
  <c r="AQ273" i="13"/>
  <c r="AP273" i="13"/>
  <c r="AO273" i="13"/>
  <c r="AN273" i="13"/>
  <c r="AM273" i="13"/>
  <c r="AL273" i="13"/>
  <c r="AT272" i="13"/>
  <c r="AS272" i="13"/>
  <c r="AR272" i="13"/>
  <c r="AQ272" i="13"/>
  <c r="AP272" i="13"/>
  <c r="AO272" i="13"/>
  <c r="AN272" i="13"/>
  <c r="AM272" i="13"/>
  <c r="AL272" i="13"/>
  <c r="AT271" i="13"/>
  <c r="AS271" i="13"/>
  <c r="AR271" i="13"/>
  <c r="AQ271" i="13"/>
  <c r="AP271" i="13"/>
  <c r="AO271" i="13"/>
  <c r="AN271" i="13"/>
  <c r="AM271" i="13"/>
  <c r="AL271" i="13"/>
  <c r="AT270" i="13"/>
  <c r="AS270" i="13"/>
  <c r="AR270" i="13"/>
  <c r="AQ270" i="13"/>
  <c r="AP270" i="13"/>
  <c r="AO270" i="13"/>
  <c r="AN270" i="13"/>
  <c r="AM270" i="13"/>
  <c r="AL270" i="13"/>
  <c r="AT269" i="13"/>
  <c r="AS269" i="13"/>
  <c r="AR269" i="13"/>
  <c r="AQ269" i="13"/>
  <c r="AP269" i="13"/>
  <c r="AO269" i="13"/>
  <c r="AN269" i="13"/>
  <c r="AM269" i="13"/>
  <c r="AL269" i="13"/>
  <c r="AT268" i="13"/>
  <c r="AS268" i="13"/>
  <c r="AR268" i="13"/>
  <c r="AQ268" i="13"/>
  <c r="AP268" i="13"/>
  <c r="AO268" i="13"/>
  <c r="AN268" i="13"/>
  <c r="AM268" i="13"/>
  <c r="AL268" i="13"/>
  <c r="AT267" i="13"/>
  <c r="AS267" i="13"/>
  <c r="AR267" i="13"/>
  <c r="AQ267" i="13"/>
  <c r="AP267" i="13"/>
  <c r="AO267" i="13"/>
  <c r="AN267" i="13"/>
  <c r="AM267" i="13"/>
  <c r="AL267" i="13"/>
  <c r="AT266" i="13"/>
  <c r="AS266" i="13"/>
  <c r="AR266" i="13"/>
  <c r="AQ266" i="13"/>
  <c r="AP266" i="13"/>
  <c r="AO266" i="13"/>
  <c r="AN266" i="13"/>
  <c r="AM266" i="13"/>
  <c r="AL266" i="13"/>
  <c r="AT265" i="13"/>
  <c r="AS265" i="13"/>
  <c r="AR265" i="13"/>
  <c r="AQ265" i="13"/>
  <c r="AP265" i="13"/>
  <c r="AO265" i="13"/>
  <c r="AN265" i="13"/>
  <c r="AM265" i="13"/>
  <c r="AL265" i="13"/>
  <c r="AT264" i="13"/>
  <c r="AS264" i="13"/>
  <c r="AR264" i="13"/>
  <c r="AQ264" i="13"/>
  <c r="AP264" i="13"/>
  <c r="AO264" i="13"/>
  <c r="AN264" i="13"/>
  <c r="AM264" i="13"/>
  <c r="AL264" i="13"/>
  <c r="AT263" i="13"/>
  <c r="AS263" i="13"/>
  <c r="AR263" i="13"/>
  <c r="AQ263" i="13"/>
  <c r="AP263" i="13"/>
  <c r="AO263" i="13"/>
  <c r="AN263" i="13"/>
  <c r="AM263" i="13"/>
  <c r="AL263" i="13"/>
  <c r="AT261" i="13"/>
  <c r="AS261" i="13"/>
  <c r="AR261" i="13"/>
  <c r="AQ261" i="13"/>
  <c r="AP261" i="13"/>
  <c r="AO261" i="13"/>
  <c r="AN261" i="13"/>
  <c r="AM261" i="13"/>
  <c r="AL261" i="13"/>
  <c r="AT260" i="13"/>
  <c r="AS260" i="13"/>
  <c r="AR260" i="13"/>
  <c r="AQ260" i="13"/>
  <c r="AP260" i="13"/>
  <c r="AO260" i="13"/>
  <c r="AN260" i="13"/>
  <c r="AM260" i="13"/>
  <c r="AL260" i="13"/>
  <c r="AT259" i="13"/>
  <c r="AS259" i="13"/>
  <c r="AR259" i="13"/>
  <c r="AQ259" i="13"/>
  <c r="AP259" i="13"/>
  <c r="AO259" i="13"/>
  <c r="AN259" i="13"/>
  <c r="AM259" i="13"/>
  <c r="AL259" i="13"/>
  <c r="AT258" i="13"/>
  <c r="AS258" i="13"/>
  <c r="AR258" i="13"/>
  <c r="AQ258" i="13"/>
  <c r="AP258" i="13"/>
  <c r="AO258" i="13"/>
  <c r="AN258" i="13"/>
  <c r="AM258" i="13"/>
  <c r="AL258" i="13"/>
  <c r="AT257" i="13"/>
  <c r="AS257" i="13"/>
  <c r="AR257" i="13"/>
  <c r="AQ257" i="13"/>
  <c r="AP257" i="13"/>
  <c r="AO257" i="13"/>
  <c r="AN257" i="13"/>
  <c r="AM257" i="13"/>
  <c r="AL257" i="13"/>
  <c r="AT256" i="13"/>
  <c r="AS256" i="13"/>
  <c r="AR256" i="13"/>
  <c r="AQ256" i="13"/>
  <c r="AP256" i="13"/>
  <c r="AO256" i="13"/>
  <c r="AN256" i="13"/>
  <c r="AM256" i="13"/>
  <c r="AL256" i="13"/>
  <c r="AT255" i="13"/>
  <c r="AS255" i="13"/>
  <c r="AR255" i="13"/>
  <c r="AQ255" i="13"/>
  <c r="AP255" i="13"/>
  <c r="AO255" i="13"/>
  <c r="AN255" i="13"/>
  <c r="AM255" i="13"/>
  <c r="AL255" i="13"/>
  <c r="AT254" i="13"/>
  <c r="AS254" i="13"/>
  <c r="AR254" i="13"/>
  <c r="AQ254" i="13"/>
  <c r="AP254" i="13"/>
  <c r="AO254" i="13"/>
  <c r="AN254" i="13"/>
  <c r="AM254" i="13"/>
  <c r="AL254" i="13"/>
  <c r="AT253" i="13"/>
  <c r="AS253" i="13"/>
  <c r="AR253" i="13"/>
  <c r="AQ253" i="13"/>
  <c r="AP253" i="13"/>
  <c r="AO253" i="13"/>
  <c r="AN253" i="13"/>
  <c r="AM253" i="13"/>
  <c r="AL253" i="13"/>
  <c r="AT252" i="13"/>
  <c r="AS252" i="13"/>
  <c r="AR252" i="13"/>
  <c r="AQ252" i="13"/>
  <c r="AP252" i="13"/>
  <c r="AO252" i="13"/>
  <c r="AN252" i="13"/>
  <c r="AM252" i="13"/>
  <c r="AL252" i="13"/>
  <c r="AT251" i="13"/>
  <c r="AS251" i="13"/>
  <c r="AR251" i="13"/>
  <c r="AQ251" i="13"/>
  <c r="AP251" i="13"/>
  <c r="AO251" i="13"/>
  <c r="AN251" i="13"/>
  <c r="AM251" i="13"/>
  <c r="AL251" i="13"/>
  <c r="AT250" i="13"/>
  <c r="AS250" i="13"/>
  <c r="AR250" i="13"/>
  <c r="AQ250" i="13"/>
  <c r="AP250" i="13"/>
  <c r="AO250" i="13"/>
  <c r="AN250" i="13"/>
  <c r="AM250" i="13"/>
  <c r="AL250" i="13"/>
  <c r="AT249" i="13"/>
  <c r="AS249" i="13"/>
  <c r="AR249" i="13"/>
  <c r="AQ249" i="13"/>
  <c r="AP249" i="13"/>
  <c r="AO249" i="13"/>
  <c r="AN249" i="13"/>
  <c r="AM249" i="13"/>
  <c r="AL249" i="13"/>
  <c r="AT248" i="13"/>
  <c r="AS248" i="13"/>
  <c r="AR248" i="13"/>
  <c r="AQ248" i="13"/>
  <c r="AP248" i="13"/>
  <c r="AO248" i="13"/>
  <c r="AN248" i="13"/>
  <c r="AM248" i="13"/>
  <c r="AL248" i="13"/>
  <c r="AT247" i="13"/>
  <c r="AS247" i="13"/>
  <c r="AR247" i="13"/>
  <c r="AQ247" i="13"/>
  <c r="AP247" i="13"/>
  <c r="AO247" i="13"/>
  <c r="AN247" i="13"/>
  <c r="AM247" i="13"/>
  <c r="AL247" i="13"/>
  <c r="AT246" i="13"/>
  <c r="AS246" i="13"/>
  <c r="AR246" i="13"/>
  <c r="AQ246" i="13"/>
  <c r="AP246" i="13"/>
  <c r="AO246" i="13"/>
  <c r="AN246" i="13"/>
  <c r="AM246" i="13"/>
  <c r="AL246" i="13"/>
  <c r="AT245" i="13"/>
  <c r="AS245" i="13"/>
  <c r="AR245" i="13"/>
  <c r="AQ245" i="13"/>
  <c r="AP245" i="13"/>
  <c r="AO245" i="13"/>
  <c r="AN245" i="13"/>
  <c r="AM245" i="13"/>
  <c r="AL245" i="13"/>
  <c r="AT244" i="13"/>
  <c r="AS244" i="13"/>
  <c r="AR244" i="13"/>
  <c r="AQ244" i="13"/>
  <c r="AP244" i="13"/>
  <c r="AO244" i="13"/>
  <c r="AN244" i="13"/>
  <c r="AM244" i="13"/>
  <c r="AL244" i="13"/>
  <c r="AT243" i="13"/>
  <c r="AS243" i="13"/>
  <c r="AR243" i="13"/>
  <c r="AQ243" i="13"/>
  <c r="AP243" i="13"/>
  <c r="AO243" i="13"/>
  <c r="AN243" i="13"/>
  <c r="AM243" i="13"/>
  <c r="AL243" i="13"/>
  <c r="AT242" i="13"/>
  <c r="AS242" i="13"/>
  <c r="AR242" i="13"/>
  <c r="AQ242" i="13"/>
  <c r="AP242" i="13"/>
  <c r="AO242" i="13"/>
  <c r="AN242" i="13"/>
  <c r="AM242" i="13"/>
  <c r="AL242" i="13"/>
  <c r="AT241" i="13"/>
  <c r="AS241" i="13"/>
  <c r="AR241" i="13"/>
  <c r="AQ241" i="13"/>
  <c r="AP241" i="13"/>
  <c r="AO241" i="13"/>
  <c r="AN241" i="13"/>
  <c r="AM241" i="13"/>
  <c r="AL241" i="13"/>
  <c r="AT240" i="13"/>
  <c r="AS240" i="13"/>
  <c r="AR240" i="13"/>
  <c r="AQ240" i="13"/>
  <c r="AP240" i="13"/>
  <c r="AO240" i="13"/>
  <c r="AN240" i="13"/>
  <c r="AM240" i="13"/>
  <c r="AL240" i="13"/>
  <c r="AT239" i="13"/>
  <c r="AS239" i="13"/>
  <c r="AR239" i="13"/>
  <c r="AQ239" i="13"/>
  <c r="AP239" i="13"/>
  <c r="AO239" i="13"/>
  <c r="AN239" i="13"/>
  <c r="AM239" i="13"/>
  <c r="AL239" i="13"/>
  <c r="AT238" i="13"/>
  <c r="AS238" i="13"/>
  <c r="AR238" i="13"/>
  <c r="AQ238" i="13"/>
  <c r="AP238" i="13"/>
  <c r="AO238" i="13"/>
  <c r="AN238" i="13"/>
  <c r="AM238" i="13"/>
  <c r="AL238" i="13"/>
  <c r="AT237" i="13"/>
  <c r="AS237" i="13"/>
  <c r="AR237" i="13"/>
  <c r="AQ237" i="13"/>
  <c r="AP237" i="13"/>
  <c r="AO237" i="13"/>
  <c r="AN237" i="13"/>
  <c r="AM237" i="13"/>
  <c r="AL237" i="13"/>
  <c r="AT236" i="13"/>
  <c r="AS236" i="13"/>
  <c r="AR236" i="13"/>
  <c r="AQ236" i="13"/>
  <c r="AP236" i="13"/>
  <c r="AO236" i="13"/>
  <c r="AN236" i="13"/>
  <c r="AM236" i="13"/>
  <c r="AL236" i="13"/>
  <c r="AT235" i="13"/>
  <c r="AS235" i="13"/>
  <c r="AR235" i="13"/>
  <c r="AQ235" i="13"/>
  <c r="AP235" i="13"/>
  <c r="AO235" i="13"/>
  <c r="AN235" i="13"/>
  <c r="AM235" i="13"/>
  <c r="AL235" i="13"/>
  <c r="AT234" i="13"/>
  <c r="AS234" i="13"/>
  <c r="AR234" i="13"/>
  <c r="AQ234" i="13"/>
  <c r="AP234" i="13"/>
  <c r="AO234" i="13"/>
  <c r="AN234" i="13"/>
  <c r="AM234" i="13"/>
  <c r="AL234" i="13"/>
  <c r="AT233" i="13"/>
  <c r="AS233" i="13"/>
  <c r="AR233" i="13"/>
  <c r="AQ233" i="13"/>
  <c r="AP233" i="13"/>
  <c r="AO233" i="13"/>
  <c r="AN233" i="13"/>
  <c r="AM233" i="13"/>
  <c r="AL233" i="13"/>
  <c r="AT232" i="13"/>
  <c r="AS232" i="13"/>
  <c r="AR232" i="13"/>
  <c r="AQ232" i="13"/>
  <c r="AP232" i="13"/>
  <c r="AO232" i="13"/>
  <c r="AN232" i="13"/>
  <c r="AM232" i="13"/>
  <c r="AL232" i="13"/>
  <c r="AT231" i="13"/>
  <c r="AS231" i="13"/>
  <c r="AR231" i="13"/>
  <c r="AQ231" i="13"/>
  <c r="AP231" i="13"/>
  <c r="AO231" i="13"/>
  <c r="AN231" i="13"/>
  <c r="AM231" i="13"/>
  <c r="AL231" i="13"/>
  <c r="AT230" i="13"/>
  <c r="AS230" i="13"/>
  <c r="AR230" i="13"/>
  <c r="AQ230" i="13"/>
  <c r="AP230" i="13"/>
  <c r="AO230" i="13"/>
  <c r="AN230" i="13"/>
  <c r="AM230" i="13"/>
  <c r="AL230" i="13"/>
  <c r="AT229" i="13"/>
  <c r="AS229" i="13"/>
  <c r="AR229" i="13"/>
  <c r="AQ229" i="13"/>
  <c r="AP229" i="13"/>
  <c r="AO229" i="13"/>
  <c r="AN229" i="13"/>
  <c r="AM229" i="13"/>
  <c r="AL229" i="13"/>
  <c r="AT228" i="13"/>
  <c r="AS228" i="13"/>
  <c r="AR228" i="13"/>
  <c r="AQ228" i="13"/>
  <c r="AP228" i="13"/>
  <c r="AO228" i="13"/>
  <c r="AN228" i="13"/>
  <c r="AM228" i="13"/>
  <c r="AL228" i="13"/>
  <c r="AT227" i="13"/>
  <c r="AS227" i="13"/>
  <c r="AR227" i="13"/>
  <c r="AQ227" i="13"/>
  <c r="AP227" i="13"/>
  <c r="AO227" i="13"/>
  <c r="AN227" i="13"/>
  <c r="AM227" i="13"/>
  <c r="AL227" i="13"/>
  <c r="AT226" i="13"/>
  <c r="AS226" i="13"/>
  <c r="AR226" i="13"/>
  <c r="AQ226" i="13"/>
  <c r="AP226" i="13"/>
  <c r="AO226" i="13"/>
  <c r="AN226" i="13"/>
  <c r="AM226" i="13"/>
  <c r="AL226" i="13"/>
  <c r="AT225" i="13"/>
  <c r="AS225" i="13"/>
  <c r="AR225" i="13"/>
  <c r="AQ225" i="13"/>
  <c r="AP225" i="13"/>
  <c r="AO225" i="13"/>
  <c r="AN225" i="13"/>
  <c r="AM225" i="13"/>
  <c r="AL225" i="13"/>
  <c r="AT224" i="13"/>
  <c r="AS224" i="13"/>
  <c r="AR224" i="13"/>
  <c r="AQ224" i="13"/>
  <c r="AP224" i="13"/>
  <c r="AO224" i="13"/>
  <c r="AN224" i="13"/>
  <c r="AM224" i="13"/>
  <c r="AL224" i="13"/>
  <c r="AT223" i="13"/>
  <c r="AS223" i="13"/>
  <c r="AR223" i="13"/>
  <c r="AQ223" i="13"/>
  <c r="AP223" i="13"/>
  <c r="AO223" i="13"/>
  <c r="AN223" i="13"/>
  <c r="AM223" i="13"/>
  <c r="AL223" i="13"/>
  <c r="AT222" i="13"/>
  <c r="AS222" i="13"/>
  <c r="AR222" i="13"/>
  <c r="AQ222" i="13"/>
  <c r="AP222" i="13"/>
  <c r="AO222" i="13"/>
  <c r="AN222" i="13"/>
  <c r="AM222" i="13"/>
  <c r="AL222" i="13"/>
  <c r="AT221" i="13"/>
  <c r="AS221" i="13"/>
  <c r="AR221" i="13"/>
  <c r="AQ221" i="13"/>
  <c r="AP221" i="13"/>
  <c r="AO221" i="13"/>
  <c r="AN221" i="13"/>
  <c r="AM221" i="13"/>
  <c r="AL221" i="13"/>
  <c r="AT220" i="13"/>
  <c r="AS220" i="13"/>
  <c r="AR220" i="13"/>
  <c r="AQ220" i="13"/>
  <c r="AP220" i="13"/>
  <c r="AO220" i="13"/>
  <c r="AN220" i="13"/>
  <c r="AM220" i="13"/>
  <c r="AL220" i="13"/>
  <c r="AT218" i="13"/>
  <c r="AS218" i="13"/>
  <c r="AR218" i="13"/>
  <c r="AQ218" i="13"/>
  <c r="AP218" i="13"/>
  <c r="AO218" i="13"/>
  <c r="AN218" i="13"/>
  <c r="AM218" i="13"/>
  <c r="AL218" i="13"/>
  <c r="AT217" i="13"/>
  <c r="AS217" i="13"/>
  <c r="AR217" i="13"/>
  <c r="AQ217" i="13"/>
  <c r="AP217" i="13"/>
  <c r="AO217" i="13"/>
  <c r="AN217" i="13"/>
  <c r="AM217" i="13"/>
  <c r="AL217" i="13"/>
  <c r="AT216" i="13"/>
  <c r="AS216" i="13"/>
  <c r="AR216" i="13"/>
  <c r="AQ216" i="13"/>
  <c r="AP216" i="13"/>
  <c r="AO216" i="13"/>
  <c r="AN216" i="13"/>
  <c r="AM216" i="13"/>
  <c r="AL216" i="13"/>
  <c r="AT215" i="13"/>
  <c r="AS215" i="13"/>
  <c r="AR215" i="13"/>
  <c r="AQ215" i="13"/>
  <c r="AP215" i="13"/>
  <c r="AO215" i="13"/>
  <c r="AN215" i="13"/>
  <c r="AM215" i="13"/>
  <c r="AL215" i="13"/>
  <c r="AT214" i="13"/>
  <c r="AS214" i="13"/>
  <c r="AR214" i="13"/>
  <c r="AQ214" i="13"/>
  <c r="AP214" i="13"/>
  <c r="AO214" i="13"/>
  <c r="AN214" i="13"/>
  <c r="AM214" i="13"/>
  <c r="AL214" i="13"/>
  <c r="AT213" i="13"/>
  <c r="AS213" i="13"/>
  <c r="AR213" i="13"/>
  <c r="AQ213" i="13"/>
  <c r="AP213" i="13"/>
  <c r="AO213" i="13"/>
  <c r="AN213" i="13"/>
  <c r="AM213" i="13"/>
  <c r="AL213" i="13"/>
  <c r="AT212" i="13"/>
  <c r="AS212" i="13"/>
  <c r="AR212" i="13"/>
  <c r="AQ212" i="13"/>
  <c r="AP212" i="13"/>
  <c r="AO212" i="13"/>
  <c r="AN212" i="13"/>
  <c r="AM212" i="13"/>
  <c r="AL212" i="13"/>
  <c r="AT211" i="13"/>
  <c r="AS211" i="13"/>
  <c r="AR211" i="13"/>
  <c r="AQ211" i="13"/>
  <c r="AP211" i="13"/>
  <c r="AO211" i="13"/>
  <c r="AN211" i="13"/>
  <c r="AM211" i="13"/>
  <c r="AL211" i="13"/>
  <c r="AT210" i="13"/>
  <c r="AS210" i="13"/>
  <c r="AR210" i="13"/>
  <c r="AQ210" i="13"/>
  <c r="AP210" i="13"/>
  <c r="AO210" i="13"/>
  <c r="AN210" i="13"/>
  <c r="AM210" i="13"/>
  <c r="AL210" i="13"/>
  <c r="AT209" i="13"/>
  <c r="AS209" i="13"/>
  <c r="AR209" i="13"/>
  <c r="AQ209" i="13"/>
  <c r="AP209" i="13"/>
  <c r="AO209" i="13"/>
  <c r="AN209" i="13"/>
  <c r="AM209" i="13"/>
  <c r="AL209" i="13"/>
  <c r="AT208" i="13"/>
  <c r="AS208" i="13"/>
  <c r="AR208" i="13"/>
  <c r="AQ208" i="13"/>
  <c r="AP208" i="13"/>
  <c r="AO208" i="13"/>
  <c r="AN208" i="13"/>
  <c r="AM208" i="13"/>
  <c r="AL208" i="13"/>
  <c r="AT207" i="13"/>
  <c r="AS207" i="13"/>
  <c r="AR207" i="13"/>
  <c r="AQ207" i="13"/>
  <c r="AP207" i="13"/>
  <c r="AO207" i="13"/>
  <c r="AN207" i="13"/>
  <c r="AM207" i="13"/>
  <c r="AL207" i="13"/>
  <c r="AT206" i="13"/>
  <c r="AS206" i="13"/>
  <c r="AR206" i="13"/>
  <c r="AQ206" i="13"/>
  <c r="AP206" i="13"/>
  <c r="AO206" i="13"/>
  <c r="AN206" i="13"/>
  <c r="AM206" i="13"/>
  <c r="AL206" i="13"/>
  <c r="AT205" i="13"/>
  <c r="AS205" i="13"/>
  <c r="AR205" i="13"/>
  <c r="AQ205" i="13"/>
  <c r="AP205" i="13"/>
  <c r="AO205" i="13"/>
  <c r="AN205" i="13"/>
  <c r="AM205" i="13"/>
  <c r="AL205" i="13"/>
  <c r="AT202" i="13"/>
  <c r="AS202" i="13"/>
  <c r="AR202" i="13"/>
  <c r="AQ202" i="13"/>
  <c r="AP202" i="13"/>
  <c r="AO202" i="13"/>
  <c r="AN202" i="13"/>
  <c r="AM202" i="13"/>
  <c r="AL202" i="13"/>
  <c r="AT201" i="13"/>
  <c r="AS201" i="13"/>
  <c r="AR201" i="13"/>
  <c r="AQ201" i="13"/>
  <c r="AP201" i="13"/>
  <c r="AO201" i="13"/>
  <c r="AN201" i="13"/>
  <c r="AM201" i="13"/>
  <c r="AL201" i="13"/>
  <c r="AT200" i="13"/>
  <c r="AS200" i="13"/>
  <c r="AR200" i="13"/>
  <c r="AQ200" i="13"/>
  <c r="AP200" i="13"/>
  <c r="AO200" i="13"/>
  <c r="AN200" i="13"/>
  <c r="AM200" i="13"/>
  <c r="AL200" i="13"/>
  <c r="AT199" i="13"/>
  <c r="AS199" i="13"/>
  <c r="AR199" i="13"/>
  <c r="AQ199" i="13"/>
  <c r="AP199" i="13"/>
  <c r="AO199" i="13"/>
  <c r="AN199" i="13"/>
  <c r="AM199" i="13"/>
  <c r="AL199" i="13"/>
  <c r="AT198" i="13"/>
  <c r="AS198" i="13"/>
  <c r="AR198" i="13"/>
  <c r="AQ198" i="13"/>
  <c r="AP198" i="13"/>
  <c r="AO198" i="13"/>
  <c r="AN198" i="13"/>
  <c r="AM198" i="13"/>
  <c r="AL198" i="13"/>
  <c r="AT197" i="13"/>
  <c r="AS197" i="13"/>
  <c r="AR197" i="13"/>
  <c r="AQ197" i="13"/>
  <c r="AP197" i="13"/>
  <c r="AO197" i="13"/>
  <c r="AN197" i="13"/>
  <c r="AM197" i="13"/>
  <c r="AL197" i="13"/>
  <c r="AT196" i="13"/>
  <c r="AS196" i="13"/>
  <c r="AR196" i="13"/>
  <c r="AQ196" i="13"/>
  <c r="AP196" i="13"/>
  <c r="AO196" i="13"/>
  <c r="AN196" i="13"/>
  <c r="AM196" i="13"/>
  <c r="AL196" i="13"/>
  <c r="AT195" i="13"/>
  <c r="AS195" i="13"/>
  <c r="AR195" i="13"/>
  <c r="AQ195" i="13"/>
  <c r="AP195" i="13"/>
  <c r="AO195" i="13"/>
  <c r="AN195" i="13"/>
  <c r="AM195" i="13"/>
  <c r="AL195" i="13"/>
  <c r="AT194" i="13"/>
  <c r="AS194" i="13"/>
  <c r="AR194" i="13"/>
  <c r="AQ194" i="13"/>
  <c r="AP194" i="13"/>
  <c r="AO194" i="13"/>
  <c r="AN194" i="13"/>
  <c r="AM194" i="13"/>
  <c r="AL194" i="13"/>
  <c r="AT193" i="13"/>
  <c r="AS193" i="13"/>
  <c r="AR193" i="13"/>
  <c r="AQ193" i="13"/>
  <c r="AP193" i="13"/>
  <c r="AO193" i="13"/>
  <c r="AN193" i="13"/>
  <c r="AM193" i="13"/>
  <c r="AL193" i="13"/>
  <c r="AT192" i="13"/>
  <c r="AS192" i="13"/>
  <c r="AR192" i="13"/>
  <c r="AQ192" i="13"/>
  <c r="AP192" i="13"/>
  <c r="AO192" i="13"/>
  <c r="AN192" i="13"/>
  <c r="AM192" i="13"/>
  <c r="AL192" i="13"/>
  <c r="AT191" i="13"/>
  <c r="AS191" i="13"/>
  <c r="AR191" i="13"/>
  <c r="AQ191" i="13"/>
  <c r="AP191" i="13"/>
  <c r="AO191" i="13"/>
  <c r="AN191" i="13"/>
  <c r="AM191" i="13"/>
  <c r="AL191" i="13"/>
  <c r="AT190" i="13"/>
  <c r="AS190" i="13"/>
  <c r="AR190" i="13"/>
  <c r="AQ190" i="13"/>
  <c r="AP190" i="13"/>
  <c r="AO190" i="13"/>
  <c r="AN190" i="13"/>
  <c r="AM190" i="13"/>
  <c r="AL190" i="13"/>
  <c r="AT189" i="13"/>
  <c r="AS189" i="13"/>
  <c r="AR189" i="13"/>
  <c r="AQ189" i="13"/>
  <c r="AP189" i="13"/>
  <c r="AO189" i="13"/>
  <c r="AN189" i="13"/>
  <c r="AM189" i="13"/>
  <c r="AL189" i="13"/>
  <c r="AT188" i="13"/>
  <c r="AS188" i="13"/>
  <c r="AR188" i="13"/>
  <c r="AQ188" i="13"/>
  <c r="AP188" i="13"/>
  <c r="AO188" i="13"/>
  <c r="AN188" i="13"/>
  <c r="AM188" i="13"/>
  <c r="AL188" i="13"/>
  <c r="AT187" i="13"/>
  <c r="AS187" i="13"/>
  <c r="AR187" i="13"/>
  <c r="AQ187" i="13"/>
  <c r="AP187" i="13"/>
  <c r="AO187" i="13"/>
  <c r="AN187" i="13"/>
  <c r="AM187" i="13"/>
  <c r="AL187" i="13"/>
  <c r="AT186" i="13"/>
  <c r="AS186" i="13"/>
  <c r="AR186" i="13"/>
  <c r="AQ186" i="13"/>
  <c r="AP186" i="13"/>
  <c r="AO186" i="13"/>
  <c r="AN186" i="13"/>
  <c r="AM186" i="13"/>
  <c r="AL186" i="13"/>
  <c r="AT185" i="13"/>
  <c r="AS185" i="13"/>
  <c r="AR185" i="13"/>
  <c r="AQ185" i="13"/>
  <c r="AP185" i="13"/>
  <c r="AO185" i="13"/>
  <c r="AN185" i="13"/>
  <c r="AM185" i="13"/>
  <c r="AL185" i="13"/>
  <c r="AT184" i="13"/>
  <c r="AS184" i="13"/>
  <c r="AR184" i="13"/>
  <c r="AQ184" i="13"/>
  <c r="AP184" i="13"/>
  <c r="AO184" i="13"/>
  <c r="AN184" i="13"/>
  <c r="AM184" i="13"/>
  <c r="AL184" i="13"/>
  <c r="AT183" i="13"/>
  <c r="AS183" i="13"/>
  <c r="AR183" i="13"/>
  <c r="AQ183" i="13"/>
  <c r="AP183" i="13"/>
  <c r="AO183" i="13"/>
  <c r="AN183" i="13"/>
  <c r="AM183" i="13"/>
  <c r="AL183" i="13"/>
  <c r="AT182" i="13"/>
  <c r="AS182" i="13"/>
  <c r="AR182" i="13"/>
  <c r="AQ182" i="13"/>
  <c r="AP182" i="13"/>
  <c r="AO182" i="13"/>
  <c r="AN182" i="13"/>
  <c r="AM182" i="13"/>
  <c r="AL182" i="13"/>
  <c r="AT181" i="13"/>
  <c r="AS181" i="13"/>
  <c r="AR181" i="13"/>
  <c r="AQ181" i="13"/>
  <c r="AP181" i="13"/>
  <c r="AO181" i="13"/>
  <c r="AN181" i="13"/>
  <c r="AM181" i="13"/>
  <c r="AL181" i="13"/>
  <c r="AT180" i="13"/>
  <c r="AS180" i="13"/>
  <c r="AR180" i="13"/>
  <c r="AQ180" i="13"/>
  <c r="AP180" i="13"/>
  <c r="AO180" i="13"/>
  <c r="AN180" i="13"/>
  <c r="AM180" i="13"/>
  <c r="AL180" i="13"/>
  <c r="AT179" i="13"/>
  <c r="AS179" i="13"/>
  <c r="AR179" i="13"/>
  <c r="AQ179" i="13"/>
  <c r="AP179" i="13"/>
  <c r="AO179" i="13"/>
  <c r="AN179" i="13"/>
  <c r="AM179" i="13"/>
  <c r="AL179" i="13"/>
  <c r="AT178" i="13"/>
  <c r="AS178" i="13"/>
  <c r="AR178" i="13"/>
  <c r="AQ178" i="13"/>
  <c r="AP178" i="13"/>
  <c r="AO178" i="13"/>
  <c r="AN178" i="13"/>
  <c r="AM178" i="13"/>
  <c r="AL178" i="13"/>
  <c r="AT177" i="13"/>
  <c r="AS177" i="13"/>
  <c r="AR177" i="13"/>
  <c r="AQ177" i="13"/>
  <c r="AP177" i="13"/>
  <c r="AO177" i="13"/>
  <c r="AN177" i="13"/>
  <c r="AM177" i="13"/>
  <c r="AL177" i="13"/>
  <c r="AT176" i="13"/>
  <c r="AS176" i="13"/>
  <c r="AR176" i="13"/>
  <c r="AQ176" i="13"/>
  <c r="AP176" i="13"/>
  <c r="AO176" i="13"/>
  <c r="AN176" i="13"/>
  <c r="AM176" i="13"/>
  <c r="AL176" i="13"/>
  <c r="AT175" i="13"/>
  <c r="AS175" i="13"/>
  <c r="AR175" i="13"/>
  <c r="AQ175" i="13"/>
  <c r="AP175" i="13"/>
  <c r="AO175" i="13"/>
  <c r="AN175" i="13"/>
  <c r="AM175" i="13"/>
  <c r="AL175" i="13"/>
  <c r="AT174" i="13"/>
  <c r="AS174" i="13"/>
  <c r="AR174" i="13"/>
  <c r="AQ174" i="13"/>
  <c r="AP174" i="13"/>
  <c r="AO174" i="13"/>
  <c r="AN174" i="13"/>
  <c r="AM174" i="13"/>
  <c r="AL174" i="13"/>
  <c r="AT173" i="13"/>
  <c r="AS173" i="13"/>
  <c r="AR173" i="13"/>
  <c r="AQ173" i="13"/>
  <c r="AP173" i="13"/>
  <c r="AO173" i="13"/>
  <c r="AN173" i="13"/>
  <c r="AM173" i="13"/>
  <c r="AL173" i="13"/>
  <c r="AT172" i="13"/>
  <c r="AS172" i="13"/>
  <c r="AR172" i="13"/>
  <c r="AQ172" i="13"/>
  <c r="AP172" i="13"/>
  <c r="AO172" i="13"/>
  <c r="AN172" i="13"/>
  <c r="AM172" i="13"/>
  <c r="AL172" i="13"/>
  <c r="AT171" i="13"/>
  <c r="AS171" i="13"/>
  <c r="AR171" i="13"/>
  <c r="AQ171" i="13"/>
  <c r="AP171" i="13"/>
  <c r="AO171" i="13"/>
  <c r="AN171" i="13"/>
  <c r="AM171" i="13"/>
  <c r="AL171" i="13"/>
  <c r="AT170" i="13"/>
  <c r="AS170" i="13"/>
  <c r="AR170" i="13"/>
  <c r="AQ170" i="13"/>
  <c r="AP170" i="13"/>
  <c r="AO170" i="13"/>
  <c r="AN170" i="13"/>
  <c r="AM170" i="13"/>
  <c r="AL170" i="13"/>
  <c r="AT169" i="13"/>
  <c r="AS169" i="13"/>
  <c r="AR169" i="13"/>
  <c r="AQ169" i="13"/>
  <c r="AP169" i="13"/>
  <c r="AO169" i="13"/>
  <c r="AN169" i="13"/>
  <c r="AM169" i="13"/>
  <c r="AL169" i="13"/>
  <c r="AT168" i="13"/>
  <c r="AS168" i="13"/>
  <c r="AR168" i="13"/>
  <c r="AQ168" i="13"/>
  <c r="AP168" i="13"/>
  <c r="AO168" i="13"/>
  <c r="AN168" i="13"/>
  <c r="AM168" i="13"/>
  <c r="AL168" i="13"/>
  <c r="AT160" i="13"/>
  <c r="AS160" i="13"/>
  <c r="AR160" i="13"/>
  <c r="AQ160" i="13"/>
  <c r="AP160" i="13"/>
  <c r="AO160" i="13"/>
  <c r="AN160" i="13"/>
  <c r="AM160" i="13"/>
  <c r="AL160" i="13"/>
  <c r="AT159" i="13"/>
  <c r="AS159" i="13"/>
  <c r="AR159" i="13"/>
  <c r="AQ159" i="13"/>
  <c r="AP159" i="13"/>
  <c r="AO159" i="13"/>
  <c r="AN159" i="13"/>
  <c r="AM159" i="13"/>
  <c r="AL159" i="13"/>
  <c r="AT158" i="13"/>
  <c r="AS158" i="13"/>
  <c r="AR158" i="13"/>
  <c r="AQ158" i="13"/>
  <c r="AP158" i="13"/>
  <c r="AO158" i="13"/>
  <c r="AN158" i="13"/>
  <c r="AM158" i="13"/>
  <c r="AL158" i="13"/>
  <c r="AT157" i="13"/>
  <c r="AS157" i="13"/>
  <c r="AR157" i="13"/>
  <c r="AQ157" i="13"/>
  <c r="AP157" i="13"/>
  <c r="AO157" i="13"/>
  <c r="AN157" i="13"/>
  <c r="AM157" i="13"/>
  <c r="AL157" i="13"/>
  <c r="AT156" i="13"/>
  <c r="AS156" i="13"/>
  <c r="AR156" i="13"/>
  <c r="AQ156" i="13"/>
  <c r="AP156" i="13"/>
  <c r="AO156" i="13"/>
  <c r="AN156" i="13"/>
  <c r="AM156" i="13"/>
  <c r="AL156" i="13"/>
  <c r="AT155" i="13"/>
  <c r="AS155" i="13"/>
  <c r="AR155" i="13"/>
  <c r="AQ155" i="13"/>
  <c r="AP155" i="13"/>
  <c r="AO155" i="13"/>
  <c r="AN155" i="13"/>
  <c r="AM155" i="13"/>
  <c r="AL155" i="13"/>
  <c r="AT154" i="13"/>
  <c r="AS154" i="13"/>
  <c r="AR154" i="13"/>
  <c r="AQ154" i="13"/>
  <c r="AP154" i="13"/>
  <c r="AO154" i="13"/>
  <c r="AN154" i="13"/>
  <c r="AM154" i="13"/>
  <c r="AL154" i="13"/>
  <c r="AT167" i="13"/>
  <c r="AS167" i="13"/>
  <c r="AR167" i="13"/>
  <c r="AQ167" i="13"/>
  <c r="AP167" i="13"/>
  <c r="AO167" i="13"/>
  <c r="AN167" i="13"/>
  <c r="AM167" i="13"/>
  <c r="AL167" i="13"/>
  <c r="AT166" i="13"/>
  <c r="AS166" i="13"/>
  <c r="AR166" i="13"/>
  <c r="AQ166" i="13"/>
  <c r="AP166" i="13"/>
  <c r="AO166" i="13"/>
  <c r="AN166" i="13"/>
  <c r="AM166" i="13"/>
  <c r="AL166" i="13"/>
  <c r="AT165" i="13"/>
  <c r="AS165" i="13"/>
  <c r="AR165" i="13"/>
  <c r="AQ165" i="13"/>
  <c r="AP165" i="13"/>
  <c r="AO165" i="13"/>
  <c r="AN165" i="13"/>
  <c r="AM165" i="13"/>
  <c r="AL165" i="13"/>
  <c r="S1061" i="13"/>
  <c r="Q578" i="13"/>
  <c r="S578" i="13"/>
  <c r="Q579" i="13"/>
  <c r="S579" i="13"/>
  <c r="Q580" i="13"/>
  <c r="S580" i="13"/>
  <c r="Q581" i="13"/>
  <c r="S581" i="13"/>
  <c r="Q582" i="13"/>
  <c r="S582" i="13"/>
  <c r="Q583" i="13"/>
  <c r="S583" i="13"/>
  <c r="Q584" i="13"/>
  <c r="S584" i="13"/>
  <c r="Q585" i="13"/>
  <c r="S585" i="13"/>
  <c r="Q586" i="13"/>
  <c r="S586" i="13"/>
  <c r="Q587" i="13"/>
  <c r="S587" i="13"/>
  <c r="Q588" i="13"/>
  <c r="S588" i="13"/>
  <c r="Q589" i="13"/>
  <c r="S589" i="13"/>
  <c r="Q590" i="13"/>
  <c r="S590" i="13"/>
  <c r="Q591" i="13"/>
  <c r="S591" i="13"/>
  <c r="Q592" i="13"/>
  <c r="S592" i="13"/>
  <c r="Q593" i="13"/>
  <c r="S593" i="13"/>
  <c r="Q594" i="13"/>
  <c r="S594" i="13"/>
  <c r="Q595" i="13"/>
  <c r="S595" i="13"/>
  <c r="Q596" i="13"/>
  <c r="S596" i="13"/>
  <c r="Q597" i="13"/>
  <c r="S597" i="13"/>
  <c r="Q598" i="13"/>
  <c r="S598" i="13"/>
  <c r="Q599" i="13"/>
  <c r="S599" i="13"/>
  <c r="Q600" i="13"/>
  <c r="S600" i="13"/>
  <c r="Q601" i="13"/>
  <c r="S601" i="13"/>
  <c r="Q602" i="13"/>
  <c r="S602" i="13"/>
  <c r="Q603" i="13"/>
  <c r="S603" i="13"/>
  <c r="Q604" i="13"/>
  <c r="S604" i="13"/>
  <c r="Q605" i="13"/>
  <c r="S605" i="13"/>
  <c r="Q606" i="13"/>
  <c r="S606" i="13"/>
  <c r="Q607" i="13"/>
  <c r="S607" i="13"/>
  <c r="Q608" i="13"/>
  <c r="S608" i="13"/>
  <c r="Q609" i="13"/>
  <c r="S609" i="13"/>
  <c r="Q610" i="13"/>
  <c r="S610" i="13"/>
  <c r="Q611" i="13"/>
  <c r="S611" i="13"/>
  <c r="Q612" i="13"/>
  <c r="S612" i="13"/>
  <c r="Q613" i="13"/>
  <c r="S613" i="13"/>
  <c r="Q614" i="13"/>
  <c r="S614" i="13"/>
  <c r="Q615" i="13"/>
  <c r="S615" i="13"/>
  <c r="Q616" i="13"/>
  <c r="S616" i="13"/>
  <c r="Q617" i="13"/>
  <c r="S617" i="13"/>
  <c r="Q618" i="13"/>
  <c r="S618" i="13"/>
  <c r="Q619" i="13"/>
  <c r="S619" i="13"/>
  <c r="Q620" i="13"/>
  <c r="S620" i="13"/>
  <c r="Q621" i="13"/>
  <c r="S621" i="13"/>
  <c r="Q622" i="13"/>
  <c r="S622" i="13"/>
  <c r="Q623" i="13"/>
  <c r="S623" i="13"/>
  <c r="Q624" i="13"/>
  <c r="S624" i="13"/>
  <c r="Q625" i="13"/>
  <c r="S625" i="13"/>
  <c r="Q626" i="13"/>
  <c r="S626" i="13"/>
  <c r="Q627" i="13"/>
  <c r="S627" i="13"/>
  <c r="Q628" i="13"/>
  <c r="S628" i="13"/>
  <c r="Q629" i="13"/>
  <c r="S629" i="13"/>
  <c r="Q630" i="13"/>
  <c r="S630" i="13"/>
  <c r="Q631" i="13"/>
  <c r="S631" i="13"/>
  <c r="Q632" i="13"/>
  <c r="S632" i="13"/>
  <c r="Q633" i="13"/>
  <c r="S633" i="13"/>
  <c r="Q634" i="13"/>
  <c r="S634" i="13"/>
  <c r="Q635" i="13"/>
  <c r="S635" i="13"/>
  <c r="Q636" i="13"/>
  <c r="S636" i="13"/>
  <c r="Q637" i="13"/>
  <c r="S637" i="13"/>
  <c r="Q638" i="13"/>
  <c r="S638" i="13"/>
  <c r="Q639" i="13"/>
  <c r="S639" i="13"/>
  <c r="Q640" i="13"/>
  <c r="S640" i="13"/>
  <c r="Q641" i="13"/>
  <c r="S641" i="13"/>
  <c r="Q642" i="13"/>
  <c r="S642" i="13"/>
  <c r="Q643" i="13"/>
  <c r="S643" i="13"/>
  <c r="Q644" i="13"/>
  <c r="S644" i="13"/>
  <c r="Q645" i="13"/>
  <c r="S645" i="13"/>
  <c r="Q646" i="13"/>
  <c r="S646" i="13"/>
  <c r="Q647" i="13"/>
  <c r="S647" i="13"/>
  <c r="Q648" i="13"/>
  <c r="S648" i="13"/>
  <c r="Q649" i="13"/>
  <c r="S649" i="13"/>
  <c r="Q650" i="13"/>
  <c r="S650" i="13"/>
  <c r="Q651" i="13"/>
  <c r="S651" i="13"/>
  <c r="Q652" i="13"/>
  <c r="S652" i="13"/>
  <c r="Q653" i="13"/>
  <c r="S653" i="13"/>
  <c r="Q654" i="13"/>
  <c r="S654" i="13"/>
  <c r="Q655" i="13"/>
  <c r="S655" i="13"/>
  <c r="Q656" i="13"/>
  <c r="S656" i="13"/>
  <c r="Q657" i="13"/>
  <c r="S657" i="13"/>
  <c r="Q658" i="13"/>
  <c r="S658" i="13"/>
  <c r="Q659" i="13"/>
  <c r="S659" i="13"/>
  <c r="Q660" i="13"/>
  <c r="S660" i="13"/>
  <c r="Q661" i="13"/>
  <c r="S661" i="13"/>
  <c r="Q662" i="13"/>
  <c r="S662" i="13"/>
  <c r="Q663" i="13"/>
  <c r="S663" i="13"/>
  <c r="Q664" i="13"/>
  <c r="S664" i="13"/>
  <c r="Q665" i="13"/>
  <c r="S665" i="13"/>
  <c r="Q666" i="13"/>
  <c r="S666" i="13"/>
  <c r="Q667" i="13"/>
  <c r="S667" i="13"/>
  <c r="Q668" i="13"/>
  <c r="S668" i="13"/>
  <c r="Q669" i="13"/>
  <c r="S669" i="13"/>
  <c r="Q670" i="13"/>
  <c r="S670" i="13"/>
  <c r="Q671" i="13"/>
  <c r="S671" i="13"/>
  <c r="Q672" i="13"/>
  <c r="S672" i="13"/>
  <c r="Q673" i="13"/>
  <c r="S673" i="13"/>
  <c r="Q674" i="13"/>
  <c r="S674" i="13"/>
  <c r="Q675" i="13"/>
  <c r="S675" i="13"/>
  <c r="Q676" i="13"/>
  <c r="S676" i="13"/>
  <c r="Q677" i="13"/>
  <c r="S677" i="13"/>
  <c r="Q678" i="13"/>
  <c r="S678" i="13"/>
  <c r="Q679" i="13"/>
  <c r="S679" i="13"/>
  <c r="Q680" i="13"/>
  <c r="S680" i="13"/>
  <c r="Q681" i="13"/>
  <c r="S681" i="13"/>
  <c r="Q682" i="13"/>
  <c r="S682" i="13"/>
  <c r="Q683" i="13"/>
  <c r="S683" i="13"/>
  <c r="Q684" i="13"/>
  <c r="S684" i="13"/>
  <c r="Q685" i="13"/>
  <c r="S685" i="13"/>
  <c r="Q686" i="13"/>
  <c r="S686" i="13"/>
  <c r="Q687" i="13"/>
  <c r="S687" i="13"/>
  <c r="Q688" i="13"/>
  <c r="S688" i="13"/>
  <c r="Q689" i="13"/>
  <c r="S689" i="13"/>
  <c r="Q690" i="13"/>
  <c r="S690" i="13"/>
  <c r="Q691" i="13"/>
  <c r="S691" i="13"/>
  <c r="Q692" i="13"/>
  <c r="S692" i="13"/>
  <c r="Q693" i="13"/>
  <c r="S693" i="13"/>
  <c r="Q694" i="13"/>
  <c r="S694" i="13"/>
  <c r="Q695" i="13"/>
  <c r="S695" i="13"/>
  <c r="Q696" i="13"/>
  <c r="S696" i="13"/>
  <c r="Q697" i="13"/>
  <c r="S697" i="13"/>
  <c r="Q698" i="13"/>
  <c r="S698" i="13"/>
  <c r="Q699" i="13"/>
  <c r="S699" i="13"/>
  <c r="Q700" i="13"/>
  <c r="S700" i="13"/>
  <c r="Q701" i="13"/>
  <c r="S701" i="13"/>
  <c r="Q702" i="13"/>
  <c r="S702" i="13"/>
  <c r="Q703" i="13"/>
  <c r="S703" i="13"/>
  <c r="Q704" i="13"/>
  <c r="S704" i="13"/>
  <c r="Q705" i="13"/>
  <c r="S705" i="13"/>
  <c r="Q706" i="13"/>
  <c r="S706" i="13"/>
  <c r="Q707" i="13"/>
  <c r="S707" i="13"/>
  <c r="Q708" i="13"/>
  <c r="S708" i="13"/>
  <c r="Q709" i="13"/>
  <c r="S709" i="13"/>
  <c r="Q710" i="13"/>
  <c r="S710" i="13"/>
  <c r="Q711" i="13"/>
  <c r="S711" i="13"/>
  <c r="Q712" i="13"/>
  <c r="S712" i="13"/>
  <c r="Q713" i="13"/>
  <c r="S713" i="13"/>
  <c r="Q714" i="13"/>
  <c r="S714" i="13"/>
  <c r="Q715" i="13"/>
  <c r="S715" i="13"/>
  <c r="Q716" i="13"/>
  <c r="S716" i="13"/>
  <c r="Q717" i="13"/>
  <c r="S717" i="13"/>
  <c r="Q718" i="13"/>
  <c r="S718" i="13"/>
  <c r="Q719" i="13"/>
  <c r="S719" i="13"/>
  <c r="Q720" i="13"/>
  <c r="S720" i="13"/>
  <c r="Q721" i="13"/>
  <c r="S721" i="13"/>
  <c r="Q722" i="13"/>
  <c r="S722" i="13"/>
  <c r="Q723" i="13"/>
  <c r="S723" i="13"/>
  <c r="Q724" i="13"/>
  <c r="S724" i="13"/>
  <c r="Q725" i="13"/>
  <c r="S725" i="13"/>
  <c r="Q726" i="13"/>
  <c r="S726" i="13"/>
  <c r="Q727" i="13"/>
  <c r="S727" i="13"/>
  <c r="Q728" i="13"/>
  <c r="S728" i="13"/>
  <c r="Q729" i="13"/>
  <c r="S729" i="13"/>
  <c r="Q730" i="13"/>
  <c r="S730" i="13"/>
  <c r="Q731" i="13"/>
  <c r="S731" i="13"/>
  <c r="Q732" i="13"/>
  <c r="S732" i="13"/>
  <c r="Q733" i="13"/>
  <c r="S733" i="13"/>
  <c r="Q734" i="13"/>
  <c r="S734" i="13"/>
  <c r="Q735" i="13"/>
  <c r="S735" i="13"/>
  <c r="Q736" i="13"/>
  <c r="S736" i="13"/>
  <c r="Q737" i="13"/>
  <c r="S737" i="13"/>
  <c r="Q738" i="13"/>
  <c r="S738" i="13"/>
  <c r="Q739" i="13"/>
  <c r="S739" i="13"/>
  <c r="Q740" i="13"/>
  <c r="S740" i="13"/>
  <c r="Q741" i="13"/>
  <c r="S741" i="13"/>
  <c r="Q742" i="13"/>
  <c r="S742" i="13"/>
  <c r="Q743" i="13"/>
  <c r="S743" i="13"/>
  <c r="Q744" i="13"/>
  <c r="S744" i="13"/>
  <c r="Q745" i="13"/>
  <c r="S745" i="13"/>
  <c r="Q746" i="13"/>
  <c r="S746" i="13"/>
  <c r="Q747" i="13"/>
  <c r="S747" i="13"/>
  <c r="Q748" i="13"/>
  <c r="S748" i="13"/>
  <c r="Q749" i="13"/>
  <c r="S749" i="13"/>
  <c r="Q750" i="13"/>
  <c r="S750" i="13"/>
  <c r="Q751" i="13"/>
  <c r="S751" i="13"/>
  <c r="Q752" i="13"/>
  <c r="S752" i="13"/>
  <c r="Q753" i="13"/>
  <c r="S753" i="13"/>
  <c r="Q754" i="13"/>
  <c r="S754" i="13"/>
  <c r="Q755" i="13"/>
  <c r="S755" i="13"/>
  <c r="Q756" i="13"/>
  <c r="S756" i="13"/>
  <c r="Q757" i="13"/>
  <c r="S757" i="13"/>
  <c r="Q758" i="13"/>
  <c r="S758" i="13"/>
  <c r="Q759" i="13"/>
  <c r="S759" i="13"/>
  <c r="Q760" i="13"/>
  <c r="S760" i="13"/>
  <c r="Q761" i="13"/>
  <c r="S761" i="13"/>
  <c r="Q762" i="13"/>
  <c r="S762" i="13"/>
  <c r="Q763" i="13"/>
  <c r="S763" i="13"/>
  <c r="Q764" i="13"/>
  <c r="S764" i="13"/>
  <c r="Q765" i="13"/>
  <c r="S765" i="13"/>
  <c r="Q766" i="13"/>
  <c r="S766" i="13"/>
  <c r="Q767" i="13"/>
  <c r="S767" i="13"/>
  <c r="Q768" i="13"/>
  <c r="S768" i="13"/>
  <c r="Q769" i="13"/>
  <c r="S769" i="13"/>
  <c r="Q770" i="13"/>
  <c r="S770" i="13"/>
  <c r="Q771" i="13"/>
  <c r="S771" i="13"/>
  <c r="Q772" i="13"/>
  <c r="S772" i="13"/>
  <c r="Q773" i="13"/>
  <c r="S773" i="13"/>
  <c r="Q774" i="13"/>
  <c r="S774" i="13"/>
  <c r="Q775" i="13"/>
  <c r="S775" i="13"/>
  <c r="Q776" i="13"/>
  <c r="S776" i="13"/>
  <c r="Q777" i="13"/>
  <c r="S777" i="13"/>
  <c r="Q778" i="13"/>
  <c r="S778" i="13"/>
  <c r="Q779" i="13"/>
  <c r="S779" i="13"/>
  <c r="Q780" i="13"/>
  <c r="S780" i="13"/>
  <c r="Q781" i="13"/>
  <c r="S781" i="13"/>
  <c r="Q782" i="13"/>
  <c r="S782" i="13"/>
  <c r="Q783" i="13"/>
  <c r="S783" i="13"/>
  <c r="Q784" i="13"/>
  <c r="S784" i="13"/>
  <c r="Q785" i="13"/>
  <c r="S785" i="13"/>
  <c r="Q786" i="13"/>
  <c r="S786" i="13"/>
  <c r="Q787" i="13"/>
  <c r="S787" i="13"/>
  <c r="Q788" i="13"/>
  <c r="S788" i="13"/>
  <c r="Q789" i="13"/>
  <c r="S789" i="13"/>
  <c r="Q790" i="13"/>
  <c r="S790" i="13"/>
  <c r="Q791" i="13"/>
  <c r="S791" i="13"/>
  <c r="Q792" i="13"/>
  <c r="S792" i="13"/>
  <c r="Q793" i="13"/>
  <c r="S793" i="13"/>
  <c r="Q794" i="13"/>
  <c r="S794" i="13"/>
  <c r="Q795" i="13"/>
  <c r="S795" i="13"/>
  <c r="Q796" i="13"/>
  <c r="S796" i="13"/>
  <c r="Q797" i="13"/>
  <c r="S797" i="13"/>
  <c r="Q798" i="13"/>
  <c r="S798" i="13"/>
  <c r="Q799" i="13"/>
  <c r="S799" i="13"/>
  <c r="Q800" i="13"/>
  <c r="S800" i="13"/>
  <c r="Q801" i="13"/>
  <c r="S801" i="13"/>
  <c r="Q802" i="13"/>
  <c r="S802" i="13"/>
  <c r="Q803" i="13"/>
  <c r="S803" i="13"/>
  <c r="Q804" i="13"/>
  <c r="S804" i="13"/>
  <c r="Q805" i="13"/>
  <c r="S805" i="13"/>
  <c r="Q806" i="13"/>
  <c r="S806" i="13"/>
  <c r="Q807" i="13"/>
  <c r="S807" i="13"/>
  <c r="Q808" i="13"/>
  <c r="S808" i="13"/>
  <c r="Q809" i="13"/>
  <c r="S809" i="13"/>
  <c r="Q810" i="13"/>
  <c r="S810" i="13"/>
  <c r="Q811" i="13"/>
  <c r="S811" i="13"/>
  <c r="Q812" i="13"/>
  <c r="S812" i="13"/>
  <c r="Q813" i="13"/>
  <c r="S813" i="13"/>
  <c r="Q814" i="13"/>
  <c r="S814" i="13"/>
  <c r="Q815" i="13"/>
  <c r="S815" i="13"/>
  <c r="Q816" i="13"/>
  <c r="S816" i="13"/>
  <c r="Q817" i="13"/>
  <c r="S817" i="13"/>
  <c r="Q818" i="13"/>
  <c r="S818" i="13"/>
  <c r="Q819" i="13"/>
  <c r="S819" i="13"/>
  <c r="Q820" i="13"/>
  <c r="S820" i="13"/>
  <c r="Q821" i="13"/>
  <c r="S821" i="13"/>
  <c r="Q822" i="13"/>
  <c r="S822" i="13"/>
  <c r="Q823" i="13"/>
  <c r="S823" i="13"/>
  <c r="Q824" i="13"/>
  <c r="S824" i="13"/>
  <c r="Q825" i="13"/>
  <c r="S825" i="13"/>
  <c r="Q826" i="13"/>
  <c r="S826" i="13"/>
  <c r="Q827" i="13"/>
  <c r="S827" i="13"/>
  <c r="Q828" i="13"/>
  <c r="S828" i="13"/>
  <c r="Q829" i="13"/>
  <c r="S829" i="13"/>
  <c r="Q830" i="13"/>
  <c r="S830" i="13"/>
  <c r="Q831" i="13"/>
  <c r="S831" i="13"/>
  <c r="Q832" i="13"/>
  <c r="S832" i="13"/>
  <c r="Q833" i="13"/>
  <c r="S833" i="13"/>
  <c r="Q834" i="13"/>
  <c r="S834" i="13"/>
  <c r="Q835" i="13"/>
  <c r="S835" i="13"/>
  <c r="Q836" i="13"/>
  <c r="S836" i="13"/>
  <c r="Q837" i="13"/>
  <c r="S837" i="13"/>
  <c r="Q838" i="13"/>
  <c r="S838" i="13"/>
  <c r="Q839" i="13"/>
  <c r="S839" i="13"/>
  <c r="Q840" i="13"/>
  <c r="S840" i="13"/>
  <c r="Q841" i="13"/>
  <c r="S841" i="13"/>
  <c r="Q842" i="13"/>
  <c r="S842" i="13"/>
  <c r="Q843" i="13"/>
  <c r="S843" i="13"/>
  <c r="Q844" i="13"/>
  <c r="S844" i="13"/>
  <c r="Q845" i="13"/>
  <c r="S845" i="13"/>
  <c r="Q846" i="13"/>
  <c r="S846" i="13"/>
  <c r="Q847" i="13"/>
  <c r="S847" i="13"/>
  <c r="Q848" i="13"/>
  <c r="S848" i="13"/>
  <c r="Q849" i="13"/>
  <c r="S849" i="13"/>
  <c r="Q850" i="13"/>
  <c r="S850" i="13"/>
  <c r="Q851" i="13"/>
  <c r="S851" i="13"/>
  <c r="Q852" i="13"/>
  <c r="S852" i="13"/>
  <c r="Q853" i="13"/>
  <c r="S853" i="13"/>
  <c r="Q854" i="13"/>
  <c r="S854" i="13"/>
  <c r="Q855" i="13"/>
  <c r="S855" i="13"/>
  <c r="Q856" i="13"/>
  <c r="S856" i="13"/>
  <c r="Q857" i="13"/>
  <c r="S857" i="13"/>
  <c r="Q858" i="13"/>
  <c r="S858" i="13"/>
  <c r="Q859" i="13"/>
  <c r="S859" i="13"/>
  <c r="Q860" i="13"/>
  <c r="S860" i="13"/>
  <c r="Q861" i="13"/>
  <c r="S861" i="13"/>
  <c r="Q862" i="13"/>
  <c r="S862" i="13"/>
  <c r="Q863" i="13"/>
  <c r="S863" i="13"/>
  <c r="Q864" i="13"/>
  <c r="S864" i="13"/>
  <c r="Q865" i="13"/>
  <c r="S865" i="13"/>
  <c r="Q866" i="13"/>
  <c r="S866" i="13"/>
  <c r="S867" i="13"/>
  <c r="S868" i="13"/>
  <c r="S869" i="13"/>
  <c r="S870" i="13"/>
  <c r="S871" i="13"/>
  <c r="Q872" i="13"/>
  <c r="Q873" i="13"/>
  <c r="Q874" i="13"/>
  <c r="Q875" i="13"/>
  <c r="Q876" i="13"/>
  <c r="S877" i="13"/>
  <c r="S878" i="13"/>
  <c r="S879" i="13"/>
  <c r="S880" i="13"/>
  <c r="S881" i="13"/>
  <c r="Q887" i="13"/>
  <c r="Q894" i="13"/>
  <c r="Q895" i="13"/>
  <c r="Q896" i="13"/>
  <c r="Q907" i="13"/>
  <c r="S907" i="13"/>
  <c r="Q908" i="13"/>
  <c r="S908" i="13"/>
  <c r="Q909" i="13"/>
  <c r="S909" i="13"/>
  <c r="Q910" i="13"/>
  <c r="S910" i="13"/>
  <c r="Q911" i="13"/>
  <c r="S911" i="13"/>
  <c r="S912" i="13"/>
  <c r="S913" i="13"/>
  <c r="S914" i="13"/>
  <c r="S915" i="13"/>
  <c r="S916" i="13"/>
  <c r="Q917" i="13"/>
  <c r="S917" i="13"/>
  <c r="Q918" i="13"/>
  <c r="S918" i="13"/>
  <c r="Q919" i="13"/>
  <c r="S919" i="13"/>
  <c r="Q920" i="13"/>
  <c r="S920" i="13"/>
  <c r="Q921" i="13"/>
  <c r="S921" i="13"/>
  <c r="Q922" i="13"/>
  <c r="S922" i="13"/>
  <c r="Q923" i="13"/>
  <c r="S923" i="13"/>
  <c r="Q924" i="13"/>
  <c r="S924" i="13"/>
  <c r="Q925" i="13"/>
  <c r="S925" i="13"/>
  <c r="Q926" i="13"/>
  <c r="S926" i="13"/>
  <c r="S927" i="13"/>
  <c r="S928" i="13"/>
  <c r="S929" i="13"/>
  <c r="S930" i="13"/>
  <c r="S931" i="13"/>
  <c r="Q932" i="13"/>
  <c r="Q933" i="13"/>
  <c r="Q934" i="13"/>
  <c r="Q935" i="13"/>
  <c r="Q936" i="13"/>
  <c r="Q947" i="13"/>
  <c r="S947" i="13"/>
  <c r="Q948" i="13"/>
  <c r="S948" i="13"/>
  <c r="Q949" i="13"/>
  <c r="S949" i="13"/>
  <c r="Q950" i="13"/>
  <c r="S950" i="13"/>
  <c r="Q951" i="13"/>
  <c r="S951" i="13"/>
  <c r="Q952" i="13"/>
  <c r="S952" i="13"/>
  <c r="Q953" i="13"/>
  <c r="S953" i="13"/>
  <c r="Q954" i="13"/>
  <c r="S954" i="13"/>
  <c r="Q955" i="13"/>
  <c r="S955" i="13"/>
  <c r="Q956" i="13"/>
  <c r="S956" i="13"/>
  <c r="Q967" i="13"/>
  <c r="S967" i="13"/>
  <c r="Q968" i="13"/>
  <c r="S968" i="13"/>
  <c r="Q969" i="13"/>
  <c r="S969" i="13"/>
  <c r="Q970" i="13"/>
  <c r="S970" i="13"/>
  <c r="Q971" i="13"/>
  <c r="S971" i="13"/>
  <c r="S982" i="13"/>
  <c r="S983" i="13"/>
  <c r="S984" i="13"/>
  <c r="S985" i="13"/>
  <c r="S986" i="13"/>
  <c r="S987" i="13"/>
  <c r="S988" i="13"/>
  <c r="S989" i="13"/>
  <c r="S990" i="13"/>
  <c r="S991" i="13"/>
  <c r="S1012" i="13"/>
  <c r="S1013" i="13"/>
  <c r="S1014" i="13"/>
  <c r="S1015" i="13"/>
  <c r="S1016" i="13"/>
  <c r="S1017" i="13"/>
  <c r="S1018" i="13"/>
  <c r="S1019" i="13"/>
  <c r="S1020" i="13"/>
  <c r="S1021" i="13"/>
  <c r="S1022" i="13"/>
  <c r="S1023" i="13"/>
  <c r="S1024" i="13"/>
  <c r="S1025" i="13"/>
  <c r="S1026" i="13"/>
  <c r="S1027" i="13"/>
  <c r="S1028" i="13"/>
  <c r="S1029" i="13"/>
  <c r="S1030" i="13"/>
  <c r="S1031" i="13"/>
  <c r="S1032" i="13"/>
  <c r="S1033" i="13"/>
  <c r="S1034" i="13"/>
  <c r="S1035" i="13"/>
  <c r="S1036" i="13"/>
  <c r="S1037" i="13"/>
  <c r="S1038" i="13"/>
  <c r="S1039" i="13"/>
  <c r="S1040" i="13"/>
  <c r="S1041" i="13"/>
  <c r="S1042" i="13"/>
  <c r="S1043" i="13"/>
  <c r="S1044" i="13"/>
  <c r="S1045" i="13"/>
  <c r="S1046" i="13"/>
  <c r="S1047" i="13"/>
  <c r="S1048" i="13"/>
  <c r="S1049" i="13"/>
  <c r="S1050" i="13"/>
  <c r="S1051" i="13"/>
  <c r="S1052" i="13"/>
  <c r="S1053" i="13"/>
  <c r="S1054" i="13"/>
  <c r="S1055" i="13"/>
  <c r="S1056" i="13"/>
  <c r="S1057" i="13"/>
  <c r="S1058" i="13"/>
  <c r="S1059" i="13"/>
  <c r="S1060" i="13"/>
  <c r="Q486" i="13"/>
  <c r="S486" i="13"/>
  <c r="Q487" i="13"/>
  <c r="S487" i="13"/>
  <c r="Q488" i="13"/>
  <c r="S488" i="13"/>
  <c r="Q489" i="13"/>
  <c r="S489" i="13"/>
  <c r="Q490" i="13"/>
  <c r="S490" i="13"/>
  <c r="Q491" i="13"/>
  <c r="S491" i="13"/>
  <c r="Q497" i="13"/>
  <c r="S497" i="13"/>
  <c r="Q498" i="13"/>
  <c r="S498" i="13"/>
  <c r="Q499" i="13"/>
  <c r="S499" i="13"/>
  <c r="Q500" i="13"/>
  <c r="S500" i="13"/>
  <c r="Q501" i="13"/>
  <c r="S501" i="13"/>
  <c r="Q502" i="13"/>
  <c r="S502" i="13"/>
  <c r="Q503" i="13"/>
  <c r="S503" i="13"/>
  <c r="Q504" i="13"/>
  <c r="S504" i="13"/>
  <c r="Q505" i="13"/>
  <c r="S505" i="13"/>
  <c r="Q506" i="13"/>
  <c r="S506" i="13"/>
  <c r="Q507" i="13"/>
  <c r="S507" i="13"/>
  <c r="Q508" i="13"/>
  <c r="S508" i="13"/>
  <c r="Q509" i="13"/>
  <c r="S509" i="13"/>
  <c r="Q510" i="13"/>
  <c r="S510" i="13"/>
  <c r="Q511" i="13"/>
  <c r="S511" i="13"/>
  <c r="Q512" i="13"/>
  <c r="S512" i="13"/>
  <c r="Q513" i="13"/>
  <c r="S513" i="13"/>
  <c r="Q514" i="13"/>
  <c r="S514" i="13"/>
  <c r="Q515" i="13"/>
  <c r="S515" i="13"/>
  <c r="Q516" i="13"/>
  <c r="S516" i="13"/>
  <c r="Q517" i="13"/>
  <c r="S517" i="13"/>
  <c r="Q518" i="13"/>
  <c r="S518" i="13"/>
  <c r="Q519" i="13"/>
  <c r="S519" i="13"/>
  <c r="Q520" i="13"/>
  <c r="S520" i="13"/>
  <c r="Q521" i="13"/>
  <c r="S521" i="13"/>
  <c r="Q522" i="13"/>
  <c r="S522" i="13"/>
  <c r="Q523" i="13"/>
  <c r="S523" i="13"/>
  <c r="Q524" i="13"/>
  <c r="S524" i="13"/>
  <c r="Q525" i="13"/>
  <c r="S525" i="13"/>
  <c r="Q526" i="13"/>
  <c r="S526" i="13"/>
  <c r="Q527" i="13"/>
  <c r="S527" i="13"/>
  <c r="Q528" i="13"/>
  <c r="S528" i="13"/>
  <c r="Q529" i="13"/>
  <c r="S529" i="13"/>
  <c r="Q530" i="13"/>
  <c r="S530" i="13"/>
  <c r="Q531" i="13"/>
  <c r="S531" i="13"/>
  <c r="Q532" i="13"/>
  <c r="S532" i="13"/>
  <c r="Q533" i="13"/>
  <c r="S533" i="13"/>
  <c r="Q534" i="13"/>
  <c r="S534" i="13"/>
  <c r="Q535" i="13"/>
  <c r="S535" i="13"/>
  <c r="Q536" i="13"/>
  <c r="S536" i="13"/>
  <c r="Q537" i="13"/>
  <c r="S537" i="13"/>
  <c r="Q538" i="13"/>
  <c r="S538" i="13"/>
  <c r="Q539" i="13"/>
  <c r="S539" i="13"/>
  <c r="Q540" i="13"/>
  <c r="S540" i="13"/>
  <c r="Q541" i="13"/>
  <c r="S541" i="13"/>
  <c r="Q542" i="13"/>
  <c r="S542" i="13"/>
  <c r="Q543" i="13"/>
  <c r="S543" i="13"/>
  <c r="Q544" i="13"/>
  <c r="S544" i="13"/>
  <c r="Q545" i="13"/>
  <c r="S545" i="13"/>
  <c r="Q546" i="13"/>
  <c r="S546" i="13"/>
  <c r="Q547" i="13"/>
  <c r="S547" i="13"/>
  <c r="Q548" i="13"/>
  <c r="S548" i="13"/>
  <c r="Q549" i="13"/>
  <c r="S549" i="13"/>
  <c r="Q550" i="13"/>
  <c r="S550" i="13"/>
  <c r="Q551" i="13"/>
  <c r="S551" i="13"/>
  <c r="Q552" i="13"/>
  <c r="S552" i="13"/>
  <c r="Q553" i="13"/>
  <c r="S553" i="13"/>
  <c r="Q554" i="13"/>
  <c r="S554" i="13"/>
  <c r="Q555" i="13"/>
  <c r="S555" i="13"/>
  <c r="Q556" i="13"/>
  <c r="S556" i="13"/>
  <c r="Q557" i="13"/>
  <c r="S557" i="13"/>
  <c r="Q558" i="13"/>
  <c r="S558" i="13"/>
  <c r="Q559" i="13"/>
  <c r="S559" i="13"/>
  <c r="Q560" i="13"/>
  <c r="S560" i="13"/>
  <c r="Q561" i="13"/>
  <c r="S561" i="13"/>
  <c r="Q562" i="13"/>
  <c r="S562" i="13"/>
  <c r="Q563" i="13"/>
  <c r="S563" i="13"/>
  <c r="Q564" i="13"/>
  <c r="S564" i="13"/>
  <c r="Q565" i="13"/>
  <c r="S565" i="13"/>
  <c r="Q566" i="13"/>
  <c r="S566" i="13"/>
  <c r="Q567" i="13"/>
  <c r="S567" i="13"/>
  <c r="Q568" i="13"/>
  <c r="S568" i="13"/>
  <c r="Q569" i="13"/>
  <c r="S569" i="13"/>
  <c r="Q570" i="13"/>
  <c r="S570" i="13"/>
  <c r="Q571" i="13"/>
  <c r="S571" i="13"/>
  <c r="Q572" i="13"/>
  <c r="S572" i="13"/>
  <c r="Q573" i="13"/>
  <c r="S573" i="13"/>
  <c r="Q574" i="13"/>
  <c r="S574" i="13"/>
  <c r="Q575" i="13"/>
  <c r="S575" i="13"/>
  <c r="Q576" i="13"/>
  <c r="S576" i="13"/>
  <c r="Q577" i="13"/>
  <c r="S577" i="13"/>
  <c r="Q267" i="13"/>
  <c r="S267" i="13"/>
  <c r="Q268" i="13"/>
  <c r="S268" i="13"/>
  <c r="Q269" i="13"/>
  <c r="S269" i="13"/>
  <c r="Q270" i="13"/>
  <c r="S270" i="13"/>
  <c r="Q271" i="13"/>
  <c r="S271" i="13"/>
  <c r="Q272" i="13"/>
  <c r="S272" i="13"/>
  <c r="Q277" i="13"/>
  <c r="Q279" i="13"/>
  <c r="Q280" i="13"/>
  <c r="Q281" i="13"/>
  <c r="S281" i="13"/>
  <c r="Q282" i="13"/>
  <c r="S282" i="13"/>
  <c r="Q283" i="13"/>
  <c r="S283" i="13"/>
  <c r="Q284" i="13"/>
  <c r="S284" i="13"/>
  <c r="Q285" i="13"/>
  <c r="S285" i="13"/>
  <c r="Q290" i="13"/>
  <c r="Q291" i="13"/>
  <c r="Q293" i="13"/>
  <c r="Q294" i="13"/>
  <c r="S294" i="13"/>
  <c r="Q295" i="13"/>
  <c r="S295" i="13"/>
  <c r="Q297" i="13"/>
  <c r="S297" i="13"/>
  <c r="Q298" i="13"/>
  <c r="S298" i="13"/>
  <c r="S302" i="13"/>
  <c r="Q348" i="13"/>
  <c r="Q352" i="13"/>
  <c r="Q353" i="13"/>
  <c r="Q354" i="13"/>
  <c r="Q355" i="13"/>
  <c r="Q356" i="13"/>
  <c r="Q357" i="13"/>
  <c r="Q358" i="13"/>
  <c r="Q360" i="13"/>
  <c r="Q361" i="13"/>
  <c r="Q366" i="13"/>
  <c r="Q367" i="13"/>
  <c r="Q368" i="13"/>
  <c r="Q369" i="13"/>
  <c r="Q370" i="13"/>
  <c r="S370" i="13"/>
  <c r="Q375" i="13"/>
  <c r="Q377" i="13"/>
  <c r="S377" i="13"/>
  <c r="Q381" i="13"/>
  <c r="Q385" i="13"/>
  <c r="S385" i="13"/>
  <c r="Q386" i="13"/>
  <c r="Q392" i="13"/>
  <c r="S392" i="13"/>
  <c r="S393" i="13"/>
  <c r="S394" i="13"/>
  <c r="S395" i="13"/>
  <c r="S396" i="13"/>
  <c r="S397" i="13"/>
  <c r="S398" i="13"/>
  <c r="S399" i="13"/>
  <c r="Q400" i="13"/>
  <c r="S400" i="13"/>
  <c r="Q401" i="13"/>
  <c r="Q402" i="13"/>
  <c r="Q403" i="13"/>
  <c r="S404" i="13"/>
  <c r="S405" i="13"/>
  <c r="Q406" i="13"/>
  <c r="S407" i="13"/>
  <c r="S408" i="13"/>
  <c r="S409" i="13"/>
  <c r="S410" i="13"/>
  <c r="Q411" i="13"/>
  <c r="Q415" i="13"/>
  <c r="Q416" i="13"/>
  <c r="Q417" i="13"/>
  <c r="Q418" i="13"/>
  <c r="S419" i="13"/>
  <c r="Q421" i="13"/>
  <c r="Q422" i="13"/>
  <c r="S422" i="13"/>
  <c r="Q423" i="13"/>
  <c r="Q424" i="13"/>
  <c r="Q425" i="13"/>
  <c r="Q426" i="13"/>
  <c r="S426" i="13"/>
  <c r="Q427" i="13"/>
  <c r="Q428" i="13"/>
  <c r="Q429" i="13"/>
  <c r="Q430" i="13"/>
  <c r="S430" i="13"/>
  <c r="S431" i="13"/>
  <c r="S432" i="13"/>
  <c r="S433" i="13"/>
  <c r="Q434" i="13"/>
  <c r="Q435" i="13"/>
  <c r="S436" i="13"/>
  <c r="Q437" i="13"/>
  <c r="S437" i="13"/>
  <c r="Q438" i="13"/>
  <c r="Q439" i="13"/>
  <c r="Q440" i="13"/>
  <c r="Q441" i="13"/>
  <c r="S441" i="13"/>
  <c r="Q442" i="13"/>
  <c r="Q443" i="13"/>
  <c r="Q444" i="13"/>
  <c r="Q445" i="13"/>
  <c r="S445" i="13"/>
  <c r="S446" i="13"/>
  <c r="S447" i="13"/>
  <c r="S448" i="13"/>
  <c r="Q449" i="13"/>
  <c r="Q450" i="13"/>
  <c r="S451" i="13"/>
  <c r="Q251" i="13"/>
  <c r="S251" i="13"/>
  <c r="Q252" i="13"/>
  <c r="S252" i="13"/>
  <c r="Q253" i="13"/>
  <c r="S253" i="13"/>
  <c r="Q254" i="13"/>
  <c r="S254" i="13"/>
  <c r="Q255" i="13"/>
  <c r="S255" i="13"/>
  <c r="Q256" i="13"/>
  <c r="S256" i="13"/>
  <c r="S257" i="13"/>
  <c r="S258" i="13"/>
  <c r="S259" i="13"/>
  <c r="Q263" i="13"/>
  <c r="S263" i="13"/>
  <c r="Q264" i="13"/>
  <c r="S264" i="13"/>
  <c r="Q265" i="13"/>
  <c r="S265" i="13"/>
  <c r="Q266" i="13"/>
  <c r="S266" i="13"/>
  <c r="Q231" i="13"/>
  <c r="S231" i="13"/>
  <c r="Q232" i="13"/>
  <c r="S232" i="13"/>
  <c r="Q233" i="13"/>
  <c r="S233" i="13"/>
  <c r="S234" i="13"/>
  <c r="S235" i="13"/>
  <c r="S236" i="13"/>
  <c r="S237" i="13"/>
  <c r="S238" i="13"/>
  <c r="S239" i="13"/>
  <c r="S241" i="13"/>
  <c r="S242" i="13"/>
  <c r="S243" i="13"/>
  <c r="Q245" i="13"/>
  <c r="S245" i="13"/>
  <c r="Q246" i="13"/>
  <c r="S246" i="13"/>
  <c r="Q247" i="13"/>
  <c r="S247" i="13"/>
  <c r="Q248" i="13"/>
  <c r="S248" i="13"/>
  <c r="Q249" i="13"/>
  <c r="S249" i="13"/>
  <c r="Q250" i="13"/>
  <c r="S250" i="13"/>
  <c r="Q211" i="13"/>
  <c r="S211" i="13"/>
  <c r="Q212" i="13"/>
  <c r="S212" i="13"/>
  <c r="Q213" i="13"/>
  <c r="S213" i="13"/>
  <c r="Q214" i="13"/>
  <c r="S214" i="13"/>
  <c r="Q215" i="13"/>
  <c r="S215" i="13"/>
  <c r="Q220" i="13"/>
  <c r="S220" i="13"/>
  <c r="Q221" i="13"/>
  <c r="S221" i="13"/>
  <c r="Q222" i="13"/>
  <c r="S222" i="13"/>
  <c r="Q223" i="13"/>
  <c r="S223" i="13"/>
  <c r="Q224" i="13"/>
  <c r="Q225" i="13"/>
  <c r="S225" i="13"/>
  <c r="Q228" i="13"/>
  <c r="S228" i="13"/>
  <c r="Q229" i="13"/>
  <c r="S229" i="13"/>
  <c r="Q230" i="13"/>
  <c r="S230" i="13"/>
  <c r="S170" i="13"/>
  <c r="S171" i="13"/>
  <c r="S172" i="13"/>
  <c r="S173" i="13"/>
  <c r="Q174" i="13"/>
  <c r="S174" i="13"/>
  <c r="S177" i="13"/>
  <c r="S178" i="13"/>
  <c r="S179" i="13"/>
  <c r="S180" i="13"/>
  <c r="S181" i="13"/>
  <c r="S182" i="13"/>
  <c r="S183" i="13"/>
  <c r="S184" i="13"/>
  <c r="S185" i="13"/>
  <c r="S186" i="13"/>
  <c r="S187" i="13"/>
  <c r="S190" i="13"/>
  <c r="S191" i="13"/>
  <c r="S192" i="13"/>
  <c r="Q194" i="13"/>
  <c r="S194" i="13"/>
  <c r="Q195" i="13"/>
  <c r="S195" i="13"/>
  <c r="Q196" i="13"/>
  <c r="S196" i="13"/>
  <c r="Q197" i="13"/>
  <c r="S197" i="13"/>
  <c r="Q198" i="13"/>
  <c r="S198" i="13"/>
  <c r="Q199" i="13"/>
  <c r="S199" i="13"/>
  <c r="Q200" i="13"/>
  <c r="Q201" i="13"/>
  <c r="Q202" i="13"/>
  <c r="Q205" i="13"/>
  <c r="S205" i="13"/>
  <c r="Q206" i="13"/>
  <c r="S206" i="13"/>
  <c r="Q207" i="13"/>
  <c r="S207" i="13"/>
  <c r="Q208" i="13"/>
  <c r="S208" i="13"/>
  <c r="Q209" i="13"/>
  <c r="S209" i="13"/>
  <c r="Q210" i="13"/>
  <c r="S210" i="13"/>
  <c r="S159" i="13"/>
  <c r="S160" i="13"/>
  <c r="S168" i="13"/>
  <c r="S169" i="13"/>
  <c r="AL164" i="13"/>
  <c r="AM164" i="13"/>
  <c r="AN164" i="13"/>
  <c r="AO164" i="13"/>
  <c r="AP164" i="13"/>
  <c r="AQ164" i="13"/>
  <c r="AR164" i="13"/>
  <c r="AS164" i="13"/>
  <c r="AT164" i="13"/>
  <c r="AN163" i="13"/>
  <c r="AM163" i="13"/>
  <c r="AL163" i="13"/>
  <c r="AK154" i="13" l="1"/>
  <c r="AK158" i="13"/>
  <c r="AK185" i="13"/>
  <c r="AK189" i="13"/>
  <c r="AK177" i="13"/>
  <c r="AK217" i="13"/>
  <c r="AK338" i="13"/>
  <c r="AK342" i="13"/>
  <c r="AK346" i="13"/>
  <c r="AK350" i="13"/>
  <c r="AK354" i="13"/>
  <c r="AK358" i="13"/>
  <c r="AK362" i="13"/>
  <c r="AK366" i="13"/>
  <c r="AK374" i="13"/>
  <c r="AK378" i="13"/>
  <c r="AK382" i="13"/>
  <c r="AK386" i="13"/>
  <c r="AK390" i="13"/>
  <c r="AK402" i="13"/>
  <c r="AK406" i="13"/>
  <c r="AK414" i="13"/>
  <c r="AK418" i="13"/>
  <c r="AK434" i="13"/>
  <c r="AK165" i="13"/>
  <c r="AK155" i="13"/>
  <c r="AK438" i="13"/>
  <c r="AK442" i="13"/>
  <c r="AK450" i="13"/>
  <c r="AK454" i="13"/>
  <c r="AK458" i="13"/>
  <c r="AK462" i="13"/>
  <c r="AK466" i="13"/>
  <c r="AK470" i="13"/>
  <c r="AK174" i="13"/>
  <c r="AK259" i="13"/>
  <c r="AK205" i="13"/>
  <c r="AK234" i="13"/>
  <c r="AK246" i="13"/>
  <c r="AK230" i="13"/>
  <c r="AK222" i="13"/>
  <c r="AK242" i="13"/>
  <c r="AK209" i="13"/>
  <c r="AK874" i="13"/>
  <c r="AK882" i="13"/>
  <c r="AK886" i="13"/>
  <c r="AK890" i="13"/>
  <c r="AK894" i="13"/>
  <c r="AK181" i="13"/>
  <c r="AK170" i="13"/>
  <c r="AK173" i="13"/>
  <c r="AK238" i="13"/>
  <c r="AK264" i="13"/>
  <c r="AK167" i="13"/>
  <c r="AK157" i="13"/>
  <c r="AK168" i="13"/>
  <c r="AK176" i="13"/>
  <c r="AK188" i="13"/>
  <c r="AK200" i="13"/>
  <c r="AK212" i="13"/>
  <c r="AK216" i="13"/>
  <c r="AK227" i="13"/>
  <c r="AK241" i="13"/>
  <c r="AK249" i="13"/>
  <c r="AK253" i="13"/>
  <c r="AK341" i="13"/>
  <c r="AK345" i="13"/>
  <c r="AK349" i="13"/>
  <c r="AK353" i="13"/>
  <c r="AK357" i="13"/>
  <c r="AK361" i="13"/>
  <c r="AK365" i="13"/>
  <c r="AK369" i="13"/>
  <c r="AK373" i="13"/>
  <c r="AK381" i="13"/>
  <c r="AK389" i="13"/>
  <c r="AK401" i="13"/>
  <c r="AK413" i="13"/>
  <c r="AK417" i="13"/>
  <c r="AK421" i="13"/>
  <c r="AK425" i="13"/>
  <c r="AK429" i="13"/>
  <c r="AK449" i="13"/>
  <c r="AK453" i="13"/>
  <c r="AK457" i="13"/>
  <c r="AK461" i="13"/>
  <c r="AK465" i="13"/>
  <c r="AK469" i="13"/>
  <c r="AK268" i="13"/>
  <c r="AK277" i="13"/>
  <c r="AK281" i="13"/>
  <c r="AK289" i="13"/>
  <c r="AK293" i="13"/>
  <c r="AK305" i="13"/>
  <c r="AK213" i="13"/>
  <c r="AK233" i="13"/>
  <c r="AK182" i="13"/>
  <c r="AK186" i="13"/>
  <c r="AK190" i="13"/>
  <c r="AK194" i="13"/>
  <c r="AK198" i="13"/>
  <c r="AK201" i="13"/>
  <c r="AK210" i="13"/>
  <c r="AK214" i="13"/>
  <c r="AK218" i="13"/>
  <c r="AK231" i="13"/>
  <c r="AK235" i="13"/>
  <c r="AK260" i="13"/>
  <c r="AK339" i="13"/>
  <c r="AK343" i="13"/>
  <c r="AK347" i="13"/>
  <c r="AK351" i="13"/>
  <c r="AK355" i="13"/>
  <c r="AK359" i="13"/>
  <c r="AK363" i="13"/>
  <c r="AK367" i="13"/>
  <c r="AK371" i="13"/>
  <c r="AK375" i="13"/>
  <c r="AK379" i="13"/>
  <c r="AK383" i="13"/>
  <c r="AK387" i="13"/>
  <c r="AK391" i="13"/>
  <c r="AK403" i="13"/>
  <c r="AK411" i="13"/>
  <c r="AK415" i="13"/>
  <c r="AK423" i="13"/>
  <c r="AK427" i="13"/>
  <c r="AK435" i="13"/>
  <c r="AK439" i="13"/>
  <c r="AK443" i="13"/>
  <c r="AK455" i="13"/>
  <c r="AK459" i="13"/>
  <c r="AK463" i="13"/>
  <c r="AK467" i="13"/>
  <c r="AK471" i="13"/>
  <c r="AK875" i="13"/>
  <c r="AK883" i="13"/>
  <c r="AK887" i="13"/>
  <c r="AK891" i="13"/>
  <c r="AK895" i="13"/>
  <c r="AK873" i="13"/>
  <c r="AK885" i="13"/>
  <c r="AK889" i="13"/>
  <c r="AK893" i="13"/>
  <c r="AK178" i="13"/>
  <c r="AK243" i="13"/>
  <c r="AK247" i="13"/>
  <c r="AK251" i="13"/>
  <c r="AK265" i="13"/>
  <c r="AK269" i="13"/>
  <c r="AK278" i="13"/>
  <c r="AK282" i="13"/>
  <c r="AK286" i="13"/>
  <c r="AK290" i="13"/>
  <c r="AK294" i="13"/>
  <c r="AK298" i="13"/>
  <c r="AK302" i="13"/>
  <c r="AK395" i="13"/>
  <c r="AK399" i="13"/>
  <c r="AK407" i="13"/>
  <c r="AK419" i="13"/>
  <c r="AK431" i="13"/>
  <c r="AK447" i="13"/>
  <c r="AK451" i="13"/>
  <c r="AK475" i="13"/>
  <c r="AK479" i="13"/>
  <c r="AK483" i="13"/>
  <c r="AK487" i="13"/>
  <c r="AK491" i="13"/>
  <c r="AK495" i="13"/>
  <c r="AK499" i="13"/>
  <c r="AK503" i="13"/>
  <c r="AK206" i="13"/>
  <c r="AK223" i="13"/>
  <c r="AK255" i="13"/>
  <c r="AK258" i="13"/>
  <c r="AK273" i="13"/>
  <c r="AK159" i="13"/>
  <c r="AK239" i="13"/>
  <c r="AK169" i="13"/>
  <c r="AK285" i="13"/>
  <c r="AK297" i="13"/>
  <c r="AK370" i="13"/>
  <c r="AK394" i="13"/>
  <c r="AK398" i="13"/>
  <c r="AK410" i="13"/>
  <c r="AK422" i="13"/>
  <c r="AK426" i="13"/>
  <c r="AK430" i="13"/>
  <c r="AK446" i="13"/>
  <c r="AK193" i="13"/>
  <c r="AK250" i="13"/>
  <c r="AK254" i="13"/>
  <c r="AK272" i="13"/>
  <c r="AK164" i="13"/>
  <c r="AK184" i="13"/>
  <c r="AK208" i="13"/>
  <c r="AK221" i="13"/>
  <c r="AK225" i="13"/>
  <c r="AK229" i="13"/>
  <c r="AK237" i="13"/>
  <c r="AK245" i="13"/>
  <c r="AK257" i="13"/>
  <c r="AK263" i="13"/>
  <c r="AK267" i="13"/>
  <c r="AK271" i="13"/>
  <c r="AK276" i="13"/>
  <c r="AK280" i="13"/>
  <c r="AK284" i="13"/>
  <c r="AK288" i="13"/>
  <c r="AK292" i="13"/>
  <c r="AK296" i="13"/>
  <c r="AK300" i="13"/>
  <c r="AK304" i="13"/>
  <c r="AK377" i="13"/>
  <c r="AK385" i="13"/>
  <c r="AK393" i="13"/>
  <c r="AK397" i="13"/>
  <c r="AK405" i="13"/>
  <c r="AK409" i="13"/>
  <c r="AK433" i="13"/>
  <c r="AK437" i="13"/>
  <c r="AK441" i="13"/>
  <c r="AK445" i="13"/>
  <c r="AK473" i="13"/>
  <c r="AK477" i="13"/>
  <c r="AK481" i="13"/>
  <c r="AK197" i="13"/>
  <c r="AK172" i="13"/>
  <c r="AK180" i="13"/>
  <c r="AK192" i="13"/>
  <c r="AK196" i="13"/>
  <c r="AK166" i="13"/>
  <c r="AK156" i="13"/>
  <c r="AK160" i="13"/>
  <c r="AK171" i="13"/>
  <c r="AK175" i="13"/>
  <c r="AK179" i="13"/>
  <c r="AK183" i="13"/>
  <c r="AK187" i="13"/>
  <c r="AK191" i="13"/>
  <c r="AK195" i="13"/>
  <c r="AK199" i="13"/>
  <c r="AK202" i="13"/>
  <c r="AK207" i="13"/>
  <c r="AK211" i="13"/>
  <c r="AK215" i="13"/>
  <c r="AK220" i="13"/>
  <c r="AK224" i="13"/>
  <c r="AK226" i="13"/>
  <c r="AK228" i="13"/>
  <c r="AK232" i="13"/>
  <c r="AK236" i="13"/>
  <c r="AK240" i="13"/>
  <c r="AK244" i="13"/>
  <c r="AK248" i="13"/>
  <c r="AK252" i="13"/>
  <c r="AK256" i="13"/>
  <c r="AK261" i="13"/>
  <c r="AK266" i="13"/>
  <c r="AK270" i="13"/>
  <c r="AK274" i="13"/>
  <c r="AK279" i="13"/>
  <c r="AK283" i="13"/>
  <c r="AK287" i="13"/>
  <c r="AK291" i="13"/>
  <c r="AK295" i="13"/>
  <c r="AK299" i="13"/>
  <c r="AK303" i="13"/>
  <c r="AK340" i="13"/>
  <c r="AK344" i="13"/>
  <c r="AK348" i="13"/>
  <c r="AK352" i="13"/>
  <c r="AK356" i="13"/>
  <c r="AK360" i="13"/>
  <c r="AK364" i="13"/>
  <c r="AK368" i="13"/>
  <c r="AK372" i="13"/>
  <c r="AK376" i="13"/>
  <c r="AK380" i="13"/>
  <c r="AK384" i="13"/>
  <c r="AK388" i="13"/>
  <c r="AK392" i="13"/>
  <c r="AK396" i="13"/>
  <c r="AK400" i="13"/>
  <c r="AK404" i="13"/>
  <c r="AK408" i="13"/>
  <c r="AK412" i="13"/>
  <c r="AK416" i="13"/>
  <c r="AK420" i="13"/>
  <c r="AK424" i="13"/>
  <c r="AK428" i="13"/>
  <c r="AK507" i="13"/>
  <c r="AK511" i="13"/>
  <c r="AK515" i="13"/>
  <c r="AK519" i="13"/>
  <c r="AK523" i="13"/>
  <c r="AK527" i="13"/>
  <c r="AK531" i="13"/>
  <c r="AK535" i="13"/>
  <c r="AK539" i="13"/>
  <c r="AK543" i="13"/>
  <c r="AK547" i="13"/>
  <c r="AK551" i="13"/>
  <c r="AK555" i="13"/>
  <c r="AK559" i="13"/>
  <c r="AK563" i="13"/>
  <c r="AK567" i="13"/>
  <c r="AK571" i="13"/>
  <c r="AK575" i="13"/>
  <c r="AK579" i="13"/>
  <c r="AK583" i="13"/>
  <c r="AK587" i="13"/>
  <c r="AK591" i="13"/>
  <c r="AK595" i="13"/>
  <c r="AK599" i="13"/>
  <c r="AK603" i="13"/>
  <c r="AK607" i="13"/>
  <c r="AK611" i="13"/>
  <c r="AK615" i="13"/>
  <c r="AK619" i="13"/>
  <c r="AK623" i="13"/>
  <c r="AK627" i="13"/>
  <c r="AK631" i="13"/>
  <c r="AK635" i="13"/>
  <c r="AK639" i="13"/>
  <c r="AK643" i="13"/>
  <c r="AK647" i="13"/>
  <c r="AK651" i="13"/>
  <c r="AK655" i="13"/>
  <c r="AK659" i="13"/>
  <c r="AK663" i="13"/>
  <c r="AK667" i="13"/>
  <c r="AK671" i="13"/>
  <c r="AK675" i="13"/>
  <c r="AK679" i="13"/>
  <c r="AK683" i="13"/>
  <c r="AK687" i="13"/>
  <c r="AK691" i="13"/>
  <c r="AK695" i="13"/>
  <c r="AK699" i="13"/>
  <c r="AK703" i="13"/>
  <c r="AK707" i="13"/>
  <c r="AK711" i="13"/>
  <c r="AK715" i="13"/>
  <c r="AK719" i="13"/>
  <c r="AK723" i="13"/>
  <c r="AK727" i="13"/>
  <c r="AK731" i="13"/>
  <c r="AK735" i="13"/>
  <c r="AK739" i="13"/>
  <c r="AK743" i="13"/>
  <c r="AK747" i="13"/>
  <c r="AK751" i="13"/>
  <c r="AK755" i="13"/>
  <c r="AK759" i="13"/>
  <c r="AK763" i="13"/>
  <c r="AK767" i="13"/>
  <c r="AK771" i="13"/>
  <c r="AK474" i="13"/>
  <c r="AK478" i="13"/>
  <c r="AK482" i="13"/>
  <c r="AK486" i="13"/>
  <c r="AK490" i="13"/>
  <c r="AK494" i="13"/>
  <c r="AK498" i="13"/>
  <c r="AK502" i="13"/>
  <c r="AK506" i="13"/>
  <c r="AK510" i="13"/>
  <c r="AK514" i="13"/>
  <c r="AK518" i="13"/>
  <c r="AK522" i="13"/>
  <c r="AK526" i="13"/>
  <c r="AK530" i="13"/>
  <c r="AK534" i="13"/>
  <c r="AK538" i="13"/>
  <c r="AK542" i="13"/>
  <c r="AK546" i="13"/>
  <c r="AK550" i="13"/>
  <c r="AK554" i="13"/>
  <c r="AK558" i="13"/>
  <c r="AK562" i="13"/>
  <c r="AK566" i="13"/>
  <c r="AK570" i="13"/>
  <c r="AK574" i="13"/>
  <c r="AK578" i="13"/>
  <c r="AK582" i="13"/>
  <c r="AK586" i="13"/>
  <c r="AK590" i="13"/>
  <c r="AK594" i="13"/>
  <c r="AK598" i="13"/>
  <c r="AK602" i="13"/>
  <c r="AK606" i="13"/>
  <c r="AK610" i="13"/>
  <c r="AK614" i="13"/>
  <c r="AK618" i="13"/>
  <c r="AK622" i="13"/>
  <c r="AK626" i="13"/>
  <c r="AK630" i="13"/>
  <c r="AK634" i="13"/>
  <c r="AK638" i="13"/>
  <c r="AK642" i="13"/>
  <c r="AK646" i="13"/>
  <c r="AK650" i="13"/>
  <c r="AK654" i="13"/>
  <c r="AK658" i="13"/>
  <c r="AK662" i="13"/>
  <c r="AK666" i="13"/>
  <c r="AK670" i="13"/>
  <c r="AK674" i="13"/>
  <c r="AK678" i="13"/>
  <c r="AK682" i="13"/>
  <c r="AK686" i="13"/>
  <c r="AK690" i="13"/>
  <c r="AK694" i="13"/>
  <c r="AK698" i="13"/>
  <c r="AK702" i="13"/>
  <c r="AK706" i="13"/>
  <c r="AK710" i="13"/>
  <c r="AK714" i="13"/>
  <c r="AK718" i="13"/>
  <c r="AK722" i="13"/>
  <c r="AK726" i="13"/>
  <c r="AK730" i="13"/>
  <c r="AK734" i="13"/>
  <c r="AK738" i="13"/>
  <c r="AK742" i="13"/>
  <c r="AK746" i="13"/>
  <c r="AK750" i="13"/>
  <c r="AK754" i="13"/>
  <c r="AK758" i="13"/>
  <c r="AK485" i="13"/>
  <c r="AK489" i="13"/>
  <c r="AK493" i="13"/>
  <c r="AK497" i="13"/>
  <c r="AK501" i="13"/>
  <c r="AK505" i="13"/>
  <c r="AK509" i="13"/>
  <c r="AK513" i="13"/>
  <c r="AK517" i="13"/>
  <c r="AK521" i="13"/>
  <c r="AK525" i="13"/>
  <c r="AK529" i="13"/>
  <c r="AK533" i="13"/>
  <c r="AK537" i="13"/>
  <c r="AK541" i="13"/>
  <c r="AK545" i="13"/>
  <c r="AK549" i="13"/>
  <c r="AK553" i="13"/>
  <c r="AK557" i="13"/>
  <c r="AK561" i="13"/>
  <c r="AK565" i="13"/>
  <c r="AK569" i="13"/>
  <c r="AK573" i="13"/>
  <c r="AK577" i="13"/>
  <c r="AK581" i="13"/>
  <c r="AK585" i="13"/>
  <c r="AK589" i="13"/>
  <c r="AK593" i="13"/>
  <c r="AK597" i="13"/>
  <c r="AK601" i="13"/>
  <c r="AK605" i="13"/>
  <c r="AK609" i="13"/>
  <c r="AK613" i="13"/>
  <c r="AK617" i="13"/>
  <c r="AK621" i="13"/>
  <c r="AK625" i="13"/>
  <c r="AK629" i="13"/>
  <c r="AK633" i="13"/>
  <c r="AK637" i="13"/>
  <c r="AK641" i="13"/>
  <c r="AK645" i="13"/>
  <c r="AK649" i="13"/>
  <c r="AK653" i="13"/>
  <c r="AK657" i="13"/>
  <c r="AK661" i="13"/>
  <c r="AK665" i="13"/>
  <c r="AK669" i="13"/>
  <c r="AK673" i="13"/>
  <c r="AK677" i="13"/>
  <c r="AK681" i="13"/>
  <c r="AK685" i="13"/>
  <c r="AK689" i="13"/>
  <c r="AK693" i="13"/>
  <c r="AK697" i="13"/>
  <c r="AK701" i="13"/>
  <c r="AK705" i="13"/>
  <c r="AK709" i="13"/>
  <c r="AK713" i="13"/>
  <c r="AK717" i="13"/>
  <c r="AK721" i="13"/>
  <c r="AK725" i="13"/>
  <c r="AK729" i="13"/>
  <c r="AK733" i="13"/>
  <c r="AK737" i="13"/>
  <c r="AK741" i="13"/>
  <c r="AK745" i="13"/>
  <c r="AK432" i="13"/>
  <c r="AK436" i="13"/>
  <c r="AK440" i="13"/>
  <c r="AK444" i="13"/>
  <c r="AK448" i="13"/>
  <c r="AK452" i="13"/>
  <c r="AK456" i="13"/>
  <c r="AK460" i="13"/>
  <c r="AK464" i="13"/>
  <c r="AK468" i="13"/>
  <c r="AK472" i="13"/>
  <c r="AK476" i="13"/>
  <c r="AK480" i="13"/>
  <c r="AK484" i="13"/>
  <c r="AK488" i="13"/>
  <c r="AK492" i="13"/>
  <c r="AK496" i="13"/>
  <c r="AK500" i="13"/>
  <c r="AK504" i="13"/>
  <c r="AK508" i="13"/>
  <c r="AK512" i="13"/>
  <c r="AK516" i="13"/>
  <c r="AK520" i="13"/>
  <c r="AK524" i="13"/>
  <c r="AK528" i="13"/>
  <c r="AK532" i="13"/>
  <c r="AK536" i="13"/>
  <c r="AK540" i="13"/>
  <c r="AK544" i="13"/>
  <c r="AK548" i="13"/>
  <c r="AK552" i="13"/>
  <c r="AK556" i="13"/>
  <c r="AK560" i="13"/>
  <c r="AK564" i="13"/>
  <c r="AK568" i="13"/>
  <c r="AK572" i="13"/>
  <c r="AK576" i="13"/>
  <c r="AK580" i="13"/>
  <c r="AK584" i="13"/>
  <c r="AK588" i="13"/>
  <c r="AK592" i="13"/>
  <c r="AK596" i="13"/>
  <c r="AK600" i="13"/>
  <c r="AK604" i="13"/>
  <c r="AK608" i="13"/>
  <c r="AK612" i="13"/>
  <c r="AK616" i="13"/>
  <c r="AK620" i="13"/>
  <c r="AK624" i="13"/>
  <c r="AK628" i="13"/>
  <c r="AK632" i="13"/>
  <c r="AK636" i="13"/>
  <c r="AK640" i="13"/>
  <c r="AK644" i="13"/>
  <c r="AK648" i="13"/>
  <c r="AK652" i="13"/>
  <c r="AK656" i="13"/>
  <c r="AK660" i="13"/>
  <c r="AK664" i="13"/>
  <c r="AK668" i="13"/>
  <c r="AK672" i="13"/>
  <c r="AK676" i="13"/>
  <c r="AK680" i="13"/>
  <c r="AK684" i="13"/>
  <c r="AK688" i="13"/>
  <c r="AK692" i="13"/>
  <c r="AK696" i="13"/>
  <c r="AK700" i="13"/>
  <c r="AK704" i="13"/>
  <c r="AK708" i="13"/>
  <c r="AK712" i="13"/>
  <c r="AK716" i="13"/>
  <c r="AK720" i="13"/>
  <c r="AK724" i="13"/>
  <c r="AK728" i="13"/>
  <c r="AK732" i="13"/>
  <c r="AK736" i="13"/>
  <c r="AK740" i="13"/>
  <c r="AK775" i="13"/>
  <c r="AK779" i="13"/>
  <c r="AK783" i="13"/>
  <c r="AK787" i="13"/>
  <c r="AK791" i="13"/>
  <c r="AK795" i="13"/>
  <c r="AK799" i="13"/>
  <c r="AK803" i="13"/>
  <c r="AK807" i="13"/>
  <c r="AK811" i="13"/>
  <c r="AK815" i="13"/>
  <c r="AK819" i="13"/>
  <c r="AK823" i="13"/>
  <c r="AK827" i="13"/>
  <c r="AK831" i="13"/>
  <c r="AK835" i="13"/>
  <c r="AK839" i="13"/>
  <c r="AK843" i="13"/>
  <c r="AK847" i="13"/>
  <c r="AK851" i="13"/>
  <c r="AK855" i="13"/>
  <c r="AK859" i="13"/>
  <c r="AK863" i="13"/>
  <c r="AK867" i="13"/>
  <c r="AK871" i="13"/>
  <c r="AK879" i="13"/>
  <c r="AK899" i="13"/>
  <c r="AK903" i="13"/>
  <c r="AK907" i="13"/>
  <c r="AK911" i="13"/>
  <c r="AK915" i="13"/>
  <c r="AK919" i="13"/>
  <c r="AK923" i="13"/>
  <c r="AK927" i="13"/>
  <c r="AK931" i="13"/>
  <c r="AK935" i="13"/>
  <c r="AK939" i="13"/>
  <c r="AK943" i="13"/>
  <c r="AK947" i="13"/>
  <c r="AK951" i="13"/>
  <c r="AK955" i="13"/>
  <c r="AK959" i="13"/>
  <c r="AK963" i="13"/>
  <c r="AK967" i="13"/>
  <c r="AK971" i="13"/>
  <c r="AK985" i="13"/>
  <c r="AK989" i="13"/>
  <c r="AK993" i="13"/>
  <c r="AK1012" i="13"/>
  <c r="AK1016" i="13"/>
  <c r="AK1020" i="13"/>
  <c r="AK1024" i="13"/>
  <c r="AK1028" i="13"/>
  <c r="AK1032" i="13"/>
  <c r="AK1036" i="13"/>
  <c r="AK1040" i="13"/>
  <c r="AK1044" i="13"/>
  <c r="AK1048" i="13"/>
  <c r="AK1052" i="13"/>
  <c r="AK1056" i="13"/>
  <c r="AK1060" i="13"/>
  <c r="AK762" i="13"/>
  <c r="AK766" i="13"/>
  <c r="AK770" i="13"/>
  <c r="AK774" i="13"/>
  <c r="AK778" i="13"/>
  <c r="AK782" i="13"/>
  <c r="AK786" i="13"/>
  <c r="AK790" i="13"/>
  <c r="AK794" i="13"/>
  <c r="AK798" i="13"/>
  <c r="AK802" i="13"/>
  <c r="AK806" i="13"/>
  <c r="AK810" i="13"/>
  <c r="AK814" i="13"/>
  <c r="AK818" i="13"/>
  <c r="AK822" i="13"/>
  <c r="AK826" i="13"/>
  <c r="AK830" i="13"/>
  <c r="AK834" i="13"/>
  <c r="AK838" i="13"/>
  <c r="AK842" i="13"/>
  <c r="AK846" i="13"/>
  <c r="AK850" i="13"/>
  <c r="AK854" i="13"/>
  <c r="AK858" i="13"/>
  <c r="AK862" i="13"/>
  <c r="AK866" i="13"/>
  <c r="AK870" i="13"/>
  <c r="AK878" i="13"/>
  <c r="AK898" i="13"/>
  <c r="AK902" i="13"/>
  <c r="AK906" i="13"/>
  <c r="AK910" i="13"/>
  <c r="AK914" i="13"/>
  <c r="AK918" i="13"/>
  <c r="AK922" i="13"/>
  <c r="AK926" i="13"/>
  <c r="AK930" i="13"/>
  <c r="AK934" i="13"/>
  <c r="AK938" i="13"/>
  <c r="AK942" i="13"/>
  <c r="AK946" i="13"/>
  <c r="AK950" i="13"/>
  <c r="AK954" i="13"/>
  <c r="AK958" i="13"/>
  <c r="AK962" i="13"/>
  <c r="AK966" i="13"/>
  <c r="AK970" i="13"/>
  <c r="AK984" i="13"/>
  <c r="AK988" i="13"/>
  <c r="AK992" i="13"/>
  <c r="AK996" i="13"/>
  <c r="AK1015" i="13"/>
  <c r="AK1019" i="13"/>
  <c r="AK1023" i="13"/>
  <c r="AK1027" i="13"/>
  <c r="AK1031" i="13"/>
  <c r="AK1035" i="13"/>
  <c r="AK1039" i="13"/>
  <c r="AK1043" i="13"/>
  <c r="AK1047" i="13"/>
  <c r="AK1051" i="13"/>
  <c r="AK1055" i="13"/>
  <c r="AK1059" i="13"/>
  <c r="AK749" i="13"/>
  <c r="AK753" i="13"/>
  <c r="AK757" i="13"/>
  <c r="AK761" i="13"/>
  <c r="AK765" i="13"/>
  <c r="AK769" i="13"/>
  <c r="AK773" i="13"/>
  <c r="AK777" i="13"/>
  <c r="AK781" i="13"/>
  <c r="AK785" i="13"/>
  <c r="AK789" i="13"/>
  <c r="AK793" i="13"/>
  <c r="AK797" i="13"/>
  <c r="AK801" i="13"/>
  <c r="AK805" i="13"/>
  <c r="AK809" i="13"/>
  <c r="AK813" i="13"/>
  <c r="AK817" i="13"/>
  <c r="AK821" i="13"/>
  <c r="AK825" i="13"/>
  <c r="AK829" i="13"/>
  <c r="AK833" i="13"/>
  <c r="AK837" i="13"/>
  <c r="AK841" i="13"/>
  <c r="AK845" i="13"/>
  <c r="AK849" i="13"/>
  <c r="AK853" i="13"/>
  <c r="AK857" i="13"/>
  <c r="AK861" i="13"/>
  <c r="AK865" i="13"/>
  <c r="AK869" i="13"/>
  <c r="AK877" i="13"/>
  <c r="AK881" i="13"/>
  <c r="AK897" i="13"/>
  <c r="AK901" i="13"/>
  <c r="AK905" i="13"/>
  <c r="AK909" i="13"/>
  <c r="AK913" i="13"/>
  <c r="AK917" i="13"/>
  <c r="AK921" i="13"/>
  <c r="AK925" i="13"/>
  <c r="AK929" i="13"/>
  <c r="AK933" i="13"/>
  <c r="AK937" i="13"/>
  <c r="AK941" i="13"/>
  <c r="AK945" i="13"/>
  <c r="AK949" i="13"/>
  <c r="AK953" i="13"/>
  <c r="AK957" i="13"/>
  <c r="AK961" i="13"/>
  <c r="AK965" i="13"/>
  <c r="AK969" i="13"/>
  <c r="AK983" i="13"/>
  <c r="AK987" i="13"/>
  <c r="AK991" i="13"/>
  <c r="AK995" i="13"/>
  <c r="AK1014" i="13"/>
  <c r="AK1018" i="13"/>
  <c r="AK1022" i="13"/>
  <c r="AK1026" i="13"/>
  <c r="AK1030" i="13"/>
  <c r="AK1034" i="13"/>
  <c r="AK1038" i="13"/>
  <c r="AK1042" i="13"/>
  <c r="AK1046" i="13"/>
  <c r="AK1050" i="13"/>
  <c r="AK1054" i="13"/>
  <c r="AK1058" i="13"/>
  <c r="AK744" i="13"/>
  <c r="AK748" i="13"/>
  <c r="AK752" i="13"/>
  <c r="AK756" i="13"/>
  <c r="AK760" i="13"/>
  <c r="AK764" i="13"/>
  <c r="AK768" i="13"/>
  <c r="AK772" i="13"/>
  <c r="AK776" i="13"/>
  <c r="AK780" i="13"/>
  <c r="AK784" i="13"/>
  <c r="AK788" i="13"/>
  <c r="AK792" i="13"/>
  <c r="AK796" i="13"/>
  <c r="AK800" i="13"/>
  <c r="AK804" i="13"/>
  <c r="AK808" i="13"/>
  <c r="AK812" i="13"/>
  <c r="AK816" i="13"/>
  <c r="AK820" i="13"/>
  <c r="AK824" i="13"/>
  <c r="AK828" i="13"/>
  <c r="AK832" i="13"/>
  <c r="AK836" i="13"/>
  <c r="AK840" i="13"/>
  <c r="AK844" i="13"/>
  <c r="AK848" i="13"/>
  <c r="AK852" i="13"/>
  <c r="AK856" i="13"/>
  <c r="AK860" i="13"/>
  <c r="AK864" i="13"/>
  <c r="AK868" i="13"/>
  <c r="AK872" i="13"/>
  <c r="AK876" i="13"/>
  <c r="AK880" i="13"/>
  <c r="AK884" i="13"/>
  <c r="AK888" i="13"/>
  <c r="AK892" i="13"/>
  <c r="AK896" i="13"/>
  <c r="AK900" i="13"/>
  <c r="AK904" i="13"/>
  <c r="AK908" i="13"/>
  <c r="AK912" i="13"/>
  <c r="AK916" i="13"/>
  <c r="AK920" i="13"/>
  <c r="AK924" i="13"/>
  <c r="AK928" i="13"/>
  <c r="AK932" i="13"/>
  <c r="AK936" i="13"/>
  <c r="AK940" i="13"/>
  <c r="AK944" i="13"/>
  <c r="AK948" i="13"/>
  <c r="AK952" i="13"/>
  <c r="AK956" i="13"/>
  <c r="AK960" i="13"/>
  <c r="AK964" i="13"/>
  <c r="AK968" i="13"/>
  <c r="AK982" i="13"/>
  <c r="AK986" i="13"/>
  <c r="AK990" i="13"/>
  <c r="AK994" i="13"/>
  <c r="AK1013" i="13"/>
  <c r="AK1017" i="13"/>
  <c r="AK1021" i="13"/>
  <c r="AK1025" i="13"/>
  <c r="AK1029" i="13"/>
  <c r="AK1033" i="13"/>
  <c r="AK1037" i="13"/>
  <c r="AK1041" i="13"/>
  <c r="AK1045" i="13"/>
  <c r="AK1049" i="13"/>
  <c r="AK1053" i="13"/>
  <c r="AK1057" i="13"/>
  <c r="AK1061" i="13"/>
  <c r="W302" i="13"/>
  <c r="V302" i="13" s="1"/>
  <c r="W300" i="13"/>
  <c r="V300" i="13" s="1"/>
  <c r="W299" i="13"/>
  <c r="V299" i="13" s="1"/>
  <c r="W298" i="13"/>
  <c r="V298" i="13" s="1"/>
  <c r="W297" i="13"/>
  <c r="V297" i="13" s="1"/>
  <c r="W294" i="13"/>
  <c r="V294" i="13" s="1"/>
  <c r="W293" i="13"/>
  <c r="V293" i="13" s="1"/>
  <c r="W290" i="13"/>
  <c r="V290" i="13" s="1"/>
  <c r="W279" i="13"/>
  <c r="V279" i="13" s="1"/>
  <c r="W278" i="13"/>
  <c r="V278" i="13" s="1"/>
  <c r="W305" i="13"/>
  <c r="V305" i="13" s="1"/>
  <c r="W304" i="13"/>
  <c r="V304" i="13" s="1"/>
  <c r="W303" i="13"/>
  <c r="V303" i="13" s="1"/>
  <c r="W296" i="13"/>
  <c r="V296" i="13" s="1"/>
  <c r="W295" i="13"/>
  <c r="V295" i="13" s="1"/>
  <c r="W291" i="13"/>
  <c r="V291" i="13" s="1"/>
  <c r="W288" i="13"/>
  <c r="V288" i="13" s="1"/>
  <c r="W287" i="13"/>
  <c r="V287" i="13" s="1"/>
  <c r="W286" i="13"/>
  <c r="V286" i="13" s="1"/>
  <c r="W285" i="13"/>
  <c r="V285" i="13" s="1"/>
  <c r="W284" i="13"/>
  <c r="V284" i="13" s="1"/>
  <c r="W283" i="13"/>
  <c r="V283" i="13" s="1"/>
  <c r="W282" i="13"/>
  <c r="V282" i="13" s="1"/>
  <c r="W281" i="13"/>
  <c r="V281" i="13" s="1"/>
  <c r="W280" i="13"/>
  <c r="V280" i="13" s="1"/>
  <c r="W277" i="13"/>
  <c r="V277" i="13" s="1"/>
  <c r="W276" i="13"/>
  <c r="V276" i="13" s="1"/>
  <c r="W274" i="13"/>
  <c r="V274" i="13" s="1"/>
  <c r="W273" i="13"/>
  <c r="V273" i="13" s="1"/>
  <c r="W378" i="13" l="1"/>
  <c r="V378" i="13" s="1"/>
  <c r="W379" i="13"/>
  <c r="V379" i="13" s="1"/>
  <c r="W380" i="13"/>
  <c r="V380" i="13" s="1"/>
  <c r="W381" i="13"/>
  <c r="V381" i="13" s="1"/>
  <c r="W382" i="13"/>
  <c r="V382" i="13" s="1"/>
  <c r="W383" i="13"/>
  <c r="V383" i="13" s="1"/>
  <c r="W384" i="13"/>
  <c r="V384" i="13" s="1"/>
  <c r="W385" i="13"/>
  <c r="V385" i="13" s="1"/>
  <c r="W386" i="13"/>
  <c r="V386" i="13" s="1"/>
  <c r="W387" i="13"/>
  <c r="V387" i="13" s="1"/>
  <c r="W388" i="13"/>
  <c r="V388" i="13" s="1"/>
  <c r="W239" i="13" l="1"/>
  <c r="V239" i="13" s="1"/>
  <c r="W240" i="13"/>
  <c r="V240" i="13" s="1"/>
  <c r="W157" i="13" l="1"/>
  <c r="V157" i="13" s="1"/>
  <c r="W867" i="13" l="1"/>
  <c r="V867" i="13" s="1"/>
  <c r="W1061" i="13" l="1"/>
  <c r="V1061" i="13" s="1"/>
  <c r="W1060" i="13"/>
  <c r="V1060" i="13" s="1"/>
  <c r="W1059" i="13"/>
  <c r="V1059" i="13" s="1"/>
  <c r="W1058" i="13"/>
  <c r="V1058" i="13" s="1"/>
  <c r="W1057" i="13"/>
  <c r="V1057" i="13" s="1"/>
  <c r="W1056" i="13"/>
  <c r="V1056" i="13" s="1"/>
  <c r="W1055" i="13"/>
  <c r="V1055" i="13" s="1"/>
  <c r="W1054" i="13"/>
  <c r="V1054" i="13" s="1"/>
  <c r="W1053" i="13"/>
  <c r="V1053" i="13" s="1"/>
  <c r="W1052" i="13"/>
  <c r="V1052" i="13" s="1"/>
  <c r="W1051" i="13"/>
  <c r="V1051" i="13" s="1"/>
  <c r="W1050" i="13"/>
  <c r="V1050" i="13" s="1"/>
  <c r="W1049" i="13"/>
  <c r="V1049" i="13" s="1"/>
  <c r="W1048" i="13"/>
  <c r="V1048" i="13" s="1"/>
  <c r="W1047" i="13"/>
  <c r="V1047" i="13" s="1"/>
  <c r="W1046" i="13"/>
  <c r="V1046" i="13" s="1"/>
  <c r="W1045" i="13"/>
  <c r="V1045" i="13" s="1"/>
  <c r="W1044" i="13"/>
  <c r="V1044" i="13" s="1"/>
  <c r="W1043" i="13"/>
  <c r="V1043" i="13" s="1"/>
  <c r="W1042" i="13"/>
  <c r="V1042" i="13" s="1"/>
  <c r="W1041" i="13"/>
  <c r="V1041" i="13" s="1"/>
  <c r="W1040" i="13"/>
  <c r="V1040" i="13" s="1"/>
  <c r="W1039" i="13"/>
  <c r="V1039" i="13" s="1"/>
  <c r="W1038" i="13"/>
  <c r="V1038" i="13" s="1"/>
  <c r="W1037" i="13"/>
  <c r="V1037" i="13" s="1"/>
  <c r="W1036" i="13"/>
  <c r="V1036" i="13" s="1"/>
  <c r="W1035" i="13"/>
  <c r="V1035" i="13" s="1"/>
  <c r="W1034" i="13"/>
  <c r="V1034" i="13" s="1"/>
  <c r="W1033" i="13"/>
  <c r="V1033" i="13" s="1"/>
  <c r="W1032" i="13"/>
  <c r="V1032" i="13" s="1"/>
  <c r="W1031" i="13"/>
  <c r="V1031" i="13" s="1"/>
  <c r="W1030" i="13"/>
  <c r="V1030" i="13" s="1"/>
  <c r="W1029" i="13"/>
  <c r="V1029" i="13" s="1"/>
  <c r="W1028" i="13"/>
  <c r="V1028" i="13" s="1"/>
  <c r="W1027" i="13"/>
  <c r="V1027" i="13" s="1"/>
  <c r="W1026" i="13"/>
  <c r="V1026" i="13" s="1"/>
  <c r="W1025" i="13"/>
  <c r="V1025" i="13" s="1"/>
  <c r="W1024" i="13"/>
  <c r="V1024" i="13" s="1"/>
  <c r="W1023" i="13"/>
  <c r="V1023" i="13" s="1"/>
  <c r="W1022" i="13"/>
  <c r="V1022" i="13" s="1"/>
  <c r="W1021" i="13"/>
  <c r="V1021" i="13" s="1"/>
  <c r="W1020" i="13"/>
  <c r="V1020" i="13" s="1"/>
  <c r="W1019" i="13"/>
  <c r="V1019" i="13" s="1"/>
  <c r="W1018" i="13"/>
  <c r="V1018" i="13" s="1"/>
  <c r="W1017" i="13"/>
  <c r="V1017" i="13" s="1"/>
  <c r="W1016" i="13"/>
  <c r="V1016" i="13" s="1"/>
  <c r="W1015" i="13"/>
  <c r="V1015" i="13" s="1"/>
  <c r="W1014" i="13"/>
  <c r="V1014" i="13" s="1"/>
  <c r="W1013" i="13"/>
  <c r="V1013" i="13" s="1"/>
  <c r="W1012" i="13"/>
  <c r="V1012" i="13" s="1"/>
  <c r="W996" i="13"/>
  <c r="V996" i="13" s="1"/>
  <c r="W995" i="13"/>
  <c r="V995" i="13" s="1"/>
  <c r="W994" i="13"/>
  <c r="V994" i="13" s="1"/>
  <c r="W993" i="13"/>
  <c r="V993" i="13" s="1"/>
  <c r="W992" i="13"/>
  <c r="V992" i="13" s="1"/>
  <c r="W991" i="13"/>
  <c r="V991" i="13" s="1"/>
  <c r="W990" i="13"/>
  <c r="V990" i="13" s="1"/>
  <c r="W989" i="13"/>
  <c r="V989" i="13" s="1"/>
  <c r="W988" i="13"/>
  <c r="V988" i="13" s="1"/>
  <c r="W987" i="13"/>
  <c r="V987" i="13" s="1"/>
  <c r="W986" i="13"/>
  <c r="V986" i="13" s="1"/>
  <c r="W985" i="13"/>
  <c r="V985" i="13" s="1"/>
  <c r="W984" i="13"/>
  <c r="V984" i="13" s="1"/>
  <c r="W983" i="13"/>
  <c r="V983" i="13" s="1"/>
  <c r="W982" i="13"/>
  <c r="V982" i="13" s="1"/>
  <c r="W971" i="13"/>
  <c r="V971" i="13" s="1"/>
  <c r="W970" i="13"/>
  <c r="V970" i="13" s="1"/>
  <c r="W969" i="13"/>
  <c r="V969" i="13" s="1"/>
  <c r="W968" i="13"/>
  <c r="V968" i="13" s="1"/>
  <c r="W967" i="13"/>
  <c r="V967" i="13" s="1"/>
  <c r="W966" i="13"/>
  <c r="V966" i="13" s="1"/>
  <c r="W965" i="13"/>
  <c r="V965" i="13" s="1"/>
  <c r="W964" i="13"/>
  <c r="V964" i="13" s="1"/>
  <c r="W963" i="13"/>
  <c r="V963" i="13" s="1"/>
  <c r="W962" i="13"/>
  <c r="V962" i="13" s="1"/>
  <c r="W961" i="13"/>
  <c r="V961" i="13" s="1"/>
  <c r="W960" i="13"/>
  <c r="V960" i="13" s="1"/>
  <c r="W959" i="13"/>
  <c r="V959" i="13" s="1"/>
  <c r="W958" i="13"/>
  <c r="V958" i="13" s="1"/>
  <c r="W957" i="13"/>
  <c r="V957" i="13" s="1"/>
  <c r="W956" i="13"/>
  <c r="V956" i="13" s="1"/>
  <c r="W955" i="13"/>
  <c r="V955" i="13" s="1"/>
  <c r="W954" i="13"/>
  <c r="V954" i="13" s="1"/>
  <c r="W953" i="13"/>
  <c r="V953" i="13" s="1"/>
  <c r="W952" i="13"/>
  <c r="V952" i="13" s="1"/>
  <c r="W951" i="13"/>
  <c r="V951" i="13" s="1"/>
  <c r="W950" i="13"/>
  <c r="V950" i="13" s="1"/>
  <c r="W949" i="13"/>
  <c r="V949" i="13" s="1"/>
  <c r="W948" i="13"/>
  <c r="V948" i="13" s="1"/>
  <c r="W947" i="13"/>
  <c r="V947" i="13" s="1"/>
  <c r="W946" i="13"/>
  <c r="V946" i="13" s="1"/>
  <c r="W945" i="13"/>
  <c r="V945" i="13" s="1"/>
  <c r="W944" i="13"/>
  <c r="V944" i="13" s="1"/>
  <c r="W943" i="13"/>
  <c r="V943" i="13" s="1"/>
  <c r="W942" i="13"/>
  <c r="V942" i="13" s="1"/>
  <c r="W936" i="13"/>
  <c r="V936" i="13" s="1"/>
  <c r="W935" i="13"/>
  <c r="V935" i="13" s="1"/>
  <c r="W934" i="13"/>
  <c r="V934" i="13" s="1"/>
  <c r="W933" i="13"/>
  <c r="V933" i="13" s="1"/>
  <c r="W932" i="13"/>
  <c r="V932" i="13" s="1"/>
  <c r="W931" i="13"/>
  <c r="V931" i="13" s="1"/>
  <c r="W930" i="13"/>
  <c r="V930" i="13" s="1"/>
  <c r="W929" i="13"/>
  <c r="V929" i="13" s="1"/>
  <c r="W928" i="13"/>
  <c r="V928" i="13" s="1"/>
  <c r="W927" i="13"/>
  <c r="V927" i="13" s="1"/>
  <c r="W926" i="13"/>
  <c r="V926" i="13" s="1"/>
  <c r="W925" i="13"/>
  <c r="V925" i="13" s="1"/>
  <c r="W924" i="13"/>
  <c r="V924" i="13" s="1"/>
  <c r="W923" i="13"/>
  <c r="V923" i="13" s="1"/>
  <c r="W922" i="13"/>
  <c r="V922" i="13" s="1"/>
  <c r="W921" i="13"/>
  <c r="V921" i="13" s="1"/>
  <c r="W920" i="13"/>
  <c r="V920" i="13" s="1"/>
  <c r="W919" i="13"/>
  <c r="V919" i="13" s="1"/>
  <c r="W918" i="13"/>
  <c r="V918" i="13" s="1"/>
  <c r="W917" i="13"/>
  <c r="V917" i="13" s="1"/>
  <c r="W916" i="13"/>
  <c r="V916" i="13" s="1"/>
  <c r="W915" i="13"/>
  <c r="V915" i="13" s="1"/>
  <c r="W914" i="13"/>
  <c r="V914" i="13" s="1"/>
  <c r="W913" i="13"/>
  <c r="V913" i="13" s="1"/>
  <c r="W912" i="13"/>
  <c r="V912" i="13" s="1"/>
  <c r="W911" i="13"/>
  <c r="V911" i="13" s="1"/>
  <c r="W910" i="13"/>
  <c r="V910" i="13" s="1"/>
  <c r="W909" i="13"/>
  <c r="V909" i="13" s="1"/>
  <c r="W908" i="13"/>
  <c r="V908" i="13" s="1"/>
  <c r="W907" i="13"/>
  <c r="V907" i="13" s="1"/>
  <c r="W906" i="13"/>
  <c r="V906" i="13" s="1"/>
  <c r="W905" i="13"/>
  <c r="V905" i="13" s="1"/>
  <c r="W904" i="13"/>
  <c r="V904" i="13" s="1"/>
  <c r="W903" i="13"/>
  <c r="V903" i="13" s="1"/>
  <c r="W902" i="13"/>
  <c r="V902" i="13" s="1"/>
  <c r="W901" i="13"/>
  <c r="V901" i="13" s="1"/>
  <c r="W900" i="13"/>
  <c r="V900" i="13" s="1"/>
  <c r="W899" i="13"/>
  <c r="V899" i="13" s="1"/>
  <c r="W898" i="13"/>
  <c r="V898" i="13" s="1"/>
  <c r="W897" i="13"/>
  <c r="V897" i="13" s="1"/>
  <c r="W896" i="13"/>
  <c r="V896" i="13" s="1"/>
  <c r="W895" i="13"/>
  <c r="V895" i="13" s="1"/>
  <c r="W894" i="13"/>
  <c r="V894" i="13" s="1"/>
  <c r="W893" i="13"/>
  <c r="V893" i="13" s="1"/>
  <c r="W892" i="13"/>
  <c r="V892" i="13" s="1"/>
  <c r="W891" i="13"/>
  <c r="V891" i="13" s="1"/>
  <c r="W890" i="13"/>
  <c r="V890" i="13" s="1"/>
  <c r="W889" i="13"/>
  <c r="V889" i="13" s="1"/>
  <c r="W888" i="13"/>
  <c r="V888" i="13" s="1"/>
  <c r="W887" i="13"/>
  <c r="V887" i="13" s="1"/>
  <c r="W886" i="13"/>
  <c r="V886" i="13" s="1"/>
  <c r="W885" i="13"/>
  <c r="V885" i="13" s="1"/>
  <c r="W884" i="13"/>
  <c r="V884" i="13" s="1"/>
  <c r="W883" i="13"/>
  <c r="V883" i="13" s="1"/>
  <c r="W882" i="13"/>
  <c r="V882" i="13" s="1"/>
  <c r="W881" i="13"/>
  <c r="V881" i="13" s="1"/>
  <c r="W880" i="13"/>
  <c r="V880" i="13" s="1"/>
  <c r="W879" i="13"/>
  <c r="V879" i="13" s="1"/>
  <c r="W878" i="13"/>
  <c r="V878" i="13" s="1"/>
  <c r="W877" i="13"/>
  <c r="V877" i="13" s="1"/>
  <c r="W876" i="13"/>
  <c r="V876" i="13" s="1"/>
  <c r="W875" i="13"/>
  <c r="V875" i="13" s="1"/>
  <c r="W874" i="13"/>
  <c r="V874" i="13" s="1"/>
  <c r="W873" i="13"/>
  <c r="V873" i="13" s="1"/>
  <c r="W872" i="13"/>
  <c r="V872" i="13" s="1"/>
  <c r="W871" i="13"/>
  <c r="V871" i="13" s="1"/>
  <c r="W870" i="13"/>
  <c r="V870" i="13" s="1"/>
  <c r="W869" i="13"/>
  <c r="V869" i="13" s="1"/>
  <c r="W868" i="13"/>
  <c r="V868" i="13" s="1"/>
  <c r="W178" i="13" l="1"/>
  <c r="V178" i="13" s="1"/>
  <c r="W179" i="13"/>
  <c r="V179" i="13" s="1"/>
  <c r="W180" i="13"/>
  <c r="V180" i="13" s="1"/>
  <c r="W181" i="13"/>
  <c r="V181" i="13" s="1"/>
  <c r="W182" i="13"/>
  <c r="V182" i="13" s="1"/>
  <c r="W183" i="13"/>
  <c r="V183" i="13" s="1"/>
  <c r="W184" i="13"/>
  <c r="V184" i="13" s="1"/>
  <c r="W185" i="13"/>
  <c r="V185" i="13" s="1"/>
  <c r="W186" i="13"/>
  <c r="V186" i="13" s="1"/>
  <c r="W187" i="13"/>
  <c r="V187" i="13" s="1"/>
  <c r="W188" i="13"/>
  <c r="V188" i="13" s="1"/>
  <c r="W189" i="13"/>
  <c r="V189" i="13" s="1"/>
  <c r="W190" i="13"/>
  <c r="V190" i="13" s="1"/>
  <c r="W191" i="13"/>
  <c r="V191" i="13" s="1"/>
  <c r="W192" i="13"/>
  <c r="V192" i="13" s="1"/>
  <c r="W193" i="13"/>
  <c r="V193" i="13" s="1"/>
  <c r="W194" i="13"/>
  <c r="V194" i="13" s="1"/>
  <c r="W195" i="13"/>
  <c r="V195" i="13" s="1"/>
  <c r="W196" i="13"/>
  <c r="V196" i="13" s="1"/>
  <c r="W197" i="13"/>
  <c r="V197" i="13" s="1"/>
  <c r="W198" i="13"/>
  <c r="V198" i="13" s="1"/>
  <c r="W199" i="13"/>
  <c r="V199" i="13" s="1"/>
  <c r="W200" i="13"/>
  <c r="V200" i="13" s="1"/>
  <c r="W201" i="13"/>
  <c r="V201" i="13" s="1"/>
  <c r="W202" i="13"/>
  <c r="V202" i="13" s="1"/>
  <c r="W205" i="13"/>
  <c r="V205" i="13" s="1"/>
  <c r="W206" i="13"/>
  <c r="V206" i="13" s="1"/>
  <c r="W207" i="13"/>
  <c r="V207" i="13" s="1"/>
  <c r="W208" i="13"/>
  <c r="V208" i="13" s="1"/>
  <c r="W209" i="13"/>
  <c r="V209" i="13" s="1"/>
  <c r="W210" i="13"/>
  <c r="V210" i="13" s="1"/>
  <c r="W211" i="13"/>
  <c r="V211" i="13" s="1"/>
  <c r="W212" i="13"/>
  <c r="V212" i="13" s="1"/>
  <c r="W213" i="13"/>
  <c r="V213" i="13" s="1"/>
  <c r="W214" i="13"/>
  <c r="V214" i="13" s="1"/>
  <c r="W215" i="13"/>
  <c r="V215" i="13" s="1"/>
  <c r="W216" i="13"/>
  <c r="V216" i="13" s="1"/>
  <c r="W217" i="13"/>
  <c r="V217" i="13" s="1"/>
  <c r="W218" i="13"/>
  <c r="V218" i="13" s="1"/>
  <c r="W220" i="13"/>
  <c r="V220" i="13" s="1"/>
  <c r="W221" i="13"/>
  <c r="V221" i="13" s="1"/>
  <c r="W222" i="13"/>
  <c r="V222" i="13" s="1"/>
  <c r="W223" i="13"/>
  <c r="V223" i="13" s="1"/>
  <c r="W224" i="13"/>
  <c r="V224" i="13" s="1"/>
  <c r="W225" i="13"/>
  <c r="V225" i="13" s="1"/>
  <c r="W226" i="13"/>
  <c r="V226" i="13" s="1"/>
  <c r="W227" i="13"/>
  <c r="V227" i="13" s="1"/>
  <c r="W228" i="13"/>
  <c r="V228" i="13" s="1"/>
  <c r="W229" i="13"/>
  <c r="V229" i="13" s="1"/>
  <c r="W230" i="13"/>
  <c r="V230" i="13" s="1"/>
  <c r="W231" i="13"/>
  <c r="V231" i="13" s="1"/>
  <c r="W232" i="13"/>
  <c r="V232" i="13" s="1"/>
  <c r="W233" i="13"/>
  <c r="V233" i="13" s="1"/>
  <c r="W234" i="13"/>
  <c r="V234" i="13" s="1"/>
  <c r="W235" i="13"/>
  <c r="V235" i="13" s="1"/>
  <c r="W236" i="13"/>
  <c r="V236" i="13" s="1"/>
  <c r="W237" i="13"/>
  <c r="V237" i="13" s="1"/>
  <c r="W238" i="13"/>
  <c r="V238" i="13" s="1"/>
  <c r="W241" i="13"/>
  <c r="V241" i="13" s="1"/>
  <c r="W242" i="13"/>
  <c r="V242" i="13" s="1"/>
  <c r="W243" i="13"/>
  <c r="V243" i="13" s="1"/>
  <c r="W244" i="13"/>
  <c r="V244" i="13" s="1"/>
  <c r="W245" i="13"/>
  <c r="V245" i="13" s="1"/>
  <c r="W246" i="13"/>
  <c r="V246" i="13" s="1"/>
  <c r="W247" i="13"/>
  <c r="V247" i="13" s="1"/>
  <c r="W248" i="13"/>
  <c r="V248" i="13" s="1"/>
  <c r="W249" i="13"/>
  <c r="V249" i="13" s="1"/>
  <c r="W250" i="13"/>
  <c r="V250" i="13" s="1"/>
  <c r="W251" i="13"/>
  <c r="V251" i="13" s="1"/>
  <c r="W252" i="13"/>
  <c r="V252" i="13" s="1"/>
  <c r="W253" i="13"/>
  <c r="V253" i="13" s="1"/>
  <c r="W254" i="13"/>
  <c r="V254" i="13" s="1"/>
  <c r="W255" i="13"/>
  <c r="V255" i="13" s="1"/>
  <c r="W256" i="13"/>
  <c r="V256" i="13" s="1"/>
  <c r="W257" i="13"/>
  <c r="V257" i="13" s="1"/>
  <c r="W258" i="13"/>
  <c r="V258" i="13" s="1"/>
  <c r="W259" i="13"/>
  <c r="V259" i="13" s="1"/>
  <c r="W260" i="13"/>
  <c r="V260" i="13" s="1"/>
  <c r="W261" i="13"/>
  <c r="V261" i="13" s="1"/>
  <c r="W263" i="13"/>
  <c r="V263" i="13" s="1"/>
  <c r="W264" i="13"/>
  <c r="V264" i="13" s="1"/>
  <c r="W265" i="13"/>
  <c r="V265" i="13" s="1"/>
  <c r="W266" i="13"/>
  <c r="V266" i="13" s="1"/>
  <c r="W267" i="13"/>
  <c r="V267" i="13" s="1"/>
  <c r="W268" i="13"/>
  <c r="V268" i="13" s="1"/>
  <c r="W269" i="13"/>
  <c r="V269" i="13" s="1"/>
  <c r="W270" i="13"/>
  <c r="V270" i="13" s="1"/>
  <c r="W271" i="13"/>
  <c r="V271" i="13" s="1"/>
  <c r="W338" i="13"/>
  <c r="V338" i="13" s="1"/>
  <c r="W339" i="13"/>
  <c r="V339" i="13" s="1"/>
  <c r="W340" i="13"/>
  <c r="V340" i="13" s="1"/>
  <c r="W341" i="13"/>
  <c r="V341" i="13" s="1"/>
  <c r="W342" i="13"/>
  <c r="V342" i="13" s="1"/>
  <c r="W343" i="13"/>
  <c r="V343" i="13" s="1"/>
  <c r="W344" i="13"/>
  <c r="V344" i="13" s="1"/>
  <c r="W345" i="13"/>
  <c r="V345" i="13" s="1"/>
  <c r="W346" i="13"/>
  <c r="V346" i="13" s="1"/>
  <c r="W347" i="13"/>
  <c r="V347" i="13" s="1"/>
  <c r="W348" i="13"/>
  <c r="V348" i="13" s="1"/>
  <c r="W349" i="13"/>
  <c r="V349" i="13" s="1"/>
  <c r="W350" i="13"/>
  <c r="V350" i="13" s="1"/>
  <c r="W351" i="13"/>
  <c r="V351" i="13" s="1"/>
  <c r="W352" i="13"/>
  <c r="V352" i="13" s="1"/>
  <c r="W353" i="13"/>
  <c r="V353" i="13" s="1"/>
  <c r="W354" i="13"/>
  <c r="V354" i="13" s="1"/>
  <c r="W355" i="13"/>
  <c r="V355" i="13" s="1"/>
  <c r="W356" i="13"/>
  <c r="V356" i="13" s="1"/>
  <c r="W357" i="13"/>
  <c r="V357" i="13" s="1"/>
  <c r="W358" i="13"/>
  <c r="V358" i="13" s="1"/>
  <c r="W359" i="13"/>
  <c r="V359" i="13" s="1"/>
  <c r="W360" i="13"/>
  <c r="V360" i="13" s="1"/>
  <c r="W361" i="13"/>
  <c r="V361" i="13" s="1"/>
  <c r="W362" i="13"/>
  <c r="V362" i="13" s="1"/>
  <c r="W363" i="13"/>
  <c r="V363" i="13" s="1"/>
  <c r="W364" i="13"/>
  <c r="V364" i="13" s="1"/>
  <c r="W365" i="13"/>
  <c r="V365" i="13" s="1"/>
  <c r="W366" i="13"/>
  <c r="V366" i="13" s="1"/>
  <c r="W367" i="13"/>
  <c r="V367" i="13" s="1"/>
  <c r="W368" i="13"/>
  <c r="V368" i="13" s="1"/>
  <c r="W369" i="13"/>
  <c r="V369" i="13" s="1"/>
  <c r="W370" i="13"/>
  <c r="V370" i="13" s="1"/>
  <c r="W371" i="13"/>
  <c r="V371" i="13" s="1"/>
  <c r="W372" i="13"/>
  <c r="V372" i="13" s="1"/>
  <c r="W373" i="13"/>
  <c r="V373" i="13" s="1"/>
  <c r="W374" i="13"/>
  <c r="V374" i="13" s="1"/>
  <c r="W375" i="13"/>
  <c r="V375" i="13" s="1"/>
  <c r="W376" i="13"/>
  <c r="V376" i="13" s="1"/>
  <c r="W377" i="13"/>
  <c r="V377" i="13" s="1"/>
  <c r="W389" i="13"/>
  <c r="V389" i="13" s="1"/>
  <c r="W390" i="13"/>
  <c r="V390" i="13" s="1"/>
  <c r="W391" i="13"/>
  <c r="V391" i="13" s="1"/>
  <c r="W392" i="13"/>
  <c r="V392" i="13" s="1"/>
  <c r="W393" i="13"/>
  <c r="V393" i="13" s="1"/>
  <c r="W394" i="13"/>
  <c r="V394" i="13" s="1"/>
  <c r="W395" i="13"/>
  <c r="V395" i="13" s="1"/>
  <c r="W396" i="13"/>
  <c r="V396" i="13" s="1"/>
  <c r="W397" i="13"/>
  <c r="V397" i="13" s="1"/>
  <c r="W398" i="13"/>
  <c r="V398" i="13" s="1"/>
  <c r="W399" i="13"/>
  <c r="V399" i="13" s="1"/>
  <c r="W400" i="13"/>
  <c r="V400" i="13" s="1"/>
  <c r="W401" i="13"/>
  <c r="V401" i="13" s="1"/>
  <c r="W402" i="13"/>
  <c r="V402" i="13" s="1"/>
  <c r="W403" i="13"/>
  <c r="V403" i="13" s="1"/>
  <c r="W404" i="13"/>
  <c r="V404" i="13" s="1"/>
  <c r="W405" i="13"/>
  <c r="V405" i="13" s="1"/>
  <c r="W406" i="13"/>
  <c r="V406" i="13" s="1"/>
  <c r="W407" i="13"/>
  <c r="V407" i="13" s="1"/>
  <c r="W408" i="13"/>
  <c r="V408" i="13" s="1"/>
  <c r="W409" i="13"/>
  <c r="V409" i="13" s="1"/>
  <c r="W410" i="13"/>
  <c r="V410" i="13" s="1"/>
  <c r="W411" i="13"/>
  <c r="V411" i="13" s="1"/>
  <c r="W412" i="13"/>
  <c r="V412" i="13" s="1"/>
  <c r="W413" i="13"/>
  <c r="V413" i="13" s="1"/>
  <c r="W414" i="13"/>
  <c r="V414" i="13" s="1"/>
  <c r="W415" i="13"/>
  <c r="V415" i="13" s="1"/>
  <c r="W416" i="13"/>
  <c r="V416" i="13" s="1"/>
  <c r="W417" i="13"/>
  <c r="V417" i="13" s="1"/>
  <c r="W418" i="13"/>
  <c r="V418" i="13" s="1"/>
  <c r="W419" i="13"/>
  <c r="V419" i="13" s="1"/>
  <c r="W420" i="13"/>
  <c r="V420" i="13" s="1"/>
  <c r="W421" i="13"/>
  <c r="V421" i="13" s="1"/>
  <c r="W422" i="13"/>
  <c r="V422" i="13" s="1"/>
  <c r="W423" i="13"/>
  <c r="V423" i="13" s="1"/>
  <c r="W424" i="13"/>
  <c r="V424" i="13" s="1"/>
  <c r="W425" i="13"/>
  <c r="V425" i="13" s="1"/>
  <c r="W426" i="13"/>
  <c r="V426" i="13" s="1"/>
  <c r="W427" i="13"/>
  <c r="V427" i="13" s="1"/>
  <c r="W428" i="13"/>
  <c r="V428" i="13" s="1"/>
  <c r="W429" i="13"/>
  <c r="V429" i="13" s="1"/>
  <c r="W430" i="13"/>
  <c r="V430" i="13" s="1"/>
  <c r="W431" i="13"/>
  <c r="V431" i="13" s="1"/>
  <c r="W432" i="13"/>
  <c r="V432" i="13" s="1"/>
  <c r="W433" i="13"/>
  <c r="V433" i="13" s="1"/>
  <c r="W434" i="13"/>
  <c r="V434" i="13" s="1"/>
  <c r="W435" i="13"/>
  <c r="V435" i="13" s="1"/>
  <c r="W436" i="13"/>
  <c r="V436" i="13" s="1"/>
  <c r="W437" i="13"/>
  <c r="V437" i="13" s="1"/>
  <c r="W438" i="13"/>
  <c r="V438" i="13" s="1"/>
  <c r="W439" i="13"/>
  <c r="V439" i="13" s="1"/>
  <c r="W440" i="13"/>
  <c r="V440" i="13" s="1"/>
  <c r="W441" i="13"/>
  <c r="V441" i="13" s="1"/>
  <c r="W442" i="13"/>
  <c r="V442" i="13" s="1"/>
  <c r="W443" i="13"/>
  <c r="V443" i="13" s="1"/>
  <c r="W444" i="13"/>
  <c r="V444" i="13" s="1"/>
  <c r="W445" i="13"/>
  <c r="V445" i="13" s="1"/>
  <c r="W446" i="13"/>
  <c r="V446" i="13" s="1"/>
  <c r="W447" i="13"/>
  <c r="V447" i="13" s="1"/>
  <c r="W448" i="13"/>
  <c r="V448" i="13" s="1"/>
  <c r="W449" i="13"/>
  <c r="V449" i="13" s="1"/>
  <c r="W450" i="13"/>
  <c r="V450" i="13" s="1"/>
  <c r="W451" i="13"/>
  <c r="V451" i="13" s="1"/>
  <c r="W452" i="13"/>
  <c r="V452" i="13" s="1"/>
  <c r="W453" i="13"/>
  <c r="V453" i="13" s="1"/>
  <c r="W454" i="13"/>
  <c r="V454" i="13" s="1"/>
  <c r="W455" i="13"/>
  <c r="V455" i="13" s="1"/>
  <c r="W456" i="13"/>
  <c r="V456" i="13" s="1"/>
  <c r="W457" i="13"/>
  <c r="V457" i="13" s="1"/>
  <c r="W458" i="13"/>
  <c r="V458" i="13" s="1"/>
  <c r="W459" i="13"/>
  <c r="V459" i="13" s="1"/>
  <c r="W460" i="13"/>
  <c r="V460" i="13" s="1"/>
  <c r="W461" i="13"/>
  <c r="V461" i="13" s="1"/>
  <c r="W462" i="13"/>
  <c r="V462" i="13" s="1"/>
  <c r="W463" i="13"/>
  <c r="V463" i="13" s="1"/>
  <c r="W464" i="13"/>
  <c r="V464" i="13" s="1"/>
  <c r="W465" i="13"/>
  <c r="V465" i="13" s="1"/>
  <c r="W466" i="13"/>
  <c r="V466" i="13" s="1"/>
  <c r="W467" i="13"/>
  <c r="V467" i="13" s="1"/>
  <c r="W468" i="13"/>
  <c r="V468" i="13" s="1"/>
  <c r="W469" i="13"/>
  <c r="V469" i="13" s="1"/>
  <c r="W470" i="13"/>
  <c r="V470" i="13" s="1"/>
  <c r="W471" i="13"/>
  <c r="V471" i="13" s="1"/>
  <c r="W472" i="13"/>
  <c r="V472" i="13" s="1"/>
  <c r="W473" i="13"/>
  <c r="V473" i="13" s="1"/>
  <c r="W474" i="13"/>
  <c r="V474" i="13" s="1"/>
  <c r="W475" i="13"/>
  <c r="V475" i="13" s="1"/>
  <c r="W476" i="13"/>
  <c r="V476" i="13" s="1"/>
  <c r="W477" i="13"/>
  <c r="V477" i="13" s="1"/>
  <c r="W478" i="13"/>
  <c r="V478" i="13" s="1"/>
  <c r="W479" i="13"/>
  <c r="V479" i="13" s="1"/>
  <c r="W480" i="13"/>
  <c r="V480" i="13" s="1"/>
  <c r="W481" i="13"/>
  <c r="V481" i="13" s="1"/>
  <c r="W482" i="13"/>
  <c r="V482" i="13" s="1"/>
  <c r="W483" i="13"/>
  <c r="V483" i="13" s="1"/>
  <c r="W484" i="13"/>
  <c r="V484" i="13" s="1"/>
  <c r="W485" i="13"/>
  <c r="V485" i="13" s="1"/>
  <c r="W486" i="13"/>
  <c r="V486" i="13" s="1"/>
  <c r="W487" i="13"/>
  <c r="V487" i="13" s="1"/>
  <c r="W488" i="13"/>
  <c r="V488" i="13" s="1"/>
  <c r="W489" i="13"/>
  <c r="V489" i="13" s="1"/>
  <c r="W490" i="13"/>
  <c r="V490" i="13" s="1"/>
  <c r="W491" i="13"/>
  <c r="V491" i="13" s="1"/>
  <c r="W492" i="13"/>
  <c r="V492" i="13" s="1"/>
  <c r="W493" i="13"/>
  <c r="V493" i="13" s="1"/>
  <c r="W494" i="13"/>
  <c r="V494" i="13" s="1"/>
  <c r="W495" i="13"/>
  <c r="V495" i="13" s="1"/>
  <c r="W496" i="13"/>
  <c r="V496" i="13" s="1"/>
  <c r="W497" i="13"/>
  <c r="V497" i="13" s="1"/>
  <c r="W498" i="13"/>
  <c r="V498" i="13" s="1"/>
  <c r="W499" i="13"/>
  <c r="V499" i="13" s="1"/>
  <c r="W500" i="13"/>
  <c r="V500" i="13" s="1"/>
  <c r="W501" i="13"/>
  <c r="V501" i="13" s="1"/>
  <c r="W502" i="13"/>
  <c r="V502" i="13" s="1"/>
  <c r="W503" i="13"/>
  <c r="V503" i="13" s="1"/>
  <c r="W504" i="13"/>
  <c r="V504" i="13" s="1"/>
  <c r="W505" i="13"/>
  <c r="V505" i="13" s="1"/>
  <c r="W506" i="13"/>
  <c r="V506" i="13" s="1"/>
  <c r="W507" i="13"/>
  <c r="V507" i="13" s="1"/>
  <c r="W508" i="13"/>
  <c r="V508" i="13" s="1"/>
  <c r="W509" i="13"/>
  <c r="V509" i="13" s="1"/>
  <c r="W510" i="13"/>
  <c r="V510" i="13" s="1"/>
  <c r="W511" i="13"/>
  <c r="V511" i="13" s="1"/>
  <c r="W512" i="13"/>
  <c r="V512" i="13" s="1"/>
  <c r="W513" i="13"/>
  <c r="V513" i="13" s="1"/>
  <c r="W514" i="13"/>
  <c r="V514" i="13" s="1"/>
  <c r="W515" i="13"/>
  <c r="V515" i="13" s="1"/>
  <c r="W516" i="13"/>
  <c r="V516" i="13" s="1"/>
  <c r="W517" i="13"/>
  <c r="V517" i="13" s="1"/>
  <c r="W518" i="13"/>
  <c r="V518" i="13" s="1"/>
  <c r="W519" i="13"/>
  <c r="V519" i="13" s="1"/>
  <c r="W520" i="13"/>
  <c r="V520" i="13" s="1"/>
  <c r="W521" i="13"/>
  <c r="V521" i="13" s="1"/>
  <c r="W522" i="13"/>
  <c r="V522" i="13" s="1"/>
  <c r="W523" i="13"/>
  <c r="V523" i="13" s="1"/>
  <c r="W524" i="13"/>
  <c r="V524" i="13" s="1"/>
  <c r="W525" i="13"/>
  <c r="V525" i="13" s="1"/>
  <c r="W526" i="13"/>
  <c r="V526" i="13" s="1"/>
  <c r="W527" i="13"/>
  <c r="V527" i="13" s="1"/>
  <c r="W528" i="13"/>
  <c r="V528" i="13" s="1"/>
  <c r="W529" i="13"/>
  <c r="V529" i="13" s="1"/>
  <c r="W530" i="13"/>
  <c r="V530" i="13" s="1"/>
  <c r="W531" i="13"/>
  <c r="V531" i="13" s="1"/>
  <c r="W532" i="13"/>
  <c r="V532" i="13" s="1"/>
  <c r="W533" i="13"/>
  <c r="V533" i="13" s="1"/>
  <c r="W534" i="13"/>
  <c r="V534" i="13" s="1"/>
  <c r="W535" i="13"/>
  <c r="V535" i="13" s="1"/>
  <c r="W536" i="13"/>
  <c r="V536" i="13" s="1"/>
  <c r="W537" i="13"/>
  <c r="V537" i="13" s="1"/>
  <c r="W538" i="13"/>
  <c r="V538" i="13" s="1"/>
  <c r="W539" i="13"/>
  <c r="V539" i="13" s="1"/>
  <c r="W540" i="13"/>
  <c r="V540" i="13" s="1"/>
  <c r="W541" i="13"/>
  <c r="V541" i="13" s="1"/>
  <c r="W542" i="13"/>
  <c r="V542" i="13" s="1"/>
  <c r="W543" i="13"/>
  <c r="V543" i="13" s="1"/>
  <c r="W544" i="13"/>
  <c r="V544" i="13" s="1"/>
  <c r="W545" i="13"/>
  <c r="V545" i="13" s="1"/>
  <c r="W546" i="13"/>
  <c r="V546" i="13" s="1"/>
  <c r="W547" i="13"/>
  <c r="V547" i="13" s="1"/>
  <c r="W548" i="13"/>
  <c r="V548" i="13" s="1"/>
  <c r="W549" i="13"/>
  <c r="V549" i="13" s="1"/>
  <c r="W550" i="13"/>
  <c r="V550" i="13" s="1"/>
  <c r="W551" i="13"/>
  <c r="V551" i="13" s="1"/>
  <c r="W552" i="13"/>
  <c r="V552" i="13" s="1"/>
  <c r="W553" i="13"/>
  <c r="V553" i="13" s="1"/>
  <c r="W554" i="13"/>
  <c r="V554" i="13" s="1"/>
  <c r="W555" i="13"/>
  <c r="V555" i="13" s="1"/>
  <c r="W556" i="13"/>
  <c r="V556" i="13" s="1"/>
  <c r="W557" i="13"/>
  <c r="V557" i="13" s="1"/>
  <c r="W558" i="13"/>
  <c r="V558" i="13" s="1"/>
  <c r="W559" i="13"/>
  <c r="V559" i="13" s="1"/>
  <c r="W560" i="13"/>
  <c r="V560" i="13" s="1"/>
  <c r="W561" i="13"/>
  <c r="V561" i="13" s="1"/>
  <c r="W562" i="13"/>
  <c r="V562" i="13" s="1"/>
  <c r="W563" i="13"/>
  <c r="V563" i="13" s="1"/>
  <c r="W564" i="13"/>
  <c r="V564" i="13" s="1"/>
  <c r="W565" i="13"/>
  <c r="V565" i="13" s="1"/>
  <c r="W566" i="13"/>
  <c r="V566" i="13" s="1"/>
  <c r="W567" i="13"/>
  <c r="V567" i="13" s="1"/>
  <c r="W568" i="13"/>
  <c r="V568" i="13" s="1"/>
  <c r="W569" i="13"/>
  <c r="V569" i="13" s="1"/>
  <c r="W570" i="13"/>
  <c r="V570" i="13" s="1"/>
  <c r="W571" i="13"/>
  <c r="V571" i="13" s="1"/>
  <c r="W572" i="13"/>
  <c r="V572" i="13" s="1"/>
  <c r="W573" i="13"/>
  <c r="V573" i="13" s="1"/>
  <c r="W574" i="13"/>
  <c r="V574" i="13" s="1"/>
  <c r="W575" i="13"/>
  <c r="V575" i="13" s="1"/>
  <c r="W576" i="13"/>
  <c r="V576" i="13" s="1"/>
  <c r="W577" i="13"/>
  <c r="V577" i="13" s="1"/>
  <c r="W578" i="13"/>
  <c r="V578" i="13" s="1"/>
  <c r="W579" i="13"/>
  <c r="V579" i="13" s="1"/>
  <c r="W580" i="13"/>
  <c r="V580" i="13" s="1"/>
  <c r="W581" i="13"/>
  <c r="V581" i="13" s="1"/>
  <c r="W582" i="13"/>
  <c r="V582" i="13" s="1"/>
  <c r="W583" i="13"/>
  <c r="V583" i="13" s="1"/>
  <c r="W584" i="13"/>
  <c r="V584" i="13" s="1"/>
  <c r="W585" i="13"/>
  <c r="V585" i="13" s="1"/>
  <c r="W586" i="13"/>
  <c r="V586" i="13" s="1"/>
  <c r="W587" i="13"/>
  <c r="V587" i="13" s="1"/>
  <c r="W588" i="13"/>
  <c r="V588" i="13" s="1"/>
  <c r="W589" i="13"/>
  <c r="V589" i="13" s="1"/>
  <c r="W590" i="13"/>
  <c r="V590" i="13" s="1"/>
  <c r="W591" i="13"/>
  <c r="V591" i="13" s="1"/>
  <c r="W592" i="13"/>
  <c r="V592" i="13" s="1"/>
  <c r="W593" i="13"/>
  <c r="V593" i="13" s="1"/>
  <c r="W594" i="13"/>
  <c r="V594" i="13" s="1"/>
  <c r="W595" i="13"/>
  <c r="V595" i="13" s="1"/>
  <c r="W596" i="13"/>
  <c r="V596" i="13" s="1"/>
  <c r="W597" i="13"/>
  <c r="V597" i="13" s="1"/>
  <c r="W598" i="13"/>
  <c r="V598" i="13" s="1"/>
  <c r="W599" i="13"/>
  <c r="V599" i="13" s="1"/>
  <c r="W600" i="13"/>
  <c r="V600" i="13" s="1"/>
  <c r="W601" i="13"/>
  <c r="V601" i="13" s="1"/>
  <c r="W602" i="13"/>
  <c r="V602" i="13" s="1"/>
  <c r="W603" i="13"/>
  <c r="V603" i="13" s="1"/>
  <c r="W604" i="13"/>
  <c r="V604" i="13" s="1"/>
  <c r="W605" i="13"/>
  <c r="V605" i="13" s="1"/>
  <c r="W606" i="13"/>
  <c r="V606" i="13" s="1"/>
  <c r="W607" i="13"/>
  <c r="V607" i="13" s="1"/>
  <c r="W608" i="13"/>
  <c r="V608" i="13" s="1"/>
  <c r="W609" i="13"/>
  <c r="V609" i="13" s="1"/>
  <c r="W610" i="13"/>
  <c r="V610" i="13" s="1"/>
  <c r="W611" i="13"/>
  <c r="V611" i="13" s="1"/>
  <c r="W612" i="13"/>
  <c r="V612" i="13" s="1"/>
  <c r="W613" i="13"/>
  <c r="V613" i="13" s="1"/>
  <c r="W614" i="13"/>
  <c r="V614" i="13" s="1"/>
  <c r="W615" i="13"/>
  <c r="V615" i="13" s="1"/>
  <c r="W616" i="13"/>
  <c r="V616" i="13" s="1"/>
  <c r="W617" i="13"/>
  <c r="V617" i="13" s="1"/>
  <c r="W618" i="13"/>
  <c r="V618" i="13" s="1"/>
  <c r="W619" i="13"/>
  <c r="V619" i="13" s="1"/>
  <c r="W620" i="13"/>
  <c r="V620" i="13" s="1"/>
  <c r="W621" i="13"/>
  <c r="V621" i="13" s="1"/>
  <c r="W622" i="13"/>
  <c r="V622" i="13" s="1"/>
  <c r="W623" i="13"/>
  <c r="V623" i="13" s="1"/>
  <c r="W624" i="13"/>
  <c r="V624" i="13" s="1"/>
  <c r="W625" i="13"/>
  <c r="V625" i="13" s="1"/>
  <c r="W626" i="13"/>
  <c r="V626" i="13" s="1"/>
  <c r="W627" i="13"/>
  <c r="V627" i="13" s="1"/>
  <c r="W628" i="13"/>
  <c r="V628" i="13" s="1"/>
  <c r="W629" i="13"/>
  <c r="V629" i="13" s="1"/>
  <c r="W630" i="13"/>
  <c r="V630" i="13" s="1"/>
  <c r="W631" i="13"/>
  <c r="V631" i="13" s="1"/>
  <c r="W632" i="13"/>
  <c r="V632" i="13" s="1"/>
  <c r="W633" i="13"/>
  <c r="V633" i="13" s="1"/>
  <c r="W634" i="13"/>
  <c r="V634" i="13" s="1"/>
  <c r="W635" i="13"/>
  <c r="V635" i="13" s="1"/>
  <c r="W636" i="13"/>
  <c r="V636" i="13" s="1"/>
  <c r="W637" i="13"/>
  <c r="V637" i="13" s="1"/>
  <c r="W638" i="13"/>
  <c r="V638" i="13" s="1"/>
  <c r="W639" i="13"/>
  <c r="V639" i="13" s="1"/>
  <c r="W640" i="13"/>
  <c r="V640" i="13" s="1"/>
  <c r="W641" i="13"/>
  <c r="V641" i="13" s="1"/>
  <c r="W642" i="13"/>
  <c r="V642" i="13" s="1"/>
  <c r="W643" i="13"/>
  <c r="V643" i="13" s="1"/>
  <c r="W644" i="13"/>
  <c r="V644" i="13" s="1"/>
  <c r="W645" i="13"/>
  <c r="V645" i="13" s="1"/>
  <c r="W646" i="13"/>
  <c r="V646" i="13" s="1"/>
  <c r="W647" i="13"/>
  <c r="V647" i="13" s="1"/>
  <c r="W648" i="13"/>
  <c r="V648" i="13" s="1"/>
  <c r="W649" i="13"/>
  <c r="V649" i="13" s="1"/>
  <c r="W650" i="13"/>
  <c r="V650" i="13" s="1"/>
  <c r="W651" i="13"/>
  <c r="V651" i="13" s="1"/>
  <c r="W652" i="13"/>
  <c r="V652" i="13" s="1"/>
  <c r="W653" i="13"/>
  <c r="V653" i="13" s="1"/>
  <c r="W654" i="13"/>
  <c r="V654" i="13" s="1"/>
  <c r="W655" i="13"/>
  <c r="V655" i="13" s="1"/>
  <c r="W656" i="13"/>
  <c r="V656" i="13" s="1"/>
  <c r="W657" i="13"/>
  <c r="V657" i="13" s="1"/>
  <c r="W658" i="13"/>
  <c r="V658" i="13" s="1"/>
  <c r="W659" i="13"/>
  <c r="V659" i="13" s="1"/>
  <c r="W660" i="13"/>
  <c r="V660" i="13" s="1"/>
  <c r="W661" i="13"/>
  <c r="V661" i="13" s="1"/>
  <c r="W662" i="13"/>
  <c r="V662" i="13" s="1"/>
  <c r="W663" i="13"/>
  <c r="V663" i="13" s="1"/>
  <c r="W664" i="13"/>
  <c r="V664" i="13" s="1"/>
  <c r="W665" i="13"/>
  <c r="V665" i="13" s="1"/>
  <c r="W666" i="13"/>
  <c r="V666" i="13" s="1"/>
  <c r="W667" i="13"/>
  <c r="V667" i="13" s="1"/>
  <c r="W668" i="13"/>
  <c r="V668" i="13" s="1"/>
  <c r="W669" i="13"/>
  <c r="V669" i="13" s="1"/>
  <c r="W670" i="13"/>
  <c r="V670" i="13" s="1"/>
  <c r="W671" i="13"/>
  <c r="V671" i="13" s="1"/>
  <c r="W672" i="13"/>
  <c r="V672" i="13" s="1"/>
  <c r="W673" i="13"/>
  <c r="V673" i="13" s="1"/>
  <c r="W674" i="13"/>
  <c r="V674" i="13" s="1"/>
  <c r="W675" i="13"/>
  <c r="V675" i="13" s="1"/>
  <c r="W676" i="13"/>
  <c r="V676" i="13" s="1"/>
  <c r="W677" i="13"/>
  <c r="V677" i="13" s="1"/>
  <c r="W678" i="13"/>
  <c r="V678" i="13" s="1"/>
  <c r="W679" i="13"/>
  <c r="V679" i="13" s="1"/>
  <c r="W680" i="13"/>
  <c r="V680" i="13" s="1"/>
  <c r="W681" i="13"/>
  <c r="V681" i="13" s="1"/>
  <c r="W682" i="13"/>
  <c r="V682" i="13" s="1"/>
  <c r="W683" i="13"/>
  <c r="V683" i="13" s="1"/>
  <c r="W684" i="13"/>
  <c r="V684" i="13" s="1"/>
  <c r="W685" i="13"/>
  <c r="V685" i="13" s="1"/>
  <c r="W686" i="13"/>
  <c r="V686" i="13" s="1"/>
  <c r="W687" i="13"/>
  <c r="V687" i="13" s="1"/>
  <c r="W688" i="13"/>
  <c r="V688" i="13" s="1"/>
  <c r="W689" i="13"/>
  <c r="V689" i="13" s="1"/>
  <c r="W690" i="13"/>
  <c r="V690" i="13" s="1"/>
  <c r="W691" i="13"/>
  <c r="V691" i="13" s="1"/>
  <c r="W692" i="13"/>
  <c r="V692" i="13" s="1"/>
  <c r="W693" i="13"/>
  <c r="V693" i="13" s="1"/>
  <c r="W694" i="13"/>
  <c r="V694" i="13" s="1"/>
  <c r="W695" i="13"/>
  <c r="V695" i="13" s="1"/>
  <c r="W696" i="13"/>
  <c r="V696" i="13" s="1"/>
  <c r="W697" i="13"/>
  <c r="V697" i="13" s="1"/>
  <c r="W698" i="13"/>
  <c r="V698" i="13" s="1"/>
  <c r="W699" i="13"/>
  <c r="V699" i="13" s="1"/>
  <c r="W700" i="13"/>
  <c r="V700" i="13" s="1"/>
  <c r="W701" i="13"/>
  <c r="V701" i="13" s="1"/>
  <c r="W702" i="13"/>
  <c r="V702" i="13" s="1"/>
  <c r="W703" i="13"/>
  <c r="V703" i="13" s="1"/>
  <c r="W704" i="13"/>
  <c r="V704" i="13" s="1"/>
  <c r="W705" i="13"/>
  <c r="V705" i="13" s="1"/>
  <c r="W706" i="13"/>
  <c r="V706" i="13" s="1"/>
  <c r="W707" i="13"/>
  <c r="V707" i="13" s="1"/>
  <c r="W708" i="13"/>
  <c r="V708" i="13" s="1"/>
  <c r="W709" i="13"/>
  <c r="V709" i="13" s="1"/>
  <c r="W710" i="13"/>
  <c r="V710" i="13" s="1"/>
  <c r="W711" i="13"/>
  <c r="V711" i="13" s="1"/>
  <c r="W712" i="13"/>
  <c r="V712" i="13" s="1"/>
  <c r="W713" i="13"/>
  <c r="V713" i="13" s="1"/>
  <c r="W714" i="13"/>
  <c r="V714" i="13" s="1"/>
  <c r="W715" i="13"/>
  <c r="V715" i="13" s="1"/>
  <c r="W716" i="13"/>
  <c r="V716" i="13" s="1"/>
  <c r="W717" i="13"/>
  <c r="V717" i="13" s="1"/>
  <c r="W718" i="13"/>
  <c r="V718" i="13" s="1"/>
  <c r="W719" i="13"/>
  <c r="V719" i="13" s="1"/>
  <c r="W720" i="13"/>
  <c r="V720" i="13" s="1"/>
  <c r="W721" i="13"/>
  <c r="V721" i="13" s="1"/>
  <c r="W722" i="13"/>
  <c r="V722" i="13" s="1"/>
  <c r="W723" i="13"/>
  <c r="V723" i="13" s="1"/>
  <c r="W724" i="13"/>
  <c r="V724" i="13" s="1"/>
  <c r="W725" i="13"/>
  <c r="V725" i="13" s="1"/>
  <c r="W726" i="13"/>
  <c r="V726" i="13" s="1"/>
  <c r="W727" i="13"/>
  <c r="V727" i="13" s="1"/>
  <c r="W728" i="13"/>
  <c r="V728" i="13" s="1"/>
  <c r="W729" i="13"/>
  <c r="V729" i="13" s="1"/>
  <c r="W730" i="13"/>
  <c r="V730" i="13" s="1"/>
  <c r="W731" i="13"/>
  <c r="V731" i="13" s="1"/>
  <c r="W732" i="13"/>
  <c r="V732" i="13" s="1"/>
  <c r="W733" i="13"/>
  <c r="V733" i="13" s="1"/>
  <c r="W734" i="13"/>
  <c r="V734" i="13" s="1"/>
  <c r="W735" i="13"/>
  <c r="V735" i="13" s="1"/>
  <c r="W736" i="13"/>
  <c r="V736" i="13" s="1"/>
  <c r="W737" i="13"/>
  <c r="V737" i="13" s="1"/>
  <c r="W738" i="13"/>
  <c r="V738" i="13" s="1"/>
  <c r="W739" i="13"/>
  <c r="V739" i="13" s="1"/>
  <c r="W740" i="13"/>
  <c r="V740" i="13" s="1"/>
  <c r="W741" i="13"/>
  <c r="V741" i="13" s="1"/>
  <c r="W742" i="13"/>
  <c r="V742" i="13" s="1"/>
  <c r="W743" i="13"/>
  <c r="V743" i="13" s="1"/>
  <c r="W744" i="13"/>
  <c r="V744" i="13" s="1"/>
  <c r="W745" i="13"/>
  <c r="V745" i="13" s="1"/>
  <c r="W746" i="13"/>
  <c r="V746" i="13" s="1"/>
  <c r="W747" i="13"/>
  <c r="V747" i="13" s="1"/>
  <c r="W748" i="13"/>
  <c r="V748" i="13" s="1"/>
  <c r="W749" i="13"/>
  <c r="V749" i="13" s="1"/>
  <c r="W750" i="13"/>
  <c r="V750" i="13" s="1"/>
  <c r="W751" i="13"/>
  <c r="V751" i="13" s="1"/>
  <c r="W752" i="13"/>
  <c r="V752" i="13" s="1"/>
  <c r="W753" i="13"/>
  <c r="V753" i="13" s="1"/>
  <c r="W754" i="13"/>
  <c r="V754" i="13" s="1"/>
  <c r="W755" i="13"/>
  <c r="V755" i="13" s="1"/>
  <c r="W756" i="13"/>
  <c r="V756" i="13" s="1"/>
  <c r="W757" i="13"/>
  <c r="V757" i="13" s="1"/>
  <c r="W758" i="13"/>
  <c r="V758" i="13" s="1"/>
  <c r="W759" i="13"/>
  <c r="V759" i="13" s="1"/>
  <c r="W760" i="13"/>
  <c r="V760" i="13" s="1"/>
  <c r="W761" i="13"/>
  <c r="V761" i="13" s="1"/>
  <c r="W762" i="13"/>
  <c r="V762" i="13" s="1"/>
  <c r="W763" i="13"/>
  <c r="V763" i="13" s="1"/>
  <c r="W764" i="13"/>
  <c r="V764" i="13" s="1"/>
  <c r="W765" i="13"/>
  <c r="V765" i="13" s="1"/>
  <c r="W766" i="13"/>
  <c r="V766" i="13" s="1"/>
  <c r="W767" i="13"/>
  <c r="V767" i="13" s="1"/>
  <c r="W768" i="13"/>
  <c r="V768" i="13" s="1"/>
  <c r="W769" i="13"/>
  <c r="V769" i="13" s="1"/>
  <c r="W770" i="13"/>
  <c r="V770" i="13" s="1"/>
  <c r="W771" i="13"/>
  <c r="V771" i="13" s="1"/>
  <c r="W772" i="13"/>
  <c r="V772" i="13" s="1"/>
  <c r="W773" i="13"/>
  <c r="V773" i="13" s="1"/>
  <c r="W774" i="13"/>
  <c r="V774" i="13" s="1"/>
  <c r="W775" i="13"/>
  <c r="V775" i="13" s="1"/>
  <c r="W776" i="13"/>
  <c r="V776" i="13" s="1"/>
  <c r="W777" i="13"/>
  <c r="V777" i="13" s="1"/>
  <c r="W778" i="13"/>
  <c r="V778" i="13" s="1"/>
  <c r="W779" i="13"/>
  <c r="V779" i="13" s="1"/>
  <c r="W780" i="13"/>
  <c r="V780" i="13" s="1"/>
  <c r="W781" i="13"/>
  <c r="V781" i="13" s="1"/>
  <c r="W782" i="13"/>
  <c r="V782" i="13" s="1"/>
  <c r="W783" i="13"/>
  <c r="V783" i="13" s="1"/>
  <c r="W784" i="13"/>
  <c r="V784" i="13" s="1"/>
  <c r="W785" i="13"/>
  <c r="V785" i="13" s="1"/>
  <c r="W786" i="13"/>
  <c r="V786" i="13" s="1"/>
  <c r="W787" i="13"/>
  <c r="V787" i="13" s="1"/>
  <c r="W788" i="13"/>
  <c r="V788" i="13" s="1"/>
  <c r="W789" i="13"/>
  <c r="V789" i="13" s="1"/>
  <c r="W790" i="13"/>
  <c r="V790" i="13" s="1"/>
  <c r="W791" i="13"/>
  <c r="V791" i="13" s="1"/>
  <c r="W792" i="13"/>
  <c r="V792" i="13" s="1"/>
  <c r="W793" i="13"/>
  <c r="V793" i="13" s="1"/>
  <c r="W794" i="13"/>
  <c r="V794" i="13" s="1"/>
  <c r="W795" i="13"/>
  <c r="V795" i="13" s="1"/>
  <c r="W796" i="13"/>
  <c r="V796" i="13" s="1"/>
  <c r="W797" i="13"/>
  <c r="V797" i="13" s="1"/>
  <c r="W798" i="13"/>
  <c r="V798" i="13" s="1"/>
  <c r="W799" i="13"/>
  <c r="V799" i="13" s="1"/>
  <c r="W800" i="13"/>
  <c r="V800" i="13" s="1"/>
  <c r="W801" i="13"/>
  <c r="V801" i="13" s="1"/>
  <c r="W802" i="13"/>
  <c r="V802" i="13" s="1"/>
  <c r="W803" i="13"/>
  <c r="V803" i="13" s="1"/>
  <c r="W804" i="13"/>
  <c r="V804" i="13" s="1"/>
  <c r="W805" i="13"/>
  <c r="V805" i="13" s="1"/>
  <c r="W806" i="13"/>
  <c r="V806" i="13" s="1"/>
  <c r="W807" i="13"/>
  <c r="V807" i="13" s="1"/>
  <c r="W808" i="13"/>
  <c r="V808" i="13" s="1"/>
  <c r="W809" i="13"/>
  <c r="V809" i="13" s="1"/>
  <c r="W810" i="13"/>
  <c r="V810" i="13" s="1"/>
  <c r="W811" i="13"/>
  <c r="V811" i="13" s="1"/>
  <c r="W812" i="13"/>
  <c r="V812" i="13" s="1"/>
  <c r="W813" i="13"/>
  <c r="V813" i="13" s="1"/>
  <c r="W814" i="13"/>
  <c r="V814" i="13" s="1"/>
  <c r="W815" i="13"/>
  <c r="V815" i="13" s="1"/>
  <c r="W816" i="13"/>
  <c r="V816" i="13" s="1"/>
  <c r="W817" i="13"/>
  <c r="V817" i="13" s="1"/>
  <c r="W818" i="13"/>
  <c r="V818" i="13" s="1"/>
  <c r="W819" i="13"/>
  <c r="V819" i="13" s="1"/>
  <c r="W820" i="13"/>
  <c r="V820" i="13" s="1"/>
  <c r="W821" i="13"/>
  <c r="V821" i="13" s="1"/>
  <c r="W822" i="13"/>
  <c r="V822" i="13" s="1"/>
  <c r="W823" i="13"/>
  <c r="V823" i="13" s="1"/>
  <c r="W824" i="13"/>
  <c r="V824" i="13" s="1"/>
  <c r="W825" i="13"/>
  <c r="V825" i="13" s="1"/>
  <c r="W826" i="13"/>
  <c r="V826" i="13" s="1"/>
  <c r="W827" i="13"/>
  <c r="V827" i="13" s="1"/>
  <c r="W828" i="13"/>
  <c r="V828" i="13" s="1"/>
  <c r="W829" i="13"/>
  <c r="V829" i="13" s="1"/>
  <c r="W830" i="13"/>
  <c r="V830" i="13" s="1"/>
  <c r="W831" i="13"/>
  <c r="V831" i="13" s="1"/>
  <c r="W832" i="13"/>
  <c r="V832" i="13" s="1"/>
  <c r="W833" i="13"/>
  <c r="V833" i="13" s="1"/>
  <c r="W834" i="13"/>
  <c r="V834" i="13" s="1"/>
  <c r="W835" i="13"/>
  <c r="V835" i="13" s="1"/>
  <c r="W836" i="13"/>
  <c r="V836" i="13" s="1"/>
  <c r="W837" i="13"/>
  <c r="V837" i="13" s="1"/>
  <c r="W838" i="13"/>
  <c r="V838" i="13" s="1"/>
  <c r="W839" i="13"/>
  <c r="V839" i="13" s="1"/>
  <c r="W840" i="13"/>
  <c r="V840" i="13" s="1"/>
  <c r="W841" i="13"/>
  <c r="V841" i="13" s="1"/>
  <c r="W842" i="13"/>
  <c r="V842" i="13" s="1"/>
  <c r="W843" i="13"/>
  <c r="V843" i="13" s="1"/>
  <c r="W844" i="13"/>
  <c r="V844" i="13" s="1"/>
  <c r="W845" i="13"/>
  <c r="V845" i="13" s="1"/>
  <c r="W846" i="13"/>
  <c r="V846" i="13" s="1"/>
  <c r="W847" i="13"/>
  <c r="V847" i="13" s="1"/>
  <c r="W848" i="13"/>
  <c r="V848" i="13" s="1"/>
  <c r="W849" i="13"/>
  <c r="V849" i="13" s="1"/>
  <c r="W850" i="13"/>
  <c r="V850" i="13" s="1"/>
  <c r="W851" i="13"/>
  <c r="V851" i="13" s="1"/>
  <c r="W852" i="13"/>
  <c r="V852" i="13" s="1"/>
  <c r="W853" i="13"/>
  <c r="V853" i="13" s="1"/>
  <c r="W854" i="13"/>
  <c r="V854" i="13" s="1"/>
  <c r="W855" i="13"/>
  <c r="V855" i="13" s="1"/>
  <c r="W856" i="13"/>
  <c r="V856" i="13" s="1"/>
  <c r="W857" i="13"/>
  <c r="V857" i="13" s="1"/>
  <c r="W858" i="13"/>
  <c r="V858" i="13" s="1"/>
  <c r="W859" i="13"/>
  <c r="V859" i="13" s="1"/>
  <c r="W860" i="13"/>
  <c r="V860" i="13" s="1"/>
  <c r="W861" i="13"/>
  <c r="V861" i="13" s="1"/>
  <c r="W862" i="13"/>
  <c r="V862" i="13" s="1"/>
  <c r="W863" i="13"/>
  <c r="V863" i="13" s="1"/>
  <c r="W864" i="13"/>
  <c r="V864" i="13" s="1"/>
  <c r="W865" i="13"/>
  <c r="V865" i="13" s="1"/>
  <c r="W866" i="13"/>
  <c r="V866" i="13" s="1"/>
  <c r="W155" i="13"/>
  <c r="V155" i="13" s="1"/>
  <c r="W156" i="13"/>
  <c r="V156" i="13" s="1"/>
  <c r="W158" i="13"/>
  <c r="V158" i="13" s="1"/>
  <c r="W159" i="13"/>
  <c r="V159" i="13" s="1"/>
  <c r="W160" i="13"/>
  <c r="V160" i="13" s="1"/>
  <c r="W168" i="13"/>
  <c r="V168" i="13" s="1"/>
  <c r="W169" i="13"/>
  <c r="V169" i="13" s="1"/>
  <c r="W170" i="13"/>
  <c r="V170" i="13" s="1"/>
  <c r="W171" i="13"/>
  <c r="V171" i="13" s="1"/>
  <c r="W172" i="13"/>
  <c r="V172" i="13" s="1"/>
  <c r="W173" i="13"/>
  <c r="V173" i="13" s="1"/>
  <c r="W174" i="13"/>
  <c r="V174" i="13" s="1"/>
  <c r="W175" i="13"/>
  <c r="V175" i="13" s="1"/>
  <c r="W176" i="13"/>
  <c r="V176" i="13" s="1"/>
  <c r="W177" i="13"/>
  <c r="V177" i="13" s="1"/>
  <c r="W163" i="13"/>
  <c r="V163" i="13" s="1"/>
  <c r="W164" i="13"/>
  <c r="V164" i="13" s="1"/>
  <c r="W165" i="13"/>
  <c r="V165" i="13" s="1"/>
  <c r="W166" i="13"/>
  <c r="V166" i="13" s="1"/>
  <c r="W167" i="13"/>
  <c r="V167" i="13" s="1"/>
  <c r="W154" i="13"/>
  <c r="V154" i="13" s="1"/>
  <c r="AT163" i="13" l="1"/>
  <c r="AS163" i="13"/>
  <c r="AR163" i="13"/>
  <c r="AQ163" i="13"/>
  <c r="AP163" i="13"/>
  <c r="AO163" i="13"/>
  <c r="AK163" i="13" l="1"/>
  <c r="A26" i="6"/>
  <c r="A27" i="6"/>
  <c r="A28" i="6"/>
  <c r="A29" i="6"/>
  <c r="A30" i="6"/>
  <c r="A31" i="6"/>
  <c r="A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B25" i="6"/>
  <c r="X5" i="14" l="1"/>
  <c r="N79" i="14" s="1"/>
  <c r="AJ138" i="13" l="1"/>
  <c r="AJ146" i="13"/>
  <c r="AJ151" i="13"/>
  <c r="AJ141" i="13"/>
  <c r="AJ152" i="13"/>
  <c r="AJ148" i="13"/>
  <c r="AJ153" i="13"/>
  <c r="AJ142" i="13"/>
  <c r="AJ147" i="13"/>
  <c r="AJ143" i="13"/>
  <c r="AJ149" i="13"/>
  <c r="AJ150" i="13"/>
  <c r="AJ139" i="13"/>
  <c r="AJ140" i="13"/>
  <c r="AJ144" i="13"/>
  <c r="AJ145" i="13"/>
  <c r="N72" i="14"/>
  <c r="N73" i="14"/>
  <c r="N74" i="14"/>
  <c r="N75" i="14"/>
  <c r="N76" i="14"/>
  <c r="N77" i="14"/>
  <c r="N78" i="14"/>
  <c r="N3" i="14"/>
  <c r="N61" i="14"/>
  <c r="N49" i="14"/>
  <c r="N37" i="14"/>
  <c r="N25" i="14"/>
  <c r="N58" i="14"/>
  <c r="N45" i="14"/>
  <c r="N56" i="14"/>
  <c r="N29" i="14"/>
  <c r="N64" i="14"/>
  <c r="N4" i="14"/>
  <c r="N60" i="14"/>
  <c r="N48" i="14"/>
  <c r="N36" i="14"/>
  <c r="N24" i="14"/>
  <c r="N34" i="14"/>
  <c r="N28" i="14"/>
  <c r="N27" i="14"/>
  <c r="N5" i="14"/>
  <c r="N71" i="14"/>
  <c r="N59" i="14"/>
  <c r="N47" i="14"/>
  <c r="N35" i="14"/>
  <c r="N23" i="14"/>
  <c r="N70" i="14"/>
  <c r="N69" i="14"/>
  <c r="N44" i="14"/>
  <c r="N31" i="14"/>
  <c r="N54" i="14"/>
  <c r="N51" i="14"/>
  <c r="N26" i="14"/>
  <c r="N46" i="14"/>
  <c r="N33" i="14"/>
  <c r="N68" i="14"/>
  <c r="N67" i="14"/>
  <c r="N30" i="14"/>
  <c r="N40" i="14"/>
  <c r="N38" i="14"/>
  <c r="N57" i="14"/>
  <c r="N32" i="14"/>
  <c r="N43" i="14"/>
  <c r="N42" i="14"/>
  <c r="N52" i="14"/>
  <c r="N63" i="14"/>
  <c r="N53" i="14"/>
  <c r="N62" i="14"/>
  <c r="N55" i="14"/>
  <c r="N65" i="14"/>
  <c r="N50" i="14"/>
  <c r="N66" i="14"/>
  <c r="N41" i="14"/>
  <c r="N39" i="14"/>
  <c r="N19" i="14"/>
  <c r="N20" i="14"/>
  <c r="N9" i="14"/>
  <c r="N21" i="14"/>
  <c r="N16" i="14"/>
  <c r="N10" i="14"/>
  <c r="N22" i="14"/>
  <c r="AJ219" i="13" s="1"/>
  <c r="N17" i="14"/>
  <c r="N11" i="14"/>
  <c r="N12" i="14"/>
  <c r="N13" i="14"/>
  <c r="N14" i="14"/>
  <c r="N15" i="14"/>
  <c r="N6" i="14"/>
  <c r="N7" i="14"/>
  <c r="N8" i="14"/>
  <c r="N18" i="14"/>
  <c r="L18" i="6"/>
  <c r="AJ114" i="13" l="1"/>
  <c r="AJ125" i="13"/>
  <c r="AJ119" i="13"/>
  <c r="AJ131" i="13"/>
  <c r="AJ65" i="13"/>
  <c r="AJ117" i="13"/>
  <c r="AJ97" i="13"/>
  <c r="AJ113" i="13"/>
  <c r="AJ120" i="13"/>
  <c r="AJ104" i="13"/>
  <c r="AJ89" i="13"/>
  <c r="AJ128" i="13"/>
  <c r="AJ122" i="13"/>
  <c r="AJ90" i="13"/>
  <c r="AJ72" i="13"/>
  <c r="AJ80" i="13"/>
  <c r="AJ116" i="13"/>
  <c r="AJ103" i="13"/>
  <c r="AJ100" i="13"/>
  <c r="AJ1068" i="13"/>
  <c r="AJ123" i="13"/>
  <c r="AJ91" i="13"/>
  <c r="AJ98" i="13"/>
  <c r="AJ76" i="13"/>
  <c r="AJ74" i="13"/>
  <c r="AJ102" i="13"/>
  <c r="AJ111" i="13"/>
  <c r="AJ129" i="13"/>
  <c r="AJ115" i="13"/>
  <c r="AJ118" i="13"/>
  <c r="AJ67" i="13"/>
  <c r="AJ84" i="13"/>
  <c r="AJ77" i="13"/>
  <c r="AJ110" i="13"/>
  <c r="AJ130" i="13"/>
  <c r="AJ87" i="13"/>
  <c r="AJ66" i="13"/>
  <c r="AJ69" i="13"/>
  <c r="AJ73" i="13"/>
  <c r="AJ64" i="13"/>
  <c r="AJ82" i="13"/>
  <c r="AJ92" i="13"/>
  <c r="AJ109" i="13"/>
  <c r="AJ88" i="13"/>
  <c r="AJ78" i="13"/>
  <c r="AJ71" i="13"/>
  <c r="AJ105" i="13"/>
  <c r="AJ1069" i="13"/>
  <c r="AJ126" i="13"/>
  <c r="AJ75" i="13"/>
  <c r="AJ94" i="13"/>
  <c r="AJ96" i="13"/>
  <c r="AJ86" i="13"/>
  <c r="AJ79" i="13"/>
  <c r="AJ81" i="13"/>
  <c r="AJ85" i="13"/>
  <c r="AJ124" i="13"/>
  <c r="AJ127" i="13"/>
  <c r="AJ68" i="13"/>
  <c r="AJ101" i="13"/>
  <c r="AJ1067" i="13"/>
  <c r="AJ93" i="13"/>
  <c r="AJ99" i="13"/>
  <c r="AJ70" i="13"/>
  <c r="AJ83" i="13"/>
  <c r="AJ107" i="13"/>
  <c r="AJ108" i="13"/>
  <c r="AJ112" i="13"/>
  <c r="AJ106" i="13"/>
  <c r="AJ121" i="13"/>
  <c r="AJ95" i="13"/>
  <c r="AJ1063" i="13"/>
  <c r="AJ1062" i="13"/>
  <c r="AJ1065" i="13"/>
  <c r="AJ1064" i="13"/>
  <c r="AJ1066" i="13"/>
  <c r="AJ329" i="13"/>
  <c r="AJ322" i="13"/>
  <c r="AJ330" i="13"/>
  <c r="AJ324" i="13"/>
  <c r="AJ333" i="13"/>
  <c r="AJ336" i="13"/>
  <c r="AJ334" i="13"/>
  <c r="AJ335" i="13"/>
  <c r="AJ323" i="13"/>
  <c r="AJ337" i="13"/>
  <c r="AJ332" i="13"/>
  <c r="AJ331" i="13"/>
  <c r="AJ327" i="13"/>
  <c r="AJ328" i="13"/>
  <c r="AJ310" i="13"/>
  <c r="AJ316" i="13"/>
  <c r="AJ307" i="13"/>
  <c r="AJ312" i="13"/>
  <c r="AJ318" i="13"/>
  <c r="AJ317" i="13"/>
  <c r="AJ315" i="13"/>
  <c r="AJ314" i="13"/>
  <c r="AJ320" i="13"/>
  <c r="AJ321" i="13"/>
  <c r="AJ313" i="13"/>
  <c r="AJ319" i="13"/>
  <c r="AJ311" i="13"/>
  <c r="AJ326" i="13"/>
  <c r="AJ309" i="13"/>
  <c r="AJ308" i="13"/>
  <c r="AJ306" i="13"/>
  <c r="AJ325" i="13"/>
  <c r="AJ132" i="13"/>
  <c r="AJ31" i="13"/>
  <c r="AJ22" i="13"/>
  <c r="AJ60" i="13"/>
  <c r="AJ20" i="13"/>
  <c r="AJ136" i="13"/>
  <c r="AJ38" i="13"/>
  <c r="AJ19" i="13"/>
  <c r="AJ21" i="13"/>
  <c r="AJ40" i="13"/>
  <c r="AJ133" i="13"/>
  <c r="AJ137" i="13"/>
  <c r="AJ63" i="13"/>
  <c r="AJ43" i="13"/>
  <c r="AJ35" i="13"/>
  <c r="AJ44" i="13"/>
  <c r="AJ135" i="13"/>
  <c r="AJ50" i="13"/>
  <c r="AJ30" i="13"/>
  <c r="AJ59" i="13"/>
  <c r="AJ36" i="13"/>
  <c r="AJ32" i="13"/>
  <c r="AJ47" i="13"/>
  <c r="AJ11" i="13"/>
  <c r="AJ24" i="13"/>
  <c r="AJ56" i="13"/>
  <c r="AJ53" i="13"/>
  <c r="AJ34" i="13"/>
  <c r="AJ49" i="13"/>
  <c r="AJ12" i="13"/>
  <c r="AJ14" i="13"/>
  <c r="AJ33" i="13"/>
  <c r="AJ57" i="13"/>
  <c r="AJ46" i="13"/>
  <c r="AJ61" i="13"/>
  <c r="AJ62" i="13"/>
  <c r="AJ54" i="13"/>
  <c r="AJ17" i="13"/>
  <c r="AJ28" i="13"/>
  <c r="AJ41" i="13"/>
  <c r="AJ27" i="13"/>
  <c r="AJ23" i="13"/>
  <c r="AJ134" i="13"/>
  <c r="AJ26" i="13"/>
  <c r="AJ7" i="13"/>
  <c r="AJ39" i="13"/>
  <c r="AJ42" i="13"/>
  <c r="AJ13" i="13"/>
  <c r="AJ55" i="13"/>
  <c r="AJ8" i="13"/>
  <c r="AJ37" i="13"/>
  <c r="AJ48" i="13"/>
  <c r="AJ52" i="13"/>
  <c r="AJ6" i="13"/>
  <c r="AJ58" i="13"/>
  <c r="AJ15" i="13"/>
  <c r="AJ16" i="13"/>
  <c r="AJ18" i="13"/>
  <c r="AJ9" i="13"/>
  <c r="AJ25" i="13"/>
  <c r="AJ29" i="13"/>
  <c r="AJ45" i="13"/>
  <c r="AJ10" i="13"/>
  <c r="AJ51" i="13"/>
  <c r="AJ977" i="13"/>
  <c r="AJ972" i="13"/>
  <c r="AJ975" i="13"/>
  <c r="AJ981" i="13"/>
  <c r="AJ978" i="13"/>
  <c r="AJ973" i="13"/>
  <c r="AJ979" i="13"/>
  <c r="AJ980" i="13"/>
  <c r="AJ976" i="13"/>
  <c r="AJ974" i="13"/>
  <c r="AJ203" i="13"/>
  <c r="AJ204" i="13"/>
  <c r="AJ262" i="13"/>
  <c r="AJ265" i="13"/>
  <c r="AJ264" i="13"/>
  <c r="AJ263" i="13"/>
  <c r="AJ261" i="13"/>
  <c r="AJ266" i="13"/>
  <c r="AJ268" i="13"/>
  <c r="AJ267" i="13"/>
  <c r="AJ269" i="13"/>
  <c r="AJ270" i="13"/>
  <c r="AJ271" i="13"/>
  <c r="AJ272" i="13"/>
  <c r="AJ275" i="13"/>
  <c r="AJ301" i="13"/>
  <c r="AJ474" i="13"/>
  <c r="AJ1005" i="13"/>
  <c r="AJ1004" i="13"/>
  <c r="AJ1008" i="13"/>
  <c r="AJ1009" i="13"/>
  <c r="AJ998" i="13"/>
  <c r="AJ997" i="13"/>
  <c r="AJ999" i="13"/>
  <c r="AJ1000" i="13"/>
  <c r="AJ1011" i="13"/>
  <c r="AJ1001" i="13"/>
  <c r="AJ1006" i="13"/>
  <c r="AJ1002" i="13"/>
  <c r="AJ1003" i="13"/>
  <c r="AJ1007" i="13"/>
  <c r="AJ1010" i="13"/>
  <c r="AJ212" i="13"/>
  <c r="AJ213" i="13"/>
  <c r="AJ210" i="13"/>
  <c r="AJ211" i="13"/>
  <c r="AJ257" i="13"/>
  <c r="AJ259" i="13"/>
  <c r="AJ258" i="13"/>
  <c r="AJ260" i="13"/>
  <c r="AJ208" i="13"/>
  <c r="AJ205" i="13"/>
  <c r="AJ201" i="13"/>
  <c r="AJ209" i="13"/>
  <c r="AJ206" i="13"/>
  <c r="AJ202" i="13"/>
  <c r="AJ207" i="13"/>
  <c r="AJ200" i="13"/>
  <c r="AJ167" i="13"/>
  <c r="AJ165" i="13"/>
  <c r="AJ164" i="13"/>
  <c r="AJ166" i="13"/>
  <c r="AJ163" i="13"/>
  <c r="AJ162" i="13"/>
  <c r="AJ161" i="13"/>
  <c r="AJ920" i="13"/>
  <c r="AJ1017" i="13"/>
  <c r="AJ416" i="13"/>
  <c r="AJ278" i="13"/>
  <c r="AJ363" i="13"/>
  <c r="AJ285" i="13"/>
  <c r="AJ392" i="13"/>
  <c r="AJ292" i="13"/>
  <c r="AJ377" i="13"/>
  <c r="AJ425" i="13"/>
  <c r="AJ371" i="13"/>
  <c r="AJ419" i="13"/>
  <c r="AJ467" i="13"/>
  <c r="AJ370" i="13"/>
  <c r="AJ418" i="13"/>
  <c r="AJ466" i="13"/>
  <c r="AJ489" i="13"/>
  <c r="AJ875" i="13"/>
  <c r="AJ923" i="13"/>
  <c r="AJ971" i="13"/>
  <c r="AJ1044" i="13"/>
  <c r="AJ906" i="13"/>
  <c r="AJ954" i="13"/>
  <c r="AJ1027" i="13"/>
  <c r="AJ917" i="13"/>
  <c r="AJ965" i="13"/>
  <c r="AJ1038" i="13"/>
  <c r="AJ924" i="13"/>
  <c r="AJ1021" i="13"/>
  <c r="AJ460" i="13"/>
  <c r="AJ299" i="13"/>
  <c r="AJ356" i="13"/>
  <c r="AJ869" i="13"/>
  <c r="AJ344" i="13"/>
  <c r="AJ282" i="13"/>
  <c r="AJ289" i="13"/>
  <c r="AJ296" i="13"/>
  <c r="AJ381" i="13"/>
  <c r="AJ429" i="13"/>
  <c r="AJ375" i="13"/>
  <c r="AJ423" i="13"/>
  <c r="AJ471" i="13"/>
  <c r="AJ374" i="13"/>
  <c r="AJ422" i="13"/>
  <c r="AJ470" i="13"/>
  <c r="AJ493" i="13"/>
  <c r="AJ879" i="13"/>
  <c r="AJ927" i="13"/>
  <c r="AJ985" i="13"/>
  <c r="AJ1048" i="13"/>
  <c r="AJ910" i="13"/>
  <c r="AJ958" i="13"/>
  <c r="AJ1031" i="13"/>
  <c r="AJ921" i="13"/>
  <c r="AJ969" i="13"/>
  <c r="AJ1042" i="13"/>
  <c r="AJ868" i="13"/>
  <c r="AJ932" i="13"/>
  <c r="AJ1029" i="13"/>
  <c r="AJ484" i="13"/>
  <c r="AJ274" i="13"/>
  <c r="AJ448" i="13"/>
  <c r="AJ877" i="13"/>
  <c r="AJ364" i="13"/>
  <c r="AJ916" i="13"/>
  <c r="AJ286" i="13"/>
  <c r="AJ428" i="13"/>
  <c r="AJ293" i="13"/>
  <c r="AJ300" i="13"/>
  <c r="AJ385" i="13"/>
  <c r="AJ433" i="13"/>
  <c r="AJ379" i="13"/>
  <c r="AJ427" i="13"/>
  <c r="AJ475" i="13"/>
  <c r="AJ378" i="13"/>
  <c r="AJ426" i="13"/>
  <c r="AJ497" i="13"/>
  <c r="AJ883" i="13"/>
  <c r="AJ931" i="13"/>
  <c r="AJ989" i="13"/>
  <c r="AJ1052" i="13"/>
  <c r="AJ914" i="13"/>
  <c r="AJ962" i="13"/>
  <c r="AJ1035" i="13"/>
  <c r="AJ925" i="13"/>
  <c r="AJ983" i="13"/>
  <c r="AJ1046" i="13"/>
  <c r="AJ876" i="13"/>
  <c r="AJ936" i="13"/>
  <c r="AJ1033" i="13"/>
  <c r="AJ492" i="13"/>
  <c r="AJ340" i="13"/>
  <c r="AJ360" i="13"/>
  <c r="AJ468" i="13"/>
  <c r="AJ881" i="13"/>
  <c r="AJ456" i="13"/>
  <c r="AJ928" i="13"/>
  <c r="AJ290" i="13"/>
  <c r="AJ368" i="13"/>
  <c r="AJ297" i="13"/>
  <c r="AJ304" i="13"/>
  <c r="AJ341" i="13"/>
  <c r="AJ389" i="13"/>
  <c r="AJ437" i="13"/>
  <c r="AJ383" i="13"/>
  <c r="AJ431" i="13"/>
  <c r="AJ479" i="13"/>
  <c r="AJ382" i="13"/>
  <c r="AJ430" i="13"/>
  <c r="AJ478" i="13"/>
  <c r="AJ887" i="13"/>
  <c r="AJ935" i="13"/>
  <c r="AJ993" i="13"/>
  <c r="AJ1056" i="13"/>
  <c r="AJ870" i="13"/>
  <c r="AJ918" i="13"/>
  <c r="AJ966" i="13"/>
  <c r="AJ1039" i="13"/>
  <c r="AJ929" i="13"/>
  <c r="AJ987" i="13"/>
  <c r="AJ1050" i="13"/>
  <c r="AJ880" i="13"/>
  <c r="AJ944" i="13"/>
  <c r="AJ1041" i="13"/>
  <c r="AJ408" i="13"/>
  <c r="AJ352" i="13"/>
  <c r="AJ380" i="13"/>
  <c r="AJ412" i="13"/>
  <c r="AJ889" i="13"/>
  <c r="AJ480" i="13"/>
  <c r="AJ940" i="13"/>
  <c r="AJ952" i="13"/>
  <c r="AJ294" i="13"/>
  <c r="AJ872" i="13"/>
  <c r="AJ338" i="13"/>
  <c r="AJ345" i="13"/>
  <c r="AJ393" i="13"/>
  <c r="AJ441" i="13"/>
  <c r="AJ387" i="13"/>
  <c r="AJ435" i="13"/>
  <c r="AJ483" i="13"/>
  <c r="AJ386" i="13"/>
  <c r="AJ434" i="13"/>
  <c r="AJ482" i="13"/>
  <c r="AJ891" i="13"/>
  <c r="AJ939" i="13"/>
  <c r="AJ1012" i="13"/>
  <c r="AJ1060" i="13"/>
  <c r="AJ874" i="13"/>
  <c r="AJ922" i="13"/>
  <c r="AJ970" i="13"/>
  <c r="AJ1043" i="13"/>
  <c r="AJ933" i="13"/>
  <c r="AJ991" i="13"/>
  <c r="AJ1054" i="13"/>
  <c r="AJ904" i="13"/>
  <c r="AJ888" i="13"/>
  <c r="AJ948" i="13"/>
  <c r="AJ1045" i="13"/>
  <c r="AJ424" i="13"/>
  <c r="AJ372" i="13"/>
  <c r="AJ396" i="13"/>
  <c r="AJ897" i="13"/>
  <c r="AJ964" i="13"/>
  <c r="AJ1037" i="13"/>
  <c r="AJ298" i="13"/>
  <c r="AJ305" i="13"/>
  <c r="AJ342" i="13"/>
  <c r="AJ349" i="13"/>
  <c r="AJ397" i="13"/>
  <c r="AJ445" i="13"/>
  <c r="AJ391" i="13"/>
  <c r="AJ439" i="13"/>
  <c r="AJ487" i="13"/>
  <c r="AJ390" i="13"/>
  <c r="AJ438" i="13"/>
  <c r="AJ486" i="13"/>
  <c r="AJ461" i="13"/>
  <c r="AJ895" i="13"/>
  <c r="AJ943" i="13"/>
  <c r="AJ1016" i="13"/>
  <c r="AJ878" i="13"/>
  <c r="AJ926" i="13"/>
  <c r="AJ984" i="13"/>
  <c r="AJ1047" i="13"/>
  <c r="AJ937" i="13"/>
  <c r="AJ995" i="13"/>
  <c r="AJ1058" i="13"/>
  <c r="AJ982" i="13"/>
  <c r="AJ892" i="13"/>
  <c r="AJ956" i="13"/>
  <c r="AJ1053" i="13"/>
  <c r="AJ476" i="13"/>
  <c r="AJ388" i="13"/>
  <c r="AJ303" i="13"/>
  <c r="AJ440" i="13"/>
  <c r="AJ444" i="13"/>
  <c r="AJ901" i="13"/>
  <c r="AJ986" i="13"/>
  <c r="AJ1049" i="13"/>
  <c r="AJ302" i="13"/>
  <c r="AJ339" i="13"/>
  <c r="AJ884" i="13"/>
  <c r="AJ346" i="13"/>
  <c r="AJ353" i="13"/>
  <c r="AJ401" i="13"/>
  <c r="AJ449" i="13"/>
  <c r="AJ395" i="13"/>
  <c r="AJ443" i="13"/>
  <c r="AJ491" i="13"/>
  <c r="AJ394" i="13"/>
  <c r="AJ442" i="13"/>
  <c r="AJ490" i="13"/>
  <c r="AJ465" i="13"/>
  <c r="AJ899" i="13"/>
  <c r="AJ947" i="13"/>
  <c r="AJ1020" i="13"/>
  <c r="AJ882" i="13"/>
  <c r="AJ930" i="13"/>
  <c r="AJ988" i="13"/>
  <c r="AJ1051" i="13"/>
  <c r="AJ941" i="13"/>
  <c r="AJ1014" i="13"/>
  <c r="AJ945" i="13"/>
  <c r="AJ404" i="13"/>
  <c r="AJ896" i="13"/>
  <c r="AJ960" i="13"/>
  <c r="AJ1057" i="13"/>
  <c r="AJ488" i="13"/>
  <c r="AJ436" i="13"/>
  <c r="AJ472" i="13"/>
  <c r="AJ279" i="13"/>
  <c r="AJ905" i="13"/>
  <c r="AJ1013" i="13"/>
  <c r="AJ343" i="13"/>
  <c r="AJ350" i="13"/>
  <c r="AJ357" i="13"/>
  <c r="AJ405" i="13"/>
  <c r="AJ453" i="13"/>
  <c r="AJ399" i="13"/>
  <c r="AJ447" i="13"/>
  <c r="AJ495" i="13"/>
  <c r="AJ398" i="13"/>
  <c r="AJ446" i="13"/>
  <c r="AJ494" i="13"/>
  <c r="AJ469" i="13"/>
  <c r="AJ903" i="13"/>
  <c r="AJ951" i="13"/>
  <c r="AJ1024" i="13"/>
  <c r="AJ886" i="13"/>
  <c r="AJ934" i="13"/>
  <c r="AJ992" i="13"/>
  <c r="AJ1055" i="13"/>
  <c r="AJ873" i="13"/>
  <c r="AJ1018" i="13"/>
  <c r="AJ900" i="13"/>
  <c r="AJ968" i="13"/>
  <c r="AJ1061" i="13"/>
  <c r="AJ496" i="13"/>
  <c r="AJ384" i="13"/>
  <c r="AJ1025" i="13"/>
  <c r="AJ347" i="13"/>
  <c r="AJ295" i="13"/>
  <c r="AJ354" i="13"/>
  <c r="AJ276" i="13"/>
  <c r="AJ361" i="13"/>
  <c r="AJ409" i="13"/>
  <c r="AJ457" i="13"/>
  <c r="AJ403" i="13"/>
  <c r="AJ451" i="13"/>
  <c r="AJ499" i="13"/>
  <c r="AJ402" i="13"/>
  <c r="AJ450" i="13"/>
  <c r="AJ498" i="13"/>
  <c r="AJ473" i="13"/>
  <c r="AJ907" i="13"/>
  <c r="AJ955" i="13"/>
  <c r="AJ1028" i="13"/>
  <c r="AJ890" i="13"/>
  <c r="AJ938" i="13"/>
  <c r="AJ996" i="13"/>
  <c r="AJ1059" i="13"/>
  <c r="AJ885" i="13"/>
  <c r="AJ949" i="13"/>
  <c r="AJ1022" i="13"/>
  <c r="AJ912" i="13"/>
  <c r="AJ994" i="13"/>
  <c r="AJ376" i="13"/>
  <c r="AJ452" i="13"/>
  <c r="AJ287" i="13"/>
  <c r="AJ464" i="13"/>
  <c r="AJ291" i="13"/>
  <c r="AJ273" i="13"/>
  <c r="AJ359" i="13"/>
  <c r="AJ281" i="13"/>
  <c r="AJ348" i="13"/>
  <c r="AJ288" i="13"/>
  <c r="AJ373" i="13"/>
  <c r="AJ421" i="13"/>
  <c r="AJ367" i="13"/>
  <c r="AJ415" i="13"/>
  <c r="AJ463" i="13"/>
  <c r="AJ366" i="13"/>
  <c r="AJ414" i="13"/>
  <c r="AJ462" i="13"/>
  <c r="AJ358" i="13"/>
  <c r="AJ411" i="13"/>
  <c r="AJ362" i="13"/>
  <c r="AJ919" i="13"/>
  <c r="AJ898" i="13"/>
  <c r="AJ913" i="13"/>
  <c r="AJ455" i="13"/>
  <c r="AJ406" i="13"/>
  <c r="AJ959" i="13"/>
  <c r="AJ902" i="13"/>
  <c r="AJ953" i="13"/>
  <c r="AJ280" i="13"/>
  <c r="AJ459" i="13"/>
  <c r="AJ410" i="13"/>
  <c r="AJ963" i="13"/>
  <c r="AJ942" i="13"/>
  <c r="AJ957" i="13"/>
  <c r="AJ967" i="13"/>
  <c r="AJ946" i="13"/>
  <c r="AJ961" i="13"/>
  <c r="AJ1015" i="13"/>
  <c r="AJ893" i="13"/>
  <c r="AJ908" i="13"/>
  <c r="AJ284" i="13"/>
  <c r="AJ454" i="13"/>
  <c r="AJ950" i="13"/>
  <c r="AJ477" i="13"/>
  <c r="AJ911" i="13"/>
  <c r="AJ990" i="13"/>
  <c r="AJ458" i="13"/>
  <c r="AJ1032" i="13"/>
  <c r="AJ1026" i="13"/>
  <c r="AJ1036" i="13"/>
  <c r="AJ1030" i="13"/>
  <c r="AJ871" i="13"/>
  <c r="AJ413" i="13"/>
  <c r="AJ1040" i="13"/>
  <c r="AJ1019" i="13"/>
  <c r="AJ1034" i="13"/>
  <c r="AJ400" i="13"/>
  <c r="AJ351" i="13"/>
  <c r="AJ277" i="13"/>
  <c r="AJ1023" i="13"/>
  <c r="AJ365" i="13"/>
  <c r="AJ867" i="13"/>
  <c r="AJ369" i="13"/>
  <c r="AJ481" i="13"/>
  <c r="AJ432" i="13"/>
  <c r="AJ420" i="13"/>
  <c r="AJ355" i="13"/>
  <c r="AJ283" i="13"/>
  <c r="AJ417" i="13"/>
  <c r="AJ407" i="13"/>
  <c r="AJ485" i="13"/>
  <c r="AJ915" i="13"/>
  <c r="AJ894" i="13"/>
  <c r="AJ909" i="13"/>
  <c r="AJ171" i="13"/>
  <c r="AJ168" i="13"/>
  <c r="AJ172" i="13"/>
  <c r="AJ173" i="13"/>
  <c r="AJ170" i="13"/>
  <c r="AJ174" i="13"/>
  <c r="AJ169" i="13"/>
  <c r="AJ232" i="13"/>
  <c r="AJ225" i="13"/>
  <c r="AJ227" i="13"/>
  <c r="AJ224" i="13"/>
  <c r="AJ229" i="13"/>
  <c r="AJ233" i="13"/>
  <c r="AJ231" i="13"/>
  <c r="AJ230" i="13"/>
  <c r="AJ228" i="13"/>
  <c r="AJ226" i="13"/>
  <c r="AJ235" i="13"/>
  <c r="AJ242" i="13"/>
  <c r="AJ249" i="13"/>
  <c r="AJ239" i="13"/>
  <c r="AJ246" i="13"/>
  <c r="AJ243" i="13"/>
  <c r="AJ250" i="13"/>
  <c r="AJ247" i="13"/>
  <c r="AJ240" i="13"/>
  <c r="AJ236" i="13"/>
  <c r="AJ244" i="13"/>
  <c r="AJ238" i="13"/>
  <c r="AJ245" i="13"/>
  <c r="AJ237" i="13"/>
  <c r="AJ241" i="13"/>
  <c r="AJ248" i="13"/>
  <c r="AJ234" i="13"/>
  <c r="AJ179" i="13"/>
  <c r="AJ176" i="13"/>
  <c r="AJ180" i="13"/>
  <c r="AJ177" i="13"/>
  <c r="AJ181" i="13"/>
  <c r="AJ175" i="13"/>
  <c r="AJ178" i="13"/>
  <c r="AJ220" i="13"/>
  <c r="AJ221" i="13"/>
  <c r="AJ222" i="13"/>
  <c r="AJ223" i="13"/>
  <c r="AJ253" i="13"/>
  <c r="AJ252" i="13"/>
  <c r="AJ254" i="13"/>
  <c r="AJ251" i="13"/>
  <c r="AJ255" i="13"/>
  <c r="AJ256" i="13"/>
  <c r="AJ183" i="13"/>
  <c r="AJ187" i="13"/>
  <c r="AJ184" i="13"/>
  <c r="AJ185" i="13"/>
  <c r="AJ186" i="13"/>
  <c r="AJ182" i="13"/>
  <c r="AJ194" i="13"/>
  <c r="AJ198" i="13"/>
  <c r="AJ199" i="13"/>
  <c r="AJ188" i="13"/>
  <c r="AJ191" i="13"/>
  <c r="AJ192" i="13"/>
  <c r="AJ190" i="13"/>
  <c r="AJ197" i="13"/>
  <c r="AJ189" i="13"/>
  <c r="AJ193" i="13"/>
  <c r="AJ196" i="13"/>
  <c r="AJ195" i="13"/>
  <c r="AJ216" i="13"/>
  <c r="AJ217" i="13"/>
  <c r="AJ218" i="13"/>
  <c r="AJ214" i="13"/>
  <c r="AJ215" i="13"/>
  <c r="AJ640" i="13"/>
  <c r="AJ712" i="13"/>
  <c r="AJ784" i="13"/>
  <c r="AJ856" i="13"/>
  <c r="AJ552" i="13"/>
  <c r="AJ632" i="13"/>
  <c r="AJ568" i="13"/>
  <c r="AJ520" i="13"/>
  <c r="AJ612" i="13"/>
  <c r="AJ660" i="13"/>
  <c r="AJ756" i="13"/>
  <c r="AJ816" i="13"/>
  <c r="AJ515" i="13"/>
  <c r="AJ563" i="13"/>
  <c r="AJ611" i="13"/>
  <c r="AJ659" i="13"/>
  <c r="AJ514" i="13"/>
  <c r="AJ562" i="13"/>
  <c r="AJ610" i="13"/>
  <c r="AJ658" i="13"/>
  <c r="AJ537" i="13"/>
  <c r="AJ585" i="13"/>
  <c r="AJ633" i="13"/>
  <c r="AJ681" i="13"/>
  <c r="AJ729" i="13"/>
  <c r="AJ731" i="13"/>
  <c r="AJ779" i="13"/>
  <c r="AJ827" i="13"/>
  <c r="AJ714" i="13"/>
  <c r="AJ762" i="13"/>
  <c r="AJ810" i="13"/>
  <c r="AJ858" i="13"/>
  <c r="AJ793" i="13"/>
  <c r="AJ841" i="13"/>
  <c r="AJ644" i="13"/>
  <c r="AJ716" i="13"/>
  <c r="AJ788" i="13"/>
  <c r="AJ860" i="13"/>
  <c r="AJ560" i="13"/>
  <c r="AJ576" i="13"/>
  <c r="AJ708" i="13"/>
  <c r="AJ684" i="13"/>
  <c r="AJ768" i="13"/>
  <c r="AJ157" i="13"/>
  <c r="AJ519" i="13"/>
  <c r="AJ567" i="13"/>
  <c r="AJ615" i="13"/>
  <c r="AJ663" i="13"/>
  <c r="AJ518" i="13"/>
  <c r="AJ566" i="13"/>
  <c r="AJ614" i="13"/>
  <c r="AJ662" i="13"/>
  <c r="AJ541" i="13"/>
  <c r="AJ589" i="13"/>
  <c r="AJ637" i="13"/>
  <c r="AJ685" i="13"/>
  <c r="AJ733" i="13"/>
  <c r="AJ735" i="13"/>
  <c r="AJ783" i="13"/>
  <c r="AJ831" i="13"/>
  <c r="AJ718" i="13"/>
  <c r="AJ766" i="13"/>
  <c r="AJ814" i="13"/>
  <c r="AJ862" i="13"/>
  <c r="AJ797" i="13"/>
  <c r="AJ845" i="13"/>
  <c r="AJ504" i="13"/>
  <c r="AJ652" i="13"/>
  <c r="AJ724" i="13"/>
  <c r="AJ796" i="13"/>
  <c r="AJ580" i="13"/>
  <c r="AJ592" i="13"/>
  <c r="AJ732" i="13"/>
  <c r="AJ828" i="13"/>
  <c r="AJ523" i="13"/>
  <c r="AJ571" i="13"/>
  <c r="AJ619" i="13"/>
  <c r="AJ667" i="13"/>
  <c r="AJ522" i="13"/>
  <c r="AJ570" i="13"/>
  <c r="AJ618" i="13"/>
  <c r="AJ666" i="13"/>
  <c r="AJ545" i="13"/>
  <c r="AJ593" i="13"/>
  <c r="AJ641" i="13"/>
  <c r="AJ689" i="13"/>
  <c r="AJ737" i="13"/>
  <c r="AJ739" i="13"/>
  <c r="AJ787" i="13"/>
  <c r="AJ835" i="13"/>
  <c r="AJ722" i="13"/>
  <c r="AJ770" i="13"/>
  <c r="AJ818" i="13"/>
  <c r="AJ866" i="13"/>
  <c r="AJ801" i="13"/>
  <c r="AJ849" i="13"/>
  <c r="AJ656" i="13"/>
  <c r="AJ728" i="13"/>
  <c r="AJ800" i="13"/>
  <c r="AJ584" i="13"/>
  <c r="AJ620" i="13"/>
  <c r="AJ744" i="13"/>
  <c r="AJ600" i="13"/>
  <c r="AJ852" i="13"/>
  <c r="AJ527" i="13"/>
  <c r="AJ575" i="13"/>
  <c r="AJ623" i="13"/>
  <c r="AJ671" i="13"/>
  <c r="AJ526" i="13"/>
  <c r="AJ574" i="13"/>
  <c r="AJ622" i="13"/>
  <c r="AJ670" i="13"/>
  <c r="AJ501" i="13"/>
  <c r="AJ549" i="13"/>
  <c r="AJ597" i="13"/>
  <c r="AJ645" i="13"/>
  <c r="AJ693" i="13"/>
  <c r="AJ741" i="13"/>
  <c r="AJ743" i="13"/>
  <c r="AJ791" i="13"/>
  <c r="AJ839" i="13"/>
  <c r="AJ726" i="13"/>
  <c r="AJ774" i="13"/>
  <c r="AJ822" i="13"/>
  <c r="AJ805" i="13"/>
  <c r="AJ853" i="13"/>
  <c r="AJ156" i="13"/>
  <c r="AJ664" i="13"/>
  <c r="AJ736" i="13"/>
  <c r="AJ808" i="13"/>
  <c r="AJ596" i="13"/>
  <c r="AJ160" i="13"/>
  <c r="AJ500" i="13"/>
  <c r="AJ628" i="13"/>
  <c r="AJ155" i="13"/>
  <c r="AJ780" i="13"/>
  <c r="AJ792" i="13"/>
  <c r="AJ531" i="13"/>
  <c r="AJ579" i="13"/>
  <c r="AJ627" i="13"/>
  <c r="AJ675" i="13"/>
  <c r="AJ530" i="13"/>
  <c r="AJ578" i="13"/>
  <c r="AJ626" i="13"/>
  <c r="AJ674" i="13"/>
  <c r="AJ505" i="13"/>
  <c r="AJ553" i="13"/>
  <c r="AJ601" i="13"/>
  <c r="AJ649" i="13"/>
  <c r="AJ697" i="13"/>
  <c r="AJ745" i="13"/>
  <c r="AJ699" i="13"/>
  <c r="AJ747" i="13"/>
  <c r="AJ795" i="13"/>
  <c r="AJ843" i="13"/>
  <c r="AJ730" i="13"/>
  <c r="AJ778" i="13"/>
  <c r="AJ826" i="13"/>
  <c r="AJ809" i="13"/>
  <c r="AJ857" i="13"/>
  <c r="AJ668" i="13"/>
  <c r="AJ740" i="13"/>
  <c r="AJ812" i="13"/>
  <c r="AJ616" i="13"/>
  <c r="AJ508" i="13"/>
  <c r="AJ159" i="13"/>
  <c r="AJ864" i="13"/>
  <c r="AJ840" i="13"/>
  <c r="AJ535" i="13"/>
  <c r="AJ583" i="13"/>
  <c r="AJ631" i="13"/>
  <c r="AJ679" i="13"/>
  <c r="AJ534" i="13"/>
  <c r="AJ582" i="13"/>
  <c r="AJ630" i="13"/>
  <c r="AJ678" i="13"/>
  <c r="AJ509" i="13"/>
  <c r="AJ557" i="13"/>
  <c r="AJ605" i="13"/>
  <c r="AJ653" i="13"/>
  <c r="AJ701" i="13"/>
  <c r="AJ749" i="13"/>
  <c r="AJ703" i="13"/>
  <c r="AJ751" i="13"/>
  <c r="AJ799" i="13"/>
  <c r="AJ847" i="13"/>
  <c r="AJ734" i="13"/>
  <c r="AJ782" i="13"/>
  <c r="AJ830" i="13"/>
  <c r="AJ765" i="13"/>
  <c r="AJ813" i="13"/>
  <c r="AJ861" i="13"/>
  <c r="AJ572" i="13"/>
  <c r="AJ676" i="13"/>
  <c r="AJ748" i="13"/>
  <c r="AJ820" i="13"/>
  <c r="AJ528" i="13"/>
  <c r="AJ539" i="13"/>
  <c r="AJ587" i="13"/>
  <c r="AJ635" i="13"/>
  <c r="AJ683" i="13"/>
  <c r="AJ538" i="13"/>
  <c r="AJ586" i="13"/>
  <c r="AJ634" i="13"/>
  <c r="AJ682" i="13"/>
  <c r="AJ513" i="13"/>
  <c r="AJ561" i="13"/>
  <c r="AJ609" i="13"/>
  <c r="AJ657" i="13"/>
  <c r="AJ705" i="13"/>
  <c r="AJ753" i="13"/>
  <c r="AJ707" i="13"/>
  <c r="AJ755" i="13"/>
  <c r="AJ803" i="13"/>
  <c r="AJ851" i="13"/>
  <c r="AJ738" i="13"/>
  <c r="AJ786" i="13"/>
  <c r="AJ834" i="13"/>
  <c r="AJ769" i="13"/>
  <c r="AJ817" i="13"/>
  <c r="AJ865" i="13"/>
  <c r="AJ821" i="13"/>
  <c r="AJ692" i="13"/>
  <c r="AJ680" i="13"/>
  <c r="AJ752" i="13"/>
  <c r="AJ824" i="13"/>
  <c r="AJ548" i="13"/>
  <c r="AJ543" i="13"/>
  <c r="AJ591" i="13"/>
  <c r="AJ639" i="13"/>
  <c r="AJ687" i="13"/>
  <c r="AJ542" i="13"/>
  <c r="AJ590" i="13"/>
  <c r="AJ638" i="13"/>
  <c r="AJ686" i="13"/>
  <c r="AJ517" i="13"/>
  <c r="AJ565" i="13"/>
  <c r="AJ613" i="13"/>
  <c r="AJ661" i="13"/>
  <c r="AJ709" i="13"/>
  <c r="AJ757" i="13"/>
  <c r="AJ711" i="13"/>
  <c r="AJ759" i="13"/>
  <c r="AJ807" i="13"/>
  <c r="AJ855" i="13"/>
  <c r="AJ742" i="13"/>
  <c r="AJ790" i="13"/>
  <c r="AJ838" i="13"/>
  <c r="AJ773" i="13"/>
  <c r="AJ764" i="13"/>
  <c r="AJ532" i="13"/>
  <c r="AJ688" i="13"/>
  <c r="AJ760" i="13"/>
  <c r="AJ832" i="13"/>
  <c r="AJ564" i="13"/>
  <c r="AJ512" i="13"/>
  <c r="AJ524" i="13"/>
  <c r="AJ547" i="13"/>
  <c r="AJ595" i="13"/>
  <c r="AJ643" i="13"/>
  <c r="AJ691" i="13"/>
  <c r="AJ546" i="13"/>
  <c r="AJ594" i="13"/>
  <c r="AJ642" i="13"/>
  <c r="AJ690" i="13"/>
  <c r="AJ521" i="13"/>
  <c r="AJ569" i="13"/>
  <c r="AJ617" i="13"/>
  <c r="AJ665" i="13"/>
  <c r="AJ713" i="13"/>
  <c r="AJ761" i="13"/>
  <c r="AJ715" i="13"/>
  <c r="AJ763" i="13"/>
  <c r="AJ811" i="13"/>
  <c r="AJ859" i="13"/>
  <c r="AJ746" i="13"/>
  <c r="AJ794" i="13"/>
  <c r="AJ842" i="13"/>
  <c r="AJ777" i="13"/>
  <c r="AJ825" i="13"/>
  <c r="AJ836" i="13"/>
  <c r="AJ704" i="13"/>
  <c r="AJ776" i="13"/>
  <c r="AJ848" i="13"/>
  <c r="AJ536" i="13"/>
  <c r="AJ608" i="13"/>
  <c r="AJ544" i="13"/>
  <c r="AJ588" i="13"/>
  <c r="AJ624" i="13"/>
  <c r="AJ672" i="13"/>
  <c r="AJ696" i="13"/>
  <c r="AJ804" i="13"/>
  <c r="AJ511" i="13"/>
  <c r="AJ559" i="13"/>
  <c r="AJ607" i="13"/>
  <c r="AJ655" i="13"/>
  <c r="AJ510" i="13"/>
  <c r="AJ558" i="13"/>
  <c r="AJ606" i="13"/>
  <c r="AJ654" i="13"/>
  <c r="AJ700" i="13"/>
  <c r="AJ158" i="13"/>
  <c r="AJ556" i="13"/>
  <c r="AJ636" i="13"/>
  <c r="AJ650" i="13"/>
  <c r="AJ525" i="13"/>
  <c r="AJ717" i="13"/>
  <c r="AJ727" i="13"/>
  <c r="AJ706" i="13"/>
  <c r="AJ854" i="13"/>
  <c r="AJ772" i="13"/>
  <c r="AJ648" i="13"/>
  <c r="AJ720" i="13"/>
  <c r="AJ694" i="13"/>
  <c r="AJ529" i="13"/>
  <c r="AJ721" i="13"/>
  <c r="AJ767" i="13"/>
  <c r="AJ710" i="13"/>
  <c r="AJ844" i="13"/>
  <c r="AJ698" i="13"/>
  <c r="AJ533" i="13"/>
  <c r="AJ725" i="13"/>
  <c r="AJ771" i="13"/>
  <c r="AJ750" i="13"/>
  <c r="AJ781" i="13"/>
  <c r="AJ850" i="13"/>
  <c r="AJ837" i="13"/>
  <c r="AJ719" i="13"/>
  <c r="AJ503" i="13"/>
  <c r="AJ573" i="13"/>
  <c r="AJ775" i="13"/>
  <c r="AJ754" i="13"/>
  <c r="AJ785" i="13"/>
  <c r="AJ598" i="13"/>
  <c r="AJ507" i="13"/>
  <c r="AJ577" i="13"/>
  <c r="AJ815" i="13"/>
  <c r="AJ758" i="13"/>
  <c r="AJ647" i="13"/>
  <c r="AJ669" i="13"/>
  <c r="AJ551" i="13"/>
  <c r="AJ502" i="13"/>
  <c r="AJ581" i="13"/>
  <c r="AJ819" i="13"/>
  <c r="AJ798" i="13"/>
  <c r="AJ651" i="13"/>
  <c r="AJ602" i="13"/>
  <c r="AJ516" i="13"/>
  <c r="AJ604" i="13"/>
  <c r="AJ555" i="13"/>
  <c r="AJ506" i="13"/>
  <c r="AJ621" i="13"/>
  <c r="AJ823" i="13"/>
  <c r="AJ802" i="13"/>
  <c r="AJ789" i="13"/>
  <c r="AJ554" i="13"/>
  <c r="AJ833" i="13"/>
  <c r="AJ673" i="13"/>
  <c r="AJ540" i="13"/>
  <c r="AJ599" i="13"/>
  <c r="AJ550" i="13"/>
  <c r="AJ625" i="13"/>
  <c r="AJ863" i="13"/>
  <c r="AJ806" i="13"/>
  <c r="AJ829" i="13"/>
  <c r="AJ603" i="13"/>
  <c r="AJ629" i="13"/>
  <c r="AJ846" i="13"/>
  <c r="AJ154" i="13"/>
  <c r="AJ695" i="13"/>
  <c r="AJ646" i="13"/>
  <c r="AJ677" i="13"/>
  <c r="AJ723" i="13"/>
  <c r="AJ702" i="13"/>
  <c r="G84" i="6"/>
  <c r="N84" i="6" s="1"/>
  <c r="Z84" i="6" s="1"/>
  <c r="T65" i="1" s="1"/>
  <c r="G83" i="6"/>
  <c r="N83" i="6" s="1"/>
  <c r="Z83" i="6" s="1"/>
  <c r="T64" i="1" s="1"/>
  <c r="G82" i="6"/>
  <c r="N82" i="6" s="1"/>
  <c r="Z82" i="6" s="1"/>
  <c r="T63" i="1" s="1"/>
  <c r="G81" i="6"/>
  <c r="N81" i="6" s="1"/>
  <c r="Z81" i="6" s="1"/>
  <c r="T62" i="1" s="1"/>
  <c r="G80" i="6"/>
  <c r="J80" i="6" s="1"/>
  <c r="V80" i="6" s="1"/>
  <c r="AA61" i="1" s="1"/>
  <c r="G79" i="6"/>
  <c r="K79" i="6" s="1"/>
  <c r="W79" i="6" s="1"/>
  <c r="AB60" i="1" s="1"/>
  <c r="G78" i="6"/>
  <c r="L78" i="6" s="1"/>
  <c r="X78" i="6" s="1"/>
  <c r="AC59" i="1" s="1"/>
  <c r="G77" i="6"/>
  <c r="I77" i="6" s="1"/>
  <c r="U77" i="6" s="1"/>
  <c r="Z58" i="1" s="1"/>
  <c r="G76" i="6"/>
  <c r="M76" i="6" s="1"/>
  <c r="Y76" i="6" s="1"/>
  <c r="S57" i="1" s="1"/>
  <c r="G75" i="6"/>
  <c r="N75" i="6" s="1"/>
  <c r="Z75" i="6" s="1"/>
  <c r="T56" i="1" s="1"/>
  <c r="G74" i="6"/>
  <c r="N74" i="6" s="1"/>
  <c r="Z74" i="6" s="1"/>
  <c r="T55" i="1" s="1"/>
  <c r="G73" i="6"/>
  <c r="N73" i="6" s="1"/>
  <c r="Z73" i="6" s="1"/>
  <c r="T54" i="1" s="1"/>
  <c r="G72" i="6"/>
  <c r="N72" i="6" s="1"/>
  <c r="Z72" i="6" s="1"/>
  <c r="T53" i="1" s="1"/>
  <c r="G71" i="6"/>
  <c r="N71" i="6" s="1"/>
  <c r="Z71" i="6" s="1"/>
  <c r="T52" i="1" s="1"/>
  <c r="G70" i="6"/>
  <c r="J70" i="6" s="1"/>
  <c r="V70" i="6" s="1"/>
  <c r="AA51" i="1" s="1"/>
  <c r="G69" i="6"/>
  <c r="L69" i="6" s="1"/>
  <c r="X69" i="6" s="1"/>
  <c r="AC50" i="1" s="1"/>
  <c r="G68" i="6"/>
  <c r="N68" i="6" s="1"/>
  <c r="Z68" i="6" s="1"/>
  <c r="T49" i="1" s="1"/>
  <c r="G67" i="6"/>
  <c r="N67" i="6" s="1"/>
  <c r="Z67" i="6" s="1"/>
  <c r="T48" i="1" s="1"/>
  <c r="G66" i="6"/>
  <c r="L66" i="6" s="1"/>
  <c r="X66" i="6" s="1"/>
  <c r="AC47" i="1" s="1"/>
  <c r="G65" i="6"/>
  <c r="I65" i="6" s="1"/>
  <c r="U65" i="6" s="1"/>
  <c r="Z46" i="1" s="1"/>
  <c r="G64" i="6"/>
  <c r="M64" i="6" s="1"/>
  <c r="Y64" i="6" s="1"/>
  <c r="S45" i="1" s="1"/>
  <c r="G63" i="6"/>
  <c r="G62" i="6"/>
  <c r="N62" i="6" s="1"/>
  <c r="Z62" i="6" s="1"/>
  <c r="T43" i="1" s="1"/>
  <c r="G61" i="6"/>
  <c r="J61" i="6" s="1"/>
  <c r="V61" i="6" s="1"/>
  <c r="AA42" i="1" s="1"/>
  <c r="G60" i="6"/>
  <c r="N60" i="6" s="1"/>
  <c r="Z60" i="6" s="1"/>
  <c r="T41" i="1" s="1"/>
  <c r="G59" i="6"/>
  <c r="N59" i="6" s="1"/>
  <c r="Z59" i="6" s="1"/>
  <c r="T40" i="1" s="1"/>
  <c r="G58" i="6"/>
  <c r="M58" i="6" s="1"/>
  <c r="Y58" i="6" s="1"/>
  <c r="S39" i="1" s="1"/>
  <c r="G57" i="6"/>
  <c r="N57" i="6" s="1"/>
  <c r="Z57" i="6" s="1"/>
  <c r="T38" i="1" s="1"/>
  <c r="G56" i="6"/>
  <c r="N56" i="6" s="1"/>
  <c r="Z56" i="6" s="1"/>
  <c r="T37" i="1" s="1"/>
  <c r="G55" i="6"/>
  <c r="N55" i="6" s="1"/>
  <c r="Z55" i="6" s="1"/>
  <c r="T36" i="1" s="1"/>
  <c r="G54" i="6"/>
  <c r="L54" i="6" s="1"/>
  <c r="X54" i="6" s="1"/>
  <c r="AC35" i="1" s="1"/>
  <c r="G53" i="6"/>
  <c r="I53" i="6" s="1"/>
  <c r="U53" i="6" s="1"/>
  <c r="Z34" i="1" s="1"/>
  <c r="G52" i="6"/>
  <c r="M52" i="6" s="1"/>
  <c r="Y52" i="6" s="1"/>
  <c r="S33" i="1" s="1"/>
  <c r="G51" i="6"/>
  <c r="N51" i="6" s="1"/>
  <c r="Z51" i="6" s="1"/>
  <c r="T32" i="1" s="1"/>
  <c r="G50" i="6"/>
  <c r="N50" i="6" s="1"/>
  <c r="Z50" i="6" s="1"/>
  <c r="T31" i="1" s="1"/>
  <c r="G49" i="6"/>
  <c r="N49" i="6" s="1"/>
  <c r="Z49" i="6" s="1"/>
  <c r="T30" i="1" s="1"/>
  <c r="G48" i="6"/>
  <c r="N48" i="6" s="1"/>
  <c r="Z48" i="6" s="1"/>
  <c r="T29" i="1" s="1"/>
  <c r="G47" i="6"/>
  <c r="N47" i="6" s="1"/>
  <c r="Z47" i="6" s="1"/>
  <c r="T28" i="1" s="1"/>
  <c r="G46" i="6"/>
  <c r="M46" i="6" s="1"/>
  <c r="Y46" i="6" s="1"/>
  <c r="S27" i="1" s="1"/>
  <c r="G45" i="6"/>
  <c r="L45" i="6" s="1"/>
  <c r="X45" i="6" s="1"/>
  <c r="AC26" i="1" s="1"/>
  <c r="G44" i="6"/>
  <c r="J44" i="6" s="1"/>
  <c r="V44" i="6" s="1"/>
  <c r="AA25" i="1" s="1"/>
  <c r="G43" i="6"/>
  <c r="J43" i="6" s="1"/>
  <c r="V43" i="6" s="1"/>
  <c r="AA24" i="1" s="1"/>
  <c r="G42" i="6"/>
  <c r="L42" i="6" s="1"/>
  <c r="X42" i="6" s="1"/>
  <c r="AC23" i="1" s="1"/>
  <c r="G41" i="6"/>
  <c r="I41" i="6" s="1"/>
  <c r="U41" i="6" s="1"/>
  <c r="Z22" i="1" s="1"/>
  <c r="G40" i="6"/>
  <c r="M40" i="6" s="1"/>
  <c r="Y40" i="6" s="1"/>
  <c r="S21" i="1" s="1"/>
  <c r="G39" i="6"/>
  <c r="G38" i="6"/>
  <c r="N38" i="6" s="1"/>
  <c r="Z38" i="6" s="1"/>
  <c r="T19" i="1" s="1"/>
  <c r="G37" i="6"/>
  <c r="J37" i="6" s="1"/>
  <c r="V37" i="6" s="1"/>
  <c r="AA18" i="1" s="1"/>
  <c r="G36" i="6"/>
  <c r="N36" i="6" s="1"/>
  <c r="Z36" i="6" s="1"/>
  <c r="T17" i="1" s="1"/>
  <c r="G35" i="6"/>
  <c r="N35" i="6" s="1"/>
  <c r="Z35" i="6" s="1"/>
  <c r="T16" i="1" s="1"/>
  <c r="G34" i="6"/>
  <c r="K34" i="6" s="1"/>
  <c r="W34" i="6" s="1"/>
  <c r="AB15" i="1" s="1"/>
  <c r="G33" i="6"/>
  <c r="N33" i="6" s="1"/>
  <c r="Z33" i="6" s="1"/>
  <c r="T14" i="1" s="1"/>
  <c r="G32" i="6"/>
  <c r="J32" i="6" s="1"/>
  <c r="V32" i="6" s="1"/>
  <c r="AA13" i="1" s="1"/>
  <c r="G31" i="6"/>
  <c r="N31" i="6" s="1"/>
  <c r="Z31" i="6" s="1"/>
  <c r="T12" i="1" s="1"/>
  <c r="G30" i="6"/>
  <c r="L30" i="6" s="1"/>
  <c r="X30" i="6" s="1"/>
  <c r="AC11" i="1" s="1"/>
  <c r="G29" i="6"/>
  <c r="I29" i="6" s="1"/>
  <c r="U29" i="6" s="1"/>
  <c r="Z10" i="1" s="1"/>
  <c r="G28" i="6"/>
  <c r="M28" i="6" s="1"/>
  <c r="Y28" i="6" s="1"/>
  <c r="S9" i="1" s="1"/>
  <c r="G27" i="6"/>
  <c r="N27" i="6" s="1"/>
  <c r="Z27" i="6" s="1"/>
  <c r="T8" i="1" s="1"/>
  <c r="G26" i="6"/>
  <c r="I26" i="6" s="1"/>
  <c r="G25" i="6"/>
  <c r="I25" i="6" s="1"/>
  <c r="U25" i="6" l="1"/>
  <c r="Z6" i="1" s="1"/>
  <c r="I72" i="6"/>
  <c r="U72" i="6" s="1"/>
  <c r="Z53" i="1" s="1"/>
  <c r="K72" i="6"/>
  <c r="W72" i="6" s="1"/>
  <c r="AB53" i="1" s="1"/>
  <c r="M72" i="6"/>
  <c r="Y72" i="6" s="1"/>
  <c r="S53" i="1" s="1"/>
  <c r="K32" i="6"/>
  <c r="W32" i="6" s="1"/>
  <c r="AB13" i="1" s="1"/>
  <c r="M65" i="6"/>
  <c r="Y65" i="6" s="1"/>
  <c r="S46" i="1" s="1"/>
  <c r="N34" i="6"/>
  <c r="Z34" i="6" s="1"/>
  <c r="T15" i="1" s="1"/>
  <c r="J58" i="6"/>
  <c r="V58" i="6" s="1"/>
  <c r="AA39" i="1" s="1"/>
  <c r="M68" i="6"/>
  <c r="Y68" i="6" s="1"/>
  <c r="S49" i="1" s="1"/>
  <c r="N26" i="6"/>
  <c r="Z26" i="6" s="1"/>
  <c r="T7" i="1" s="1"/>
  <c r="U26" i="6"/>
  <c r="Z7" i="1" s="1"/>
  <c r="L58" i="6"/>
  <c r="X58" i="6" s="1"/>
  <c r="AC39" i="1" s="1"/>
  <c r="N58" i="6"/>
  <c r="Z58" i="6" s="1"/>
  <c r="T39" i="1" s="1"/>
  <c r="K74" i="6"/>
  <c r="W74" i="6" s="1"/>
  <c r="AB55" i="1" s="1"/>
  <c r="M84" i="6"/>
  <c r="Y84" i="6" s="1"/>
  <c r="S65" i="1" s="1"/>
  <c r="K58" i="6"/>
  <c r="W58" i="6" s="1"/>
  <c r="AB39" i="1" s="1"/>
  <c r="M60" i="6"/>
  <c r="Y60" i="6" s="1"/>
  <c r="S41" i="1" s="1"/>
  <c r="J71" i="6"/>
  <c r="V71" i="6" s="1"/>
  <c r="AA52" i="1" s="1"/>
  <c r="N79" i="6"/>
  <c r="Z79" i="6" s="1"/>
  <c r="T60" i="1" s="1"/>
  <c r="I58" i="6"/>
  <c r="U58" i="6" s="1"/>
  <c r="Z39" i="1" s="1"/>
  <c r="I66" i="6"/>
  <c r="U66" i="6" s="1"/>
  <c r="Z47" i="1" s="1"/>
  <c r="I80" i="6"/>
  <c r="U80" i="6" s="1"/>
  <c r="Z61" i="1" s="1"/>
  <c r="M80" i="6"/>
  <c r="Y80" i="6" s="1"/>
  <c r="S61" i="1" s="1"/>
  <c r="M56" i="6"/>
  <c r="Y56" i="6" s="1"/>
  <c r="S37" i="1" s="1"/>
  <c r="M74" i="6"/>
  <c r="Y74" i="6" s="1"/>
  <c r="S55" i="1" s="1"/>
  <c r="I48" i="6"/>
  <c r="U48" i="6" s="1"/>
  <c r="Z29" i="1" s="1"/>
  <c r="L83" i="6"/>
  <c r="X83" i="6" s="1"/>
  <c r="AC64" i="1" s="1"/>
  <c r="K48" i="6"/>
  <c r="W48" i="6" s="1"/>
  <c r="AB29" i="1" s="1"/>
  <c r="L57" i="6"/>
  <c r="X57" i="6" s="1"/>
  <c r="AC38" i="1" s="1"/>
  <c r="K62" i="6"/>
  <c r="W62" i="6" s="1"/>
  <c r="AB43" i="1" s="1"/>
  <c r="L70" i="6"/>
  <c r="X70" i="6" s="1"/>
  <c r="AC51" i="1" s="1"/>
  <c r="M48" i="6"/>
  <c r="Y48" i="6" s="1"/>
  <c r="S29" i="1" s="1"/>
  <c r="I84" i="6"/>
  <c r="U84" i="6" s="1"/>
  <c r="Z65" i="1" s="1"/>
  <c r="N41" i="6"/>
  <c r="Z41" i="6" s="1"/>
  <c r="T22" i="1" s="1"/>
  <c r="L33" i="6"/>
  <c r="X33" i="6" s="1"/>
  <c r="AC14" i="1" s="1"/>
  <c r="J65" i="6"/>
  <c r="V65" i="6" s="1"/>
  <c r="AA46" i="1" s="1"/>
  <c r="I74" i="6"/>
  <c r="U74" i="6" s="1"/>
  <c r="Z55" i="1" s="1"/>
  <c r="J79" i="6"/>
  <c r="V79" i="6" s="1"/>
  <c r="AA60" i="1" s="1"/>
  <c r="L65" i="6"/>
  <c r="X65" i="6" s="1"/>
  <c r="AC46" i="1" s="1"/>
  <c r="K70" i="6"/>
  <c r="W70" i="6" s="1"/>
  <c r="AB51" i="1" s="1"/>
  <c r="J74" i="6"/>
  <c r="V74" i="6" s="1"/>
  <c r="AA55" i="1" s="1"/>
  <c r="J83" i="6"/>
  <c r="V83" i="6" s="1"/>
  <c r="AA64" i="1" s="1"/>
  <c r="J29" i="6"/>
  <c r="V29" i="6" s="1"/>
  <c r="AA10" i="1" s="1"/>
  <c r="I34" i="6"/>
  <c r="U34" i="6" s="1"/>
  <c r="Z15" i="1" s="1"/>
  <c r="J46" i="6"/>
  <c r="V46" i="6" s="1"/>
  <c r="AA27" i="1" s="1"/>
  <c r="J53" i="6"/>
  <c r="V53" i="6" s="1"/>
  <c r="AA34" i="1" s="1"/>
  <c r="N46" i="6"/>
  <c r="Z46" i="6" s="1"/>
  <c r="T27" i="1" s="1"/>
  <c r="L53" i="6"/>
  <c r="X53" i="6" s="1"/>
  <c r="AC34" i="1" s="1"/>
  <c r="J34" i="6"/>
  <c r="V34" i="6" s="1"/>
  <c r="AA15" i="1" s="1"/>
  <c r="L29" i="6"/>
  <c r="X29" i="6" s="1"/>
  <c r="AC10" i="1" s="1"/>
  <c r="N29" i="6"/>
  <c r="Z29" i="6" s="1"/>
  <c r="T10" i="1" s="1"/>
  <c r="L34" i="6"/>
  <c r="X34" i="6" s="1"/>
  <c r="AC15" i="1" s="1"/>
  <c r="M53" i="6"/>
  <c r="Y53" i="6" s="1"/>
  <c r="S34" i="1" s="1"/>
  <c r="I62" i="6"/>
  <c r="U62" i="6" s="1"/>
  <c r="Z43" i="1" s="1"/>
  <c r="K66" i="6"/>
  <c r="W66" i="6" s="1"/>
  <c r="AB47" i="1" s="1"/>
  <c r="L71" i="6"/>
  <c r="X71" i="6" s="1"/>
  <c r="AC52" i="1" s="1"/>
  <c r="K80" i="6"/>
  <c r="W80" i="6" s="1"/>
  <c r="AB61" i="1" s="1"/>
  <c r="K84" i="6"/>
  <c r="W84" i="6" s="1"/>
  <c r="AB65" i="1" s="1"/>
  <c r="M34" i="6"/>
  <c r="Y34" i="6" s="1"/>
  <c r="S15" i="1" s="1"/>
  <c r="N42" i="6"/>
  <c r="Z42" i="6" s="1"/>
  <c r="T23" i="1" s="1"/>
  <c r="N53" i="6"/>
  <c r="Z53" i="6" s="1"/>
  <c r="T34" i="1" s="1"/>
  <c r="J62" i="6"/>
  <c r="V62" i="6" s="1"/>
  <c r="AA43" i="1" s="1"/>
  <c r="N66" i="6"/>
  <c r="Z66" i="6" s="1"/>
  <c r="T47" i="1" s="1"/>
  <c r="L80" i="6"/>
  <c r="X80" i="6" s="1"/>
  <c r="AC61" i="1" s="1"/>
  <c r="L84" i="6"/>
  <c r="X84" i="6" s="1"/>
  <c r="AC65" i="1" s="1"/>
  <c r="N43" i="6"/>
  <c r="Z43" i="6" s="1"/>
  <c r="T24" i="1" s="1"/>
  <c r="I54" i="6"/>
  <c r="U54" i="6" s="1"/>
  <c r="Z35" i="1" s="1"/>
  <c r="M62" i="6"/>
  <c r="Y62" i="6" s="1"/>
  <c r="S43" i="1" s="1"/>
  <c r="N77" i="6"/>
  <c r="Z77" i="6" s="1"/>
  <c r="T58" i="1" s="1"/>
  <c r="N80" i="6"/>
  <c r="Z80" i="6" s="1"/>
  <c r="T61" i="1" s="1"/>
  <c r="K54" i="6"/>
  <c r="W54" i="6" s="1"/>
  <c r="AB35" i="1" s="1"/>
  <c r="K26" i="6"/>
  <c r="W26" i="6" s="1"/>
  <c r="AB7" i="1" s="1"/>
  <c r="L32" i="6"/>
  <c r="X32" i="6" s="1"/>
  <c r="AC13" i="1" s="1"/>
  <c r="K44" i="6"/>
  <c r="W44" i="6" s="1"/>
  <c r="AB25" i="1" s="1"/>
  <c r="M54" i="6"/>
  <c r="Y54" i="6" s="1"/>
  <c r="S35" i="1" s="1"/>
  <c r="K78" i="6"/>
  <c r="W78" i="6" s="1"/>
  <c r="AB59" i="1" s="1"/>
  <c r="M26" i="6"/>
  <c r="Y26" i="6" s="1"/>
  <c r="S7" i="1" s="1"/>
  <c r="L44" i="6"/>
  <c r="X44" i="6" s="1"/>
  <c r="AC25" i="1" s="1"/>
  <c r="N54" i="6"/>
  <c r="Z54" i="6" s="1"/>
  <c r="T35" i="1" s="1"/>
  <c r="M82" i="6"/>
  <c r="Y82" i="6" s="1"/>
  <c r="S63" i="1" s="1"/>
  <c r="I38" i="6"/>
  <c r="U38" i="6" s="1"/>
  <c r="Z19" i="1" s="1"/>
  <c r="I56" i="6"/>
  <c r="U56" i="6" s="1"/>
  <c r="Z37" i="1" s="1"/>
  <c r="J73" i="6"/>
  <c r="V73" i="6" s="1"/>
  <c r="AA54" i="1" s="1"/>
  <c r="K30" i="6"/>
  <c r="W30" i="6" s="1"/>
  <c r="AB11" i="1" s="1"/>
  <c r="M32" i="6"/>
  <c r="Y32" i="6" s="1"/>
  <c r="S13" i="1" s="1"/>
  <c r="L27" i="6"/>
  <c r="X27" i="6" s="1"/>
  <c r="AC8" i="1" s="1"/>
  <c r="M30" i="6"/>
  <c r="Y30" i="6" s="1"/>
  <c r="S11" i="1" s="1"/>
  <c r="N32" i="6"/>
  <c r="Z32" i="6" s="1"/>
  <c r="T13" i="1" s="1"/>
  <c r="J35" i="6"/>
  <c r="V35" i="6" s="1"/>
  <c r="AA16" i="1" s="1"/>
  <c r="K38" i="6"/>
  <c r="W38" i="6" s="1"/>
  <c r="AB19" i="1" s="1"/>
  <c r="K42" i="6"/>
  <c r="W42" i="6" s="1"/>
  <c r="AB23" i="1" s="1"/>
  <c r="N44" i="6"/>
  <c r="Z44" i="6" s="1"/>
  <c r="T25" i="1" s="1"/>
  <c r="L47" i="6"/>
  <c r="X47" i="6" s="1"/>
  <c r="AC28" i="1" s="1"/>
  <c r="K50" i="6"/>
  <c r="W50" i="6" s="1"/>
  <c r="AB31" i="1" s="1"/>
  <c r="K56" i="6"/>
  <c r="W56" i="6" s="1"/>
  <c r="AB37" i="1" s="1"/>
  <c r="N65" i="6"/>
  <c r="Z65" i="6" s="1"/>
  <c r="T46" i="1" s="1"/>
  <c r="K68" i="6"/>
  <c r="W68" i="6" s="1"/>
  <c r="AB49" i="1" s="1"/>
  <c r="N70" i="6"/>
  <c r="Z70" i="6" s="1"/>
  <c r="T51" i="1" s="1"/>
  <c r="L77" i="6"/>
  <c r="X77" i="6" s="1"/>
  <c r="AC58" i="1" s="1"/>
  <c r="K82" i="6"/>
  <c r="W82" i="6" s="1"/>
  <c r="AB63" i="1" s="1"/>
  <c r="I30" i="6"/>
  <c r="U30" i="6" s="1"/>
  <c r="Z11" i="1" s="1"/>
  <c r="I50" i="6"/>
  <c r="U50" i="6" s="1"/>
  <c r="Z31" i="1" s="1"/>
  <c r="I68" i="6"/>
  <c r="U68" i="6" s="1"/>
  <c r="Z49" i="1" s="1"/>
  <c r="I82" i="6"/>
  <c r="U82" i="6" s="1"/>
  <c r="Z63" i="1" s="1"/>
  <c r="J38" i="6"/>
  <c r="V38" i="6" s="1"/>
  <c r="AA19" i="1" s="1"/>
  <c r="I42" i="6"/>
  <c r="U42" i="6" s="1"/>
  <c r="Z23" i="1" s="1"/>
  <c r="M44" i="6"/>
  <c r="Y44" i="6" s="1"/>
  <c r="S25" i="1" s="1"/>
  <c r="J47" i="6"/>
  <c r="V47" i="6" s="1"/>
  <c r="AA28" i="1" s="1"/>
  <c r="J50" i="6"/>
  <c r="V50" i="6" s="1"/>
  <c r="AA31" i="1" s="1"/>
  <c r="J56" i="6"/>
  <c r="V56" i="6" s="1"/>
  <c r="AA37" i="1" s="1"/>
  <c r="J68" i="6"/>
  <c r="V68" i="6" s="1"/>
  <c r="AA49" i="1" s="1"/>
  <c r="M70" i="6"/>
  <c r="Y70" i="6" s="1"/>
  <c r="S51" i="1" s="1"/>
  <c r="J77" i="6"/>
  <c r="V77" i="6" s="1"/>
  <c r="AA58" i="1" s="1"/>
  <c r="J82" i="6"/>
  <c r="V82" i="6" s="1"/>
  <c r="AA63" i="1" s="1"/>
  <c r="N30" i="6"/>
  <c r="Z30" i="6" s="1"/>
  <c r="T11" i="1" s="1"/>
  <c r="L35" i="6"/>
  <c r="X35" i="6" s="1"/>
  <c r="AC16" i="1" s="1"/>
  <c r="M38" i="6"/>
  <c r="Y38" i="6" s="1"/>
  <c r="S19" i="1" s="1"/>
  <c r="M42" i="6"/>
  <c r="Y42" i="6" s="1"/>
  <c r="S23" i="1" s="1"/>
  <c r="M50" i="6"/>
  <c r="Y50" i="6" s="1"/>
  <c r="S31" i="1" s="1"/>
  <c r="L56" i="6"/>
  <c r="X56" i="6" s="1"/>
  <c r="AC37" i="1" s="1"/>
  <c r="L68" i="6"/>
  <c r="X68" i="6" s="1"/>
  <c r="AC49" i="1" s="1"/>
  <c r="M77" i="6"/>
  <c r="Y77" i="6" s="1"/>
  <c r="S58" i="1" s="1"/>
  <c r="L82" i="6"/>
  <c r="X82" i="6" s="1"/>
  <c r="AC63" i="1" s="1"/>
  <c r="J31" i="6"/>
  <c r="V31" i="6" s="1"/>
  <c r="AA12" i="1" s="1"/>
  <c r="I36" i="6"/>
  <c r="U36" i="6" s="1"/>
  <c r="Z17" i="1" s="1"/>
  <c r="L51" i="6"/>
  <c r="X51" i="6" s="1"/>
  <c r="AC32" i="1" s="1"/>
  <c r="J59" i="6"/>
  <c r="V59" i="6" s="1"/>
  <c r="AA40" i="1" s="1"/>
  <c r="K31" i="6"/>
  <c r="W31" i="6" s="1"/>
  <c r="AB12" i="1" s="1"/>
  <c r="K36" i="6"/>
  <c r="W36" i="6" s="1"/>
  <c r="AB17" i="1" s="1"/>
  <c r="I46" i="6"/>
  <c r="U46" i="6" s="1"/>
  <c r="Z27" i="1" s="1"/>
  <c r="L48" i="6"/>
  <c r="X48" i="6" s="1"/>
  <c r="AC29" i="1" s="1"/>
  <c r="L59" i="6"/>
  <c r="X59" i="6" s="1"/>
  <c r="AC40" i="1" s="1"/>
  <c r="M66" i="6"/>
  <c r="Y66" i="6" s="1"/>
  <c r="S47" i="1" s="1"/>
  <c r="I78" i="6"/>
  <c r="U78" i="6" s="1"/>
  <c r="Z59" i="1" s="1"/>
  <c r="J55" i="6"/>
  <c r="V55" i="6" s="1"/>
  <c r="AA36" i="1" s="1"/>
  <c r="L75" i="6"/>
  <c r="X75" i="6" s="1"/>
  <c r="AC56" i="1" s="1"/>
  <c r="M78" i="6"/>
  <c r="Y78" i="6" s="1"/>
  <c r="S59" i="1" s="1"/>
  <c r="M29" i="6"/>
  <c r="Y29" i="6" s="1"/>
  <c r="S10" i="1" s="1"/>
  <c r="I32" i="6"/>
  <c r="U32" i="6" s="1"/>
  <c r="Z13" i="1" s="1"/>
  <c r="L41" i="6"/>
  <c r="X41" i="6" s="1"/>
  <c r="AC22" i="1" s="1"/>
  <c r="I44" i="6"/>
  <c r="U44" i="6" s="1"/>
  <c r="Z25" i="1" s="1"/>
  <c r="L46" i="6"/>
  <c r="X46" i="6" s="1"/>
  <c r="AC27" i="1" s="1"/>
  <c r="J49" i="6"/>
  <c r="V49" i="6" s="1"/>
  <c r="AA30" i="1" s="1"/>
  <c r="K55" i="6"/>
  <c r="W55" i="6" s="1"/>
  <c r="AB36" i="1" s="1"/>
  <c r="K60" i="6"/>
  <c r="W60" i="6" s="1"/>
  <c r="AB41" i="1" s="1"/>
  <c r="J67" i="6"/>
  <c r="V67" i="6" s="1"/>
  <c r="AA48" i="1" s="1"/>
  <c r="I70" i="6"/>
  <c r="U70" i="6" s="1"/>
  <c r="Z51" i="1" s="1"/>
  <c r="L72" i="6"/>
  <c r="X72" i="6" s="1"/>
  <c r="AC53" i="1" s="1"/>
  <c r="N78" i="6"/>
  <c r="Z78" i="6" s="1"/>
  <c r="T59" i="1" s="1"/>
  <c r="I81" i="6"/>
  <c r="U81" i="6" s="1"/>
  <c r="Z62" i="1" s="1"/>
  <c r="L36" i="6"/>
  <c r="X36" i="6" s="1"/>
  <c r="AC17" i="1" s="1"/>
  <c r="M36" i="6"/>
  <c r="Y36" i="6" s="1"/>
  <c r="S17" i="1" s="1"/>
  <c r="J41" i="6"/>
  <c r="V41" i="6" s="1"/>
  <c r="AA22" i="1" s="1"/>
  <c r="K46" i="6"/>
  <c r="W46" i="6" s="1"/>
  <c r="AB27" i="1" s="1"/>
  <c r="I60" i="6"/>
  <c r="U60" i="6" s="1"/>
  <c r="Z41" i="1" s="1"/>
  <c r="J26" i="6"/>
  <c r="V26" i="6" s="1"/>
  <c r="AA7" i="1" s="1"/>
  <c r="M41" i="6"/>
  <c r="Y41" i="6" s="1"/>
  <c r="S22" i="1" s="1"/>
  <c r="L60" i="6"/>
  <c r="X60" i="6" s="1"/>
  <c r="AC41" i="1" s="1"/>
  <c r="K63" i="6"/>
  <c r="W63" i="6" s="1"/>
  <c r="AB44" i="1" s="1"/>
  <c r="J63" i="6"/>
  <c r="V63" i="6" s="1"/>
  <c r="AA44" i="1" s="1"/>
  <c r="I63" i="6"/>
  <c r="U63" i="6" s="1"/>
  <c r="Z44" i="1" s="1"/>
  <c r="M63" i="6"/>
  <c r="Y63" i="6" s="1"/>
  <c r="S44" i="1" s="1"/>
  <c r="N63" i="6"/>
  <c r="Z63" i="6" s="1"/>
  <c r="T44" i="1" s="1"/>
  <c r="L63" i="6"/>
  <c r="X63" i="6" s="1"/>
  <c r="AC44" i="1" s="1"/>
  <c r="K39" i="6"/>
  <c r="W39" i="6" s="1"/>
  <c r="AB20" i="1" s="1"/>
  <c r="J39" i="6"/>
  <c r="V39" i="6" s="1"/>
  <c r="AA20" i="1" s="1"/>
  <c r="I39" i="6"/>
  <c r="U39" i="6" s="1"/>
  <c r="Z20" i="1" s="1"/>
  <c r="M39" i="6"/>
  <c r="Y39" i="6" s="1"/>
  <c r="S20" i="1" s="1"/>
  <c r="N39" i="6"/>
  <c r="Z39" i="6" s="1"/>
  <c r="T20" i="1" s="1"/>
  <c r="L39" i="6"/>
  <c r="X39" i="6" s="1"/>
  <c r="AC20" i="1" s="1"/>
  <c r="N40" i="6"/>
  <c r="Z40" i="6" s="1"/>
  <c r="T21" i="1" s="1"/>
  <c r="L40" i="6"/>
  <c r="X40" i="6" s="1"/>
  <c r="AC21" i="1" s="1"/>
  <c r="J40" i="6"/>
  <c r="V40" i="6" s="1"/>
  <c r="AA21" i="1" s="1"/>
  <c r="I40" i="6"/>
  <c r="U40" i="6" s="1"/>
  <c r="Z21" i="1" s="1"/>
  <c r="M45" i="6"/>
  <c r="Y45" i="6" s="1"/>
  <c r="S26" i="1" s="1"/>
  <c r="K45" i="6"/>
  <c r="W45" i="6" s="1"/>
  <c r="AB26" i="1" s="1"/>
  <c r="J45" i="6"/>
  <c r="V45" i="6" s="1"/>
  <c r="AA26" i="1" s="1"/>
  <c r="N64" i="6"/>
  <c r="Z64" i="6" s="1"/>
  <c r="T45" i="1" s="1"/>
  <c r="L64" i="6"/>
  <c r="X64" i="6" s="1"/>
  <c r="AC45" i="1" s="1"/>
  <c r="J64" i="6"/>
  <c r="V64" i="6" s="1"/>
  <c r="AA45" i="1" s="1"/>
  <c r="I64" i="6"/>
  <c r="U64" i="6" s="1"/>
  <c r="Z45" i="1" s="1"/>
  <c r="M69" i="6"/>
  <c r="Y69" i="6" s="1"/>
  <c r="S50" i="1" s="1"/>
  <c r="K69" i="6"/>
  <c r="W69" i="6" s="1"/>
  <c r="AB50" i="1" s="1"/>
  <c r="J69" i="6"/>
  <c r="V69" i="6" s="1"/>
  <c r="AA50" i="1" s="1"/>
  <c r="M37" i="6"/>
  <c r="Y37" i="6" s="1"/>
  <c r="S18" i="1" s="1"/>
  <c r="L37" i="6"/>
  <c r="X37" i="6" s="1"/>
  <c r="AC18" i="1" s="1"/>
  <c r="K37" i="6"/>
  <c r="W37" i="6" s="1"/>
  <c r="AB18" i="1" s="1"/>
  <c r="I37" i="6"/>
  <c r="U37" i="6" s="1"/>
  <c r="Z18" i="1" s="1"/>
  <c r="K40" i="6"/>
  <c r="W40" i="6" s="1"/>
  <c r="AB21" i="1" s="1"/>
  <c r="M43" i="6"/>
  <c r="Y43" i="6" s="1"/>
  <c r="S24" i="1" s="1"/>
  <c r="L43" i="6"/>
  <c r="X43" i="6" s="1"/>
  <c r="AC24" i="1" s="1"/>
  <c r="I43" i="6"/>
  <c r="U43" i="6" s="1"/>
  <c r="Z24" i="1" s="1"/>
  <c r="I45" i="6"/>
  <c r="U45" i="6" s="1"/>
  <c r="Z26" i="1" s="1"/>
  <c r="M61" i="6"/>
  <c r="Y61" i="6" s="1"/>
  <c r="S42" i="1" s="1"/>
  <c r="L61" i="6"/>
  <c r="X61" i="6" s="1"/>
  <c r="AC42" i="1" s="1"/>
  <c r="K61" i="6"/>
  <c r="W61" i="6" s="1"/>
  <c r="AB42" i="1" s="1"/>
  <c r="I61" i="6"/>
  <c r="U61" i="6" s="1"/>
  <c r="Z42" i="1" s="1"/>
  <c r="K64" i="6"/>
  <c r="W64" i="6" s="1"/>
  <c r="AB45" i="1" s="1"/>
  <c r="M67" i="6"/>
  <c r="Y67" i="6" s="1"/>
  <c r="S48" i="1" s="1"/>
  <c r="L67" i="6"/>
  <c r="X67" i="6" s="1"/>
  <c r="AC48" i="1" s="1"/>
  <c r="I67" i="6"/>
  <c r="U67" i="6" s="1"/>
  <c r="Z48" i="1" s="1"/>
  <c r="I69" i="6"/>
  <c r="U69" i="6" s="1"/>
  <c r="Z50" i="1" s="1"/>
  <c r="K27" i="6"/>
  <c r="W27" i="6" s="1"/>
  <c r="AB8" i="1" s="1"/>
  <c r="J27" i="6"/>
  <c r="V27" i="6" s="1"/>
  <c r="AA8" i="1" s="1"/>
  <c r="I27" i="6"/>
  <c r="U27" i="6" s="1"/>
  <c r="Z8" i="1" s="1"/>
  <c r="M27" i="6"/>
  <c r="Y27" i="6" s="1"/>
  <c r="S8" i="1" s="1"/>
  <c r="N37" i="6"/>
  <c r="Z37" i="6" s="1"/>
  <c r="T18" i="1" s="1"/>
  <c r="K43" i="6"/>
  <c r="W43" i="6" s="1"/>
  <c r="AB24" i="1" s="1"/>
  <c r="N45" i="6"/>
  <c r="Z45" i="6" s="1"/>
  <c r="T26" i="1" s="1"/>
  <c r="K51" i="6"/>
  <c r="W51" i="6" s="1"/>
  <c r="AB32" i="1" s="1"/>
  <c r="J51" i="6"/>
  <c r="V51" i="6" s="1"/>
  <c r="AA32" i="1" s="1"/>
  <c r="I51" i="6"/>
  <c r="U51" i="6" s="1"/>
  <c r="Z32" i="1" s="1"/>
  <c r="M51" i="6"/>
  <c r="Y51" i="6" s="1"/>
  <c r="S32" i="1" s="1"/>
  <c r="N61" i="6"/>
  <c r="Z61" i="6" s="1"/>
  <c r="T42" i="1" s="1"/>
  <c r="K67" i="6"/>
  <c r="W67" i="6" s="1"/>
  <c r="AB48" i="1" s="1"/>
  <c r="N69" i="6"/>
  <c r="Z69" i="6" s="1"/>
  <c r="T50" i="1" s="1"/>
  <c r="K75" i="6"/>
  <c r="W75" i="6" s="1"/>
  <c r="AB56" i="1" s="1"/>
  <c r="J75" i="6"/>
  <c r="V75" i="6" s="1"/>
  <c r="AA56" i="1" s="1"/>
  <c r="I75" i="6"/>
  <c r="U75" i="6" s="1"/>
  <c r="Z56" i="1" s="1"/>
  <c r="M75" i="6"/>
  <c r="Y75" i="6" s="1"/>
  <c r="S56" i="1" s="1"/>
  <c r="M25" i="6"/>
  <c r="Y25" i="6" s="1"/>
  <c r="S6" i="1" s="1"/>
  <c r="L25" i="6"/>
  <c r="X25" i="6" s="1"/>
  <c r="AC6" i="1" s="1"/>
  <c r="V25" i="6"/>
  <c r="AA6" i="1" s="1"/>
  <c r="M81" i="6"/>
  <c r="Y81" i="6" s="1"/>
  <c r="S62" i="1" s="1"/>
  <c r="K81" i="6"/>
  <c r="W81" i="6" s="1"/>
  <c r="AB62" i="1" s="1"/>
  <c r="J81" i="6"/>
  <c r="V81" i="6" s="1"/>
  <c r="AA62" i="1" s="1"/>
  <c r="K25" i="6"/>
  <c r="W25" i="6" s="1"/>
  <c r="AB6" i="1" s="1"/>
  <c r="N28" i="6"/>
  <c r="Z28" i="6" s="1"/>
  <c r="T9" i="1" s="1"/>
  <c r="L28" i="6"/>
  <c r="X28" i="6" s="1"/>
  <c r="AC9" i="1" s="1"/>
  <c r="J28" i="6"/>
  <c r="V28" i="6" s="1"/>
  <c r="AA9" i="1" s="1"/>
  <c r="I28" i="6"/>
  <c r="U28" i="6" s="1"/>
  <c r="Z9" i="1" s="1"/>
  <c r="M33" i="6"/>
  <c r="Y33" i="6" s="1"/>
  <c r="S14" i="1" s="1"/>
  <c r="K33" i="6"/>
  <c r="W33" i="6" s="1"/>
  <c r="AB14" i="1" s="1"/>
  <c r="J33" i="6"/>
  <c r="V33" i="6" s="1"/>
  <c r="AA14" i="1" s="1"/>
  <c r="N52" i="6"/>
  <c r="Z52" i="6" s="1"/>
  <c r="T33" i="1" s="1"/>
  <c r="L52" i="6"/>
  <c r="X52" i="6" s="1"/>
  <c r="AC33" i="1" s="1"/>
  <c r="J52" i="6"/>
  <c r="V52" i="6" s="1"/>
  <c r="AA33" i="1" s="1"/>
  <c r="I52" i="6"/>
  <c r="U52" i="6" s="1"/>
  <c r="Z33" i="1" s="1"/>
  <c r="M57" i="6"/>
  <c r="Y57" i="6" s="1"/>
  <c r="S38" i="1" s="1"/>
  <c r="K57" i="6"/>
  <c r="W57" i="6" s="1"/>
  <c r="AB38" i="1" s="1"/>
  <c r="J57" i="6"/>
  <c r="V57" i="6" s="1"/>
  <c r="AA38" i="1" s="1"/>
  <c r="N76" i="6"/>
  <c r="Z76" i="6" s="1"/>
  <c r="T57" i="1" s="1"/>
  <c r="L76" i="6"/>
  <c r="X76" i="6" s="1"/>
  <c r="AC57" i="1" s="1"/>
  <c r="J76" i="6"/>
  <c r="V76" i="6" s="1"/>
  <c r="AA57" i="1" s="1"/>
  <c r="I76" i="6"/>
  <c r="U76" i="6" s="1"/>
  <c r="Z57" i="1" s="1"/>
  <c r="N25" i="6"/>
  <c r="Z25" i="6" s="1"/>
  <c r="T6" i="1" s="1"/>
  <c r="K28" i="6"/>
  <c r="W28" i="6" s="1"/>
  <c r="AB9" i="1" s="1"/>
  <c r="M31" i="6"/>
  <c r="Y31" i="6" s="1"/>
  <c r="S12" i="1" s="1"/>
  <c r="L31" i="6"/>
  <c r="X31" i="6" s="1"/>
  <c r="AC12" i="1" s="1"/>
  <c r="I31" i="6"/>
  <c r="U31" i="6" s="1"/>
  <c r="Z12" i="1" s="1"/>
  <c r="I33" i="6"/>
  <c r="U33" i="6" s="1"/>
  <c r="Z14" i="1" s="1"/>
  <c r="M49" i="6"/>
  <c r="Y49" i="6" s="1"/>
  <c r="S30" i="1" s="1"/>
  <c r="L49" i="6"/>
  <c r="X49" i="6" s="1"/>
  <c r="AC30" i="1" s="1"/>
  <c r="K49" i="6"/>
  <c r="W49" i="6" s="1"/>
  <c r="AB30" i="1" s="1"/>
  <c r="I49" i="6"/>
  <c r="U49" i="6" s="1"/>
  <c r="Z30" i="1" s="1"/>
  <c r="K52" i="6"/>
  <c r="W52" i="6" s="1"/>
  <c r="AB33" i="1" s="1"/>
  <c r="M55" i="6"/>
  <c r="Y55" i="6" s="1"/>
  <c r="S36" i="1" s="1"/>
  <c r="L55" i="6"/>
  <c r="X55" i="6" s="1"/>
  <c r="AC36" i="1" s="1"/>
  <c r="I55" i="6"/>
  <c r="U55" i="6" s="1"/>
  <c r="Z36" i="1" s="1"/>
  <c r="I57" i="6"/>
  <c r="U57" i="6" s="1"/>
  <c r="Z38" i="1" s="1"/>
  <c r="M73" i="6"/>
  <c r="Y73" i="6" s="1"/>
  <c r="S54" i="1" s="1"/>
  <c r="L73" i="6"/>
  <c r="X73" i="6" s="1"/>
  <c r="AC54" i="1" s="1"/>
  <c r="K73" i="6"/>
  <c r="W73" i="6" s="1"/>
  <c r="AB54" i="1" s="1"/>
  <c r="I73" i="6"/>
  <c r="U73" i="6" s="1"/>
  <c r="Z54" i="1" s="1"/>
  <c r="K76" i="6"/>
  <c r="W76" i="6" s="1"/>
  <c r="AB57" i="1" s="1"/>
  <c r="M79" i="6"/>
  <c r="Y79" i="6" s="1"/>
  <c r="S60" i="1" s="1"/>
  <c r="L79" i="6"/>
  <c r="X79" i="6" s="1"/>
  <c r="AC60" i="1" s="1"/>
  <c r="I79" i="6"/>
  <c r="U79" i="6" s="1"/>
  <c r="Z60" i="1" s="1"/>
  <c r="L81" i="6"/>
  <c r="X81" i="6" s="1"/>
  <c r="AC62" i="1" s="1"/>
  <c r="K29" i="6"/>
  <c r="W29" i="6" s="1"/>
  <c r="AB10" i="1" s="1"/>
  <c r="J36" i="6"/>
  <c r="V36" i="6" s="1"/>
  <c r="AA17" i="1" s="1"/>
  <c r="K41" i="6"/>
  <c r="W41" i="6" s="1"/>
  <c r="AB22" i="1" s="1"/>
  <c r="J48" i="6"/>
  <c r="V48" i="6" s="1"/>
  <c r="AA29" i="1" s="1"/>
  <c r="K53" i="6"/>
  <c r="W53" i="6" s="1"/>
  <c r="AB34" i="1" s="1"/>
  <c r="J60" i="6"/>
  <c r="V60" i="6" s="1"/>
  <c r="AA41" i="1" s="1"/>
  <c r="K65" i="6"/>
  <c r="W65" i="6" s="1"/>
  <c r="AB46" i="1" s="1"/>
  <c r="J72" i="6"/>
  <c r="V72" i="6" s="1"/>
  <c r="AA53" i="1" s="1"/>
  <c r="K77" i="6"/>
  <c r="W77" i="6" s="1"/>
  <c r="AB58" i="1" s="1"/>
  <c r="J84" i="6"/>
  <c r="V84" i="6" s="1"/>
  <c r="AA65" i="1" s="1"/>
  <c r="L26" i="6"/>
  <c r="X26" i="6" s="1"/>
  <c r="AC7" i="1" s="1"/>
  <c r="I35" i="6"/>
  <c r="U35" i="6" s="1"/>
  <c r="Z16" i="1" s="1"/>
  <c r="L38" i="6"/>
  <c r="X38" i="6" s="1"/>
  <c r="AC19" i="1" s="1"/>
  <c r="I47" i="6"/>
  <c r="U47" i="6" s="1"/>
  <c r="Z28" i="1" s="1"/>
  <c r="L50" i="6"/>
  <c r="X50" i="6" s="1"/>
  <c r="AC31" i="1" s="1"/>
  <c r="I59" i="6"/>
  <c r="U59" i="6" s="1"/>
  <c r="Z40" i="1" s="1"/>
  <c r="L62" i="6"/>
  <c r="X62" i="6" s="1"/>
  <c r="AC43" i="1" s="1"/>
  <c r="I71" i="6"/>
  <c r="U71" i="6" s="1"/>
  <c r="Z52" i="1" s="1"/>
  <c r="L74" i="6"/>
  <c r="X74" i="6" s="1"/>
  <c r="AC55" i="1" s="1"/>
  <c r="I83" i="6"/>
  <c r="U83" i="6" s="1"/>
  <c r="Z64" i="1" s="1"/>
  <c r="J30" i="6"/>
  <c r="V30" i="6" s="1"/>
  <c r="AA11" i="1" s="1"/>
  <c r="K35" i="6"/>
  <c r="W35" i="6" s="1"/>
  <c r="AB16" i="1" s="1"/>
  <c r="J42" i="6"/>
  <c r="V42" i="6" s="1"/>
  <c r="AA23" i="1" s="1"/>
  <c r="K47" i="6"/>
  <c r="W47" i="6" s="1"/>
  <c r="AB28" i="1" s="1"/>
  <c r="J54" i="6"/>
  <c r="V54" i="6" s="1"/>
  <c r="AA35" i="1" s="1"/>
  <c r="K59" i="6"/>
  <c r="W59" i="6" s="1"/>
  <c r="AB40" i="1" s="1"/>
  <c r="J66" i="6"/>
  <c r="V66" i="6" s="1"/>
  <c r="AA47" i="1" s="1"/>
  <c r="K71" i="6"/>
  <c r="W71" i="6" s="1"/>
  <c r="AB52" i="1" s="1"/>
  <c r="J78" i="6"/>
  <c r="V78" i="6" s="1"/>
  <c r="AA59" i="1" s="1"/>
  <c r="K83" i="6"/>
  <c r="W83" i="6" s="1"/>
  <c r="AB64" i="1" s="1"/>
  <c r="M35" i="6"/>
  <c r="Y35" i="6" s="1"/>
  <c r="S16" i="1" s="1"/>
  <c r="M47" i="6"/>
  <c r="Y47" i="6" s="1"/>
  <c r="S28" i="1" s="1"/>
  <c r="M59" i="6"/>
  <c r="Y59" i="6" s="1"/>
  <c r="S40" i="1" s="1"/>
  <c r="M71" i="6"/>
  <c r="Y71" i="6" s="1"/>
  <c r="S52" i="1" s="1"/>
  <c r="M83" i="6"/>
  <c r="Y83" i="6" s="1"/>
  <c r="S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D6ABF41D-D9B4-4CB2-83FC-79F0C08841C2}">
      <text>
        <r>
          <rPr>
            <sz val="9"/>
            <color indexed="81"/>
            <rFont val="宋体"/>
            <family val="3"/>
            <charset val="134"/>
          </rPr>
          <t>id从1000至1999的配置为正式角色配置
编号找pm拿</t>
        </r>
      </text>
    </comment>
    <comment ref="B5" authorId="1" shapeId="0" xr:uid="{41FC55AA-F6C7-4676-B2F0-30562FB00559}">
      <text>
        <r>
          <rPr>
            <b/>
            <sz val="9"/>
            <color indexed="81"/>
            <rFont val="宋体"/>
            <charset val="134"/>
          </rPr>
          <t>不填=上架
1=下架</t>
        </r>
      </text>
    </comment>
    <comment ref="D5" authorId="1" shapeId="0" xr:uid="{00000000-0006-0000-02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1=男
2=女
</t>
        </r>
      </text>
    </comment>
    <comment ref="E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1情2信3理4正5奇6无</t>
        </r>
      </text>
    </comment>
    <comment ref="F5" authorId="1" shapeId="0" xr:uid="{14E6B1AC-EB63-4EE4-8257-ED52CA64F9F2}">
      <text>
        <r>
          <rPr>
            <sz val="9"/>
            <color indexed="81"/>
            <rFont val="宋体"/>
            <family val="3"/>
            <charset val="134"/>
          </rPr>
          <t xml:space="preserve">常规和id一致，只影响抽卡立绘
</t>
        </r>
      </text>
    </comment>
    <comment ref="G5" authorId="1" shapeId="0" xr:uid="{00000000-0006-0000-0200-000003000000}">
      <text>
        <r>
          <rPr>
            <sz val="9"/>
            <rFont val="宋体"/>
            <family val="3"/>
            <charset val="134"/>
          </rPr>
          <t>1强2防3辅4特5突6boss</t>
        </r>
      </text>
    </comment>
    <comment ref="H5" authorId="1" shapeId="0" xr:uid="{00000000-0006-0000-0200-000004000000}">
      <text>
        <r>
          <rPr>
            <sz val="9"/>
            <rFont val="宋体"/>
            <family val="3"/>
            <charset val="134"/>
          </rPr>
          <t>1超2光3全4群5烛6主</t>
        </r>
      </text>
    </comment>
    <comment ref="I5" authorId="1" shapeId="0" xr:uid="{00000000-0006-0000-0200-000005000000}">
      <text>
        <r>
          <rPr>
            <sz val="9"/>
            <rFont val="宋体"/>
            <family val="3"/>
            <charset val="134"/>
          </rPr>
          <t>1异2绑3受4觉5重6混合</t>
        </r>
      </text>
    </comment>
    <comment ref="J5" authorId="0" shapeId="0" xr:uid="{00000000-0006-0000-0200-000006000000}">
      <text>
        <r>
          <rPr>
            <sz val="9"/>
            <rFont val="宋体"/>
            <family val="3"/>
            <charset val="134"/>
          </rPr>
          <t>1 = N 执行
2 = R 特派
3 = SR 资深
4 = SSR 专家</t>
        </r>
      </text>
    </comment>
    <comment ref="K5" authorId="0" shapeId="0" xr:uid="{00000000-0006-0000-0200-000009000000}">
      <text>
        <r>
          <rPr>
            <sz val="9"/>
            <rFont val="宋体"/>
            <family val="3"/>
            <charset val="134"/>
          </rPr>
          <t xml:space="preserve">【角色标签表】里的id
</t>
        </r>
      </text>
    </comment>
    <comment ref="L5" authorId="1" shapeId="0" xr:uid="{CB0FEF9F-347F-4CB6-A6FF-33CD539A0788}">
      <text>
        <r>
          <rPr>
            <sz val="9"/>
            <color indexed="81"/>
            <rFont val="宋体"/>
            <family val="3"/>
            <charset val="134"/>
          </rPr>
          <t>技能列按照主动技能的填写顺序，填坑为1-4号位，所以顺序不能填错；4位以后的技能不显示</t>
        </r>
      </text>
    </comment>
    <comment ref="M5" authorId="1" shapeId="0" xr:uid="{A3B5E232-7435-4BB5-9728-29B049A643A4}">
      <text>
        <r>
          <rPr>
            <sz val="9"/>
            <color indexed="81"/>
            <rFont val="宋体"/>
            <family val="3"/>
            <charset val="134"/>
          </rPr>
          <t xml:space="preserve">有技能替换的角色，需要把替换后的技能id填写在这里
</t>
        </r>
      </text>
    </comment>
    <comment ref="O5" authorId="1" shapeId="0" xr:uid="{81CA57DC-91AA-4D20-8128-8CBE9C51FC8D}">
      <text>
        <r>
          <rPr>
            <b/>
            <sz val="9"/>
            <color indexed="81"/>
            <rFont val="宋体"/>
            <family val="3"/>
            <charset val="134"/>
          </rPr>
          <t xml:space="preserve">x10000,提高精度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5" authorId="1" shapeId="0" xr:uid="{C3BB55BC-C025-4F7C-A0A7-B3DC5C5C77A3}">
      <text>
        <r>
          <rPr>
            <b/>
            <sz val="9"/>
            <color indexed="81"/>
            <rFont val="宋体"/>
            <family val="3"/>
            <charset val="134"/>
          </rPr>
          <t>不用乘10000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5" authorId="1" shapeId="0" xr:uid="{E87753B5-2ABF-4A18-A0E0-DDA22CD77997}">
      <text>
        <r>
          <rPr>
            <sz val="9"/>
            <color indexed="81"/>
            <rFont val="宋体"/>
            <family val="3"/>
            <charset val="134"/>
          </rPr>
          <t xml:space="preserve">x10000,提高精度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EC307612-5399-4915-A1DA-FFF56310E42F}">
      <text>
        <r>
          <rPr>
            <b/>
            <sz val="9"/>
            <color indexed="81"/>
            <rFont val="宋体"/>
            <charset val="134"/>
          </rPr>
          <t>不填=上架
1=下架</t>
        </r>
      </text>
    </comment>
    <comment ref="E5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1=男
2=女
</t>
        </r>
      </text>
    </comment>
    <comment ref="F5" authorId="1" shapeId="0" xr:uid="{00000000-0006-0000-0300-000002000000}">
      <text>
        <r>
          <rPr>
            <sz val="9"/>
            <rFont val="宋体"/>
            <family val="3"/>
            <charset val="134"/>
          </rPr>
          <t>1情2信3理4正5奇6无</t>
        </r>
      </text>
    </comment>
    <comment ref="G5" authorId="0" shapeId="0" xr:uid="{D6C8AC68-5C84-4226-90BF-456D065AAE1C}">
      <text>
        <r>
          <rPr>
            <sz val="9"/>
            <color indexed="81"/>
            <rFont val="宋体"/>
            <family val="3"/>
            <charset val="134"/>
          </rPr>
          <t xml:space="preserve">【模型管理表】里的id
</t>
        </r>
      </text>
    </comment>
    <comment ref="H5" authorId="0" shapeId="0" xr:uid="{00000000-0006-0000-0300-000003000000}">
      <text>
        <r>
          <rPr>
            <sz val="9"/>
            <rFont val="宋体"/>
            <family val="3"/>
            <charset val="134"/>
          </rPr>
          <t>1强2防3辅4特5突6boss</t>
        </r>
      </text>
    </comment>
    <comment ref="I5" authorId="0" shapeId="0" xr:uid="{00000000-0006-0000-0300-000004000000}">
      <text>
        <r>
          <rPr>
            <sz val="9"/>
            <rFont val="宋体"/>
            <family val="3"/>
            <charset val="134"/>
          </rPr>
          <t xml:space="preserve">1超2光3全4群5烛6主
</t>
        </r>
      </text>
    </comment>
    <comment ref="J5" authorId="0" shapeId="0" xr:uid="{00000000-0006-0000-0300-000005000000}">
      <text>
        <r>
          <rPr>
            <sz val="9"/>
            <rFont val="宋体"/>
            <family val="3"/>
            <charset val="134"/>
          </rPr>
          <t>1异2绑3受4觉5重6混合7色块</t>
        </r>
      </text>
    </comment>
    <comment ref="K5" authorId="0" shapeId="0" xr:uid="{518E3ABA-ABFF-4EC6-822C-3F6283EBD645}">
      <text>
        <r>
          <rPr>
            <sz val="9"/>
            <color indexed="81"/>
            <rFont val="宋体"/>
            <family val="3"/>
            <charset val="134"/>
          </rPr>
          <t xml:space="preserve">控制血条类型，1=boss，2=精英，3=巨构。常规不用填，双boss双精英会自动识别
</t>
        </r>
      </text>
    </comment>
    <comment ref="L5" authorId="0" shapeId="0" xr:uid="{2FED7DEC-96B3-4E25-94F4-24BDAE27DCF0}">
      <text>
        <r>
          <rPr>
            <sz val="9"/>
            <color indexed="81"/>
            <rFont val="宋体"/>
            <family val="3"/>
            <charset val="134"/>
          </rPr>
          <t xml:space="preserve">怪物可配空技能：【】
</t>
        </r>
      </text>
    </comment>
    <comment ref="M5" authorId="0" shapeId="0" xr:uid="{1D372700-1C1C-4BE2-844D-A255F08347EB}">
      <text>
        <r>
          <rPr>
            <sz val="9"/>
            <color indexed="81"/>
            <rFont val="宋体"/>
            <family val="3"/>
            <charset val="134"/>
          </rPr>
          <t xml:space="preserve">有技能替换的角色，需要把替换后的技能id填写在这里
</t>
        </r>
      </text>
    </comment>
    <comment ref="N5" authorId="0" shapeId="0" xr:uid="{00000000-0006-0000-0300-000006000000}">
      <text>
        <r>
          <rPr>
            <sz val="9"/>
            <rFont val="宋体"/>
            <family val="3"/>
            <charset val="134"/>
          </rPr>
          <t>1=通用1
2=通用2
3=序列
4=脚本</t>
        </r>
      </text>
    </comment>
    <comment ref="O5" authorId="0" shapeId="0" xr:uid="{38C0DB8D-F1DE-4D70-8F0D-7983BD345548}">
      <text>
        <r>
          <rPr>
            <sz val="9"/>
            <color indexed="81"/>
            <rFont val="宋体"/>
            <family val="3"/>
            <charset val="134"/>
          </rPr>
          <t>当使用序列ai时填写：
｛p1：[[[1001]，0]]]，p2：[[[1001],1],[[1001,1002],0]]]｝
1=不可跳过，0=可跳过
101:[]代表这个阶段什么都不做</t>
        </r>
      </text>
    </comment>
    <comment ref="Q5" authorId="0" shapeId="0" xr:uid="{B130D8AC-FE40-408E-BCD4-88CBB113B2FB}">
      <text>
        <r>
          <rPr>
            <sz val="9"/>
            <color indexed="81"/>
            <rFont val="宋体"/>
            <family val="3"/>
            <charset val="134"/>
          </rPr>
          <t>1v1时怪物承伤
建议根据推荐承伤做细调</t>
        </r>
      </text>
    </comment>
    <comment ref="S5" authorId="0" shapeId="0" xr:uid="{37E90AA6-50E7-49E8-B23A-D6A6214E5DDC}">
      <text>
        <r>
          <rPr>
            <sz val="9"/>
            <color indexed="81"/>
            <rFont val="宋体"/>
            <family val="3"/>
            <charset val="134"/>
          </rPr>
          <t xml:space="preserve">1v1时玩家承伤
建议根据推荐承伤做细调
</t>
        </r>
      </text>
    </comment>
    <comment ref="U5" authorId="0" shapeId="0" xr:uid="{63B7F4A3-4528-4B11-A10D-06B83963B71C}">
      <text>
        <r>
          <rPr>
            <sz val="9"/>
            <color indexed="81"/>
            <rFont val="宋体"/>
            <family val="3"/>
            <charset val="134"/>
          </rPr>
          <t>属性计算核心值
来自数值定位点，需要在【模板计算相关数据】中配置号该定位点的玩家属性情况</t>
        </r>
      </text>
    </comment>
    <comment ref="V5" authorId="0" shapeId="0" xr:uid="{F38E4400-0E1B-488F-9496-9B8FDA591C96}">
      <text>
        <r>
          <rPr>
            <sz val="9"/>
            <color indexed="81"/>
            <rFont val="宋体"/>
            <family val="3"/>
            <charset val="134"/>
          </rPr>
          <t xml:space="preserve">在计算等级的基础上虚高3-5级，初期主线额外处理，中后期稳定高5级
</t>
        </r>
      </text>
    </comment>
    <comment ref="W5" authorId="0" shapeId="0" xr:uid="{915B1F2F-1120-449A-865C-40E7E9CA7779}">
      <text>
        <r>
          <rPr>
            <b/>
            <sz val="9"/>
            <color indexed="81"/>
            <rFont val="宋体"/>
            <family val="3"/>
            <charset val="134"/>
          </rPr>
          <t>计算属性使用，也是公式</t>
        </r>
      </text>
    </comment>
    <comment ref="Z5" authorId="0" shapeId="0" xr:uid="{60548582-F8D2-4810-87C1-6F30EDBBC722}">
      <text>
        <r>
          <rPr>
            <b/>
            <sz val="9"/>
            <color indexed="81"/>
            <rFont val="宋体"/>
            <family val="3"/>
            <charset val="134"/>
          </rPr>
          <t>hp/atk/ac/re为乘法系数，spd/cc/cr/cres/效命效抵是加法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U5" authorId="0" shapeId="0" xr:uid="{5BE1F8C8-AEAB-4CB6-B5BB-5F25A17BD347}">
      <text>
        <r>
          <rPr>
            <sz val="9"/>
            <color indexed="81"/>
            <rFont val="宋体"/>
            <family val="3"/>
            <charset val="134"/>
          </rPr>
          <t xml:space="preserve">使用【战斗剧情】的id
[剧情id]随机播一个，可用0代表无台词来稀释台词概率
</t>
        </r>
      </text>
    </comment>
    <comment ref="L384" authorId="0" shapeId="0" xr:uid="{998DF08D-9314-497E-B53B-8B594A4EAA55}">
      <text>
        <r>
          <rPr>
            <b/>
            <sz val="9"/>
            <color indexed="81"/>
            <rFont val="宋体"/>
            <family val="3"/>
            <charset val="134"/>
          </rPr>
          <t>fengzhuang:
等kmc做机制，先去掉了被动</t>
        </r>
      </text>
    </comment>
    <comment ref="L390" authorId="0" shapeId="0" xr:uid="{9756BFF5-834A-4316-9F31-698934D11AAF}">
      <text>
        <r>
          <rPr>
            <b/>
            <sz val="9"/>
            <color indexed="81"/>
            <rFont val="宋体"/>
            <family val="3"/>
            <charset val="134"/>
          </rPr>
          <t>fengzhuang:
等kmc做机制，先去掉了被动</t>
        </r>
      </text>
    </comment>
    <comment ref="L474" authorId="0" shapeId="0" xr:uid="{2203A4BD-F520-4F0D-8F8B-C12FDF3FC7AD}">
      <text>
        <r>
          <rPr>
            <b/>
            <sz val="9"/>
            <color indexed="81"/>
            <rFont val="宋体"/>
            <family val="3"/>
            <charset val="134"/>
          </rPr>
          <t>09技能的系别克制去掉了，正式要加回来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B14839B1-BAC1-45A1-9376-167D5BCD3C3D}">
      <text>
        <r>
          <rPr>
            <sz val="9"/>
            <color indexed="81"/>
            <rFont val="宋体"/>
            <family val="3"/>
            <charset val="134"/>
          </rPr>
          <t xml:space="preserve">可直接增加标签，无需ui美术程序
</t>
        </r>
      </text>
    </comment>
  </commentList>
</comments>
</file>

<file path=xl/sharedStrings.xml><?xml version="1.0" encoding="utf-8"?>
<sst xmlns="http://schemas.openxmlformats.org/spreadsheetml/2006/main" count="7490" uniqueCount="1987">
  <si>
    <t>怪物类型</t>
  </si>
  <si>
    <t>模型</t>
  </si>
  <si>
    <t>技能</t>
  </si>
  <si>
    <t>id</t>
  </si>
  <si>
    <t>Name</t>
  </si>
  <si>
    <t>Type</t>
  </si>
  <si>
    <t>ResId</t>
  </si>
  <si>
    <t>Profession</t>
  </si>
  <si>
    <t>Qua</t>
  </si>
  <si>
    <t>Si</t>
  </si>
  <si>
    <t>Skill</t>
  </si>
  <si>
    <t>SuSkill</t>
  </si>
  <si>
    <t>BaHp</t>
  </si>
  <si>
    <t>BaAtk</t>
  </si>
  <si>
    <t>BaDef</t>
  </si>
  <si>
    <t>BaSpDef</t>
  </si>
  <si>
    <t>BaSpd</t>
  </si>
  <si>
    <t>BaCrt</t>
  </si>
  <si>
    <t>HpIn</t>
  </si>
  <si>
    <t>AtkIn</t>
  </si>
  <si>
    <t>DefIn</t>
  </si>
  <si>
    <t>SpDefIn</t>
  </si>
  <si>
    <t>SpdIn</t>
  </si>
  <si>
    <t>int</t>
  </si>
  <si>
    <t>string</t>
  </si>
  <si>
    <t>int[]</t>
  </si>
  <si>
    <t>I</t>
  </si>
  <si>
    <t>S|N</t>
  </si>
  <si>
    <t xml:space="preserve">I|N </t>
  </si>
  <si>
    <t>I|N</t>
  </si>
  <si>
    <t>#</t>
  </si>
  <si>
    <t>L</t>
  </si>
  <si>
    <t>L|N</t>
  </si>
  <si>
    <t>Sex</t>
  </si>
  <si>
    <t>Org</t>
  </si>
  <si>
    <t>UType</t>
  </si>
  <si>
    <t>quality</t>
  </si>
  <si>
    <t>Skill2</t>
  </si>
  <si>
    <t>CritDmg</t>
  </si>
  <si>
    <t>CritRes</t>
  </si>
  <si>
    <t>BuffHit</t>
  </si>
  <si>
    <t>BuffRes</t>
  </si>
  <si>
    <t>Dodge</t>
  </si>
  <si>
    <t>#id</t>
  </si>
  <si>
    <t>名字</t>
  </si>
  <si>
    <t>性别</t>
  </si>
  <si>
    <r>
      <rPr>
        <sz val="11"/>
        <color theme="1"/>
        <rFont val="等线"/>
        <family val="3"/>
        <charset val="134"/>
        <scheme val="minor"/>
      </rPr>
      <t>系</t>
    </r>
    <r>
      <rPr>
        <sz val="11"/>
        <color theme="1"/>
        <rFont val="等线"/>
        <family val="3"/>
        <charset val="134"/>
        <scheme val="minor"/>
      </rPr>
      <t>别</t>
    </r>
  </si>
  <si>
    <t>职业</t>
  </si>
  <si>
    <t>势力标签</t>
  </si>
  <si>
    <t>作战单位</t>
  </si>
  <si>
    <t>稀有度</t>
  </si>
  <si>
    <t>角色标签</t>
  </si>
  <si>
    <t>替换技能预加载</t>
  </si>
  <si>
    <t>支援技能</t>
  </si>
  <si>
    <t>初始生命</t>
  </si>
  <si>
    <t>初始攻击</t>
  </si>
  <si>
    <t>初始防御</t>
  </si>
  <si>
    <t>初始法防</t>
  </si>
  <si>
    <t>初始速度</t>
  </si>
  <si>
    <t>初始暴击率</t>
  </si>
  <si>
    <t>初始暴击倍率</t>
  </si>
  <si>
    <t>初始暴抗</t>
  </si>
  <si>
    <t>初始效果命中</t>
  </si>
  <si>
    <t>初始效果抵抗</t>
  </si>
  <si>
    <t>初始闪避率</t>
  </si>
  <si>
    <t>攻击成长</t>
  </si>
  <si>
    <t>物防成长</t>
  </si>
  <si>
    <t>法防成长</t>
  </si>
  <si>
    <t>速度成长</t>
  </si>
  <si>
    <t>[100101,100102,100103,100104]</t>
  </si>
  <si>
    <t>星期六</t>
  </si>
  <si>
    <t>[1,2,4]</t>
  </si>
  <si>
    <t>[100801,100802,100803,100804]</t>
  </si>
  <si>
    <t>玉露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</si>
  <si>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1,2,5]</t>
    </r>
  </si>
  <si>
    <t>[1,2,5]</t>
  </si>
  <si>
    <t>[100901,100902,100903,100904]</t>
  </si>
  <si>
    <t>[103001,103002,103003,103004]</t>
  </si>
  <si>
    <t>[102501,102502,102503,102504,102506]</t>
  </si>
  <si>
    <t>隐光</t>
  </si>
  <si>
    <t>[103501,103502,103503,103504]</t>
  </si>
  <si>
    <t>[101601,101602,101603,101604]</t>
  </si>
  <si>
    <t>繁夏</t>
  </si>
  <si>
    <t>[102601,102602,102603,102604]</t>
  </si>
  <si>
    <t>铣刀</t>
  </si>
  <si>
    <t>[102801,102802,102803,102804]</t>
  </si>
  <si>
    <t>[105401,105402,105403,105404]</t>
  </si>
  <si>
    <t>[101901,101902,101903,101904]</t>
  </si>
  <si>
    <t>[1,2,6]</t>
  </si>
  <si>
    <t>[100601,100602,100603,100604]</t>
  </si>
  <si>
    <t>素模输出</t>
  </si>
  <si>
    <t>素模辅助</t>
  </si>
  <si>
    <t>素模治疗</t>
  </si>
  <si>
    <t>c2-减益恶魔</t>
  </si>
  <si>
    <t>c3-法师</t>
  </si>
  <si>
    <t>c4-hot辅助</t>
  </si>
  <si>
    <t>d1-替补突击</t>
  </si>
  <si>
    <t>d2-替补恶魔</t>
  </si>
  <si>
    <t>千秋试用</t>
  </si>
  <si>
    <t>奶妈</t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</si>
  <si>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1,2,8]</t>
    </r>
  </si>
  <si>
    <t>ai测试</t>
  </si>
  <si>
    <t>[20201]</t>
  </si>
  <si>
    <t>[20801,20802]</t>
  </si>
  <si>
    <t>[21101,21102]</t>
  </si>
  <si>
    <t>[21301]</t>
  </si>
  <si>
    <t>冒字测试</t>
  </si>
  <si>
    <t>[201401,201402,201404]</t>
  </si>
  <si>
    <t>Model</t>
  </si>
  <si>
    <t>AIType</t>
  </si>
  <si>
    <t>AIPa</t>
  </si>
  <si>
    <t>Lv</t>
  </si>
  <si>
    <t>Hp</t>
  </si>
  <si>
    <t>Atk</t>
  </si>
  <si>
    <t>Def</t>
  </si>
  <si>
    <t>SpDef</t>
  </si>
  <si>
    <t>Spd</t>
  </si>
  <si>
    <t>Crt</t>
  </si>
  <si>
    <t>BH</t>
  </si>
  <si>
    <t>BR</t>
  </si>
  <si>
    <t>Dd</t>
  </si>
  <si>
    <t>作战类型</t>
  </si>
  <si>
    <t>ai模板</t>
  </si>
  <si>
    <t>ai模板参数</t>
  </si>
  <si>
    <t>怪物承伤</t>
  </si>
  <si>
    <t>玩家承伤</t>
  </si>
  <si>
    <t>职业(计算)</t>
  </si>
  <si>
    <t>hp调整</t>
  </si>
  <si>
    <t>atk调整</t>
  </si>
  <si>
    <t>ac调整</t>
  </si>
  <si>
    <t>re调整</t>
  </si>
  <si>
    <t>spd调整</t>
  </si>
  <si>
    <t>cc调整</t>
  </si>
  <si>
    <t>cr调整</t>
  </si>
  <si>
    <t>cRes调整</t>
  </si>
  <si>
    <t>效命调整</t>
  </si>
  <si>
    <t>效抵调整</t>
  </si>
  <si>
    <t>生命</t>
  </si>
  <si>
    <t>攻击</t>
  </si>
  <si>
    <t>物防</t>
  </si>
  <si>
    <t>法防</t>
  </si>
  <si>
    <t>速度</t>
  </si>
  <si>
    <t>暴击率</t>
  </si>
  <si>
    <t>暴击倍率</t>
  </si>
  <si>
    <t>暴抗</t>
  </si>
  <si>
    <t>效果命中</t>
  </si>
  <si>
    <t>效果抵抗</t>
  </si>
  <si>
    <t>闪避率</t>
  </si>
  <si>
    <t>强攻型白雏鹰</t>
  </si>
  <si>
    <t>[1000401,1000402,1000403]</t>
  </si>
  <si>
    <t>小怪关</t>
  </si>
  <si>
    <t>常规怪</t>
  </si>
  <si>
    <t>强攻</t>
  </si>
  <si>
    <t>防护型白雏鹰</t>
  </si>
  <si>
    <t>[1000501,1000502,1000503]</t>
  </si>
  <si>
    <t>防护(物)</t>
  </si>
  <si>
    <t>[1000601,1000602,1000603,1000604]</t>
  </si>
  <si>
    <t>精英关</t>
  </si>
  <si>
    <t>精英怪</t>
  </si>
  <si>
    <t>突击(物)</t>
  </si>
  <si>
    <t>女性观画者</t>
  </si>
  <si>
    <t>[1000701,1000702,1000703]</t>
  </si>
  <si>
    <t>特攻</t>
  </si>
  <si>
    <t>男性观画者</t>
  </si>
  <si>
    <t>[1000801,1000802,1000803]</t>
  </si>
  <si>
    <t>精英观画者</t>
  </si>
  <si>
    <t>[1000901,1000902,1000903]</t>
  </si>
  <si>
    <t>“热情”</t>
  </si>
  <si>
    <t>[1001001,1001002,1001003,1001005,1001006]</t>
  </si>
  <si>
    <t>[1001004]</t>
  </si>
  <si>
    <t>辅助(物)</t>
  </si>
  <si>
    <t>“才能”</t>
  </si>
  <si>
    <t>[1001104]</t>
  </si>
  <si>
    <t>“灵感”</t>
  </si>
  <si>
    <t>[1001201,1001202,1001203,1001205,1001206]</t>
  </si>
  <si>
    <t>[1001204]</t>
  </si>
  <si>
    <t>“框外风景”</t>
  </si>
  <si>
    <t>单boss</t>
  </si>
  <si>
    <t>boss</t>
  </si>
  <si>
    <t>[2000101,2000102]</t>
  </si>
  <si>
    <t>[2000401,2000402,2000403,2000404]</t>
  </si>
  <si>
    <t>巨构</t>
  </si>
  <si>
    <t>残王</t>
  </si>
  <si>
    <t>[1000101,1000102,1000103,1000104]</t>
  </si>
  <si>
    <t>火车头</t>
  </si>
  <si>
    <t>[1000201,1000202,1000203,1000204,1000205,1000206]</t>
  </si>
  <si>
    <t>宇航员</t>
  </si>
  <si>
    <t>[1000301,1000302,1000303,1000304]</t>
  </si>
  <si>
    <t>测试用角色1</t>
  </si>
  <si>
    <t>[20101]</t>
  </si>
  <si>
    <t>角色2</t>
  </si>
  <si>
    <t>角色3</t>
  </si>
  <si>
    <t>[20301,20302]</t>
  </si>
  <si>
    <t>角色4</t>
  </si>
  <si>
    <t>[20401]</t>
  </si>
  <si>
    <t>角色5</t>
  </si>
  <si>
    <t>[20501,20502,20503]</t>
  </si>
  <si>
    <t>角色6</t>
  </si>
  <si>
    <t>[20601,20602,20603]</t>
  </si>
  <si>
    <t>角色7</t>
  </si>
  <si>
    <t>[20701,20702]</t>
  </si>
  <si>
    <t>角色8</t>
  </si>
  <si>
    <t>角色9</t>
  </si>
  <si>
    <t>[20901,20902,20903]</t>
  </si>
  <si>
    <t>角色10</t>
  </si>
  <si>
    <t>[21001,21002,21003]</t>
  </si>
  <si>
    <t>角色11</t>
  </si>
  <si>
    <t>角色12</t>
  </si>
  <si>
    <t>[21201,21202]</t>
  </si>
  <si>
    <t>角色13</t>
  </si>
  <si>
    <t>角色14</t>
  </si>
  <si>
    <t>[21401,21402]</t>
  </si>
  <si>
    <t>角色15</t>
  </si>
  <si>
    <t>[21501,21502,21503]</t>
  </si>
  <si>
    <t>角色16</t>
  </si>
  <si>
    <t>[21601,21602,21603]</t>
  </si>
  <si>
    <t>角色17</t>
  </si>
  <si>
    <t>[21701,21702,21703]</t>
  </si>
  <si>
    <t>角色18</t>
  </si>
  <si>
    <t>[21801,21802,21803,21804]</t>
  </si>
  <si>
    <t>角色19</t>
  </si>
  <si>
    <t>[21901,21902,21903]</t>
  </si>
  <si>
    <t>[30100101]</t>
  </si>
  <si>
    <t>标准人</t>
  </si>
  <si>
    <t>[30100201,30100204,30100205]</t>
  </si>
  <si>
    <t>[30100301,30100304,30100305]</t>
  </si>
  <si>
    <t>[30100401,30100404,30100405]</t>
  </si>
  <si>
    <t>[30310101,30310102,30310103]</t>
  </si>
  <si>
    <t>[30310201,30310202,30310203]</t>
  </si>
  <si>
    <t>[30310301,30310302,30310303]</t>
  </si>
  <si>
    <t>[30310401,30310402,30310403]</t>
  </si>
  <si>
    <t>[30310501,30310502]</t>
  </si>
  <si>
    <t>[30310601,30310602]</t>
  </si>
  <si>
    <t>[30320101,30320102,30320104]</t>
  </si>
  <si>
    <t>防护(法)</t>
  </si>
  <si>
    <t>[30320201,30320202,30320204]</t>
  </si>
  <si>
    <t>[30320301,30320302,30320304]</t>
  </si>
  <si>
    <t>[30320401,30320402,30320404]</t>
  </si>
  <si>
    <t>[30320501,30320502]</t>
  </si>
  <si>
    <t>[30320601,30320602,30320604]</t>
  </si>
  <si>
    <t>[30320701,30320702,30320704]</t>
  </si>
  <si>
    <t>[30320801,30320802,30320804]</t>
  </si>
  <si>
    <t>[30320901,30320902]</t>
  </si>
  <si>
    <t>突击(法)</t>
  </si>
  <si>
    <t>[30321001,30321002,30321004]</t>
  </si>
  <si>
    <t>[30321101,30321102,30321104]</t>
  </si>
  <si>
    <t>[30321201,30321202,30321204]</t>
  </si>
  <si>
    <t>[30330101,30330102]</t>
  </si>
  <si>
    <t>[30330201,30330202]</t>
  </si>
  <si>
    <t>[30330301,30330302]</t>
  </si>
  <si>
    <t>[30330401,30330402]</t>
  </si>
  <si>
    <t>[30330501,30330502,30330504]</t>
  </si>
  <si>
    <t>[30330601,30330602,30330604]</t>
  </si>
  <si>
    <t>[30330701,30330702,30330704]</t>
  </si>
  <si>
    <t>[30330901,30330902,30330904,30330905]</t>
  </si>
  <si>
    <t>辅助(法)</t>
  </si>
  <si>
    <t>[30331001,30331002,30331004,30331005]</t>
  </si>
  <si>
    <t>[30331101,30331102,30331104,30331105]</t>
  </si>
  <si>
    <t>[30331201,30331202,30331204,30331205]</t>
  </si>
  <si>
    <t>[30410101,30410102,30410104,30410105]</t>
  </si>
  <si>
    <t>[30410201,30410202,30410204,30410205]</t>
  </si>
  <si>
    <t>[30410301,30410302,30410303,30410304,30410305]</t>
  </si>
  <si>
    <t>[30410401,30410402,30410403,30410404,30410405]</t>
  </si>
  <si>
    <t>[30410501,30410502]</t>
  </si>
  <si>
    <t>[30410601,30410602,30410604]</t>
  </si>
  <si>
    <t>[30410701,30410702,30410704]</t>
  </si>
  <si>
    <t>[30410801,30410802,30410804]</t>
  </si>
  <si>
    <t>[30410901,30410902]</t>
  </si>
  <si>
    <t>[30411001,30411002,30411003,30411004]</t>
  </si>
  <si>
    <t>[30411101,30411102,30411103,30411104]</t>
  </si>
  <si>
    <t>[30411201,30411202,30411203,30411204]</t>
  </si>
  <si>
    <t>[30420101,30420102]</t>
  </si>
  <si>
    <t>[30420201,30420202,30420204,30420205]</t>
  </si>
  <si>
    <t>[30420301,30420302,30420304,30420305]</t>
  </si>
  <si>
    <t>[30420401,30420402,30420404,30420405]</t>
  </si>
  <si>
    <t>[30420501,30420502,30420504]</t>
  </si>
  <si>
    <t>[30420601,30420602,30420604]</t>
  </si>
  <si>
    <t>[30420701,30420702,30420704]</t>
  </si>
  <si>
    <t>[30420801,30420802,30420804]</t>
  </si>
  <si>
    <t>[30420901,30420902]</t>
  </si>
  <si>
    <t>[30421001,30421002,30421003]</t>
  </si>
  <si>
    <t>[30421101,30421102,30421103]</t>
  </si>
  <si>
    <t>[30421201,30421202,30421203]</t>
  </si>
  <si>
    <t>[30430101,30430102]</t>
  </si>
  <si>
    <t>[30430201,30430202,30430204]</t>
  </si>
  <si>
    <t>[30430301,30430302,30430304]</t>
  </si>
  <si>
    <t>[30430401,30430402,30430404]</t>
  </si>
  <si>
    <t>[30430501,30430502]</t>
  </si>
  <si>
    <t>[30430601,30430602,30430604]</t>
  </si>
  <si>
    <t>[30430701,30430702,30430704]</t>
  </si>
  <si>
    <t>[30430801,30430802,30430804]</t>
  </si>
  <si>
    <t>[30430901,30430902,30430904]</t>
  </si>
  <si>
    <t>[30431001,30431002,30431004]</t>
  </si>
  <si>
    <t>[30431101,30431102,30431104]</t>
  </si>
  <si>
    <t>[30431201,30431202,30431204]</t>
  </si>
  <si>
    <t>[30440101,30440102]</t>
  </si>
  <si>
    <t>[30440201,30440202]</t>
  </si>
  <si>
    <t>[30440301,30440302]</t>
  </si>
  <si>
    <t>[30440401,30440402]</t>
  </si>
  <si>
    <t>[30440501,30440502]</t>
  </si>
  <si>
    <t>[30440601,30440602,30440604]</t>
  </si>
  <si>
    <t>[30440701,30440702,30440704]</t>
  </si>
  <si>
    <t>[30440801,30440802,30440804]</t>
  </si>
  <si>
    <t>[30440901,30440902,30440904]</t>
  </si>
  <si>
    <t>[30441001,30441002,30441004]</t>
  </si>
  <si>
    <t>[30441101,30441102,30441104]</t>
  </si>
  <si>
    <t>[30441201,30441202,30441204]</t>
  </si>
  <si>
    <t>[30610701,30610702,30610704]</t>
  </si>
  <si>
    <t>[30610801,30610802,30610804]</t>
  </si>
  <si>
    <t>信boss</t>
  </si>
  <si>
    <t>信强攻</t>
  </si>
  <si>
    <t>[30620601,30620602,30620604]</t>
  </si>
  <si>
    <t>[30620701,30620702,30620704]</t>
  </si>
  <si>
    <t>[30620801,30620802,30620804]</t>
  </si>
  <si>
    <t>信特攻</t>
  </si>
  <si>
    <t>[30620901,30620902,30620904]</t>
  </si>
  <si>
    <t>[30621001,30621002,30621004]</t>
  </si>
  <si>
    <t>[30621101,30621102,30621104]</t>
  </si>
  <si>
    <t>情boss</t>
  </si>
  <si>
    <t>情突击</t>
  </si>
  <si>
    <t>pve21-1特攻</t>
  </si>
  <si>
    <t>[30710101,30710102]</t>
  </si>
  <si>
    <t>[30710201,30710202]</t>
  </si>
  <si>
    <t>[30710301,30710302,30710303]</t>
  </si>
  <si>
    <t>[30710401,30710402,30710403]</t>
  </si>
  <si>
    <t>[30710501,30710502,30710503]</t>
  </si>
  <si>
    <t>突击</t>
  </si>
  <si>
    <t>[30710601,30710602]</t>
  </si>
  <si>
    <t>[30710701,30710702]</t>
  </si>
  <si>
    <t>[30710801,30710802,30710803]</t>
  </si>
  <si>
    <t>[30710901,30710902,30710903]</t>
  </si>
  <si>
    <t>[30711001,30711002,30711003]</t>
  </si>
  <si>
    <t>法盾</t>
  </si>
  <si>
    <t>[30711101,30711102,30711103]</t>
  </si>
  <si>
    <t>[30711201,30711202,30711203]</t>
  </si>
  <si>
    <t>[30711301,30711302,30711303]</t>
  </si>
  <si>
    <t>[30711401,30711402,30711403]</t>
  </si>
  <si>
    <t>1-2强攻</t>
  </si>
  <si>
    <t>[30711501,30711502]</t>
  </si>
  <si>
    <t>[30711601,30711602]</t>
  </si>
  <si>
    <t>[30711701,30711702,30711704]</t>
  </si>
  <si>
    <t>[30711801,30711802,30711804]</t>
  </si>
  <si>
    <t>[30711901,30711902,30711904]</t>
  </si>
  <si>
    <t>辅助</t>
  </si>
  <si>
    <t>[30712001,30712002]</t>
  </si>
  <si>
    <t>[30713001,30713002]</t>
  </si>
  <si>
    <t>[30714001,30714002]</t>
  </si>
  <si>
    <t>[30715001,30715002]</t>
  </si>
  <si>
    <t>[30712401,30712402]</t>
  </si>
  <si>
    <t>[30712501,30712502,30712504]</t>
  </si>
  <si>
    <t>[30712601,30712602,30712604]</t>
  </si>
  <si>
    <t>[30712701,30712702,30712704]</t>
  </si>
  <si>
    <t>[30712801,30712802,30712804]</t>
  </si>
  <si>
    <t>1-4强攻</t>
  </si>
  <si>
    <t>[30712901,30712902]</t>
  </si>
  <si>
    <t>[30713101,30713102]</t>
  </si>
  <si>
    <t>[30713201,30713202]</t>
  </si>
  <si>
    <t>[30713301,30713302]</t>
  </si>
  <si>
    <t>[30713401,30713402]</t>
  </si>
  <si>
    <t>[30713501,30713502]</t>
  </si>
  <si>
    <t>[30713601,30713602,30713604]</t>
  </si>
  <si>
    <t>[30713701,30713702,30713704]</t>
  </si>
  <si>
    <t>1-5特攻1</t>
  </si>
  <si>
    <t>[30713801,30713802,30713804]</t>
  </si>
  <si>
    <t>特攻1</t>
  </si>
  <si>
    <t>[30713901,30713902,30713904]</t>
  </si>
  <si>
    <t>[30714001,30714002,30714004]</t>
  </si>
  <si>
    <t>[30714101,30714102]</t>
  </si>
  <si>
    <t>[30714201,30714202]</t>
  </si>
  <si>
    <t>[30714301,30714302]</t>
  </si>
  <si>
    <t>特攻2</t>
  </si>
  <si>
    <t>[30714401,30714402,30714404]</t>
  </si>
  <si>
    <t>[30714501,30714502,30714504]</t>
  </si>
  <si>
    <t>[30714601,30714602,30714604]</t>
  </si>
  <si>
    <t>[30750601,30750602]</t>
  </si>
  <si>
    <t>[30750701,30750702,30750704]</t>
  </si>
  <si>
    <t>[30750801,30750802,30750804]</t>
  </si>
  <si>
    <t>[30750901,30750902,30750904]</t>
  </si>
  <si>
    <t>[30751001,30751002,30751004]</t>
  </si>
  <si>
    <t>[30751101,30751102]</t>
  </si>
  <si>
    <t>[30751201,30751202,30751203]</t>
  </si>
  <si>
    <t>[30751301,30751302,30751303,30751304,30751306]</t>
  </si>
  <si>
    <t>[30751401,30751402,30751403,30751404,30751406]</t>
  </si>
  <si>
    <t>5-2突击</t>
  </si>
  <si>
    <t>[30751501,30751502,30751503]</t>
  </si>
  <si>
    <t>[30751601,30751602,30751603]</t>
  </si>
  <si>
    <t>[30751701,30751702,30751703]</t>
  </si>
  <si>
    <t>[30751801,30751802,30751803]</t>
  </si>
  <si>
    <t>[30751901,30751902,30751903]</t>
  </si>
  <si>
    <t>防护</t>
  </si>
  <si>
    <t>[30752001,30752002,30752004]</t>
  </si>
  <si>
    <t>[30752101,30752102,30752104]</t>
  </si>
  <si>
    <t>[30752201,30752202,30752204]</t>
  </si>
  <si>
    <t>[30752301,30752302,30752304]</t>
  </si>
  <si>
    <t>[30752401,30752402,30752404]</t>
  </si>
  <si>
    <t>[30752501,30752502,30752504]</t>
  </si>
  <si>
    <t>[30752601,30752602,30752604]</t>
  </si>
  <si>
    <t>[30752701,30752702,30752704]</t>
  </si>
  <si>
    <t>[30752801,30752802,30752804]</t>
  </si>
  <si>
    <t>[30752901,30752902]</t>
  </si>
  <si>
    <t>[30753001,30753002,30753004]</t>
  </si>
  <si>
    <t>[30753101,30753102,30753104]</t>
  </si>
  <si>
    <t>[30753201,30753202,30753204]</t>
  </si>
  <si>
    <t>[30753301,30753302,30753304]</t>
  </si>
  <si>
    <t>5-3辅助</t>
  </si>
  <si>
    <t>[30753401,30753402,30753403]</t>
  </si>
  <si>
    <t>[30753501,30753502,30753503]</t>
  </si>
  <si>
    <t>[30753601,30753602,30753603,30753604]</t>
  </si>
  <si>
    <t>[30753701,30753702,30753703,30753704]</t>
  </si>
  <si>
    <t>[30753801,30753802,30753803,30753804]</t>
  </si>
  <si>
    <t>[30753901,30753902]</t>
  </si>
  <si>
    <t>[30754001,30754002,30754004]</t>
  </si>
  <si>
    <t>[30754101,30754102,30754104]</t>
  </si>
  <si>
    <t>[30754201,30754202,30754204]</t>
  </si>
  <si>
    <t>[30754301,30754302]</t>
  </si>
  <si>
    <t>[30754401,30754402]</t>
  </si>
  <si>
    <t>[30754501,30754502]</t>
  </si>
  <si>
    <t>[30754601,30754602]</t>
  </si>
  <si>
    <t>[30754701,30754702]</t>
  </si>
  <si>
    <t>5-4特攻</t>
  </si>
  <si>
    <t>[30754801,30754802]</t>
  </si>
  <si>
    <t>[30754901,30754902,30754904]</t>
  </si>
  <si>
    <t>[30755001,30755002,30755004]</t>
  </si>
  <si>
    <t>[30755101,30755102,30755104]</t>
  </si>
  <si>
    <t>[30755201,30755202,30755204]</t>
  </si>
  <si>
    <t>[30755301,30755302,30755303]</t>
  </si>
  <si>
    <t>[30755401,30755402,30755403]</t>
  </si>
  <si>
    <t>[30755501,30755502,30755503,30755504,30755506]</t>
  </si>
  <si>
    <t>[30755601,30755602,30755603,30755504,30755606]</t>
  </si>
  <si>
    <t>[30755701,30755702,30755703,30755704,30755706]</t>
  </si>
  <si>
    <t>[30755801,30755802,30755804,30755806]</t>
  </si>
  <si>
    <t>[30755901,30755902,30755904,30755906]</t>
  </si>
  <si>
    <t>[30756001,30756002,30756004,30756006]</t>
  </si>
  <si>
    <t>[30756101,30756102,30756104,30756106]</t>
  </si>
  <si>
    <t>5-5防护</t>
  </si>
  <si>
    <t>[30756201,30756204]</t>
  </si>
  <si>
    <t>[30756301,30756304]</t>
  </si>
  <si>
    <t>[30756401,30756404]</t>
  </si>
  <si>
    <t>[30756501,30756502,30756504]</t>
  </si>
  <si>
    <t>[30756601,30756602,30756604]</t>
  </si>
  <si>
    <t>[30756701,30756702,30756704]</t>
  </si>
  <si>
    <t>[30756801,30756802,30756804]</t>
  </si>
  <si>
    <t>[30756901,30756902,30756904]</t>
  </si>
  <si>
    <t>[30757001,30757002,30757004]</t>
  </si>
  <si>
    <t>[30757101,30757102,30757104,30757106]</t>
  </si>
  <si>
    <t>[30757201,30757202,30757204,30757206]</t>
  </si>
  <si>
    <t>[30757301,30757302,30757304,30757306]</t>
  </si>
  <si>
    <t>[30757401,30757402]</t>
  </si>
  <si>
    <t>[30757501,30757502]</t>
  </si>
  <si>
    <t>[30757601,30757602]</t>
  </si>
  <si>
    <t>[30757701,30757702]</t>
  </si>
  <si>
    <t>[30757801,30757802]</t>
  </si>
  <si>
    <t>[30757901,30757902]</t>
  </si>
  <si>
    <t>[30758001,30758002]</t>
  </si>
  <si>
    <t>[30758101,30758102]</t>
  </si>
  <si>
    <t>[30758201,30758202]</t>
  </si>
  <si>
    <t>2-1防护</t>
  </si>
  <si>
    <t>[30720101,30720104]</t>
  </si>
  <si>
    <t>[30720201,30720204]</t>
  </si>
  <si>
    <t>[30720301,30720304]</t>
  </si>
  <si>
    <t>[30720401,30720404]</t>
  </si>
  <si>
    <t>[30720501,30720504]</t>
  </si>
  <si>
    <t>[30720601,30720602]</t>
  </si>
  <si>
    <t>[30720701,30720702]</t>
  </si>
  <si>
    <t>[30720801,30720802,30720804]</t>
  </si>
  <si>
    <t>[30720901,30720902,30720904]</t>
  </si>
  <si>
    <t>[30721001,30721002,30721004]</t>
  </si>
  <si>
    <t>[30721101,30721102]</t>
  </si>
  <si>
    <t>[30721201,30721202]</t>
  </si>
  <si>
    <t>[30721301,30721302,30721304,30721306]</t>
  </si>
  <si>
    <t>[30721401,30721302,30721404,30721406]</t>
  </si>
  <si>
    <t>[30721501,30721502,30721504,30721506]</t>
  </si>
  <si>
    <t>2-2强攻</t>
  </si>
  <si>
    <t>[30721601,30721602]</t>
  </si>
  <si>
    <t>[30721701,30721702,30721704]</t>
  </si>
  <si>
    <t>[30721801,30721802,30721804]</t>
  </si>
  <si>
    <t>[30721901,30721902,30721904]</t>
  </si>
  <si>
    <t>[30722001,30722002,30722004]</t>
  </si>
  <si>
    <t>[30722101,30722102]</t>
  </si>
  <si>
    <t>[30722201,30722202]</t>
  </si>
  <si>
    <t>[30722301,30722302]</t>
  </si>
  <si>
    <t>[30722401,30722402]</t>
  </si>
  <si>
    <t>[30722501,30722502]</t>
  </si>
  <si>
    <t>[30722601,30722602]</t>
  </si>
  <si>
    <t>[30722701,30722702,30722703]</t>
  </si>
  <si>
    <t>[30722801,30722802,30722803]</t>
  </si>
  <si>
    <t>[30722901,30722902,30722903]</t>
  </si>
  <si>
    <t>[30723001,30723002,30723003]</t>
  </si>
  <si>
    <t>2-3特攻1</t>
  </si>
  <si>
    <t>[30723101,30723102]</t>
  </si>
  <si>
    <t>[30723201,30723202,30723204]</t>
  </si>
  <si>
    <t>[30723601,30723602]</t>
  </si>
  <si>
    <t>[30723701,30723702,30723704]</t>
  </si>
  <si>
    <t>[30723801,30723802,30723804]</t>
  </si>
  <si>
    <t>[30723901,30723902,30723904]</t>
  </si>
  <si>
    <t>[30724001,30724002,30724004]</t>
  </si>
  <si>
    <t>[30724101,30724102]</t>
  </si>
  <si>
    <t>[30724201,30724202,30724204]</t>
  </si>
  <si>
    <t>[30724301,30724302,30724304]</t>
  </si>
  <si>
    <t>[30724401,30724402,30724404]</t>
  </si>
  <si>
    <t>[30724501,30724502,30724504]</t>
  </si>
  <si>
    <t>2-4辅助</t>
  </si>
  <si>
    <t>[30724601,30724602,30724603,30724604]</t>
  </si>
  <si>
    <t>[30724701,30724702,30724703,30724704]</t>
  </si>
  <si>
    <t>[30724801,30724802,30724803,30724804]</t>
  </si>
  <si>
    <t>[30724901,30724902,30724904]</t>
  </si>
  <si>
    <t>[30725001,30725002,30725004]</t>
  </si>
  <si>
    <t>[30725101,30725102,30725104]</t>
  </si>
  <si>
    <t>援护</t>
  </si>
  <si>
    <t>[30725201,30725202,30725204]</t>
  </si>
  <si>
    <t>[30725301,30725302,30725304]</t>
  </si>
  <si>
    <t>[30725401,30725402,30725404]</t>
  </si>
  <si>
    <t>2-5突击</t>
  </si>
  <si>
    <t>[30725501,30725502,30725503]</t>
  </si>
  <si>
    <t>[30725601,30725602,30725603]</t>
  </si>
  <si>
    <t>[30725701,30725702,30725703]</t>
  </si>
  <si>
    <t>[30725801,30725802]</t>
  </si>
  <si>
    <t>[30725901,30725902]</t>
  </si>
  <si>
    <t>[30726001,30726002]</t>
  </si>
  <si>
    <t>[30726101,30726102,30726104,30726106]</t>
  </si>
  <si>
    <t>[30726201,30726202,30726204,30726206]</t>
  </si>
  <si>
    <t>[30726301,30726302,30726304,30726306]</t>
  </si>
  <si>
    <t>4-1特攻</t>
  </si>
  <si>
    <t>[30740101,30740102]</t>
  </si>
  <si>
    <t>[30740201,30740202,30740204]</t>
  </si>
  <si>
    <t>[30740301,30740302,30740304]</t>
  </si>
  <si>
    <t>[30740401,30740402,30740404]</t>
  </si>
  <si>
    <t>[30740501,30740502,30740504]</t>
  </si>
  <si>
    <t>[30740601,30740602]</t>
  </si>
  <si>
    <t>[30740701,30740702,30740703]</t>
  </si>
  <si>
    <t>[30740801,30740802,30740803]</t>
  </si>
  <si>
    <t>[30740901,30740902,30740903]</t>
  </si>
  <si>
    <t>[30741001,30741002,30741003]</t>
  </si>
  <si>
    <t>[30741101,30741102]</t>
  </si>
  <si>
    <t>[30741201,30741202,30741203]</t>
  </si>
  <si>
    <t>[30741301,30741302,30741303]</t>
  </si>
  <si>
    <t>[30741401,30741402,30741403]</t>
  </si>
  <si>
    <t>[30741501,30741502,30741503]</t>
  </si>
  <si>
    <t>4-2特攻</t>
  </si>
  <si>
    <t>[30741601,30741602,30741604]</t>
  </si>
  <si>
    <t>[30741701,30741702,30741704]</t>
  </si>
  <si>
    <t>[30741801,30741802,30741804]</t>
  </si>
  <si>
    <t>[30741901,30741902,30741904]</t>
  </si>
  <si>
    <t>[30742001,30742002,30742004]</t>
  </si>
  <si>
    <t>[30742101,30742102]</t>
  </si>
  <si>
    <t>[30742201,30742202]</t>
  </si>
  <si>
    <t>[30742301,30742302,30742304]</t>
  </si>
  <si>
    <t>[30742401,30742402,30742404]</t>
  </si>
  <si>
    <t>[30742501,30742502,30742504]</t>
  </si>
  <si>
    <t>[30742601,30742602,30742604]</t>
  </si>
  <si>
    <t>[30742701,30742702,30742704]</t>
  </si>
  <si>
    <t>[30742801,30742802,30742804]</t>
  </si>
  <si>
    <t>[30742901,30742902,30742904]</t>
  </si>
  <si>
    <t>[30743001,30743002,30743004]</t>
  </si>
  <si>
    <t>4-3突击</t>
  </si>
  <si>
    <t>[30743101,30743102]</t>
  </si>
  <si>
    <t>[30743201,30743202,30743204]</t>
  </si>
  <si>
    <t>[30743301,30743302,30743304]</t>
  </si>
  <si>
    <t>[30743401,30743402,30743404]</t>
  </si>
  <si>
    <t>[30743501,30743502,30743504]</t>
  </si>
  <si>
    <t>[30743601,30743602]</t>
  </si>
  <si>
    <t>[30743701,30743702,30743704]</t>
  </si>
  <si>
    <t>[30743801,30743802,30743804]</t>
  </si>
  <si>
    <t>[30743901,30743902,30743904]</t>
  </si>
  <si>
    <t>[30744001,30744002,30744004]</t>
  </si>
  <si>
    <t>[30744101,30744102]</t>
  </si>
  <si>
    <t>[30744201,30744202,30744204]</t>
  </si>
  <si>
    <t>[30744301,30744302,30744304]</t>
  </si>
  <si>
    <t>[30744401,30744402,30744404]</t>
  </si>
  <si>
    <t>[30744501,30744502,30744504]</t>
  </si>
  <si>
    <t>4-4特攻</t>
  </si>
  <si>
    <t>[30744601,30744602]</t>
  </si>
  <si>
    <t>[30744701,30744702,30744704]</t>
  </si>
  <si>
    <t>[30744801,30744802,30744804]</t>
  </si>
  <si>
    <t>[30744901,30744902,30744904]</t>
  </si>
  <si>
    <t>[30745001,30745002,30745004]</t>
  </si>
  <si>
    <t>援护1</t>
  </si>
  <si>
    <t>[30745101,30745104]</t>
  </si>
  <si>
    <t>[30745201,30745204]</t>
  </si>
  <si>
    <t>[30745301,30745304]</t>
  </si>
  <si>
    <t>[30745401,30745404]</t>
  </si>
  <si>
    <t>[30745501,30745504]</t>
  </si>
  <si>
    <t>援护2</t>
  </si>
  <si>
    <t>[30745601,30745602,30745604]</t>
  </si>
  <si>
    <t>[30745701,30745702,30745704]</t>
  </si>
  <si>
    <t>[30745801,30745802,30745804]</t>
  </si>
  <si>
    <t>[30745901,30745902,30745904]</t>
  </si>
  <si>
    <t>[30746001,30746002,30746004]</t>
  </si>
  <si>
    <t>3-1精英</t>
  </si>
  <si>
    <t>[30730101,30730102]</t>
  </si>
  <si>
    <t>精英</t>
  </si>
  <si>
    <t>[30730201,30730202,30730203]</t>
  </si>
  <si>
    <t>[30730301,30730302,30730303]</t>
  </si>
  <si>
    <t>[30730401,30730402,30730403]</t>
  </si>
  <si>
    <t>[30730501,30730502,30730503]</t>
  </si>
  <si>
    <t>[30730601,30730602]</t>
  </si>
  <si>
    <t>[30730701,30730702,30730704]</t>
  </si>
  <si>
    <t>[30731601,30731602,30731604]</t>
  </si>
  <si>
    <t>[30731701,30731702,30731704]</t>
  </si>
  <si>
    <t>[30731801,30731802,30731804]</t>
  </si>
  <si>
    <t>[30731901,30731902,30731904]</t>
  </si>
  <si>
    <t>[30732001,30732002,30732004]</t>
  </si>
  <si>
    <t>[30732101,30732102,30732104,30732106]</t>
  </si>
  <si>
    <t>[30732201,30732202,30732204,30732206]</t>
  </si>
  <si>
    <t>[30732301,30732302,30732304,30732306]</t>
  </si>
  <si>
    <t>[30732401,30732402,30732404,30732406]</t>
  </si>
  <si>
    <t>[30732501,30732502,30732504,30732506]</t>
  </si>
  <si>
    <t>3-3精英</t>
  </si>
  <si>
    <t>[30733101,30733102,30733104]</t>
  </si>
  <si>
    <t>[30733201,30733202,30733204]</t>
  </si>
  <si>
    <t>[30733301,30733302,30733304]</t>
  </si>
  <si>
    <t>[30733401,30733402,30733404]</t>
  </si>
  <si>
    <t>[30733501,30733502,30733504]</t>
  </si>
  <si>
    <t>[30733601,30733602,30733604,30733606]</t>
  </si>
  <si>
    <t>[30733701,30733702,30733704,30733706]</t>
  </si>
  <si>
    <t>[30733801,30733802,30733804,30733806]</t>
  </si>
  <si>
    <t>[30733901,30733902,30733904,30733906]</t>
  </si>
  <si>
    <t>[30734001,30734002,30734004,30734006]</t>
  </si>
  <si>
    <t>[30734101,30734102,30734104,30734106]</t>
  </si>
  <si>
    <t>[30734201,30734202,30734204,30734206]</t>
  </si>
  <si>
    <t>[30734301,30734302,30734304,30734306]</t>
  </si>
  <si>
    <t>[30734401,30734402,30734404,30734406]</t>
  </si>
  <si>
    <t>[30734501,30734502,30734504,30734506]</t>
  </si>
  <si>
    <t>3-5强攻</t>
  </si>
  <si>
    <t>[30734601,30734602]</t>
  </si>
  <si>
    <t>[30734701,30734702]</t>
  </si>
  <si>
    <t>[30734801,30734802]</t>
  </si>
  <si>
    <t>[30734901,30734902]</t>
  </si>
  <si>
    <t>[30735001,30735002]</t>
  </si>
  <si>
    <t>[30735101,30735102]</t>
  </si>
  <si>
    <t>[30735201,30735202,30735204]</t>
  </si>
  <si>
    <t>[30735301,30735302,30735304]</t>
  </si>
  <si>
    <t>[30735401,30735402,30735404]</t>
  </si>
  <si>
    <t>3-6突击</t>
  </si>
  <si>
    <t>[30735501,30735502,30735504]</t>
  </si>
  <si>
    <t>[30735601,30735602,30735604]</t>
  </si>
  <si>
    <t>[30735701,30735702,30735704]</t>
  </si>
  <si>
    <t>战斗假人</t>
  </si>
  <si>
    <t>[30735801]</t>
  </si>
  <si>
    <t>[30735901]</t>
  </si>
  <si>
    <t>[30736001]</t>
  </si>
  <si>
    <t>玩家属性</t>
  </si>
  <si>
    <t>等级</t>
  </si>
  <si>
    <t>hp</t>
  </si>
  <si>
    <t>ad/ap</t>
  </si>
  <si>
    <t>ac</t>
  </si>
  <si>
    <t>re</t>
  </si>
  <si>
    <t>cc</t>
  </si>
  <si>
    <t>cr</t>
  </si>
  <si>
    <t>ccRes</t>
  </si>
  <si>
    <t>spd</t>
  </si>
  <si>
    <t>技能等级</t>
  </si>
  <si>
    <t>技能等级/系数关系</t>
  </si>
  <si>
    <t>承伤倍数</t>
  </si>
  <si>
    <t>承伤次数</t>
  </si>
  <si>
    <t>ac/re(*玩家属性）</t>
  </si>
  <si>
    <t>技能系数S</t>
  </si>
  <si>
    <t>ac/re*玩家ac/re</t>
  </si>
  <si>
    <t>ad/ap*常规怪ad/ap</t>
  </si>
  <si>
    <t>阵容模式的相关系数</t>
  </si>
  <si>
    <t>阵容/回合</t>
  </si>
  <si>
    <t>核心承伤</t>
  </si>
  <si>
    <t>真实承伤</t>
  </si>
  <si>
    <t>单波回合</t>
  </si>
  <si>
    <t>核心怪/单波</t>
  </si>
  <si>
    <t>真实承伤系数</t>
  </si>
  <si>
    <t>平均ad系数</t>
  </si>
  <si>
    <t>承担玩家数</t>
  </si>
  <si>
    <t>双子</t>
  </si>
  <si>
    <t>职业/通道属性倍数关系</t>
  </si>
  <si>
    <t>lv偏移</t>
  </si>
  <si>
    <t>AR等级消减</t>
  </si>
  <si>
    <t>等级区间</t>
  </si>
  <si>
    <t>探索本怪物属性倍数</t>
  </si>
  <si>
    <t>ac/re</t>
  </si>
  <si>
    <t>标签名称</t>
  </si>
  <si>
    <t>输出</t>
  </si>
  <si>
    <t>群体</t>
  </si>
  <si>
    <t>护盾</t>
  </si>
  <si>
    <t>治疗</t>
  </si>
  <si>
    <t>控制</t>
  </si>
  <si>
    <t>削弱</t>
  </si>
  <si>
    <t>驱散</t>
  </si>
  <si>
    <t>爆发</t>
  </si>
  <si>
    <t>生存</t>
  </si>
  <si>
    <t>防护型</t>
  </si>
  <si>
    <t>突击型</t>
  </si>
  <si>
    <t>强攻型</t>
  </si>
  <si>
    <t>特攻型</t>
  </si>
  <si>
    <t>辅助型</t>
  </si>
  <si>
    <t>(</t>
  </si>
  <si>
    <t>）</t>
  </si>
  <si>
    <t>HP</t>
  </si>
  <si>
    <t>AD/AP</t>
  </si>
  <si>
    <t>AC</t>
  </si>
  <si>
    <t>RE</t>
  </si>
  <si>
    <t>SPD</t>
  </si>
  <si>
    <t>防护型(物理）</t>
  </si>
  <si>
    <t>防护型(法术）</t>
  </si>
  <si>
    <t>突击型(物理）</t>
  </si>
  <si>
    <t>突击型(法术）</t>
  </si>
  <si>
    <t>辅助型(物理）</t>
  </si>
  <si>
    <t>辅助型(法术）</t>
  </si>
  <si>
    <t>强攻型(物理）</t>
  </si>
  <si>
    <t>特攻型(法术）</t>
  </si>
  <si>
    <t>属性比</t>
  </si>
  <si>
    <t>N</t>
  </si>
  <si>
    <t>无养成转化</t>
  </si>
  <si>
    <t>R</t>
  </si>
  <si>
    <t>SR</t>
  </si>
  <si>
    <t>SSR</t>
  </si>
  <si>
    <t>角色属性计算</t>
  </si>
  <si>
    <t>填写属性</t>
  </si>
  <si>
    <t>伤害通道</t>
  </si>
  <si>
    <t>职业x通道</t>
  </si>
  <si>
    <t>品质</t>
  </si>
  <si>
    <t>atk</t>
  </si>
  <si>
    <t>法术</t>
  </si>
  <si>
    <t>物理</t>
  </si>
  <si>
    <t>麻痹测试</t>
    <phoneticPr fontId="13" type="noConversion"/>
  </si>
  <si>
    <t>挣扎测试</t>
    <phoneticPr fontId="13" type="noConversion"/>
  </si>
  <si>
    <t>封锁测试</t>
    <phoneticPr fontId="13" type="noConversion"/>
  </si>
  <si>
    <t>护盾/无敌测试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</si>
  <si>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22001]</t>
    </r>
    <phoneticPr fontId="13" type="noConversion"/>
  </si>
  <si>
    <t>[22101]</t>
    <phoneticPr fontId="13" type="noConversion"/>
  </si>
  <si>
    <t>[22201]</t>
    <phoneticPr fontId="13" type="noConversion"/>
  </si>
  <si>
    <t>[22301,22302]</t>
    <phoneticPr fontId="13" type="noConversion"/>
  </si>
  <si>
    <t>怒气测试</t>
    <phoneticPr fontId="13" type="noConversion"/>
  </si>
  <si>
    <t>[22401,22402]</t>
    <phoneticPr fontId="13" type="noConversion"/>
  </si>
  <si>
    <t>Rank</t>
    <phoneticPr fontId="13" type="noConversion"/>
  </si>
  <si>
    <t>int</t>
    <phoneticPr fontId="13" type="noConversion"/>
  </si>
  <si>
    <t>#</t>
    <phoneticPr fontId="13" type="noConversion"/>
  </si>
  <si>
    <t>血条类型</t>
    <phoneticPr fontId="13" type="noConversion"/>
  </si>
  <si>
    <r>
      <rPr>
        <sz val="11"/>
        <color theme="1"/>
        <rFont val="等线"/>
        <family val="3"/>
        <charset val="134"/>
        <scheme val="minor"/>
      </rPr>
      <t>[</t>
    </r>
    <r>
      <rPr>
        <sz val="11"/>
        <color theme="1"/>
        <rFont val="等线"/>
        <family val="3"/>
        <charset val="134"/>
        <scheme val="minor"/>
      </rPr>
      <t>30500101</t>
    </r>
    <r>
      <rPr>
        <sz val="11"/>
        <color theme="1"/>
        <rFont val="等线"/>
        <family val="3"/>
        <charset val="134"/>
        <scheme val="minor"/>
      </rPr>
      <t>,30500102]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</si>
  <si>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3"/>
        <charset val="134"/>
        <scheme val="minor"/>
      </rPr>
      <t>,30500202]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</si>
  <si>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30500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3"/>
        <charset val="134"/>
        <scheme val="minor"/>
      </rPr>
      <t>,30500302]</t>
    </r>
  </si>
  <si>
    <r>
      <t>[</t>
    </r>
    <r>
      <rPr>
        <sz val="11"/>
        <color theme="1"/>
        <rFont val="等线"/>
        <family val="3"/>
        <charset val="134"/>
        <scheme val="minor"/>
      </rPr>
      <t>30500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3"/>
        <charset val="134"/>
        <scheme val="minor"/>
      </rPr>
      <t>,30500402]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</si>
  <si>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</t>
    </r>
    <r>
      <rPr>
        <sz val="11"/>
        <color theme="1"/>
        <rFont val="等线"/>
        <family val="3"/>
        <charset val="134"/>
        <scheme val="minor"/>
      </rPr>
      <t>,30500502]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</si>
  <si>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30500601,30500602]</t>
    </r>
    <phoneticPr fontId="13" type="noConversion"/>
  </si>
  <si>
    <t>[30500701,30500702]</t>
    <phoneticPr fontId="13" type="noConversion"/>
  </si>
  <si>
    <t>[30500801,30500802]</t>
    <phoneticPr fontId="13" type="noConversion"/>
  </si>
  <si>
    <t>[30500901,30500902]</t>
    <phoneticPr fontId="13" type="noConversion"/>
  </si>
  <si>
    <t>[30501001,30501002]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</si>
  <si>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30501101,30501102,30501104,30501105]</t>
    </r>
    <phoneticPr fontId="13" type="noConversion"/>
  </si>
  <si>
    <t>[30501201,30501202,30501204,30501205]</t>
    <phoneticPr fontId="13" type="noConversion"/>
  </si>
  <si>
    <t>[30501301,30501302,30501304,30501305,30501306]</t>
    <phoneticPr fontId="13" type="noConversion"/>
  </si>
  <si>
    <t>[30501401,30501402,30501404,30501405,30501406]</t>
    <phoneticPr fontId="13" type="noConversion"/>
  </si>
  <si>
    <t>[30501501,30501502,30501504,30501505,30501506]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</si>
  <si>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30501601,30501602,30501604]</t>
    </r>
    <phoneticPr fontId="13" type="noConversion"/>
  </si>
  <si>
    <t>[30501701,30501702,30501704]</t>
    <phoneticPr fontId="13" type="noConversion"/>
  </si>
  <si>
    <t>[30501801,30501802,30501804]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</si>
  <si>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30501901,30501902]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</si>
  <si>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30502001,30502002]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</si>
  <si>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30502101,30502102]</t>
    </r>
    <phoneticPr fontId="13" type="noConversion"/>
  </si>
  <si>
    <t>柯</t>
    <phoneticPr fontId="13" type="noConversion"/>
  </si>
  <si>
    <r>
      <t>1-</t>
    </r>
    <r>
      <rPr>
        <sz val="11"/>
        <color theme="1"/>
        <rFont val="等线"/>
        <family val="3"/>
        <charset val="134"/>
        <scheme val="minor"/>
      </rPr>
      <t>3玉露</t>
    </r>
    <phoneticPr fontId="13" type="noConversion"/>
  </si>
  <si>
    <t>闪羽</t>
    <phoneticPr fontId="13" type="noConversion"/>
  </si>
  <si>
    <t>强攻</t>
    <phoneticPr fontId="13" type="noConversion"/>
  </si>
  <si>
    <t>[30714701,30714702]</t>
    <phoneticPr fontId="13" type="noConversion"/>
  </si>
  <si>
    <t>[30714801,30714802]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</si>
  <si>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30714901,30714902,30714904]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</si>
  <si>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30715001,30715002,30715004]</t>
    </r>
    <phoneticPr fontId="13" type="noConversion"/>
  </si>
  <si>
    <t>[30715101,30715102,30715104]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</si>
  <si>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30715201,30715202]</t>
    </r>
    <phoneticPr fontId="13" type="noConversion"/>
  </si>
  <si>
    <t>[30715301,30715302]</t>
    <phoneticPr fontId="13" type="noConversion"/>
  </si>
  <si>
    <t>[30715401,30715402]</t>
    <phoneticPr fontId="13" type="noConversion"/>
  </si>
  <si>
    <t>[30715501,30715502]</t>
    <phoneticPr fontId="13" type="noConversion"/>
  </si>
  <si>
    <t>[30715601,30715602]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</si>
  <si>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30715701,30715702]</t>
    </r>
    <phoneticPr fontId="13" type="noConversion"/>
  </si>
  <si>
    <t>[30715801,30715802]</t>
    <phoneticPr fontId="13" type="noConversion"/>
  </si>
  <si>
    <t>[30715901,30715902]</t>
    <phoneticPr fontId="13" type="noConversion"/>
  </si>
  <si>
    <t>[30716001,30716002]</t>
    <phoneticPr fontId="13" type="noConversion"/>
  </si>
  <si>
    <t>[30716101,30716102]</t>
    <phoneticPr fontId="13" type="noConversion"/>
  </si>
  <si>
    <t>5-1火青</t>
    <phoneticPr fontId="13" type="noConversion"/>
  </si>
  <si>
    <t>火青</t>
    <phoneticPr fontId="13" type="noConversion"/>
  </si>
  <si>
    <t>千秋</t>
    <phoneticPr fontId="13" type="noConversion"/>
  </si>
  <si>
    <r>
      <t>4-</t>
    </r>
    <r>
      <rPr>
        <sz val="11"/>
        <color theme="1"/>
        <rFont val="等线"/>
        <family val="3"/>
        <charset val="134"/>
        <scheme val="minor"/>
      </rPr>
      <t>5红方</t>
    </r>
    <phoneticPr fontId="13" type="noConversion"/>
  </si>
  <si>
    <t>红方</t>
  </si>
  <si>
    <t>特攻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</si>
  <si>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30750101,30750102,30750103]</t>
    </r>
    <phoneticPr fontId="13" type="noConversion"/>
  </si>
  <si>
    <t>[30750201,30750202,30750203]</t>
    <phoneticPr fontId="13" type="noConversion"/>
  </si>
  <si>
    <t>[30750301,30750302,30750303]</t>
    <phoneticPr fontId="13" type="noConversion"/>
  </si>
  <si>
    <t>[30750401,30750402,30750403]</t>
    <phoneticPr fontId="13" type="noConversion"/>
  </si>
  <si>
    <t>[30750501,30750502,30750503]</t>
    <phoneticPr fontId="13" type="noConversion"/>
  </si>
  <si>
    <r>
      <t>[30723301,30723302,30723304</t>
    </r>
    <r>
      <rPr>
        <sz val="11"/>
        <color theme="1"/>
        <rFont val="等线"/>
        <family val="3"/>
        <charset val="134"/>
        <scheme val="minor"/>
      </rPr>
      <t>,30723305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</si>
  <si>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[30723401,30723402,30723404</t>
    </r>
    <r>
      <rPr>
        <sz val="11"/>
        <color theme="1"/>
        <rFont val="等线"/>
        <family val="3"/>
        <charset val="134"/>
        <scheme val="minor"/>
      </rPr>
      <t>,30723405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</si>
  <si>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[30723501,30723502,30723504</t>
    </r>
    <r>
      <rPr>
        <sz val="11"/>
        <color theme="1"/>
        <rFont val="等线"/>
        <family val="3"/>
        <charset val="134"/>
        <scheme val="minor"/>
      </rPr>
      <t>,30723505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</si>
  <si>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30746101,30746102,30746104,30746105]</t>
    </r>
    <phoneticPr fontId="13" type="noConversion"/>
  </si>
  <si>
    <t>[30746201,30746202,30746204,30746205]</t>
    <phoneticPr fontId="13" type="noConversion"/>
  </si>
  <si>
    <t>[30746301,30746302,30746304,30746305]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</si>
  <si>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30746401,30746402]</t>
    </r>
    <phoneticPr fontId="13" type="noConversion"/>
  </si>
  <si>
    <t>[30746501,30746502]</t>
    <phoneticPr fontId="13" type="noConversion"/>
  </si>
  <si>
    <t>[30746601,30746602]</t>
    <phoneticPr fontId="13" type="noConversion"/>
  </si>
  <si>
    <t>[30746701,30746702]</t>
    <phoneticPr fontId="13" type="noConversion"/>
  </si>
  <si>
    <t>[30746801,30746802]</t>
    <phoneticPr fontId="13" type="noConversion"/>
  </si>
  <si>
    <t>[30746901,30746902]</t>
    <phoneticPr fontId="13" type="noConversion"/>
  </si>
  <si>
    <r>
      <t>4</t>
    </r>
    <r>
      <rPr>
        <sz val="11"/>
        <color theme="1"/>
        <rFont val="等线"/>
        <family val="3"/>
        <charset val="134"/>
        <scheme val="minor"/>
      </rPr>
      <t>-6辅助</t>
    </r>
    <phoneticPr fontId="13" type="noConversion"/>
  </si>
  <si>
    <t>弥砂</t>
    <phoneticPr fontId="13" type="noConversion"/>
  </si>
  <si>
    <t>天星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</si>
  <si>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30747001,30747002,30747004,30747005]</t>
    </r>
    <phoneticPr fontId="13" type="noConversion"/>
  </si>
  <si>
    <t>[30747101,30747102,30747104,30747105]</t>
    <phoneticPr fontId="13" type="noConversion"/>
  </si>
  <si>
    <t>[30747201,30747202,30747204,30747205]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</si>
  <si>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30747301,30747302,30747304]</t>
    </r>
    <phoneticPr fontId="13" type="noConversion"/>
  </si>
  <si>
    <t>[30747401,30747402,30747404]</t>
    <phoneticPr fontId="13" type="noConversion"/>
  </si>
  <si>
    <t>[30747501,30747502,30747504]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</si>
  <si>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30747601,30747602,30747604]</t>
    </r>
    <phoneticPr fontId="13" type="noConversion"/>
  </si>
  <si>
    <t>[30747701,30747702,30747704]</t>
    <phoneticPr fontId="13" type="noConversion"/>
  </si>
  <si>
    <t>[30747801,30747802,30747804]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</si>
  <si>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30747901,30747902,30747904]</t>
    </r>
    <phoneticPr fontId="13" type="noConversion"/>
  </si>
  <si>
    <t>[30748001,30748002,30748004]</t>
    <phoneticPr fontId="13" type="noConversion"/>
  </si>
  <si>
    <t>[30748101,30748102,30748104]</t>
    <phoneticPr fontId="13" type="noConversion"/>
  </si>
  <si>
    <r>
      <t>[30730801,30730802,30730804</t>
    </r>
    <r>
      <rPr>
        <sz val="11"/>
        <color theme="1"/>
        <rFont val="等线"/>
        <family val="3"/>
        <charset val="134"/>
        <scheme val="minor"/>
      </rPr>
      <t>,30730805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</si>
  <si>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[30730901,30730902,30730904</t>
    </r>
    <r>
      <rPr>
        <sz val="11"/>
        <color theme="1"/>
        <rFont val="等线"/>
        <family val="3"/>
        <charset val="134"/>
        <scheme val="minor"/>
      </rPr>
      <t>,30730905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</si>
  <si>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[30731001,30731002,30731004</t>
    </r>
    <r>
      <rPr>
        <sz val="11"/>
        <color theme="1"/>
        <rFont val="等线"/>
        <family val="3"/>
        <charset val="134"/>
        <scheme val="minor"/>
      </rPr>
      <t>,30731005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</si>
  <si>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南乔</t>
    <phoneticPr fontId="13" type="noConversion"/>
  </si>
  <si>
    <t>香雪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</si>
  <si>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30731101,30731102]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</si>
  <si>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30731201,30731202,30731204]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</si>
  <si>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30731301,30731302,30731304,30731305]</t>
    </r>
    <phoneticPr fontId="13" type="noConversion"/>
  </si>
  <si>
    <t>[30731401,30731402,30741304,30731405]</t>
    <phoneticPr fontId="13" type="noConversion"/>
  </si>
  <si>
    <t>[30731501,30731502,30741504,30731505]</t>
    <phoneticPr fontId="13" type="noConversion"/>
  </si>
  <si>
    <t>3-2隐光</t>
    <phoneticPr fontId="13" type="noConversion"/>
  </si>
  <si>
    <t>绿雪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</si>
  <si>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30732601,30732602,30732604]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</si>
  <si>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30732701,30732702,30732703,30732704]</t>
    </r>
    <phoneticPr fontId="13" type="noConversion"/>
  </si>
  <si>
    <t>[30732801,30732802,30732803,30732804]</t>
    <phoneticPr fontId="13" type="noConversion"/>
  </si>
  <si>
    <t>[30732901,30732902,30732903,30732904]</t>
    <phoneticPr fontId="13" type="noConversion"/>
  </si>
  <si>
    <t>[30733001,30733002,30733003,30733004]</t>
    <phoneticPr fontId="13" type="noConversion"/>
  </si>
  <si>
    <t>3-4星期六</t>
    <phoneticPr fontId="13" type="noConversion"/>
  </si>
  <si>
    <t>蕾</t>
    <phoneticPr fontId="13" type="noConversion"/>
  </si>
  <si>
    <t>真朱</t>
    <phoneticPr fontId="13" type="noConversion"/>
  </si>
  <si>
    <t>文景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</si>
  <si>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30736101,30736102,30736104]</t>
    </r>
    <phoneticPr fontId="13" type="noConversion"/>
  </si>
  <si>
    <t>[30736201,30736202,30736204]</t>
    <phoneticPr fontId="13" type="noConversion"/>
  </si>
  <si>
    <t>[30736301,30736302,30736304]</t>
    <phoneticPr fontId="13" type="noConversion"/>
  </si>
  <si>
    <t>[30736401,30736402,30736404]</t>
    <phoneticPr fontId="13" type="noConversion"/>
  </si>
  <si>
    <t>[30736501,30736502,30736504]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</si>
  <si>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30736601,30736602,30736604]</t>
    </r>
    <phoneticPr fontId="13" type="noConversion"/>
  </si>
  <si>
    <t>[30736701,30736702,30736704]</t>
    <phoneticPr fontId="13" type="noConversion"/>
  </si>
  <si>
    <t>[30736801,30736802,30736804]</t>
    <phoneticPr fontId="13" type="noConversion"/>
  </si>
  <si>
    <t>[30736901,30736902,30736904]</t>
    <phoneticPr fontId="13" type="noConversion"/>
  </si>
  <si>
    <t>[30737001,30737002,30737004]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</si>
  <si>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30737101,30737102,30737104,30737105]</t>
    </r>
    <phoneticPr fontId="13" type="noConversion"/>
  </si>
  <si>
    <t>[30737201,30737202,30737204,30737205]</t>
    <phoneticPr fontId="13" type="noConversion"/>
  </si>
  <si>
    <t>[30737301,30737302,30737304,30737305]</t>
    <phoneticPr fontId="13" type="noConversion"/>
  </si>
  <si>
    <t>[30737401,30737402,30737404,30737405]</t>
    <phoneticPr fontId="13" type="noConversion"/>
  </si>
  <si>
    <t>[30737501,30737502,30737504,30737505]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</si>
  <si>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30737601,30737602,30737604]</t>
    </r>
    <phoneticPr fontId="13" type="noConversion"/>
  </si>
  <si>
    <t>[30737701,30737702,30737704]</t>
    <phoneticPr fontId="13" type="noConversion"/>
  </si>
  <si>
    <t>[30737801,30737802,30737804]</t>
    <phoneticPr fontId="13" type="noConversion"/>
  </si>
  <si>
    <t>[30737901,30737902,30737904]</t>
    <phoneticPr fontId="13" type="noConversion"/>
  </si>
  <si>
    <t>[30738001,30738002,30738004]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</si>
  <si>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105301,105302,105303,105304,105306]</t>
    </r>
    <phoneticPr fontId="13" type="noConversion"/>
  </si>
  <si>
    <t>[105501,105502,105503,105504]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</si>
  <si>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105701,105702,105703,105704,105706]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</si>
  <si>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105801,105802,105803,105804,105806]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</si>
  <si>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105901,105902,105903,105904,105906]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</si>
  <si>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106001,106002,106003,106004]</t>
    </r>
    <phoneticPr fontId="13" type="noConversion"/>
  </si>
  <si>
    <t>[101801,101802,101803,101804]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</si>
  <si>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100201,100202,100203,100204,100206]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</si>
  <si>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101301,101302,101303,101304]</t>
    </r>
    <phoneticPr fontId="13" type="noConversion"/>
  </si>
  <si>
    <t>[100701,100702,100703,100704,100706]</t>
  </si>
  <si>
    <r>
      <t>[</t>
    </r>
    <r>
      <rPr>
        <sz val="11"/>
        <color theme="1"/>
        <rFont val="等线"/>
        <family val="3"/>
        <charset val="134"/>
        <scheme val="minor"/>
      </rPr>
      <t>104801,104802,104803,104804,104806]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</si>
  <si>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104401,104402,104403,104404,104406]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</si>
  <si>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101201,101202,101203,101204]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</si>
  <si>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104901,104902,104903,104904,104906]</t>
    </r>
    <phoneticPr fontId="13" type="noConversion"/>
  </si>
  <si>
    <t>[101501,101502,101503,101504,101506]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</si>
  <si>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105001,105002,105003,105004,105006]</t>
    </r>
    <phoneticPr fontId="13" type="noConversion"/>
  </si>
  <si>
    <t>[103601,103602,103603,103604]</t>
    <phoneticPr fontId="13" type="noConversion"/>
  </si>
  <si>
    <t>[104101,104102,104103,104104,104106]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</si>
  <si>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103301,103302,103303,103304]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</si>
  <si>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104201,104202,104203,104204]</t>
    </r>
    <phoneticPr fontId="13" type="noConversion"/>
  </si>
  <si>
    <t>[104701,104702,104703,104704]</t>
    <phoneticPr fontId="13" type="noConversion"/>
  </si>
  <si>
    <t>[102201,102202,102203,102204,102206]</t>
    <phoneticPr fontId="13" type="noConversion"/>
  </si>
  <si>
    <t>[105201,105202,105203,105204]</t>
    <phoneticPr fontId="13" type="noConversion"/>
  </si>
  <si>
    <t>[103401,103402,103403,103404,103406]</t>
    <phoneticPr fontId="13" type="noConversion"/>
  </si>
  <si>
    <t>[101401,101402,101403,101404,101406]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</si>
  <si>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100401,100402,100403,100404,100406]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</si>
  <si>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103701,103702,103703,103704]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</si>
  <si>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104001,104002,104003,104004,104006]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</si>
  <si>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104301,104302,104303,104304]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</si>
  <si>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101001,101002,101003,101004]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</si>
  <si>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104601,104602,104603,104604]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</si>
  <si>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103201,103202,103203,103204]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</si>
  <si>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100501,100502,100503,100504]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</si>
  <si>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103101,103102,103103,103104]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</si>
  <si>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103801,103802,103803,103804,103806]</t>
    </r>
    <phoneticPr fontId="13" type="noConversion"/>
  </si>
  <si>
    <t>[102401,102402,102403,102404]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</si>
  <si>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102701,102702,102703,102704]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</si>
  <si>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102301,102302,102303,102304]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</si>
  <si>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103901,103902,103903,103904]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</si>
  <si>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105101,105102,105103,105104]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</si>
  <si>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102101,102102,102103,102104]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</si>
  <si>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102001,102002,102003,102004]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</si>
  <si>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104501,104502,104503,104504]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</si>
  <si>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101701,101702,101703,101704]</t>
    </r>
    <phoneticPr fontId="13" type="noConversion"/>
  </si>
  <si>
    <t>[30200101,30200102]</t>
    <phoneticPr fontId="13" type="noConversion"/>
  </si>
  <si>
    <t>[30200201,30200202]</t>
    <phoneticPr fontId="13" type="noConversion"/>
  </si>
  <si>
    <t>[30200301,30200302,30200303]</t>
    <phoneticPr fontId="13" type="noConversion"/>
  </si>
  <si>
    <t>[30200401,30200402,30200403]</t>
    <phoneticPr fontId="13" type="noConversion"/>
  </si>
  <si>
    <t>增强</t>
    <phoneticPr fontId="13" type="noConversion"/>
  </si>
  <si>
    <t>[7]</t>
    <phoneticPr fontId="13" type="noConversion"/>
  </si>
  <si>
    <t>[4]</t>
    <phoneticPr fontId="13" type="noConversion"/>
  </si>
  <si>
    <t>[1]</t>
    <phoneticPr fontId="13" type="noConversion"/>
  </si>
  <si>
    <t>[1,6]</t>
    <phoneticPr fontId="13" type="noConversion"/>
  </si>
  <si>
    <t>[5]</t>
    <phoneticPr fontId="13" type="noConversion"/>
  </si>
  <si>
    <t>[3]</t>
    <phoneticPr fontId="13" type="noConversion"/>
  </si>
  <si>
    <t>[4,11]</t>
    <phoneticPr fontId="13" type="noConversion"/>
  </si>
  <si>
    <t>[1,11]</t>
    <phoneticPr fontId="13" type="noConversion"/>
  </si>
  <si>
    <t>[1,9]</t>
    <phoneticPr fontId="13" type="noConversion"/>
  </si>
  <si>
    <t>[1,2]</t>
    <phoneticPr fontId="13" type="noConversion"/>
  </si>
  <si>
    <t>[1,6,2]</t>
    <phoneticPr fontId="13" type="noConversion"/>
  </si>
  <si>
    <t>[4,5]</t>
    <phoneticPr fontId="13" type="noConversion"/>
  </si>
  <si>
    <t>[4,3,8]</t>
    <phoneticPr fontId="13" type="noConversion"/>
  </si>
  <si>
    <t>[1,10]</t>
    <phoneticPr fontId="13" type="noConversion"/>
  </si>
  <si>
    <t>[1,5]</t>
    <phoneticPr fontId="13" type="noConversion"/>
  </si>
  <si>
    <t>[1,2,9]</t>
    <phoneticPr fontId="13" type="noConversion"/>
  </si>
  <si>
    <t>[1,5,2]</t>
    <phoneticPr fontId="13" type="noConversion"/>
  </si>
  <si>
    <t>[1,2,10]</t>
    <phoneticPr fontId="13" type="noConversion"/>
  </si>
  <si>
    <t>[7,10]</t>
    <phoneticPr fontId="13" type="noConversion"/>
  </si>
  <si>
    <t>[1,6,10]</t>
    <phoneticPr fontId="13" type="noConversion"/>
  </si>
  <si>
    <t>特工测试小怪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</si>
  <si>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1001801,1001802,1001803,1001804]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</si>
  <si>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1001901,1001902,1001903,1001904]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</si>
  <si>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1002001,1002002,1002003,1002004]</t>
    </r>
    <phoneticPr fontId="13" type="noConversion"/>
  </si>
  <si>
    <t>拉出式演出</t>
    <phoneticPr fontId="13" type="noConversion"/>
  </si>
  <si>
    <t>非拉出式演出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</si>
  <si>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22801]</t>
    </r>
    <phoneticPr fontId="13" type="noConversion"/>
  </si>
  <si>
    <t>[22901]</t>
    <phoneticPr fontId="13" type="noConversion"/>
  </si>
  <si>
    <t>短吟唱演出</t>
    <phoneticPr fontId="13" type="noConversion"/>
  </si>
  <si>
    <t>[23001,23002,23003]</t>
    <phoneticPr fontId="13" type="noConversion"/>
  </si>
  <si>
    <t>调整设计</t>
    <phoneticPr fontId="13" type="noConversion"/>
  </si>
  <si>
    <t>N</t>
    <phoneticPr fontId="13" type="noConversion"/>
  </si>
  <si>
    <r>
      <t>[30310701,30310702</t>
    </r>
    <r>
      <rPr>
        <sz val="11"/>
        <color theme="1"/>
        <rFont val="等线"/>
        <family val="3"/>
        <charset val="134"/>
        <scheme val="minor"/>
      </rPr>
      <t>,30310703,30310704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</si>
  <si>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[30310801,30310802</t>
    </r>
    <r>
      <rPr>
        <sz val="11"/>
        <color theme="1"/>
        <rFont val="等线"/>
        <family val="3"/>
        <charset val="134"/>
        <scheme val="minor"/>
      </rPr>
      <t>,30310803,30310804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</si>
  <si>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[30330801,30330802]</t>
    <phoneticPr fontId="13" type="noConversion"/>
  </si>
  <si>
    <t>鸣霜-大招特写调整</t>
    <phoneticPr fontId="13" type="noConversion"/>
  </si>
  <si>
    <t>[100901,100902,1002103]</t>
    <phoneticPr fontId="13" type="noConversion"/>
  </si>
  <si>
    <t>测试角色</t>
    <phoneticPr fontId="13" type="noConversion"/>
  </si>
  <si>
    <t>[102901,102902,102903,102904,102906]</t>
    <phoneticPr fontId="13" type="noConversion"/>
  </si>
  <si>
    <t>机制验收测试</t>
    <phoneticPr fontId="13" type="noConversion"/>
  </si>
  <si>
    <t>梅花众a测试</t>
    <phoneticPr fontId="13" type="noConversion"/>
  </si>
  <si>
    <t>梅花众b测试</t>
    <phoneticPr fontId="13" type="noConversion"/>
  </si>
  <si>
    <t>梅花众队长测试</t>
    <phoneticPr fontId="13" type="noConversion"/>
  </si>
  <si>
    <t>红心</t>
    <phoneticPr fontId="13" type="noConversion"/>
  </si>
  <si>
    <t>黑桃</t>
    <phoneticPr fontId="13" type="noConversion"/>
  </si>
  <si>
    <t>莲心</t>
    <phoneticPr fontId="13" type="noConversion"/>
  </si>
  <si>
    <t>[10013101,10013102,10013104]</t>
    <phoneticPr fontId="13" type="noConversion"/>
  </si>
  <si>
    <t>[10014101,10014102,10014104]</t>
    <phoneticPr fontId="13" type="noConversion"/>
  </si>
  <si>
    <t>[10015101,10015102,10015104]</t>
    <phoneticPr fontId="13" type="noConversion"/>
  </si>
  <si>
    <t>[10017101,10017102,10017103,10017104,10017105]</t>
    <phoneticPr fontId="13" type="noConversion"/>
  </si>
  <si>
    <t>[10018101,10018102,10018104]</t>
    <phoneticPr fontId="13" type="noConversion"/>
  </si>
  <si>
    <t>[10020101,10020102,10020103,10020104]</t>
    <phoneticPr fontId="13" type="noConversion"/>
  </si>
  <si>
    <t>[10021101,10021102,10021104]</t>
    <phoneticPr fontId="13" type="noConversion"/>
  </si>
  <si>
    <t>[10022101,10022102,10022104]</t>
    <phoneticPr fontId="13" type="noConversion"/>
  </si>
  <si>
    <t>[10023101,10023102,10023104]</t>
    <phoneticPr fontId="13" type="noConversion"/>
  </si>
  <si>
    <t>[1030101,1030102,1030103,1030104]</t>
    <phoneticPr fontId="13" type="noConversion"/>
  </si>
  <si>
    <t>[1013101,1013102,1013103,1013104]</t>
    <phoneticPr fontId="13" type="noConversion"/>
  </si>
  <si>
    <t>[1019101,1019102,1019103,1019104]</t>
    <phoneticPr fontId="13" type="noConversion"/>
  </si>
  <si>
    <r>
      <t>[3041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01,3041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02,3041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03,3041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04,3041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05]</t>
    </r>
    <phoneticPr fontId="13" type="noConversion"/>
  </si>
  <si>
    <r>
      <t>[3041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01,3041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02,3041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</si>
  <si>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[30411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01,30411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02,30411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03,30411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</si>
  <si>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01,3042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02,3042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04,3042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05]</t>
    </r>
    <phoneticPr fontId="13" type="noConversion"/>
  </si>
  <si>
    <r>
      <t>[3042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01,3042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02,3042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</si>
  <si>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[30421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01,30421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02,30421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03]</t>
    </r>
    <phoneticPr fontId="13" type="noConversion"/>
  </si>
  <si>
    <r>
      <t>[3043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01,3043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02,3043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</si>
  <si>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[3043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01,3043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02,3043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</si>
  <si>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[30431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01,30431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02,30431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</si>
  <si>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[3044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01,3044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02]</t>
    </r>
    <phoneticPr fontId="13" type="noConversion"/>
  </si>
  <si>
    <r>
      <t>[3044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01,3044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02,3044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</si>
  <si>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[30441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01,30441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02,30441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</si>
  <si>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[3031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01,3031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02,3031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03]</t>
    </r>
    <phoneticPr fontId="13" type="noConversion"/>
  </si>
  <si>
    <t>[30311301,30311302,30311303,30311304]</t>
    <phoneticPr fontId="13" type="noConversion"/>
  </si>
  <si>
    <r>
      <t>[3032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01,3032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02,3032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</si>
  <si>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[3032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01,3032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02,3032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</si>
  <si>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[30321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01,30321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02,30321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04]</t>
    </r>
    <phoneticPr fontId="13" type="noConversion"/>
  </si>
  <si>
    <r>
      <t>[3033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01,3033</t>
    </r>
    <r>
      <rPr>
        <sz val="11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02]</t>
    </r>
    <phoneticPr fontId="13" type="noConversion"/>
  </si>
  <si>
    <t>[30331401,30331402]</t>
    <phoneticPr fontId="13" type="noConversion"/>
  </si>
  <si>
    <r>
      <t>[303315</t>
    </r>
    <r>
      <rPr>
        <sz val="11"/>
        <color theme="1"/>
        <rFont val="等线"/>
        <family val="3"/>
        <charset val="134"/>
        <scheme val="minor"/>
      </rPr>
      <t>01,30331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02,30331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04,30331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05]</t>
    </r>
    <phoneticPr fontId="13" type="noConversion"/>
  </si>
  <si>
    <r>
      <t>[30200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01,30200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02,30200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03]</t>
    </r>
    <phoneticPr fontId="13" type="noConversion"/>
  </si>
  <si>
    <t>[30100501,30100504,30100505]</t>
    <phoneticPr fontId="13" type="noConversion"/>
  </si>
  <si>
    <t>Dialogs</t>
  </si>
  <si>
    <t>保底台词</t>
    <phoneticPr fontId="13" type="noConversion"/>
  </si>
  <si>
    <t>木桩ap</t>
    <phoneticPr fontId="13" type="noConversion"/>
  </si>
  <si>
    <t>木桩ad</t>
    <phoneticPr fontId="13" type="noConversion"/>
  </si>
  <si>
    <t>[23101]</t>
    <phoneticPr fontId="13" type="noConversion"/>
  </si>
  <si>
    <t>[23201]</t>
    <phoneticPr fontId="13" type="noConversion"/>
  </si>
  <si>
    <t>剧情测试1</t>
    <phoneticPr fontId="13" type="noConversion"/>
  </si>
  <si>
    <t>剧情测试2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</si>
  <si>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10004,10005,10006,0]</t>
    </r>
    <phoneticPr fontId="13" type="noConversion"/>
  </si>
  <si>
    <t>接线员</t>
  </si>
  <si>
    <t>坐童</t>
  </si>
  <si>
    <t>列车长</t>
  </si>
  <si>
    <t>和祥义头目</t>
  </si>
  <si>
    <t>和祥义喽啰</t>
  </si>
  <si>
    <t>和祥义打手</t>
  </si>
  <si>
    <t>恶病返生</t>
  </si>
  <si>
    <t>癫乱返生</t>
  </si>
  <si>
    <t>惧煞返生</t>
  </si>
  <si>
    <t>[23301,23302]</t>
    <phoneticPr fontId="13" type="noConversion"/>
  </si>
  <si>
    <t>[23401,23402]</t>
    <phoneticPr fontId="13" type="noConversion"/>
  </si>
  <si>
    <r>
      <t>等级成长属性=角色总属性*等级占比</t>
    </r>
    <r>
      <rPr>
        <sz val="11"/>
        <color theme="1"/>
        <rFont val="等线"/>
        <family val="3"/>
        <charset val="134"/>
        <scheme val="minor"/>
      </rPr>
      <t>/(1+flv)</t>
    </r>
    <phoneticPr fontId="13" type="noConversion"/>
  </si>
  <si>
    <t>∴=(标准属性*品质/SR)*0.35/(1+4)</t>
    <phoneticPr fontId="13" type="noConversion"/>
  </si>
  <si>
    <t>∴=（标准属性*品质/SR)*0.07</t>
    <phoneticPr fontId="13" type="noConversion"/>
  </si>
  <si>
    <t>等级成长属性*（1+flv)=角色等级属性=角色总属性*等级占比</t>
    <phoneticPr fontId="13" type="noConversion"/>
  </si>
  <si>
    <t>△每级计算</t>
    <phoneticPr fontId="13" type="noConversion"/>
  </si>
  <si>
    <t>标准属性(带职业/通道的sr1级满属性）</t>
    <phoneticPr fontId="13" type="noConversion"/>
  </si>
  <si>
    <t>1.48%</t>
  </si>
  <si>
    <t>0.1%</t>
  </si>
  <si>
    <t>2%</t>
  </si>
  <si>
    <t>0</t>
  </si>
  <si>
    <t>备注</t>
    <phoneticPr fontId="13" type="noConversion"/>
  </si>
  <si>
    <t>框外风景</t>
    <phoneticPr fontId="13" type="noConversion"/>
  </si>
  <si>
    <t>1-1地铁怪</t>
    <phoneticPr fontId="13" type="noConversion"/>
  </si>
  <si>
    <t>1-2莲心绿雪</t>
    <phoneticPr fontId="13" type="noConversion"/>
  </si>
  <si>
    <t>衔接关:1-4地铁怪</t>
    <phoneticPr fontId="13" type="noConversion"/>
  </si>
  <si>
    <t>1-5和祥义</t>
    <phoneticPr fontId="13" type="noConversion"/>
  </si>
  <si>
    <t>衔接关:1-5地铁怪</t>
    <phoneticPr fontId="13" type="noConversion"/>
  </si>
  <si>
    <t>1-6返生</t>
    <phoneticPr fontId="13" type="noConversion"/>
  </si>
  <si>
    <t>1-6大返生</t>
    <phoneticPr fontId="13" type="noConversion"/>
  </si>
  <si>
    <t>衔接关:1-6和祥义</t>
    <phoneticPr fontId="13" type="noConversion"/>
  </si>
  <si>
    <t>1-9boss地铁怪</t>
    <phoneticPr fontId="13" type="noConversion"/>
  </si>
  <si>
    <t>1-11和祥义</t>
    <phoneticPr fontId="13" type="noConversion"/>
  </si>
  <si>
    <t>1-11红心</t>
    <phoneticPr fontId="13" type="noConversion"/>
  </si>
  <si>
    <t>1-12红心返生</t>
    <phoneticPr fontId="13" type="noConversion"/>
  </si>
  <si>
    <t>1-12返生</t>
    <phoneticPr fontId="13" type="noConversion"/>
  </si>
  <si>
    <t>1-12红心大返生</t>
    <phoneticPr fontId="13" type="noConversion"/>
  </si>
  <si>
    <t>衔接关:1-13返生和祥义</t>
    <phoneticPr fontId="13" type="noConversion"/>
  </si>
  <si>
    <t>1-14返生</t>
    <phoneticPr fontId="13" type="noConversion"/>
  </si>
  <si>
    <t>1-14大返生</t>
    <phoneticPr fontId="13" type="noConversion"/>
  </si>
  <si>
    <t>衔接关:1-15地铁怪</t>
    <phoneticPr fontId="13" type="noConversion"/>
  </si>
  <si>
    <t>测试</t>
    <phoneticPr fontId="13" type="noConversion"/>
  </si>
  <si>
    <t>金币本1</t>
    <phoneticPr fontId="13" type="noConversion"/>
  </si>
  <si>
    <t>金币本2</t>
    <phoneticPr fontId="13" type="noConversion"/>
  </si>
  <si>
    <t>金币本3</t>
  </si>
  <si>
    <t>金币本4</t>
  </si>
  <si>
    <t>金币本5</t>
  </si>
  <si>
    <t>经验本1</t>
    <phoneticPr fontId="13" type="noConversion"/>
  </si>
  <si>
    <t>经验本2</t>
    <phoneticPr fontId="13" type="noConversion"/>
  </si>
  <si>
    <t>经验本3</t>
  </si>
  <si>
    <t>经验本4</t>
  </si>
  <si>
    <t>经验本5</t>
  </si>
  <si>
    <t>强防技能本1</t>
    <phoneticPr fontId="13" type="noConversion"/>
  </si>
  <si>
    <t>强防技能本2</t>
    <phoneticPr fontId="13" type="noConversion"/>
  </si>
  <si>
    <t>强防技能本3</t>
  </si>
  <si>
    <t>强防技能本4</t>
  </si>
  <si>
    <t>强防技能本1</t>
  </si>
  <si>
    <t>强防技能本2</t>
  </si>
  <si>
    <t>强防技能本5</t>
  </si>
  <si>
    <t>特辅技能本1</t>
    <phoneticPr fontId="13" type="noConversion"/>
  </si>
  <si>
    <t>特辅技能本2</t>
    <phoneticPr fontId="13" type="noConversion"/>
  </si>
  <si>
    <t>特辅技能本3</t>
  </si>
  <si>
    <t>特辅技能本4</t>
  </si>
  <si>
    <t>特辅技能本1</t>
  </si>
  <si>
    <t>特辅技能本2</t>
  </si>
  <si>
    <t>特辅技能本5</t>
  </si>
  <si>
    <t>突击技能本1</t>
    <phoneticPr fontId="13" type="noConversion"/>
  </si>
  <si>
    <t>突击技能本2</t>
    <phoneticPr fontId="13" type="noConversion"/>
  </si>
  <si>
    <t>突击技能本3</t>
  </si>
  <si>
    <t>突击技能本4</t>
  </si>
  <si>
    <t>突击技能本1</t>
  </si>
  <si>
    <t>突击技能本2</t>
  </si>
  <si>
    <t>突击技能本5</t>
  </si>
  <si>
    <t>理系突破本1</t>
    <phoneticPr fontId="13" type="noConversion"/>
  </si>
  <si>
    <t>理系突破本2</t>
    <phoneticPr fontId="13" type="noConversion"/>
  </si>
  <si>
    <t>理系突破本3</t>
  </si>
  <si>
    <t>理系突破本4</t>
  </si>
  <si>
    <t>理系突破本1</t>
  </si>
  <si>
    <t>理系突破本2</t>
  </si>
  <si>
    <t>理系突破本5</t>
  </si>
  <si>
    <t>信系突破本1</t>
    <phoneticPr fontId="13" type="noConversion"/>
  </si>
  <si>
    <t>信系突破本2</t>
    <phoneticPr fontId="13" type="noConversion"/>
  </si>
  <si>
    <t>信系突破本3</t>
  </si>
  <si>
    <t>信系突破本4</t>
  </si>
  <si>
    <t>信系突破本1</t>
  </si>
  <si>
    <t>信系突破本2</t>
  </si>
  <si>
    <t>信系突破本5</t>
  </si>
  <si>
    <t>情系突破本1</t>
    <phoneticPr fontId="13" type="noConversion"/>
  </si>
  <si>
    <t>情系突破本2</t>
    <phoneticPr fontId="13" type="noConversion"/>
  </si>
  <si>
    <t>情系突破本3</t>
  </si>
  <si>
    <t>情系突破本4</t>
  </si>
  <si>
    <t>情系突破本1</t>
  </si>
  <si>
    <t>情系突破本2</t>
  </si>
  <si>
    <t>情系突破本5</t>
  </si>
  <si>
    <t>正奇突破本1</t>
    <phoneticPr fontId="13" type="noConversion"/>
  </si>
  <si>
    <t>正奇突破本2</t>
    <phoneticPr fontId="13" type="noConversion"/>
  </si>
  <si>
    <t>正奇突破本3</t>
  </si>
  <si>
    <t>正奇突破本4</t>
  </si>
  <si>
    <t>正奇突破本1</t>
  </si>
  <si>
    <t>正奇突破本2</t>
  </si>
  <si>
    <t>正奇突破本5</t>
  </si>
  <si>
    <t>配件经验本1</t>
    <phoneticPr fontId="13" type="noConversion"/>
  </si>
  <si>
    <t>配件经验本2</t>
    <phoneticPr fontId="13" type="noConversion"/>
  </si>
  <si>
    <t>配件经验本3</t>
  </si>
  <si>
    <t>配件经验本4</t>
  </si>
  <si>
    <t>配件经验本5</t>
  </si>
  <si>
    <t>配件经验本1</t>
  </si>
  <si>
    <t>配件经验本2</t>
  </si>
  <si>
    <t>理配件本1</t>
    <phoneticPr fontId="13" type="noConversion"/>
  </si>
  <si>
    <t>理配件本2</t>
    <phoneticPr fontId="13" type="noConversion"/>
  </si>
  <si>
    <t>理配件本3</t>
  </si>
  <si>
    <t>理配件本4</t>
  </si>
  <si>
    <t>理配件本5</t>
  </si>
  <si>
    <t>信配件本1</t>
    <phoneticPr fontId="13" type="noConversion"/>
  </si>
  <si>
    <t>信配件本2</t>
    <phoneticPr fontId="13" type="noConversion"/>
  </si>
  <si>
    <t>信配件本3</t>
  </si>
  <si>
    <t>信配件本4</t>
  </si>
  <si>
    <t>信配件本5</t>
  </si>
  <si>
    <t>情配件本1</t>
    <phoneticPr fontId="13" type="noConversion"/>
  </si>
  <si>
    <t>情配件本2</t>
    <phoneticPr fontId="13" type="noConversion"/>
  </si>
  <si>
    <t>情配件本3</t>
  </si>
  <si>
    <t>情配件本4</t>
  </si>
  <si>
    <t>情配件本5</t>
  </si>
  <si>
    <t>pve2通道-物免1</t>
    <phoneticPr fontId="13" type="noConversion"/>
  </si>
  <si>
    <r>
      <t>pve2通道-物免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</si>
  <si>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pve2通道-物免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</si>
  <si>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pve2通道-物免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</si>
  <si>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pve2通道-物免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</si>
  <si>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pve2通道-物免1</t>
  </si>
  <si>
    <t>pve2通道-物免2</t>
  </si>
  <si>
    <t>pve2通道-物免3</t>
  </si>
  <si>
    <t>pve2通道-物免4</t>
  </si>
  <si>
    <t>pve2通道-物免5</t>
  </si>
  <si>
    <t>pve2通道-特免1</t>
    <phoneticPr fontId="13" type="noConversion"/>
  </si>
  <si>
    <r>
      <t>pve2通道-特免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</si>
  <si>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pve2通道-特免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</si>
  <si>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pve2通道-特免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</si>
  <si>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pve2通道-特免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</si>
  <si>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pve2通道-特免1</t>
  </si>
  <si>
    <t>pve2通道-特免2</t>
  </si>
  <si>
    <t>pve2通道-特免3</t>
  </si>
  <si>
    <t>pve2通道-特免4</t>
  </si>
  <si>
    <t>pve2通道-特免5</t>
  </si>
  <si>
    <t>pve2通道-物防3</t>
    <phoneticPr fontId="13" type="noConversion"/>
  </si>
  <si>
    <r>
      <t>pve2通道-物防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</si>
  <si>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pve2通道-物防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</si>
  <si>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pve2通道-物防3</t>
  </si>
  <si>
    <t>pve2通道-物防4</t>
  </si>
  <si>
    <t>pve2通道-物防5</t>
  </si>
  <si>
    <t>pve2通道-特防3</t>
    <phoneticPr fontId="13" type="noConversion"/>
  </si>
  <si>
    <r>
      <t>pve2通道-特防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</si>
  <si>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pve2通道-特防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</si>
  <si>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pve2通道-特防3</t>
  </si>
  <si>
    <t>pve2通道-特防4</t>
  </si>
  <si>
    <t>pve2通道-特防5</t>
  </si>
  <si>
    <t>pve2通道-50%1</t>
    <phoneticPr fontId="13" type="noConversion"/>
  </si>
  <si>
    <r>
      <t>pve2通道-50%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</si>
  <si>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pve2通道-50%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</si>
  <si>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pve2通道-50%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</si>
  <si>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pve2通道-50%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</si>
  <si>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pve2通道-50%1</t>
  </si>
  <si>
    <t>pve2通道-50%2</t>
  </si>
  <si>
    <t>pve2通道-50%3</t>
  </si>
  <si>
    <t>pve2通道-50%4</t>
  </si>
  <si>
    <t>pve2通道-50%5</t>
  </si>
  <si>
    <t>pve2阶段-后攻1</t>
    <phoneticPr fontId="13" type="noConversion"/>
  </si>
  <si>
    <t>pve2阶段-后攻2</t>
    <phoneticPr fontId="13" type="noConversion"/>
  </si>
  <si>
    <t>pve2阶段-后攻3</t>
  </si>
  <si>
    <t>pve2阶段-后攻4</t>
  </si>
  <si>
    <t>pve2阶段-后攻5</t>
  </si>
  <si>
    <t>pve2阶段-后攻1</t>
  </si>
  <si>
    <t>pve2阶段-后攻2</t>
  </si>
  <si>
    <t>pve2阶段-前期1</t>
    <phoneticPr fontId="13" type="noConversion"/>
  </si>
  <si>
    <r>
      <t>pve2阶段-前期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</si>
  <si>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pve2阶段-前期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</si>
  <si>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pve2阶段-前期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</si>
  <si>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pve2阶段-前期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</si>
  <si>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pve2阶段-前期1</t>
  </si>
  <si>
    <t>pve2阶段-前期2</t>
  </si>
  <si>
    <t>pve2阶段-前期3</t>
  </si>
  <si>
    <t>pve2阶段-前期4</t>
  </si>
  <si>
    <t>pve2阶段-前期5</t>
  </si>
  <si>
    <t>pve2阶段-回合1</t>
    <phoneticPr fontId="13" type="noConversion"/>
  </si>
  <si>
    <r>
      <t>pve2阶段-回合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</si>
  <si>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pve2阶段-回合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</si>
  <si>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pve2阶段-回合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</si>
  <si>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pve2阶段-回合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</si>
  <si>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pve2阶段-回合1</t>
  </si>
  <si>
    <t>pve2阶段-回合2</t>
  </si>
  <si>
    <t>pve2阶段-回合3</t>
  </si>
  <si>
    <t>pve2阶段-回合4</t>
  </si>
  <si>
    <t>pve2阶段-回合5</t>
  </si>
  <si>
    <t>pve2阶段-弱爆1</t>
    <phoneticPr fontId="13" type="noConversion"/>
  </si>
  <si>
    <t>pve2阶段-弱爆2</t>
    <phoneticPr fontId="13" type="noConversion"/>
  </si>
  <si>
    <t>pve2阶段-弱爆3</t>
  </si>
  <si>
    <t>pve2阶段-弱爆4</t>
  </si>
  <si>
    <t>pve2阶段-弱爆5</t>
  </si>
  <si>
    <t>pve2阶段-弱爆1</t>
  </si>
  <si>
    <t>pve2阶段-弱爆2</t>
  </si>
  <si>
    <t>pve2阶段-后防3</t>
    <phoneticPr fontId="13" type="noConversion"/>
  </si>
  <si>
    <r>
      <t>pve2阶段-后防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</si>
  <si>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pve2阶段-后防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</si>
  <si>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pve2阶段-后防3</t>
  </si>
  <si>
    <t>pve2阶段-后防4</t>
  </si>
  <si>
    <t>pve2阶段-后防5</t>
  </si>
  <si>
    <t>pve2阶段-辅助3</t>
    <phoneticPr fontId="13" type="noConversion"/>
  </si>
  <si>
    <r>
      <t>pve2阶段-辅助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</si>
  <si>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pve2阶段-辅助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</si>
  <si>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pve2阶段-辅助3</t>
  </si>
  <si>
    <t>pve2阶段-辅助4</t>
  </si>
  <si>
    <t>pve2阶段-辅助5</t>
  </si>
  <si>
    <t>pve2系别-理1</t>
    <phoneticPr fontId="13" type="noConversion"/>
  </si>
  <si>
    <r>
      <t>pve2系别-理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</si>
  <si>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pve2系别-理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</si>
  <si>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pve2系别-理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</si>
  <si>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pve2系别-理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</si>
  <si>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pve2系别-理1</t>
  </si>
  <si>
    <t>pve2系别-理2</t>
  </si>
  <si>
    <t>pve2系别-理3</t>
  </si>
  <si>
    <t>pve2系别-理4</t>
  </si>
  <si>
    <t>pve2系别-理5</t>
  </si>
  <si>
    <t>pve2系别-信1</t>
    <phoneticPr fontId="13" type="noConversion"/>
  </si>
  <si>
    <r>
      <t>pve2系别-信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</si>
  <si>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pve2系别-信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</si>
  <si>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pve2系别-信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</si>
  <si>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pve2系别-信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</si>
  <si>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pve2系别-信1</t>
  </si>
  <si>
    <t>pve2系别-信2</t>
  </si>
  <si>
    <t>pve2系别-信3</t>
  </si>
  <si>
    <t>pve2系别-信4</t>
  </si>
  <si>
    <t>pve2系别-信5</t>
  </si>
  <si>
    <t>pve2系别-情1</t>
    <phoneticPr fontId="13" type="noConversion"/>
  </si>
  <si>
    <r>
      <t>pve2系别-情</t>
    </r>
    <r>
      <rPr>
        <sz val="11"/>
        <color theme="1"/>
        <rFont val="等线"/>
        <family val="3"/>
        <charset val="134"/>
        <scheme val="minor"/>
      </rPr>
      <t>2</t>
    </r>
  </si>
  <si>
    <r>
      <t>pve2系别-情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</si>
  <si>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pve2系别-情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</si>
  <si>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pve2系别-情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</si>
  <si>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pve2系别-情1</t>
  </si>
  <si>
    <t>pve2系别-情2</t>
  </si>
  <si>
    <t>pve2系别-情3</t>
  </si>
  <si>
    <t>pve2系别-情4</t>
  </si>
  <si>
    <t>pve2系别-情5</t>
  </si>
  <si>
    <t>pve2系别-正3</t>
    <phoneticPr fontId="13" type="noConversion"/>
  </si>
  <si>
    <t>pve2系别-正4</t>
    <phoneticPr fontId="13" type="noConversion"/>
  </si>
  <si>
    <t>pve2系别-正5</t>
  </si>
  <si>
    <t>pve2系别-正3</t>
  </si>
  <si>
    <t>pve2系别-正4</t>
  </si>
  <si>
    <t>pve2系别-后3</t>
    <phoneticPr fontId="13" type="noConversion"/>
  </si>
  <si>
    <t>pve2系别-后4</t>
    <phoneticPr fontId="13" type="noConversion"/>
  </si>
  <si>
    <t>pve2系别-后5</t>
  </si>
  <si>
    <t>pve2系别-后3</t>
  </si>
  <si>
    <t>pve2系别-后4</t>
  </si>
  <si>
    <t>pve2条件-不死1</t>
    <phoneticPr fontId="13" type="noConversion"/>
  </si>
  <si>
    <r>
      <t>pve2条件-不死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</si>
  <si>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pve2条件-不死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</si>
  <si>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pve2条件-不死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</si>
  <si>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pve2条件-不死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</si>
  <si>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pve2条件-不死1</t>
  </si>
  <si>
    <t>pve2条件-不死2</t>
  </si>
  <si>
    <t>pve2条件-不死3</t>
  </si>
  <si>
    <t>pve2条件-不死4</t>
  </si>
  <si>
    <t>pve2条件-不死5</t>
  </si>
  <si>
    <t>pve2条件-针对1</t>
    <phoneticPr fontId="13" type="noConversion"/>
  </si>
  <si>
    <r>
      <t>pve2条件-针对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</si>
  <si>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pve2条件-针对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</si>
  <si>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pve2条件-针对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</si>
  <si>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pve2条件-针对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</si>
  <si>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pve2条件-针对1</t>
  </si>
  <si>
    <t>pve2条件-针对2</t>
  </si>
  <si>
    <t>pve2条件-针对3</t>
  </si>
  <si>
    <t>pve2条件-针对4</t>
  </si>
  <si>
    <t>pve2条件-针对5</t>
  </si>
  <si>
    <t>pve2条件-击杀1</t>
    <phoneticPr fontId="13" type="noConversion"/>
  </si>
  <si>
    <t>pve2条件-击杀2</t>
    <phoneticPr fontId="13" type="noConversion"/>
  </si>
  <si>
    <t>pve2条件-击杀3</t>
  </si>
  <si>
    <t>pve2条件-击杀4</t>
  </si>
  <si>
    <t>pve2条件-击杀5</t>
  </si>
  <si>
    <t>pve2条件-击杀1</t>
  </si>
  <si>
    <t>pve2条件-击杀2</t>
  </si>
  <si>
    <t>pve2条件-针对击杀1</t>
    <phoneticPr fontId="13" type="noConversion"/>
  </si>
  <si>
    <t>pve2条件-针对击杀2</t>
    <phoneticPr fontId="13" type="noConversion"/>
  </si>
  <si>
    <t>pve2条件-针对击杀3</t>
  </si>
  <si>
    <t>pve2条件-针对击杀4</t>
  </si>
  <si>
    <t>pve2条件-针对击杀5</t>
  </si>
  <si>
    <t>pve2条件-针对击杀1</t>
  </si>
  <si>
    <t>pve2条件-针对击杀2</t>
  </si>
  <si>
    <t>pve2条件-防御惩罚3</t>
    <phoneticPr fontId="13" type="noConversion"/>
  </si>
  <si>
    <r>
      <t>pve2条件-防御惩罚</t>
    </r>
    <r>
      <rPr>
        <sz val="11"/>
        <color theme="1"/>
        <rFont val="等线"/>
        <family val="3"/>
        <charset val="134"/>
        <scheme val="minor"/>
      </rPr>
      <t>4</t>
    </r>
    <phoneticPr fontId="13" type="noConversion"/>
  </si>
  <si>
    <r>
      <t>pve2条件-防御惩罚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</si>
  <si>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pve2条件-防御惩罚3</t>
  </si>
  <si>
    <t>pve2条件-防御惩罚4</t>
  </si>
  <si>
    <t>pve2条件-防御惩罚5</t>
  </si>
  <si>
    <t>pve2条件-攻击惩罚3</t>
    <phoneticPr fontId="13" type="noConversion"/>
  </si>
  <si>
    <t>pve2条件-攻击惩罚4</t>
    <phoneticPr fontId="13" type="noConversion"/>
  </si>
  <si>
    <t>pve2条件-攻击惩罚5</t>
  </si>
  <si>
    <t>pve2条件-攻击惩罚3</t>
  </si>
  <si>
    <t>pve2条件-攻击惩罚4</t>
  </si>
  <si>
    <t>pve2赌博-点名1</t>
    <phoneticPr fontId="13" type="noConversion"/>
  </si>
  <si>
    <r>
      <t>pve2赌博-点名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</si>
  <si>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pve2赌博-点名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</si>
  <si>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pve2赌博-点名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</si>
  <si>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pve2赌博-点名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</si>
  <si>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pve2赌博-点名1</t>
  </si>
  <si>
    <t>pve2赌博-点名2</t>
  </si>
  <si>
    <t>pve2赌博-点名3</t>
  </si>
  <si>
    <t>pve2赌博-点名4</t>
  </si>
  <si>
    <t>pve2赌博-点名5</t>
  </si>
  <si>
    <t>pve2赌博-暴击1</t>
    <phoneticPr fontId="13" type="noConversion"/>
  </si>
  <si>
    <r>
      <t>pve2赌博-暴击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</si>
  <si>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pve2赌博-暴击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</si>
  <si>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pve2赌博-暴击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</si>
  <si>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pve2赌博-暴击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</si>
  <si>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pve2赌博-暴击1</t>
  </si>
  <si>
    <t>pve2赌博-暴击2</t>
  </si>
  <si>
    <t>pve2赌博-暴击3</t>
  </si>
  <si>
    <t>pve2赌博-暴击4</t>
  </si>
  <si>
    <t>pve2赌博-暴击5</t>
  </si>
  <si>
    <t>pve2赌博-随机1</t>
    <phoneticPr fontId="13" type="noConversion"/>
  </si>
  <si>
    <r>
      <t>pve2赌博-随机</t>
    </r>
    <r>
      <rPr>
        <sz val="11"/>
        <color theme="1"/>
        <rFont val="等线"/>
        <family val="3"/>
        <charset val="134"/>
        <scheme val="minor"/>
      </rPr>
      <t>2</t>
    </r>
    <phoneticPr fontId="13" type="noConversion"/>
  </si>
  <si>
    <r>
      <t>pve2赌博-随机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</si>
  <si>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pve2赌博-随机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scheme val="minor"/>
      </rPr>
      <t/>
    </r>
  </si>
  <si>
    <r>
      <t>pve2赌博-随机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/>
    </r>
  </si>
  <si>
    <t>pve2赌博-随机1</t>
  </si>
  <si>
    <t>pve2赌博-随机2</t>
  </si>
  <si>
    <t>pve2赌博-随机3</t>
  </si>
  <si>
    <t>pve2赌博-随机4</t>
  </si>
  <si>
    <t>pve2赌博-随机5</t>
  </si>
  <si>
    <t>pve2赌博-状态3</t>
    <phoneticPr fontId="13" type="noConversion"/>
  </si>
  <si>
    <t>pve2赌博-状态4</t>
    <phoneticPr fontId="13" type="noConversion"/>
  </si>
  <si>
    <t>pve2赌博-状态5</t>
  </si>
  <si>
    <t>pve2赌博-状态3</t>
  </si>
  <si>
    <t>pve2赌博-状态4</t>
  </si>
  <si>
    <t>pve2赌博-系别3</t>
    <phoneticPr fontId="13" type="noConversion"/>
  </si>
  <si>
    <t>pve2赌博-系别4</t>
    <phoneticPr fontId="13" type="noConversion"/>
  </si>
  <si>
    <t>pve2赌博-系别5</t>
  </si>
  <si>
    <t>pve2赌博-系别3</t>
  </si>
  <si>
    <t>pve2赌博-系别4</t>
  </si>
  <si>
    <t>pve2赌博-N卡1</t>
  </si>
  <si>
    <t>pve2赌博-N卡2</t>
  </si>
  <si>
    <t>pve2赌博-N卡3</t>
  </si>
  <si>
    <t>pve2赌博-N卡4</t>
  </si>
  <si>
    <t>pve2赌博-N卡5</t>
  </si>
  <si>
    <t>[101101,101102,101103,101104]</t>
    <phoneticPr fontId="13" type="noConversion"/>
  </si>
  <si>
    <t>动效测试</t>
    <phoneticPr fontId="13" type="noConversion"/>
  </si>
  <si>
    <r>
      <t>[2000501,2000502,2000503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</si>
  <si>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宇航员</t>
    <phoneticPr fontId="13" type="noConversion"/>
  </si>
  <si>
    <t>序章第一场</t>
    <phoneticPr fontId="13" type="noConversion"/>
  </si>
  <si>
    <t>序章第二场</t>
    <phoneticPr fontId="13" type="noConversion"/>
  </si>
  <si>
    <t>残王</t>
    <phoneticPr fontId="13" type="noConversion"/>
  </si>
  <si>
    <t>序章第三场</t>
    <phoneticPr fontId="13" type="noConversion"/>
  </si>
  <si>
    <t>左部件</t>
    <phoneticPr fontId="13" type="noConversion"/>
  </si>
  <si>
    <t>右部件</t>
    <phoneticPr fontId="13" type="noConversion"/>
  </si>
  <si>
    <t>[10001001,10001002,10001003,10001004,10001005,10001006,10001007]</t>
    <phoneticPr fontId="13" type="noConversion"/>
  </si>
  <si>
    <t>主动技能</t>
    <phoneticPr fontId="13" type="noConversion"/>
  </si>
  <si>
    <t>支援技能</t>
    <phoneticPr fontId="13" type="noConversion"/>
  </si>
  <si>
    <t>技能系数</t>
    <phoneticPr fontId="13" type="noConversion"/>
  </si>
  <si>
    <t>技能每级提升比例</t>
    <phoneticPr fontId="13" type="noConversion"/>
  </si>
  <si>
    <t>1/6级技能缩放</t>
    <phoneticPr fontId="13" type="noConversion"/>
  </si>
  <si>
    <t>满级主动</t>
    <phoneticPr fontId="13" type="noConversion"/>
  </si>
  <si>
    <t>满级支援</t>
    <phoneticPr fontId="13" type="noConversion"/>
  </si>
  <si>
    <t>技能系数S</t>
    <phoneticPr fontId="13" type="noConversion"/>
  </si>
  <si>
    <t>[10003001]</t>
    <phoneticPr fontId="13" type="noConversion"/>
  </si>
  <si>
    <t>{0:[[[10001001],1],[[10001002],1],[[10001003],1],[[10001004],1]]}</t>
    <phoneticPr fontId="13" type="noConversion"/>
  </si>
  <si>
    <t>巨构机制测试</t>
    <phoneticPr fontId="13" type="noConversion"/>
  </si>
  <si>
    <t>隐身+存活类型+目标id</t>
    <phoneticPr fontId="13" type="noConversion"/>
  </si>
  <si>
    <t>[23501,23502,23503,23504]</t>
    <phoneticPr fontId="13" type="noConversion"/>
  </si>
  <si>
    <t>[]</t>
    <phoneticPr fontId="13" type="noConversion"/>
  </si>
  <si>
    <t>角色验收测试</t>
    <phoneticPr fontId="13" type="noConversion"/>
  </si>
  <si>
    <t>[101301,101302,101303,101304]</t>
  </si>
  <si>
    <t>ExtraSkill</t>
    <phoneticPr fontId="13" type="noConversion"/>
  </si>
  <si>
    <t>int[]</t>
    <phoneticPr fontId="13" type="noConversion"/>
  </si>
  <si>
    <t>复活测试</t>
    <phoneticPr fontId="13" type="noConversion"/>
  </si>
  <si>
    <t>[201501,201502]</t>
    <phoneticPr fontId="13" type="noConversion"/>
  </si>
  <si>
    <t>(数据来源【战斗数值-标准人-职业内浮动】）</t>
    <phoneticPr fontId="13" type="noConversion"/>
  </si>
  <si>
    <t>(假装全养成的测试使用系数）</t>
    <phoneticPr fontId="13" type="noConversion"/>
  </si>
  <si>
    <t>（黏贴数据可用【角色设计-技能设计规划-aa231】）</t>
    <phoneticPr fontId="13" type="noConversion"/>
  </si>
  <si>
    <t>定位点</t>
    <phoneticPr fontId="13" type="noConversion"/>
  </si>
  <si>
    <t>支援位养成比例</t>
    <phoneticPr fontId="13" type="noConversion"/>
  </si>
  <si>
    <t>一只大怪(铣刀这种也算）</t>
    <phoneticPr fontId="13" type="noConversion"/>
  </si>
  <si>
    <t>两个大boss</t>
    <phoneticPr fontId="13" type="noConversion"/>
  </si>
  <si>
    <r>
      <t>一boss+</t>
    </r>
    <r>
      <rPr>
        <sz val="11"/>
        <color theme="1"/>
        <rFont val="等线"/>
        <family val="3"/>
        <charset val="134"/>
        <scheme val="minor"/>
      </rPr>
      <t>2个精英</t>
    </r>
    <phoneticPr fontId="13" type="noConversion"/>
  </si>
  <si>
    <r>
      <t>一精英+</t>
    </r>
    <r>
      <rPr>
        <sz val="11"/>
        <color theme="1"/>
        <rFont val="等线"/>
        <family val="3"/>
        <charset val="134"/>
        <scheme val="minor"/>
      </rPr>
      <t>3小怪</t>
    </r>
    <phoneticPr fontId="13" type="noConversion"/>
  </si>
  <si>
    <t>4小怪</t>
    <phoneticPr fontId="13" type="noConversion"/>
  </si>
  <si>
    <t>零章第一场</t>
    <phoneticPr fontId="13" type="noConversion"/>
  </si>
  <si>
    <t>零章第二场</t>
    <phoneticPr fontId="13" type="noConversion"/>
  </si>
  <si>
    <t>零章第三场</t>
    <phoneticPr fontId="13" type="noConversion"/>
  </si>
  <si>
    <t>癫乱返生</t>
    <phoneticPr fontId="13" type="noConversion"/>
  </si>
  <si>
    <t>接线员</t>
    <phoneticPr fontId="13" type="noConversion"/>
  </si>
  <si>
    <t>和祥义头目</t>
    <phoneticPr fontId="13" type="noConversion"/>
  </si>
  <si>
    <t>坐童</t>
    <phoneticPr fontId="13" type="noConversion"/>
  </si>
  <si>
    <t>和祥义喽啰</t>
    <phoneticPr fontId="13" type="noConversion"/>
  </si>
  <si>
    <t>恶病返生</t>
    <phoneticPr fontId="13" type="noConversion"/>
  </si>
  <si>
    <t>和祥义打手</t>
    <phoneticPr fontId="13" type="noConversion"/>
  </si>
  <si>
    <t>惧煞返生</t>
    <phoneticPr fontId="13" type="noConversion"/>
  </si>
  <si>
    <t>D|N</t>
    <phoneticPr fontId="13" type="noConversion"/>
  </si>
  <si>
    <t>【TMP】橘</t>
  </si>
  <si>
    <t>【TMP】真朱</t>
  </si>
  <si>
    <t>【TMP】夜来</t>
  </si>
  <si>
    <t>【TMP】槐</t>
  </si>
  <si>
    <t>【TMP】闪羽</t>
  </si>
  <si>
    <t>【TMP】柯</t>
  </si>
  <si>
    <t>【TMP】超管局角色1</t>
  </si>
  <si>
    <t>【TMP】甘霖</t>
  </si>
  <si>
    <t>【TMP】银峰</t>
  </si>
  <si>
    <t>【TMP】流苏</t>
  </si>
  <si>
    <t>【TMP】超管局角色2</t>
  </si>
  <si>
    <t>【TMP】南乔</t>
  </si>
  <si>
    <t>【TMP】隐光</t>
  </si>
  <si>
    <t>【TMP】水仙</t>
  </si>
  <si>
    <t>【TMP】香雪</t>
  </si>
  <si>
    <t>【TMP】幽兰</t>
  </si>
  <si>
    <t>【TMP】司命</t>
  </si>
  <si>
    <t>【TMP】传影</t>
  </si>
  <si>
    <t>【TMP】英格丽特</t>
  </si>
  <si>
    <t>【TMP】白槿</t>
  </si>
  <si>
    <t>【TMP】乌龙</t>
  </si>
  <si>
    <t>【TMP】骐骥</t>
  </si>
  <si>
    <t>【TMP】天星</t>
  </si>
  <si>
    <t>【TMP】巫</t>
  </si>
  <si>
    <t>【TMP】月白</t>
  </si>
  <si>
    <t>【TMP】净天</t>
  </si>
  <si>
    <t>【TMP】鹿遥</t>
  </si>
  <si>
    <t>【TMP】鸦</t>
  </si>
  <si>
    <t>【TMP】时曦</t>
  </si>
  <si>
    <t>【TMP】梧桐</t>
  </si>
  <si>
    <t>【TMP】恒沙</t>
  </si>
  <si>
    <t>忠元</t>
    <phoneticPr fontId="13" type="noConversion"/>
  </si>
  <si>
    <t>方块</t>
    <phoneticPr fontId="13" type="noConversion"/>
  </si>
  <si>
    <t>星凉</t>
    <phoneticPr fontId="13" type="noConversion"/>
  </si>
  <si>
    <t>鸣霜</t>
    <phoneticPr fontId="13" type="noConversion"/>
  </si>
  <si>
    <t>红心</t>
    <phoneticPr fontId="13" type="noConversion"/>
  </si>
  <si>
    <t>朝颜</t>
    <phoneticPr fontId="13" type="noConversion"/>
  </si>
  <si>
    <t>繁夏</t>
    <phoneticPr fontId="13" type="noConversion"/>
  </si>
  <si>
    <t>铣刀</t>
    <phoneticPr fontId="13" type="noConversion"/>
  </si>
  <si>
    <t>千秋</t>
    <phoneticPr fontId="13" type="noConversion"/>
  </si>
  <si>
    <t>[10002001,10002002,10002003,10002004,10002005,10002006,10002007,10002008,10002009,10002010,10002011,10002012]</t>
    <phoneticPr fontId="13" type="noConversion"/>
  </si>
  <si>
    <t>绿雪</t>
    <phoneticPr fontId="13" type="noConversion"/>
  </si>
  <si>
    <t>玉露</t>
    <phoneticPr fontId="13" type="noConversion"/>
  </si>
  <si>
    <t>列车长</t>
    <phoneticPr fontId="13" type="noConversion"/>
  </si>
  <si>
    <t>健身达人1</t>
  </si>
  <si>
    <t>健身达人2</t>
  </si>
  <si>
    <t>健身达人3</t>
  </si>
  <si>
    <t>健身达人4</t>
  </si>
  <si>
    <t>健身达人5</t>
  </si>
  <si>
    <t>方块</t>
    <phoneticPr fontId="13" type="noConversion"/>
  </si>
  <si>
    <t>和祥义打手</t>
    <phoneticPr fontId="13" type="noConversion"/>
  </si>
  <si>
    <t>少年与男人1</t>
  </si>
  <si>
    <t>少年与男人2</t>
  </si>
  <si>
    <t>少年与男人3</t>
  </si>
  <si>
    <t>少年与男人4</t>
  </si>
  <si>
    <t>少年与男人5</t>
  </si>
  <si>
    <t>黑桃</t>
    <phoneticPr fontId="13" type="noConversion"/>
  </si>
  <si>
    <t>常识缺陷1</t>
  </si>
  <si>
    <t>常识缺陷2</t>
  </si>
  <si>
    <t>常识缺陷3</t>
  </si>
  <si>
    <t>常识缺陷4</t>
  </si>
  <si>
    <t>常识缺陷5</t>
  </si>
  <si>
    <t>弥砂</t>
  </si>
  <si>
    <t>弥砂</t>
    <phoneticPr fontId="13" type="noConversion"/>
  </si>
  <si>
    <t>音希</t>
    <phoneticPr fontId="13" type="noConversion"/>
  </si>
  <si>
    <t>天雷无妄1</t>
  </si>
  <si>
    <t>天雷无妄2</t>
  </si>
  <si>
    <t>天雷无妄3</t>
  </si>
  <si>
    <t>天雷无妄4</t>
  </si>
  <si>
    <t>天雷无妄5</t>
  </si>
  <si>
    <t>个人硬盘1</t>
  </si>
  <si>
    <t>个人硬盘2</t>
  </si>
  <si>
    <t>个人硬盘3</t>
  </si>
  <si>
    <t>个人硬盘4</t>
  </si>
  <si>
    <t>个人硬盘5</t>
  </si>
  <si>
    <t>星凉</t>
    <phoneticPr fontId="13" type="noConversion"/>
  </si>
  <si>
    <t>龙井</t>
    <phoneticPr fontId="13" type="noConversion"/>
  </si>
  <si>
    <t>玉露</t>
    <phoneticPr fontId="13" type="noConversion"/>
  </si>
  <si>
    <t>红袍</t>
    <phoneticPr fontId="13" type="noConversion"/>
  </si>
  <si>
    <t>洞明</t>
    <phoneticPr fontId="13" type="noConversion"/>
  </si>
  <si>
    <t>总局特派组1</t>
  </si>
  <si>
    <t>总局特派组2</t>
  </si>
  <si>
    <t>总局特派组3</t>
  </si>
  <si>
    <t>总局特派组4</t>
  </si>
  <si>
    <t>总局特派组5</t>
  </si>
  <si>
    <t>火青</t>
    <phoneticPr fontId="13" type="noConversion"/>
  </si>
  <si>
    <t>烛火教21</t>
  </si>
  <si>
    <t>烛火教22</t>
  </si>
  <si>
    <t>烛火教23</t>
  </si>
  <si>
    <t>烛火教24</t>
  </si>
  <si>
    <t>烛火教25</t>
  </si>
  <si>
    <t>烛火教1</t>
  </si>
  <si>
    <t>烛火教2</t>
  </si>
  <si>
    <t>烛火教3</t>
  </si>
  <si>
    <t>烛火教4</t>
  </si>
  <si>
    <t>烛火教5</t>
  </si>
  <si>
    <t>大象1</t>
  </si>
  <si>
    <t>大象2</t>
  </si>
  <si>
    <t>大象3</t>
  </si>
  <si>
    <t>大象4</t>
  </si>
  <si>
    <t>大象5</t>
  </si>
  <si>
    <t>橘子1</t>
  </si>
  <si>
    <t>橘子2</t>
  </si>
  <si>
    <t>橘子3</t>
  </si>
  <si>
    <t>橘子4</t>
  </si>
  <si>
    <t>橘子5</t>
  </si>
  <si>
    <t>冰箱1</t>
  </si>
  <si>
    <t>冰箱2</t>
  </si>
  <si>
    <t>冰箱3</t>
  </si>
  <si>
    <t>冰箱4</t>
  </si>
  <si>
    <t>冰箱5</t>
  </si>
  <si>
    <t>地铁怪1</t>
  </si>
  <si>
    <t>地铁怪2</t>
  </si>
  <si>
    <t>地铁怪3</t>
  </si>
  <si>
    <t>地铁怪4</t>
  </si>
  <si>
    <t>地铁怪5</t>
  </si>
  <si>
    <t>接线员</t>
    <phoneticPr fontId="13" type="noConversion"/>
  </si>
  <si>
    <t>和祥义1</t>
  </si>
  <si>
    <t>和祥义2</t>
  </si>
  <si>
    <t>和祥义3</t>
  </si>
  <si>
    <t>和祥义4</t>
  </si>
  <si>
    <t>和祥义5</t>
  </si>
  <si>
    <t>和祥义喽啰</t>
    <phoneticPr fontId="13" type="noConversion"/>
  </si>
  <si>
    <t>和祥义头目</t>
    <phoneticPr fontId="13" type="noConversion"/>
  </si>
  <si>
    <t>返生1</t>
  </si>
  <si>
    <t>返生2</t>
  </si>
  <si>
    <t>返生3</t>
  </si>
  <si>
    <t>返生4</t>
  </si>
  <si>
    <t>返生5</t>
  </si>
  <si>
    <t>恶病返生</t>
    <phoneticPr fontId="13" type="noConversion"/>
  </si>
  <si>
    <t>癫乱返生</t>
    <phoneticPr fontId="13" type="noConversion"/>
  </si>
  <si>
    <t>惧煞返生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</si>
  <si>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10295101,10295102,10295104,10295105]</t>
    </r>
    <phoneticPr fontId="13" type="noConversion"/>
  </si>
  <si>
    <t>[10295101,10295102,10295106,10295107]</t>
  </si>
  <si>
    <r>
      <t>[</t>
    </r>
    <r>
      <rPr>
        <sz val="11"/>
        <color theme="1"/>
        <rFont val="等线"/>
        <family val="3"/>
        <charset val="134"/>
        <scheme val="minor"/>
      </rPr>
      <t>100185101,100185102]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</si>
  <si>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10315101,10315102,10315103,10315104]</t>
    </r>
    <phoneticPr fontId="13" type="noConversion"/>
  </si>
  <si>
    <t>[10315101,10315102,10315103,10315105]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</si>
  <si>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10525101,10525102,10525103,10525104]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</si>
  <si>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10515101,10515102,10515103,10515104]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</si>
  <si>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10075101,10075102,10075104]</t>
    </r>
    <phoneticPr fontId="13" type="noConversion"/>
  </si>
  <si>
    <t>[10075101,10075102,10075105]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</si>
  <si>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10215101,10215102,10215103,10215104]</t>
    </r>
    <phoneticPr fontId="13" type="noConversion"/>
  </si>
  <si>
    <t>[10215101,10215102,10215103,10215105]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</si>
  <si>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10165101,10165102,10165103,10165104]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</si>
  <si>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2000101,2000102]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</si>
  <si>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10345101,10345102,10345104]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</si>
  <si>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10125101,10125102,10125103,10125104]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</si>
  <si>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10013101,10013102,10013104]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</si>
  <si>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10014101,10014102,10014104]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</si>
  <si>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10018101,10018102,10018104]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</si>
  <si>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10019101,10019102,10019104,10019105]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</si>
  <si>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10020101,10020102,10020103,10020104]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</si>
  <si>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2000401,2000402,2000403,2000404]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</si>
  <si>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10021101,10021102,10021104]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</si>
  <si>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10022101,10022102,10022104]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</si>
  <si>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10023101,10023102,10023104]</t>
    </r>
    <phoneticPr fontId="13" type="noConversion"/>
  </si>
  <si>
    <t>黑桃</t>
    <phoneticPr fontId="13" type="noConversion"/>
  </si>
  <si>
    <t>[10024101,10024102,10024104,10024105]</t>
    <phoneticPr fontId="13" type="noConversion"/>
  </si>
  <si>
    <t>[10019101,10019102,10019104,10019105]</t>
    <phoneticPr fontId="13" type="noConversion"/>
  </si>
  <si>
    <t>火青</t>
    <phoneticPr fontId="13" type="noConversion"/>
  </si>
  <si>
    <t>2-1梅花众</t>
    <phoneticPr fontId="13" type="noConversion"/>
  </si>
  <si>
    <t>[10018201,10018202,10018204,10018205]</t>
    <phoneticPr fontId="13" type="noConversion"/>
  </si>
  <si>
    <t>2-2-1地铁怪</t>
    <phoneticPr fontId="13" type="noConversion"/>
  </si>
  <si>
    <t>[10014201,10014202,10014204]</t>
    <phoneticPr fontId="13" type="noConversion"/>
  </si>
  <si>
    <t>[10032201,10032202,10032204]</t>
    <phoneticPr fontId="13" type="noConversion"/>
  </si>
  <si>
    <t>坐童</t>
    <phoneticPr fontId="13" type="noConversion"/>
  </si>
  <si>
    <t>2-2-2地铁怪</t>
    <phoneticPr fontId="13" type="noConversion"/>
  </si>
  <si>
    <t>[10034201,10034202,10034204]</t>
    <phoneticPr fontId="13" type="noConversion"/>
  </si>
  <si>
    <t>[10040201,10040202]</t>
    <phoneticPr fontId="13" type="noConversion"/>
  </si>
  <si>
    <t>茜</t>
    <phoneticPr fontId="13" type="noConversion"/>
  </si>
  <si>
    <t>洞明</t>
    <phoneticPr fontId="13" type="noConversion"/>
  </si>
  <si>
    <t>[1002201,1002202,1002204,1002205]</t>
    <phoneticPr fontId="13" type="noConversion"/>
  </si>
  <si>
    <t>[1034201,1034202,1034203,1034204]</t>
    <phoneticPr fontId="13" type="noConversion"/>
  </si>
  <si>
    <t>接线员</t>
    <phoneticPr fontId="13" type="noConversion"/>
  </si>
  <si>
    <t>[10013201,10013202,10013204]</t>
    <phoneticPr fontId="13" type="noConversion"/>
  </si>
  <si>
    <t>和祥义头目</t>
    <phoneticPr fontId="13" type="noConversion"/>
  </si>
  <si>
    <t>[10019201,10019202,10019204,10019205]</t>
    <phoneticPr fontId="13" type="noConversion"/>
  </si>
  <si>
    <t>[10020201,10020202,10020203,10020204,10020205]</t>
    <phoneticPr fontId="13" type="noConversion"/>
  </si>
  <si>
    <t>音希</t>
    <phoneticPr fontId="13" type="noConversion"/>
  </si>
  <si>
    <t>弥砂</t>
    <phoneticPr fontId="13" type="noConversion"/>
  </si>
  <si>
    <t>[1051201,1051202,1051204]</t>
    <phoneticPr fontId="13" type="noConversion"/>
  </si>
  <si>
    <t>[1051201,1051205,1051206,1051207]</t>
    <phoneticPr fontId="13" type="noConversion"/>
  </si>
  <si>
    <t>[1052201,1052202,1052203,1052204]</t>
    <phoneticPr fontId="13" type="noConversion"/>
  </si>
  <si>
    <t>2-17大胎动</t>
    <phoneticPr fontId="13" type="noConversion"/>
  </si>
  <si>
    <r>
      <t>[2000501,2000502,2000503,2000504,2000505</t>
    </r>
    <r>
      <rPr>
        <sz val="11"/>
        <color theme="1"/>
        <rFont val="等线"/>
        <family val="3"/>
        <charset val="134"/>
        <scheme val="minor"/>
      </rPr>
      <t>,2000506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</si>
  <si>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[101060101,0]</t>
    <phoneticPr fontId="13" type="noConversion"/>
  </si>
  <si>
    <t>[101060201,101060202,0]</t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</si>
  <si>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101110101,101110102,0]</t>
    </r>
    <phoneticPr fontId="13" type="noConversion"/>
  </si>
  <si>
    <r>
      <t>[</t>
    </r>
    <r>
      <rPr>
        <sz val="11"/>
        <color theme="1"/>
        <rFont val="等线"/>
        <family val="3"/>
        <charset val="134"/>
        <scheme val="minor"/>
      </rPr>
      <t>101120302,101120301,0]</t>
    </r>
    <phoneticPr fontId="13" type="noConversion"/>
  </si>
  <si>
    <r>
      <t>[30610101,30610102,30610103,30610104,30610105</t>
    </r>
    <r>
      <rPr>
        <sz val="11"/>
        <color theme="1"/>
        <rFont val="等线"/>
        <family val="3"/>
        <charset val="134"/>
        <scheme val="minor"/>
      </rPr>
      <t>,30610106,30610107,30610108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</si>
  <si>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[30610401,30610402,30610403,30610404,30610405,30610406,30610407,30610408,30610409,30610410</t>
    </r>
    <r>
      <rPr>
        <sz val="11"/>
        <color theme="1"/>
        <rFont val="等线"/>
        <family val="3"/>
        <charset val="134"/>
        <scheme val="minor"/>
      </rPr>
      <t>,30610411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</si>
  <si>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[30610501,30610502,30610503,30610504,30610505,30610506,30610507,30610508,30610509,30610510</t>
    </r>
    <r>
      <rPr>
        <sz val="11"/>
        <color theme="1"/>
        <rFont val="等线"/>
        <family val="3"/>
        <charset val="134"/>
        <scheme val="minor"/>
      </rPr>
      <t>,30610511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</si>
  <si>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[30620101,30620102,30620103,30620104,30620105,30620106,30620107</t>
    </r>
    <r>
      <rPr>
        <sz val="11"/>
        <color theme="1"/>
        <rFont val="等线"/>
        <family val="3"/>
        <charset val="134"/>
        <scheme val="minor"/>
      </rPr>
      <t>,30620108,30620109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</si>
  <si>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{0:[[[30620101],0],[[30620102],0],[[30620103],1]],101:[[[30620106],0],[[30620106],0]]}</t>
    <phoneticPr fontId="13" type="noConversion"/>
  </si>
  <si>
    <t>[30620201,30620202,30620203,30620204,30620205,30620206,30620207,30620208,30620209]</t>
    <phoneticPr fontId="13" type="noConversion"/>
  </si>
  <si>
    <t>{0:[[[30620201],0],[[30620202],0],[[30620203],1]],101:[[[30620206],0],[[30620206],0]]}</t>
    <phoneticPr fontId="13" type="noConversion"/>
  </si>
  <si>
    <t>{0:[[[30620301],0],[[30620302],0],[[30620303],1]],101:[[[30620306],0],[[30620306],0]]}</t>
    <phoneticPr fontId="13" type="noConversion"/>
  </si>
  <si>
    <t>{0:[[[30620401],0],[[30620402],0],[[30620403],1]],101:[[[30620406],0],[[30620406],0]]}</t>
    <phoneticPr fontId="13" type="noConversion"/>
  </si>
  <si>
    <t>{0:[[[30620501],0],[[30620502],0],[[30620503],1]],101:[[[30620506],0],[[30620506],0]]}</t>
    <phoneticPr fontId="13" type="noConversion"/>
  </si>
  <si>
    <t>[30620301,30620302,30620303,30620304,30620305,30620306,30620307,30620308,30620309,30620310,30620311]</t>
    <phoneticPr fontId="13" type="noConversion"/>
  </si>
  <si>
    <r>
      <t>[30620401,30620402,30620403,30620404,30620405,30620406,30620407,30620408,30620409,30620410</t>
    </r>
    <r>
      <rPr>
        <sz val="11"/>
        <color theme="1"/>
        <rFont val="等线"/>
        <family val="3"/>
        <charset val="134"/>
        <scheme val="minor"/>
      </rPr>
      <t>,30620411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</si>
  <si>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[30620501,30620502,30620503,30620504,30620505,30620506,30620507,30620508,30620509,30620510</t>
    </r>
    <r>
      <rPr>
        <sz val="11"/>
        <color theme="1"/>
        <rFont val="等线"/>
        <family val="3"/>
        <charset val="134"/>
        <scheme val="minor"/>
      </rPr>
      <t>,30620511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</si>
  <si>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[30630101,30630102,30630103,30630104,30630105,30630106</t>
    </r>
    <r>
      <rPr>
        <sz val="11"/>
        <color theme="1"/>
        <rFont val="等线"/>
        <family val="3"/>
        <charset val="134"/>
        <scheme val="minor"/>
      </rPr>
      <t>,30630107,30630108,30630109,30630110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</si>
  <si>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{0:[[[30630101],0],[[30630102],0],[[30630103],1]],101:[[[30630106,30630107],0],[[30630106,30630107],0]]}</t>
    <phoneticPr fontId="13" type="noConversion"/>
  </si>
  <si>
    <t>{0:[[[30630201],0],[[30630202],0],[[30630203],1]],101:[[[30630206,30630207],0],[[30630206,30630207],0]]}</t>
    <phoneticPr fontId="13" type="noConversion"/>
  </si>
  <si>
    <t>{0:[[[30630301],0],[[30630302],0],[[30630303],1]],101:[[[30630306,30630307],0],[[30630306,30630307],0]]}</t>
    <phoneticPr fontId="13" type="noConversion"/>
  </si>
  <si>
    <t>{0:[[[30630401],0],[[30630402],0],[[30630403],1]],101:[[[30630406,30630407],0],[[30630406,30630407],0]]}</t>
    <phoneticPr fontId="13" type="noConversion"/>
  </si>
  <si>
    <t>{0:[[[30630501],0],[[30630502],0],[[30630503],1]],101:[[[30630506,30630507],0],[[30630506,30630507],0]]}</t>
    <phoneticPr fontId="13" type="noConversion"/>
  </si>
  <si>
    <r>
      <t>[30630201,30630202,30630203,30630204,30630205,30630206,30630207</t>
    </r>
    <r>
      <rPr>
        <sz val="11"/>
        <color theme="1"/>
        <rFont val="等线"/>
        <family val="3"/>
        <charset val="134"/>
        <scheme val="minor"/>
      </rPr>
      <t>,30630208,30630209,30630210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</si>
  <si>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[30630301,30630302,30630303,30630304,30630305,30630306,30630307,30630308</t>
    </r>
    <r>
      <rPr>
        <sz val="11"/>
        <color theme="1"/>
        <rFont val="等线"/>
        <family val="3"/>
        <charset val="134"/>
        <scheme val="minor"/>
      </rPr>
      <t>,30630309,30630310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</si>
  <si>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[30630401,30630402,30630403,30630404,30630405,30630406,30630407,30630408,30630409,30630410]</t>
    <phoneticPr fontId="13" type="noConversion"/>
  </si>
  <si>
    <t>[30630501,30630502,30630503,30630504,30630505,30630506,30630507,30630508,30630509,30630510]</t>
    <phoneticPr fontId="13" type="noConversion"/>
  </si>
  <si>
    <t>[30630601,30630602,30630604]</t>
    <phoneticPr fontId="13" type="noConversion"/>
  </si>
  <si>
    <t>[30630701,30630702,30630704]</t>
    <phoneticPr fontId="13" type="noConversion"/>
  </si>
  <si>
    <t>[30630801,30630802,30630804]</t>
    <phoneticPr fontId="13" type="noConversion"/>
  </si>
  <si>
    <t>铁心返生</t>
  </si>
  <si>
    <t>茜</t>
    <phoneticPr fontId="13" type="noConversion"/>
  </si>
  <si>
    <t>弥砂</t>
    <phoneticPr fontId="13" type="noConversion"/>
  </si>
  <si>
    <t>[10003002,10003004]</t>
    <phoneticPr fontId="13" type="noConversion"/>
  </si>
  <si>
    <t>[10003001,10003002,10003004]</t>
  </si>
  <si>
    <t>{0:[[[10003001],0],[[10003002],1],[[10003004],0]]}</t>
    <phoneticPr fontId="13" type="noConversion"/>
  </si>
  <si>
    <t>辅助地铁怪</t>
    <phoneticPr fontId="13" type="noConversion"/>
  </si>
  <si>
    <t>[25201,25202,25203,25204,25205,25206,25207]</t>
    <phoneticPr fontId="13" type="noConversion"/>
  </si>
  <si>
    <r>
      <t>{0:[[[25201],1],[[25202],1],[[25203],1],[[25204],1],[[25205],1]</t>
    </r>
    <r>
      <rPr>
        <sz val="11"/>
        <color theme="1"/>
        <rFont val="等线"/>
        <family val="3"/>
        <charset val="134"/>
        <scheme val="minor"/>
      </rPr>
      <t>]}</t>
    </r>
    <phoneticPr fontId="13" type="noConversion"/>
  </si>
  <si>
    <t>击杀回合</t>
    <phoneticPr fontId="13" type="noConversion"/>
  </si>
  <si>
    <t>(非探索关)怪物种类与属性的倍数关系</t>
    <phoneticPr fontId="13" type="noConversion"/>
  </si>
  <si>
    <t>推荐怪物承伤</t>
    <phoneticPr fontId="13" type="noConversion"/>
  </si>
  <si>
    <t>推荐玩家承受</t>
    <phoneticPr fontId="13" type="noConversion"/>
  </si>
  <si>
    <t>迷宫/常规</t>
    <phoneticPr fontId="13" type="noConversion"/>
  </si>
  <si>
    <t>迷宫</t>
  </si>
  <si>
    <t>迷宫</t>
    <phoneticPr fontId="13" type="noConversion"/>
  </si>
  <si>
    <t>非迷宫</t>
  </si>
  <si>
    <t>非迷宫</t>
    <phoneticPr fontId="13" type="noConversion"/>
  </si>
  <si>
    <t>{0:[[[10002001],1],[[10002002,10002003],1],[[10002004,10002001],1]],101:[]}</t>
    <phoneticPr fontId="13" type="noConversion"/>
  </si>
  <si>
    <t>衔接关:0-1地铁怪</t>
    <phoneticPr fontId="13" type="noConversion"/>
  </si>
  <si>
    <t>衔接关:1-2地铁怪</t>
    <phoneticPr fontId="13" type="noConversion"/>
  </si>
  <si>
    <t>衔接关:1-7和祥义</t>
    <phoneticPr fontId="13" type="noConversion"/>
  </si>
  <si>
    <t>衔接关:1-9和祥义</t>
    <phoneticPr fontId="13" type="noConversion"/>
  </si>
  <si>
    <t>衔接关:1-11地铁怪</t>
    <phoneticPr fontId="13" type="noConversion"/>
  </si>
  <si>
    <t>衔接关:1-12返生</t>
    <phoneticPr fontId="13" type="noConversion"/>
  </si>
  <si>
    <t>衔接关:1-14返生和祥义</t>
    <phoneticPr fontId="13" type="noConversion"/>
  </si>
  <si>
    <t>衔接关:1-16地铁怪</t>
    <phoneticPr fontId="13" type="noConversion"/>
  </si>
  <si>
    <t>(怪物)等级和附加属性的预期</t>
    <phoneticPr fontId="13" type="noConversion"/>
  </si>
  <si>
    <t>CrtR</t>
    <phoneticPr fontId="13" type="noConversion"/>
  </si>
  <si>
    <t>{0:[[[10003004],0],[[10003002],1],[[10003002],0]]}</t>
    <phoneticPr fontId="13" type="noConversion"/>
  </si>
  <si>
    <t>承伤推荐倍数</t>
    <phoneticPr fontId="13" type="noConversion"/>
  </si>
  <si>
    <t>承伤</t>
    <phoneticPr fontId="13" type="noConversion"/>
  </si>
  <si>
    <t>击杀</t>
    <phoneticPr fontId="13" type="noConversion"/>
  </si>
  <si>
    <t>精英怪</t>
    <phoneticPr fontId="13" type="noConversion"/>
  </si>
  <si>
    <t>[10003002,10003004,10003003,10003005]</t>
    <phoneticPr fontId="13" type="noConversion"/>
  </si>
  <si>
    <t>莲心</t>
    <phoneticPr fontId="13" type="noConversion"/>
  </si>
  <si>
    <t>突击debuff地铁怪</t>
    <phoneticPr fontId="13" type="noConversion"/>
  </si>
  <si>
    <t>[25301,25302,25303]</t>
  </si>
  <si>
    <t>{0:[[[25301],1],[[25302],1],[[25303],1]]}</t>
    <phoneticPr fontId="13" type="noConversion"/>
  </si>
  <si>
    <t>强攻和特工的偏向等级=10%，不然太极端，特工可以极端，怪物不行</t>
    <phoneticPr fontId="13" type="noConversion"/>
  </si>
  <si>
    <t>铁之虫</t>
    <phoneticPr fontId="13" type="noConversion"/>
  </si>
  <si>
    <r>
      <t>[30310901,30310902,30310904</t>
    </r>
    <r>
      <rPr>
        <sz val="11"/>
        <color theme="1"/>
        <rFont val="等线"/>
        <family val="3"/>
        <charset val="134"/>
        <scheme val="minor"/>
      </rPr>
      <t>,30310905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</si>
  <si>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[30311001,30311002,30311004</t>
    </r>
    <r>
      <rPr>
        <sz val="11"/>
        <color theme="1"/>
        <rFont val="等线"/>
        <family val="3"/>
        <charset val="134"/>
        <scheme val="minor"/>
      </rPr>
      <t>,30311005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</si>
  <si>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[30311101,30311102,30311104</t>
    </r>
    <r>
      <rPr>
        <sz val="11"/>
        <color theme="1"/>
        <rFont val="等线"/>
        <family val="3"/>
        <charset val="134"/>
        <scheme val="minor"/>
      </rPr>
      <t>,30311105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</si>
  <si>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[30311401,30311402,30311404,30311405]</t>
    <phoneticPr fontId="13" type="noConversion"/>
  </si>
  <si>
    <t>星期六</t>
    <phoneticPr fontId="13" type="noConversion"/>
  </si>
  <si>
    <t>框外风景-结局2</t>
    <phoneticPr fontId="13" type="noConversion"/>
  </si>
  <si>
    <t>框外风景-结局1</t>
    <phoneticPr fontId="13" type="noConversion"/>
  </si>
  <si>
    <t>[60101901,60101902,60101903,60101904]</t>
    <phoneticPr fontId="13" type="noConversion"/>
  </si>
  <si>
    <t>[60102101,60102102,60102103,60102104]</t>
    <phoneticPr fontId="13" type="noConversion"/>
  </si>
  <si>
    <r>
      <t>[1001301,1001302,1001303,1001304</t>
    </r>
    <r>
      <rPr>
        <sz val="11"/>
        <color theme="1"/>
        <rFont val="等线"/>
        <family val="3"/>
        <charset val="134"/>
        <scheme val="minor"/>
      </rPr>
      <t>,1001305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</si>
  <si>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[1001101,1001102,1001103,1001105,1001106</t>
    </r>
    <r>
      <rPr>
        <sz val="11"/>
        <color theme="1"/>
        <rFont val="等线"/>
        <family val="3"/>
        <charset val="134"/>
        <scheme val="minor"/>
      </rPr>
      <t>,1001107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</si>
  <si>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框外风景-最后一场专用</t>
    <phoneticPr fontId="13" type="noConversion"/>
  </si>
  <si>
    <r>
      <t>[1001101,1001102,1001103,1001105,1001106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</si>
  <si>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启航</t>
  </si>
  <si>
    <t>启航</t>
    <phoneticPr fontId="13" type="noConversion"/>
  </si>
  <si>
    <t>沉礁</t>
  </si>
  <si>
    <t>沉礁</t>
    <phoneticPr fontId="13" type="noConversion"/>
  </si>
  <si>
    <t>音希</t>
  </si>
  <si>
    <t>音希</t>
    <phoneticPr fontId="13" type="noConversion"/>
  </si>
  <si>
    <t>观画者（女）</t>
  </si>
  <si>
    <t>角色验收测试</t>
  </si>
  <si>
    <t>观画者（男）</t>
  </si>
  <si>
    <t>[1001301,1001302,1001303,1001304]</t>
  </si>
  <si>
    <t>“热情”（红色块）</t>
  </si>
  <si>
    <t>“才能”（蓝色块）</t>
  </si>
  <si>
    <t>[1001101,1001102,1001103,1001105,1001106]</t>
  </si>
  <si>
    <t>“灵感”（绿色块）</t>
  </si>
  <si>
    <t>[1001801,1001802,1001803,1001804]</t>
  </si>
  <si>
    <t>[1001901,1001902,1001903,1001904]</t>
  </si>
  <si>
    <t>[1002001,1002002,1002003,1002004]</t>
  </si>
  <si>
    <t>精英地铁怪</t>
  </si>
  <si>
    <t>[26801,26802,26803]</t>
  </si>
  <si>
    <t>死爆型强攻地铁怪</t>
  </si>
  <si>
    <t>[26901,26902,26903]</t>
  </si>
  <si>
    <t>[27001,27002,27003,27004]</t>
  </si>
  <si>
    <t>弱点型强攻地铁怪</t>
  </si>
  <si>
    <t>[27101,27102,27103,27104]</t>
  </si>
  <si>
    <t>治疗型地铁怪</t>
  </si>
  <si>
    <t>[27201,27202,27203,27204]</t>
  </si>
  <si>
    <t>收残血型突击地铁怪</t>
  </si>
  <si>
    <t>[27301,27302,27303]</t>
  </si>
  <si>
    <t>伤害援护</t>
  </si>
  <si>
    <t>[27401,27402]</t>
  </si>
  <si>
    <t>援护盾</t>
  </si>
  <si>
    <t>[27501,27502,27503]</t>
  </si>
  <si>
    <t>dot型特攻地铁怪</t>
  </si>
  <si>
    <t>[27601,27602,27603]</t>
  </si>
  <si>
    <t>[27701,27702,27703]</t>
  </si>
  <si>
    <t>debuff型特攻地铁怪</t>
  </si>
  <si>
    <t>[27801,27802,27803]</t>
  </si>
  <si>
    <t>[27901,27902,27903]</t>
  </si>
  <si>
    <t>[2000401,2000402,2000403,2000404,28001,28002]</t>
  </si>
  <si>
    <t>[30620501,30620502,30620503,30620504,30620505,30620506,30620507,30620508,30620509,30620510,30620511]</t>
  </si>
  <si>
    <t>{0:[[[30620501],0],[[30620502],0],[[30620503],1]],101:[[[30620506],0],[[30620506],0]]}</t>
  </si>
  <si>
    <t>[30630501,30630502,30630503,30630504,30630505,30630506,30630507,30630508,30630509,30630510]</t>
  </si>
  <si>
    <t>{0:[[[30630501],0],[[30630502],0],[[30630503],1]],101:[[[30630506,30630507],0],[[30630506,30630507],0]]}</t>
  </si>
  <si>
    <t>大象滑梯</t>
  </si>
  <si>
    <t>冰箱</t>
  </si>
  <si>
    <t>[100501,100502,100503,100504]</t>
  </si>
  <si>
    <t>[100401,100402,100403,100404,100406]</t>
  </si>
  <si>
    <t>[105101,105102,105103,105104]</t>
  </si>
  <si>
    <t>文景</t>
  </si>
  <si>
    <t>[106001,106002,106003,106004]</t>
  </si>
  <si>
    <t>小春</t>
  </si>
  <si>
    <t>[105901,105902,105903,105904,105906]</t>
  </si>
  <si>
    <t>全联堂打手</t>
  </si>
  <si>
    <t>全联堂头目</t>
  </si>
  <si>
    <t>2-3-1全联堂</t>
  </si>
  <si>
    <t>2-3-2全联堂</t>
  </si>
  <si>
    <t>全联堂打手测试</t>
  </si>
  <si>
    <t>全联堂头目测试</t>
  </si>
  <si>
    <t>全联堂信boss</t>
  </si>
  <si>
    <t>全联堂情boss</t>
  </si>
  <si>
    <t>全联堂街头派1</t>
  </si>
  <si>
    <t>全联堂街头派2</t>
  </si>
  <si>
    <t>全联堂街头派3</t>
  </si>
  <si>
    <t>全联堂街头派4</t>
  </si>
  <si>
    <t>全联堂街头派5</t>
  </si>
  <si>
    <t>全联堂1</t>
  </si>
  <si>
    <t>全联堂2</t>
  </si>
  <si>
    <t>全联堂3</t>
  </si>
  <si>
    <t>全联堂4</t>
  </si>
  <si>
    <t>全联堂5</t>
  </si>
  <si>
    <t>文景</t>
    <phoneticPr fontId="13" type="noConversion"/>
  </si>
  <si>
    <t>小春</t>
    <phoneticPr fontId="13" type="noConversion"/>
  </si>
  <si>
    <t>洞明</t>
    <phoneticPr fontId="13" type="noConversion"/>
  </si>
  <si>
    <t>反冲接线员</t>
    <phoneticPr fontId="13" type="noConversion"/>
  </si>
  <si>
    <t>熔融列车长</t>
    <phoneticPr fontId="13" type="noConversion"/>
  </si>
  <si>
    <t>锋利的资料员</t>
  </si>
  <si>
    <t>锋利的资料员</t>
    <phoneticPr fontId="13" type="noConversion"/>
  </si>
  <si>
    <t>结晶化执伞者</t>
    <phoneticPr fontId="13" type="noConversion"/>
  </si>
  <si>
    <t>荆棘接线员</t>
  </si>
  <si>
    <t>荆棘接线员</t>
    <phoneticPr fontId="13" type="noConversion"/>
  </si>
  <si>
    <t>愈合的资料员</t>
    <phoneticPr fontId="13" type="noConversion"/>
  </si>
  <si>
    <t>愈合的资料员</t>
    <phoneticPr fontId="13" type="noConversion"/>
  </si>
  <si>
    <t>链接的坐童</t>
    <phoneticPr fontId="13" type="noConversion"/>
  </si>
  <si>
    <t>伤痛传播者</t>
    <phoneticPr fontId="13" type="noConversion"/>
  </si>
  <si>
    <t>尖矛传播者</t>
    <phoneticPr fontId="13" type="noConversion"/>
  </si>
  <si>
    <t>荆棘化执伞者</t>
    <phoneticPr fontId="13" type="noConversion"/>
  </si>
  <si>
    <t>权杖传播者</t>
  </si>
  <si>
    <t>权杖传播者</t>
    <phoneticPr fontId="13" type="noConversion"/>
  </si>
  <si>
    <t>增生接线员</t>
    <phoneticPr fontId="13" type="noConversion"/>
  </si>
  <si>
    <t>守护的坐童</t>
    <phoneticPr fontId="13" type="noConversion"/>
  </si>
  <si>
    <t>盾卫的坐童</t>
  </si>
  <si>
    <t>盾卫的坐童</t>
    <phoneticPr fontId="13" type="noConversion"/>
  </si>
  <si>
    <t>哨卫列车长</t>
    <phoneticPr fontId="13" type="noConversion"/>
  </si>
  <si>
    <t>传播者</t>
  </si>
  <si>
    <t>龙井</t>
    <phoneticPr fontId="13" type="noConversion"/>
  </si>
  <si>
    <t>红袍</t>
    <phoneticPr fontId="13" type="noConversion"/>
  </si>
  <si>
    <t>橙</t>
  </si>
  <si>
    <t>橙</t>
    <phoneticPr fontId="13" type="noConversion"/>
  </si>
  <si>
    <t>大象滑梯</t>
    <phoneticPr fontId="13" type="noConversion"/>
  </si>
  <si>
    <t>橙</t>
    <phoneticPr fontId="13" type="noConversion"/>
  </si>
  <si>
    <t>2-3茜</t>
    <phoneticPr fontId="13" type="noConversion"/>
  </si>
  <si>
    <t>2-3茜洞明</t>
    <phoneticPr fontId="13" type="noConversion"/>
  </si>
  <si>
    <t>2-5-1地铁怪</t>
    <phoneticPr fontId="13" type="noConversion"/>
  </si>
  <si>
    <t>2-5-2地铁怪</t>
    <phoneticPr fontId="13" type="noConversion"/>
  </si>
  <si>
    <t>2-5梅花众</t>
    <phoneticPr fontId="13" type="noConversion"/>
  </si>
  <si>
    <t>2-6梅花众</t>
    <phoneticPr fontId="13" type="noConversion"/>
  </si>
  <si>
    <t>2-7-1地铁怪</t>
    <phoneticPr fontId="13" type="noConversion"/>
  </si>
  <si>
    <t>2-7-2地铁怪</t>
    <phoneticPr fontId="13" type="noConversion"/>
  </si>
  <si>
    <t>2-8音希</t>
    <phoneticPr fontId="13" type="noConversion"/>
  </si>
  <si>
    <t>2-9音希弥砂</t>
    <phoneticPr fontId="13" type="noConversion"/>
  </si>
  <si>
    <t>2-12-1地铁怪</t>
    <phoneticPr fontId="13" type="noConversion"/>
  </si>
  <si>
    <t>2-12-2地铁怪</t>
    <phoneticPr fontId="13" type="noConversion"/>
  </si>
  <si>
    <t>和祥义打手</t>
    <phoneticPr fontId="13" type="noConversion"/>
  </si>
  <si>
    <t>[2000101,2000102]</t>
    <phoneticPr fontId="13" type="noConversion"/>
  </si>
  <si>
    <t>[10025201,10025202,10025203,10025204]</t>
    <phoneticPr fontId="13" type="noConversion"/>
  </si>
  <si>
    <t>[1006101,1006102,1006103,1006104,1006105,1006106,1006107,1006108,1006109,1006110,1006111,1006112,1006113]</t>
    <phoneticPr fontId="13" type="noConversion"/>
  </si>
  <si>
    <t>系别</t>
    <phoneticPr fontId="13" type="noConversion"/>
  </si>
  <si>
    <t>势力</t>
    <phoneticPr fontId="13" type="noConversion"/>
  </si>
  <si>
    <t>防护型</t>
    <phoneticPr fontId="13" type="noConversion"/>
  </si>
  <si>
    <t>辅助型</t>
    <phoneticPr fontId="13" type="noConversion"/>
  </si>
  <si>
    <t>突击型</t>
    <phoneticPr fontId="13" type="noConversion"/>
  </si>
  <si>
    <t>强攻型</t>
    <phoneticPr fontId="13" type="noConversion"/>
  </si>
  <si>
    <t>特攻型</t>
    <phoneticPr fontId="13" type="noConversion"/>
  </si>
  <si>
    <t>信相</t>
  </si>
  <si>
    <t>理相</t>
  </si>
  <si>
    <t>正相</t>
  </si>
  <si>
    <t>奇相</t>
  </si>
  <si>
    <t>无阵营</t>
  </si>
  <si>
    <t>无阵营</t>
    <phoneticPr fontId="13" type="noConversion"/>
  </si>
  <si>
    <t>主角组</t>
  </si>
  <si>
    <t>主角组</t>
    <phoneticPr fontId="13" type="noConversion"/>
  </si>
  <si>
    <t>全联会</t>
  </si>
  <si>
    <t>全联会</t>
    <phoneticPr fontId="13" type="noConversion"/>
  </si>
  <si>
    <t>烛火教</t>
  </si>
  <si>
    <t>烛火教</t>
    <phoneticPr fontId="13" type="noConversion"/>
  </si>
  <si>
    <t>超管局</t>
  </si>
  <si>
    <t>超管局</t>
    <phoneticPr fontId="13" type="noConversion"/>
  </si>
  <si>
    <t>光耀会</t>
  </si>
  <si>
    <t>光耀会</t>
    <phoneticPr fontId="13" type="noConversion"/>
  </si>
  <si>
    <t>心相</t>
  </si>
  <si>
    <t>职业</t>
    <phoneticPr fontId="13" type="noConversion"/>
  </si>
  <si>
    <t>[1,2,6]</t>
    <phoneticPr fontId="13" type="noConversion"/>
  </si>
  <si>
    <t>[7,11]</t>
    <phoneticPr fontId="13" type="noConversion"/>
  </si>
  <si>
    <t>[4,8]</t>
    <phoneticPr fontId="13" type="noConversion"/>
  </si>
  <si>
    <t>[1,2,11]</t>
    <phoneticPr fontId="13" type="noConversion"/>
  </si>
  <si>
    <t>生命成长</t>
    <phoneticPr fontId="13" type="noConversion"/>
  </si>
  <si>
    <r>
      <t>[1005901,100590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,100590</t>
    </r>
    <r>
      <rPr>
        <sz val="11"/>
        <color theme="1"/>
        <rFont val="等线"/>
        <family val="3"/>
        <charset val="134"/>
        <scheme val="minor"/>
      </rPr>
      <t>3,1005904,1005905,1005906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</si>
  <si>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r>
      <t>[1006001,100600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,100600</t>
    </r>
    <r>
      <rPr>
        <sz val="11"/>
        <color theme="1"/>
        <rFont val="等线"/>
        <family val="3"/>
        <charset val="134"/>
        <scheme val="minor"/>
      </rPr>
      <t>3,1006004,1006005,1006006,1006007,1006008,1006009,1006010,1006011,1006012,1006013,1006014</t>
    </r>
    <r>
      <rPr>
        <sz val="11"/>
        <color theme="1"/>
        <rFont val="等线"/>
        <family val="3"/>
        <charset val="134"/>
        <scheme val="minor"/>
      </rPr>
      <t>]</t>
    </r>
    <phoneticPr fontId="13" type="noConversion"/>
  </si>
  <si>
    <t>黄金理想国</t>
    <phoneticPr fontId="13" type="noConversion"/>
  </si>
  <si>
    <t>白银忏悔录</t>
  </si>
  <si>
    <t>白银忏悔录</t>
    <phoneticPr fontId="13" type="noConversion"/>
  </si>
  <si>
    <t>青铜王权法</t>
  </si>
  <si>
    <t>青铜王权法</t>
    <phoneticPr fontId="13" type="noConversion"/>
  </si>
  <si>
    <t>黑铁启示录</t>
  </si>
  <si>
    <t>{0:[[[1051201,1051201],0],[[1051201,1051202],1],[[1051202,1051202],1]]}</t>
    <phoneticPr fontId="13" type="noConversion"/>
  </si>
  <si>
    <t>{0:[[[1051205],0],[[1051206],1],[[1051201,1051201],1]]}</t>
    <phoneticPr fontId="13" type="noConversion"/>
  </si>
  <si>
    <t>{0:[[[1052201],0],[[1052203],1],[[1052202],1],[[1052202],1]]}</t>
    <phoneticPr fontId="13" type="noConversion"/>
  </si>
  <si>
    <t>{0:[[[30610101],0],[[30610101,30610102],0],[[30610103],1]],101:[[[30610106],0],[[30610106],0]]}</t>
    <phoneticPr fontId="13" type="noConversion"/>
  </si>
  <si>
    <t>{0:[[[30610201],0],[[30610201,30610202],0],[[30610203],1]],101:[[[30610206],0],[[30610206],0]]}</t>
    <phoneticPr fontId="13" type="noConversion"/>
  </si>
  <si>
    <t>{0:[[[30610301],0],[[30610301,30610302],0],[[30610303],1]],101:[[[30610306],0],[[30610306],0]]}</t>
    <phoneticPr fontId="13" type="noConversion"/>
  </si>
  <si>
    <t>{0:[[[30610401],0],[[30610401,30610402],0],[[30610403],1]],101:[[[30610406],0],[[30610406],0]]}</t>
    <phoneticPr fontId="13" type="noConversion"/>
  </si>
  <si>
    <t>{0:[[[30610501],0],[[30610501,30610502],0],[[30610503],1]],101:[[[30610506],0],[[30610506],0]]}</t>
    <phoneticPr fontId="13" type="noConversion"/>
  </si>
  <si>
    <t>[30610601,30610602]</t>
    <phoneticPr fontId="13" type="noConversion"/>
  </si>
  <si>
    <t>2-1梅花众-带剧情的</t>
    <phoneticPr fontId="13" type="noConversion"/>
  </si>
  <si>
    <t>[10018201,10018202,10018206,10018207]</t>
    <phoneticPr fontId="13" type="noConversion"/>
  </si>
  <si>
    <t>[102080104,102080105,102080106]</t>
    <phoneticPr fontId="13" type="noConversion"/>
  </si>
  <si>
    <t>[102090104,102090105,0]</t>
    <phoneticPr fontId="13" type="noConversion"/>
  </si>
  <si>
    <t>[102090106,102090107,102090108,0]</t>
    <phoneticPr fontId="13" type="noConversion"/>
  </si>
  <si>
    <t>执伞者</t>
    <phoneticPr fontId="13" type="noConversion"/>
  </si>
  <si>
    <t>全联堂打手</t>
    <phoneticPr fontId="13" type="noConversion"/>
  </si>
  <si>
    <t>天梁</t>
    <phoneticPr fontId="13" type="noConversion"/>
  </si>
  <si>
    <t>全联堂铁扇</t>
  </si>
  <si>
    <t>全联堂铁扇</t>
    <phoneticPr fontId="13" type="noConversion"/>
  </si>
  <si>
    <t>铁扇</t>
  </si>
  <si>
    <t>1-14黑桃团战</t>
    <phoneticPr fontId="13" type="noConversion"/>
  </si>
  <si>
    <t>1-14黑桃单挑</t>
    <phoneticPr fontId="13" type="noConversion"/>
  </si>
  <si>
    <t>[1031101,1031102]</t>
    <phoneticPr fontId="13" type="noConversion"/>
  </si>
  <si>
    <t>[1031103,1031104,1031105,1031106]</t>
    <phoneticPr fontId="13" type="noConversion"/>
  </si>
  <si>
    <t>{0:[[[1031101],0],[[1031101],1],[[1031101],1]]}</t>
    <phoneticPr fontId="13" type="noConversion"/>
  </si>
  <si>
    <t>{0:[[[1031104],1],[[1031103],0],[[1031103],1],[[1031105],1]]}</t>
    <phoneticPr fontId="13" type="noConversion"/>
  </si>
  <si>
    <t>{0:[[[30610101],0],[[30610102],0],[[30610103],1]],101:[[[30610106],0],[[30610106],0]]}</t>
    <phoneticPr fontId="13" type="noConversion"/>
  </si>
  <si>
    <t>秘密线人1</t>
    <phoneticPr fontId="13" type="noConversion"/>
  </si>
  <si>
    <t>秘密线人2</t>
  </si>
  <si>
    <t>秘密线人3</t>
  </si>
  <si>
    <t>秘密线人4</t>
  </si>
  <si>
    <t>秘密线人5</t>
  </si>
  <si>
    <t>[10305101,10305102,10305103,10305104]</t>
    <phoneticPr fontId="13" type="noConversion"/>
  </si>
  <si>
    <t>[10135101,10135102,10135103,10135104]</t>
    <phoneticPr fontId="13" type="noConversion"/>
  </si>
  <si>
    <t>[10195101,10195102,10195103,10195104]</t>
    <phoneticPr fontId="13" type="noConversion"/>
  </si>
  <si>
    <t>猫还是狗1</t>
    <phoneticPr fontId="13" type="noConversion"/>
  </si>
  <si>
    <t>猫还是狗2</t>
  </si>
  <si>
    <t>猫还是狗3</t>
  </si>
  <si>
    <t>猫还是狗4</t>
  </si>
  <si>
    <t>猫还是狗5</t>
  </si>
  <si>
    <t>发型售后1</t>
    <phoneticPr fontId="13" type="noConversion"/>
  </si>
  <si>
    <t>发型售后2</t>
  </si>
  <si>
    <t>发型售后3</t>
  </si>
  <si>
    <t>发型售后4</t>
  </si>
  <si>
    <t>发型售后5</t>
  </si>
  <si>
    <t>潜在保安危机1</t>
    <phoneticPr fontId="13" type="noConversion"/>
  </si>
  <si>
    <t>潜在保安危机2</t>
  </si>
  <si>
    <t>潜在保安危机3</t>
  </si>
  <si>
    <t>潜在保安危机4</t>
  </si>
  <si>
    <t>潜在保安危机5</t>
    <phoneticPr fontId="13" type="noConversion"/>
  </si>
  <si>
    <t>新招式特训1</t>
    <phoneticPr fontId="13" type="noConversion"/>
  </si>
  <si>
    <t>新招式特训2</t>
  </si>
  <si>
    <t>新招式特训3</t>
  </si>
  <si>
    <t>新招式特训4</t>
  </si>
  <si>
    <t>新招式特训5</t>
  </si>
  <si>
    <t>麻雀</t>
    <phoneticPr fontId="13" type="noConversion"/>
  </si>
  <si>
    <t>麻雀</t>
    <phoneticPr fontId="13" type="noConversion"/>
  </si>
  <si>
    <t>计数buff测试</t>
  </si>
  <si>
    <t>[4,11]</t>
  </si>
  <si>
    <t>[201601]</t>
  </si>
  <si>
    <t>[101801,101802,101803,101804,101806]</t>
    <phoneticPr fontId="13" type="noConversion"/>
  </si>
  <si>
    <t>boss单位</t>
    <phoneticPr fontId="13" type="noConversion"/>
  </si>
  <si>
    <t>普通单位</t>
    <phoneticPr fontId="13" type="noConversion"/>
  </si>
  <si>
    <t>血条测试</t>
    <phoneticPr fontId="13" type="noConversion"/>
  </si>
  <si>
    <t>[30201,30202,30203]</t>
    <phoneticPr fontId="13" type="noConversion"/>
  </si>
  <si>
    <t>2-10地铁怪</t>
    <phoneticPr fontId="13" type="noConversion"/>
  </si>
  <si>
    <t>[10017201,10017202,10017203,10017204,10017205]</t>
    <phoneticPr fontId="13" type="noConversion"/>
  </si>
  <si>
    <t>2-13-1全联堂</t>
    <phoneticPr fontId="13" type="noConversion"/>
  </si>
  <si>
    <t>2-13-2全联堂</t>
  </si>
  <si>
    <t>2-13启航1</t>
    <phoneticPr fontId="13" type="noConversion"/>
  </si>
  <si>
    <t>2-13启航2</t>
    <phoneticPr fontId="13" type="noConversion"/>
  </si>
  <si>
    <t>2-13启航沉礁</t>
    <phoneticPr fontId="13" type="noConversion"/>
  </si>
  <si>
    <t>[1004201,1004202,1004203]</t>
    <phoneticPr fontId="13" type="noConversion"/>
  </si>
  <si>
    <t>[1004201,1004202,1004204,1004205]</t>
    <phoneticPr fontId="13" type="noConversion"/>
  </si>
  <si>
    <t>[1005201,1005202,1005203,1005204]</t>
    <phoneticPr fontId="13" type="noConversion"/>
  </si>
  <si>
    <t>2-15-1和祥义</t>
    <phoneticPr fontId="13" type="noConversion"/>
  </si>
  <si>
    <t>2-15-2和祥义</t>
  </si>
  <si>
    <t>2-16小胎动</t>
    <phoneticPr fontId="13" type="noConversion"/>
  </si>
  <si>
    <t>[10057201,10057202,10057204]</t>
    <phoneticPr fontId="13" type="noConversion"/>
  </si>
  <si>
    <t>2-17-1地铁怪</t>
    <phoneticPr fontId="13" type="noConversion"/>
  </si>
  <si>
    <t>[10058201,10058202,10058203,10058204]</t>
    <phoneticPr fontId="13" type="noConversion"/>
  </si>
  <si>
    <t>2-18-1小胎动</t>
    <phoneticPr fontId="13" type="noConversion"/>
  </si>
  <si>
    <t>2-19胎动</t>
    <phoneticPr fontId="13" type="noConversion"/>
  </si>
  <si>
    <t>胎动</t>
    <phoneticPr fontId="13" type="noConversion"/>
  </si>
  <si>
    <t>幻影小兵</t>
    <phoneticPr fontId="13" type="noConversion"/>
  </si>
  <si>
    <t>幻影头目</t>
    <phoneticPr fontId="13" type="noConversion"/>
  </si>
  <si>
    <t>[29601,29602,29603,29604]</t>
    <phoneticPr fontId="13" type="noConversion"/>
  </si>
  <si>
    <t>[10015101,10015102,10015104,24101]</t>
    <phoneticPr fontId="13" type="noConversion"/>
  </si>
  <si>
    <t>春迟</t>
    <phoneticPr fontId="13" type="noConversion"/>
  </si>
  <si>
    <t>模型</t>
    <phoneticPr fontId="13" type="noConversion"/>
  </si>
  <si>
    <t>精英单位</t>
  </si>
  <si>
    <t>血条测试</t>
  </si>
  <si>
    <t>[30201,30202,30203,30204,30205,30206,30207]</t>
    <phoneticPr fontId="13" type="noConversion"/>
  </si>
  <si>
    <t>[10024101,10024102,10024105]</t>
    <phoneticPr fontId="13" type="noConversion"/>
  </si>
  <si>
    <t>深夜大排档-情</t>
    <phoneticPr fontId="13" type="noConversion"/>
  </si>
  <si>
    <t>深夜大排档-信</t>
    <phoneticPr fontId="13" type="noConversion"/>
  </si>
  <si>
    <t>深夜大排档-理</t>
    <phoneticPr fontId="13" type="noConversion"/>
  </si>
  <si>
    <t>房产中介</t>
    <phoneticPr fontId="13" type="noConversion"/>
  </si>
  <si>
    <t>[200210101,200210102]</t>
    <phoneticPr fontId="13" type="noConversion"/>
  </si>
  <si>
    <t>[200210401,200210402,200210403]</t>
    <phoneticPr fontId="13" type="noConversion"/>
  </si>
  <si>
    <t>[200430101,200430102,200430103,200430104]</t>
    <phoneticPr fontId="13" type="noConversion"/>
  </si>
  <si>
    <t>蘑菇人2号</t>
  </si>
  <si>
    <t>蘑菇人3号</t>
  </si>
  <si>
    <t>蘑菇人4号</t>
  </si>
  <si>
    <t>蘑菇人5号</t>
  </si>
  <si>
    <t>蘑菇人1号</t>
    <phoneticPr fontId="13" type="noConversion"/>
  </si>
  <si>
    <t>甘霖</t>
    <phoneticPr fontId="13" type="noConversion"/>
  </si>
  <si>
    <t>净天</t>
    <phoneticPr fontId="13" type="noConversion"/>
  </si>
  <si>
    <t>银峰</t>
    <phoneticPr fontId="13" type="noConversion"/>
  </si>
  <si>
    <t>[200430104,200430105,200430106]</t>
    <phoneticPr fontId="13" type="noConversion"/>
  </si>
  <si>
    <t>叉烧</t>
    <phoneticPr fontId="13" type="noConversion"/>
  </si>
  <si>
    <t>[105801,105802,105803,105804,105806,25501]</t>
    <phoneticPr fontId="13" type="noConversion"/>
  </si>
  <si>
    <t>[30610101,30610102,30610103,30610104,30610105,30610106,30610107,30610108,30610310,30610311]</t>
    <phoneticPr fontId="13" type="noConversion"/>
  </si>
  <si>
    <t>蕾</t>
    <phoneticPr fontId="13" type="noConversion"/>
  </si>
  <si>
    <t>[105601,105602,105603,105604,105606,105607,105608,105609,105610,105611,105612,105613]</t>
    <phoneticPr fontId="13" type="noConversion"/>
  </si>
  <si>
    <t>[200210401,200210402]</t>
    <phoneticPr fontId="13" type="noConversion"/>
  </si>
  <si>
    <t>[200230105,200230106,200230107,0]</t>
    <phoneticPr fontId="13" type="noConversion"/>
  </si>
  <si>
    <t>[105601,105602,105603,31904,105606,105607,105608,105609,105610,105611,105612,105613]</t>
    <phoneticPr fontId="13" type="noConversion"/>
  </si>
  <si>
    <t>[10014101,10014102,10014104,10014105,10014106]</t>
    <phoneticPr fontId="13" type="noConversion"/>
  </si>
  <si>
    <t>[10014101,10014102,10014104,10014106]</t>
    <phoneticPr fontId="13" type="noConversion"/>
  </si>
  <si>
    <t>[10215101,10215102,10215104]</t>
    <phoneticPr fontId="13" type="noConversion"/>
  </si>
  <si>
    <t>[10215101,10215102,10215105]</t>
    <phoneticPr fontId="13" type="noConversion"/>
  </si>
  <si>
    <t>[10185101,10185102,10185103,10185104,10185107]</t>
    <phoneticPr fontId="13" type="noConversion"/>
  </si>
  <si>
    <t>[10185101,10185102,10185103,10185105,10185107]</t>
    <phoneticPr fontId="13" type="noConversion"/>
  </si>
  <si>
    <t>[100020303,100020304,0]</t>
  </si>
  <si>
    <t>[101090302,101090303,101090304,0,0]</t>
    <phoneticPr fontId="13" type="noConversion"/>
  </si>
  <si>
    <t>[101140103,101140104,0]</t>
  </si>
  <si>
    <t>[101140311,101140312,101140313,101140314]</t>
  </si>
  <si>
    <r>
      <t>[101140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03,101140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04,0]</t>
    </r>
    <phoneticPr fontId="13" type="noConversion"/>
  </si>
  <si>
    <t>[1006001,1006002,1006003,1006004,1006005,1006006,1006007,1006008,1006009,1006010,1006011,1006012,1006013,1006014]</t>
    <phoneticPr fontId="13" type="noConversion"/>
  </si>
  <si>
    <t>[1006021,1006022,1006023,1006024,1006025,1006026,1006027,1006028,1006029,1006030,1006031,1006032,1006033,1006034]</t>
    <phoneticPr fontId="13" type="noConversion"/>
  </si>
  <si>
    <t>[1006041,1006042,1006043,1006044,1006045,1006046,1006047,1006048,1006049,1006050,1006051,1006052,1006053,1006054]</t>
    <phoneticPr fontId="13" type="noConversion"/>
  </si>
  <si>
    <t>[1006061,1006062,1006063,1006064,1006065,1006066,1006067,1006068,1006069,1006070,1006071,1006072,1006073,1006074]</t>
    <phoneticPr fontId="13" type="noConversion"/>
  </si>
  <si>
    <t>英格丽特</t>
    <phoneticPr fontId="13" type="noConversion"/>
  </si>
  <si>
    <t>白槿</t>
    <phoneticPr fontId="13" type="noConversion"/>
  </si>
  <si>
    <t>骐骥</t>
    <phoneticPr fontId="13" type="noConversion"/>
  </si>
  <si>
    <t>尼莫</t>
    <phoneticPr fontId="13" type="noConversion"/>
  </si>
  <si>
    <t>[10056201]</t>
    <phoneticPr fontId="13" type="noConversion"/>
  </si>
  <si>
    <t>蘑菇人二号</t>
    <phoneticPr fontId="13" type="noConversion"/>
  </si>
  <si>
    <t>尼莫</t>
    <phoneticPr fontId="13" type="noConversion"/>
  </si>
  <si>
    <t>甘霖</t>
    <phoneticPr fontId="13" type="noConversion"/>
  </si>
  <si>
    <t>女孩与她的狗</t>
    <phoneticPr fontId="13" type="noConversion"/>
  </si>
  <si>
    <t>[200330101,200330102]</t>
    <phoneticPr fontId="13" type="noConversion"/>
  </si>
  <si>
    <t>[200330201,200330202,200330204,200330205]</t>
    <phoneticPr fontId="13" type="noConversion"/>
  </si>
  <si>
    <t>[200330104,200330105]</t>
    <phoneticPr fontId="13" type="noConversion"/>
  </si>
  <si>
    <t>[200330106,200330107]</t>
    <phoneticPr fontId="13" type="noConversion"/>
  </si>
  <si>
    <t>小鸡</t>
  </si>
  <si>
    <t>机制验收-检测条件4+剩余存活目标</t>
  </si>
  <si>
    <t>[32401,32402]</t>
  </si>
  <si>
    <t>打手幻影</t>
    <phoneticPr fontId="13" type="noConversion"/>
  </si>
  <si>
    <t>头目幻影</t>
    <phoneticPr fontId="13" type="noConversion"/>
  </si>
  <si>
    <t>胎巳眷从</t>
    <phoneticPr fontId="13" type="noConversion"/>
  </si>
  <si>
    <t>胎簇眷丛</t>
    <phoneticPr fontId="13" type="noConversion"/>
  </si>
  <si>
    <t>[102100104,102100105,0]</t>
    <phoneticPr fontId="13" type="noConversion"/>
  </si>
  <si>
    <t>[102130104,102130105,102130106]</t>
    <phoneticPr fontId="13" type="noConversion"/>
  </si>
  <si>
    <t>[102130206,102130207,0]</t>
    <phoneticPr fontId="13" type="noConversion"/>
  </si>
  <si>
    <t>[102130204,102130205,0]</t>
    <phoneticPr fontId="13" type="noConversion"/>
  </si>
  <si>
    <t>[102170204,102170205,0]</t>
    <phoneticPr fontId="13" type="noConversion"/>
  </si>
  <si>
    <t>[102170304,102170305,102170306]</t>
    <phoneticPr fontId="13" type="noConversion"/>
  </si>
  <si>
    <t>[102190304,102190305,102190306,102190307,102190308]</t>
    <phoneticPr fontId="13" type="noConversion"/>
  </si>
  <si>
    <t>相关策划</t>
    <phoneticPr fontId="13" type="noConversion"/>
  </si>
  <si>
    <t>唐瓜</t>
    <phoneticPr fontId="13" type="noConversion"/>
  </si>
  <si>
    <t>配置说明</t>
    <phoneticPr fontId="13" type="noConversion"/>
  </si>
  <si>
    <t>（排名有先后，有问题先找前面的）</t>
    <phoneticPr fontId="13" type="noConversion"/>
  </si>
  <si>
    <t>角色战斗属性表|CS|CharaData</t>
    <phoneticPr fontId="13" type="noConversion"/>
  </si>
  <si>
    <t>怪物战斗属性表|CS|MstData</t>
    <phoneticPr fontId="13" type="noConversion"/>
  </si>
  <si>
    <t>角色标签表|C|RoleSign</t>
    <phoneticPr fontId="13" type="noConversion"/>
  </si>
  <si>
    <t>4基础属性成长为公式，拉取即可</t>
    <phoneticPr fontId="13" type="noConversion"/>
  </si>
  <si>
    <t>其余看批注配置</t>
    <phoneticPr fontId="13" type="noConversion"/>
  </si>
  <si>
    <t>[30610201,30610202,30610203,30610204,30610205,30610206,30610207,30610208]</t>
    <phoneticPr fontId="13" type="noConversion"/>
  </si>
  <si>
    <t>[30610301,30610302,30610303,30610304,30610305,30610306,30610307,30610308,30610310,30610311]</t>
    <phoneticPr fontId="13" type="noConversion"/>
  </si>
  <si>
    <t>计算等级</t>
    <phoneticPr fontId="13" type="noConversion"/>
  </si>
  <si>
    <t>外显等级</t>
    <phoneticPr fontId="13" type="noConversion"/>
  </si>
  <si>
    <t>怪物属性只需配置绿色区域，其余拉取公式</t>
    <phoneticPr fontId="13" type="noConversion"/>
  </si>
  <si>
    <t>属性计算需配合【模板计算相关数据】的定位点一起填写</t>
    <phoneticPr fontId="13" type="noConversion"/>
  </si>
  <si>
    <t>看批注配置</t>
    <phoneticPr fontId="13" type="noConversion"/>
  </si>
  <si>
    <t>uploadCheck</t>
  </si>
  <si>
    <t>int</t>
    <phoneticPr fontId="13" type="noConversion"/>
  </si>
  <si>
    <t>下架</t>
    <phoneticPr fontId="13" type="noConversion"/>
  </si>
  <si>
    <t>uploadCheck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</si>
</sst>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2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B05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8">
    <xf numFmtId="0" fontId="0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2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0" borderId="0" xfId="5">
      <alignment vertical="center"/>
    </xf>
    <xf numFmtId="0" fontId="12" fillId="0" borderId="1" xfId="4" applyBorder="1"/>
    <xf numFmtId="0" fontId="12" fillId="0" borderId="1" xfId="5" applyBorder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9" xfId="0" applyBorder="1"/>
    <xf numFmtId="0" fontId="3" fillId="0" borderId="10" xfId="0" applyFont="1" applyBorder="1"/>
    <xf numFmtId="0" fontId="0" fillId="0" borderId="10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 wrapText="1"/>
    </xf>
    <xf numFmtId="176" fontId="0" fillId="8" borderId="1" xfId="0" applyNumberFormat="1" applyFill="1" applyBorder="1"/>
    <xf numFmtId="0" fontId="0" fillId="8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vertical="center" wrapText="1"/>
    </xf>
    <xf numFmtId="58" fontId="0" fillId="6" borderId="1" xfId="0" applyNumberFormat="1" applyFill="1" applyBorder="1"/>
    <xf numFmtId="0" fontId="3" fillId="6" borderId="1" xfId="0" applyFont="1" applyFill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/>
    </xf>
    <xf numFmtId="0" fontId="16" fillId="8" borderId="0" xfId="0" applyFont="1" applyFill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8" borderId="1" xfId="0" applyFont="1" applyFill="1" applyBorder="1"/>
    <xf numFmtId="0" fontId="18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7" fillId="10" borderId="1" xfId="0" applyFont="1" applyFill="1" applyBorder="1" applyAlignment="1">
      <alignment horizontal="center"/>
    </xf>
    <xf numFmtId="0" fontId="7" fillId="10" borderId="1" xfId="0" applyFont="1" applyFill="1" applyBorder="1"/>
    <xf numFmtId="10" fontId="16" fillId="8" borderId="0" xfId="0" applyNumberFormat="1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/>
    <xf numFmtId="0" fontId="3" fillId="11" borderId="1" xfId="0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/>
    </xf>
    <xf numFmtId="0" fontId="0" fillId="11" borderId="0" xfId="0" applyFill="1"/>
    <xf numFmtId="0" fontId="0" fillId="6" borderId="1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1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wrapText="1"/>
    </xf>
    <xf numFmtId="0" fontId="18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12" fillId="0" borderId="1" xfId="4" applyBorder="1" applyAlignment="1">
      <alignment horizontal="center"/>
    </xf>
    <xf numFmtId="0" fontId="3" fillId="0" borderId="1" xfId="4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9" fontId="0" fillId="0" borderId="1" xfId="0" applyNumberFormat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/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wrapText="1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6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  <xf numFmtId="0" fontId="3" fillId="4" borderId="0" xfId="0" applyFont="1" applyFill="1"/>
    <xf numFmtId="0" fontId="3" fillId="13" borderId="0" xfId="0" applyFont="1" applyFill="1"/>
    <xf numFmtId="0" fontId="20" fillId="0" borderId="0" xfId="0" applyFont="1"/>
    <xf numFmtId="0" fontId="12" fillId="9" borderId="1" xfId="4" applyFill="1" applyBorder="1"/>
    <xf numFmtId="0" fontId="0" fillId="9" borderId="1" xfId="4" applyFont="1" applyFill="1" applyBorder="1"/>
    <xf numFmtId="0" fontId="3" fillId="9" borderId="1" xfId="0" applyFont="1" applyFill="1" applyBorder="1"/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12" fillId="14" borderId="1" xfId="4" applyFill="1" applyBorder="1" applyAlignment="1">
      <alignment horizontal="center"/>
    </xf>
    <xf numFmtId="0" fontId="0" fillId="14" borderId="0" xfId="0" applyFill="1"/>
    <xf numFmtId="0" fontId="3" fillId="14" borderId="1" xfId="4" applyFont="1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14" borderId="0" xfId="0" applyFont="1" applyFill="1"/>
    <xf numFmtId="0" fontId="0" fillId="14" borderId="11" xfId="0" applyFill="1" applyBorder="1"/>
    <xf numFmtId="0" fontId="12" fillId="9" borderId="1" xfId="4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2" fillId="9" borderId="1" xfId="5" applyFill="1" applyBorder="1">
      <alignment vertical="center"/>
    </xf>
    <xf numFmtId="0" fontId="3" fillId="9" borderId="1" xfId="4" applyFont="1" applyFill="1" applyBorder="1"/>
    <xf numFmtId="0" fontId="3" fillId="0" borderId="1" xfId="5" applyFont="1" applyBorder="1">
      <alignment vertical="center"/>
    </xf>
    <xf numFmtId="176" fontId="0" fillId="9" borderId="1" xfId="0" applyNumberFormat="1" applyFill="1" applyBorder="1"/>
    <xf numFmtId="0" fontId="19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0" fillId="8" borderId="1" xfId="0" applyFill="1" applyBorder="1" applyAlignment="1">
      <alignment horizontal="center" wrapText="1"/>
    </xf>
    <xf numFmtId="0" fontId="0" fillId="8" borderId="0" xfId="0" applyFill="1" applyAlignment="1">
      <alignment vertical="center"/>
    </xf>
    <xf numFmtId="0" fontId="3" fillId="8" borderId="1" xfId="0" applyFont="1" applyFill="1" applyBorder="1" applyAlignment="1">
      <alignment horizontal="left"/>
    </xf>
    <xf numFmtId="176" fontId="0" fillId="8" borderId="1" xfId="0" applyNumberFormat="1" applyFill="1" applyBorder="1" applyAlignment="1">
      <alignment horizontal="center"/>
    </xf>
    <xf numFmtId="0" fontId="0" fillId="8" borderId="0" xfId="0" applyFill="1"/>
    <xf numFmtId="0" fontId="0" fillId="6" borderId="1" xfId="0" applyFill="1" applyBorder="1" applyAlignment="1">
      <alignment horizontal="center" wrapText="1"/>
    </xf>
    <xf numFmtId="176" fontId="0" fillId="6" borderId="1" xfId="0" applyNumberForma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wrapText="1"/>
    </xf>
    <xf numFmtId="0" fontId="9" fillId="0" borderId="1" xfId="0" applyFont="1" applyBorder="1"/>
    <xf numFmtId="0" fontId="9" fillId="6" borderId="1" xfId="0" applyFont="1" applyFill="1" applyBorder="1" applyAlignment="1">
      <alignment horizontal="center"/>
    </xf>
    <xf numFmtId="58" fontId="3" fillId="6" borderId="1" xfId="0" applyNumberFormat="1" applyFont="1" applyFill="1" applyBorder="1"/>
    <xf numFmtId="0" fontId="0" fillId="9" borderId="1" xfId="0" applyFill="1" applyBorder="1" applyAlignment="1">
      <alignment horizontal="center" wrapText="1"/>
    </xf>
    <xf numFmtId="0" fontId="19" fillId="9" borderId="0" xfId="0" applyFont="1" applyFill="1" applyAlignment="1">
      <alignment horizontal="center"/>
    </xf>
    <xf numFmtId="0" fontId="0" fillId="9" borderId="0" xfId="0" applyFill="1" applyAlignment="1">
      <alignment wrapText="1"/>
    </xf>
    <xf numFmtId="0" fontId="19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wrapText="1"/>
    </xf>
  </cellXfs>
  <cellStyles count="8">
    <cellStyle name="常规" xfId="0" builtinId="0"/>
    <cellStyle name="常规 2" xfId="5" xr:uid="{00000000-0005-0000-0000-000035000000}"/>
    <cellStyle name="常规 2 2" xfId="4" xr:uid="{00000000-0005-0000-0000-00002F000000}"/>
    <cellStyle name="常规 2 2 2" xfId="2" xr:uid="{00000000-0005-0000-0000-000024000000}"/>
    <cellStyle name="常规 2 2 3" xfId="3" xr:uid="{00000000-0005-0000-0000-000027000000}"/>
    <cellStyle name="常规 2 2 4" xfId="1" xr:uid="{00000000-0005-0000-0000-000002000000}"/>
    <cellStyle name="常规 3" xfId="6" xr:uid="{00000000-0005-0000-0000-000036000000}"/>
    <cellStyle name="常规 4" xfId="7" xr:uid="{3D01E606-099B-48D3-8D77-A517D1E75424}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17</xdr:row>
      <xdr:rowOff>133350</xdr:rowOff>
    </xdr:from>
    <xdr:to>
      <xdr:col>18</xdr:col>
      <xdr:colOff>646636</xdr:colOff>
      <xdr:row>20</xdr:row>
      <xdr:rowOff>114235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5A059E7-99CA-38EE-7C72-4EA6AF8A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3209925"/>
          <a:ext cx="8514286" cy="5238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J42\Product\3.&#31995;&#32479;&#35774;&#35745;&#25991;&#26723;\1.&#31995;&#32479;&#24213;&#23618;\&#25112;&#26007;&#31995;&#32479;\&#12304;&#36890;&#29992;&#12305;&#35282;&#33394;&#34920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订记录"/>
      <sheetName val="角色战斗属性表|CS|CharaData"/>
      <sheetName val="怪物战斗属性表|CS|MstData"/>
      <sheetName val="模板计算相关数据"/>
      <sheetName val="角色标签表|C|RoleSign"/>
      <sheetName val="特工配置转化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玩家属性</v>
          </cell>
        </row>
        <row r="2">
          <cell r="A2" t="str">
            <v>定位点</v>
          </cell>
          <cell r="B2" t="str">
            <v>等级</v>
          </cell>
          <cell r="C2" t="str">
            <v>hp</v>
          </cell>
          <cell r="D2" t="str">
            <v>ad/ap</v>
          </cell>
          <cell r="E2" t="str">
            <v>ac</v>
          </cell>
          <cell r="F2" t="str">
            <v>re</v>
          </cell>
          <cell r="G2" t="str">
            <v>cc</v>
          </cell>
          <cell r="H2" t="str">
            <v>cr</v>
          </cell>
          <cell r="I2" t="str">
            <v>ccRes</v>
          </cell>
          <cell r="J2" t="str">
            <v>spd</v>
          </cell>
          <cell r="K2" t="str">
            <v>支援位养成比例</v>
          </cell>
          <cell r="L2" t="str">
            <v>主动技能</v>
          </cell>
          <cell r="M2" t="str">
            <v>支援技能</v>
          </cell>
          <cell r="N2" t="str">
            <v>技能系数</v>
          </cell>
        </row>
        <row r="3">
          <cell r="A3">
            <v>1</v>
          </cell>
          <cell r="B3">
            <v>1</v>
          </cell>
          <cell r="C3">
            <v>444</v>
          </cell>
          <cell r="D3">
            <v>82</v>
          </cell>
          <cell r="E3">
            <v>267</v>
          </cell>
          <cell r="F3">
            <v>267</v>
          </cell>
          <cell r="G3">
            <v>0.05</v>
          </cell>
          <cell r="J3">
            <v>500</v>
          </cell>
          <cell r="K3">
            <v>0</v>
          </cell>
          <cell r="L3">
            <v>1</v>
          </cell>
          <cell r="M3">
            <v>0</v>
          </cell>
          <cell r="N3">
            <v>1.24</v>
          </cell>
        </row>
        <row r="4">
          <cell r="A4">
            <v>2</v>
          </cell>
          <cell r="B4">
            <v>1</v>
          </cell>
          <cell r="C4">
            <v>444</v>
          </cell>
          <cell r="D4">
            <v>82</v>
          </cell>
          <cell r="E4">
            <v>267</v>
          </cell>
          <cell r="F4">
            <v>267</v>
          </cell>
          <cell r="G4">
            <v>0.05</v>
          </cell>
          <cell r="J4">
            <v>500</v>
          </cell>
          <cell r="K4">
            <v>0.94490999351577576</v>
          </cell>
          <cell r="L4">
            <v>1</v>
          </cell>
          <cell r="M4">
            <v>1</v>
          </cell>
          <cell r="N4">
            <v>1.4289819987031551</v>
          </cell>
          <cell r="P4" t="str">
            <v>常规怪</v>
          </cell>
          <cell r="Q4">
            <v>1</v>
          </cell>
          <cell r="R4">
            <v>5</v>
          </cell>
          <cell r="S4">
            <v>0.8</v>
          </cell>
          <cell r="T4">
            <v>0.9</v>
          </cell>
          <cell r="U4">
            <v>6.6666666666666661</v>
          </cell>
        </row>
        <row r="5">
          <cell r="A5">
            <v>3</v>
          </cell>
          <cell r="B5">
            <v>2</v>
          </cell>
          <cell r="C5">
            <v>509</v>
          </cell>
          <cell r="D5">
            <v>94</v>
          </cell>
          <cell r="E5">
            <v>305</v>
          </cell>
          <cell r="F5">
            <v>305</v>
          </cell>
          <cell r="G5">
            <v>0.05</v>
          </cell>
          <cell r="J5">
            <v>500</v>
          </cell>
          <cell r="K5">
            <v>0.82572085222752345</v>
          </cell>
          <cell r="L5">
            <v>1</v>
          </cell>
          <cell r="M5">
            <v>1</v>
          </cell>
          <cell r="N5">
            <v>1.4051441704455048</v>
          </cell>
          <cell r="P5" t="str">
            <v>精英怪</v>
          </cell>
          <cell r="Q5">
            <v>2</v>
          </cell>
          <cell r="R5">
            <v>8</v>
          </cell>
          <cell r="S5">
            <v>1</v>
          </cell>
          <cell r="T5">
            <v>1.3</v>
          </cell>
          <cell r="U5">
            <v>4.615384615384615</v>
          </cell>
        </row>
        <row r="6">
          <cell r="A6">
            <v>4</v>
          </cell>
          <cell r="B6">
            <v>3</v>
          </cell>
          <cell r="C6">
            <v>647</v>
          </cell>
          <cell r="D6">
            <v>120</v>
          </cell>
          <cell r="E6">
            <v>388</v>
          </cell>
          <cell r="F6">
            <v>388</v>
          </cell>
          <cell r="G6">
            <v>0.05</v>
          </cell>
          <cell r="J6">
            <v>500</v>
          </cell>
          <cell r="K6">
            <v>0.85044607811894157</v>
          </cell>
          <cell r="L6">
            <v>1</v>
          </cell>
          <cell r="M6">
            <v>1</v>
          </cell>
          <cell r="N6">
            <v>1.4100892156237883</v>
          </cell>
          <cell r="P6" t="str">
            <v>boss</v>
          </cell>
          <cell r="Q6">
            <v>5</v>
          </cell>
          <cell r="R6">
            <v>20</v>
          </cell>
          <cell r="S6">
            <v>1.2</v>
          </cell>
          <cell r="T6">
            <v>1.65</v>
          </cell>
          <cell r="U6">
            <v>3.6363636363636367</v>
          </cell>
        </row>
        <row r="7">
          <cell r="A7">
            <v>4</v>
          </cell>
          <cell r="B7">
            <v>3</v>
          </cell>
          <cell r="C7">
            <v>647</v>
          </cell>
          <cell r="D7">
            <v>120</v>
          </cell>
          <cell r="E7">
            <v>388</v>
          </cell>
          <cell r="F7">
            <v>388</v>
          </cell>
          <cell r="G7">
            <v>0.05</v>
          </cell>
          <cell r="J7">
            <v>500</v>
          </cell>
          <cell r="K7">
            <v>0.85044607811894157</v>
          </cell>
          <cell r="L7">
            <v>1</v>
          </cell>
          <cell r="M7">
            <v>1</v>
          </cell>
          <cell r="N7">
            <v>1.4100892156237883</v>
          </cell>
          <cell r="P7" t="str">
            <v>巨构</v>
          </cell>
          <cell r="Q7">
            <v>15</v>
          </cell>
          <cell r="R7">
            <v>60</v>
          </cell>
          <cell r="S7">
            <v>1.5</v>
          </cell>
          <cell r="T7">
            <v>2.9</v>
          </cell>
          <cell r="U7">
            <v>2.0689655172413794</v>
          </cell>
        </row>
        <row r="8">
          <cell r="A8">
            <v>4</v>
          </cell>
          <cell r="B8">
            <v>3</v>
          </cell>
          <cell r="C8">
            <v>647</v>
          </cell>
          <cell r="D8">
            <v>120</v>
          </cell>
          <cell r="E8">
            <v>388</v>
          </cell>
          <cell r="F8">
            <v>388</v>
          </cell>
          <cell r="G8">
            <v>0.05</v>
          </cell>
          <cell r="J8">
            <v>500</v>
          </cell>
          <cell r="K8">
            <v>0.85044607811894157</v>
          </cell>
          <cell r="L8">
            <v>1</v>
          </cell>
          <cell r="M8">
            <v>1</v>
          </cell>
          <cell r="N8">
            <v>1.4100892156237883</v>
          </cell>
        </row>
        <row r="9">
          <cell r="A9">
            <v>5</v>
          </cell>
          <cell r="B9">
            <v>6</v>
          </cell>
          <cell r="C9">
            <v>877</v>
          </cell>
          <cell r="D9">
            <v>162</v>
          </cell>
          <cell r="E9">
            <v>526</v>
          </cell>
          <cell r="F9">
            <v>526</v>
          </cell>
          <cell r="G9">
            <v>0.05</v>
          </cell>
          <cell r="J9">
            <v>500</v>
          </cell>
          <cell r="K9">
            <v>0.77702216927201118</v>
          </cell>
          <cell r="L9">
            <v>1</v>
          </cell>
          <cell r="M9">
            <v>1</v>
          </cell>
          <cell r="N9">
            <v>1.3954044338544023</v>
          </cell>
        </row>
        <row r="10">
          <cell r="A10">
            <v>5</v>
          </cell>
          <cell r="B10">
            <v>6</v>
          </cell>
          <cell r="C10">
            <v>877</v>
          </cell>
          <cell r="D10">
            <v>162</v>
          </cell>
          <cell r="E10">
            <v>526</v>
          </cell>
          <cell r="F10">
            <v>526</v>
          </cell>
          <cell r="G10">
            <v>0.05</v>
          </cell>
          <cell r="J10">
            <v>500</v>
          </cell>
          <cell r="K10">
            <v>0.77702216927201118</v>
          </cell>
          <cell r="L10">
            <v>1</v>
          </cell>
          <cell r="M10">
            <v>1</v>
          </cell>
          <cell r="N10">
            <v>1.3954044338544023</v>
          </cell>
        </row>
        <row r="11">
          <cell r="A11">
            <v>5</v>
          </cell>
          <cell r="B11">
            <v>6</v>
          </cell>
          <cell r="C11">
            <v>877</v>
          </cell>
          <cell r="D11">
            <v>162</v>
          </cell>
          <cell r="E11">
            <v>526</v>
          </cell>
          <cell r="F11">
            <v>526</v>
          </cell>
          <cell r="G11">
            <v>0.05</v>
          </cell>
          <cell r="J11">
            <v>500</v>
          </cell>
          <cell r="K11">
            <v>0.77702216927201118</v>
          </cell>
          <cell r="L11">
            <v>1</v>
          </cell>
          <cell r="M11">
            <v>1</v>
          </cell>
          <cell r="N11">
            <v>1.3954044338544023</v>
          </cell>
        </row>
        <row r="12">
          <cell r="A12">
            <v>6</v>
          </cell>
          <cell r="B12">
            <v>8</v>
          </cell>
          <cell r="C12">
            <v>1031</v>
          </cell>
          <cell r="D12">
            <v>191</v>
          </cell>
          <cell r="E12">
            <v>618</v>
          </cell>
          <cell r="F12">
            <v>618</v>
          </cell>
          <cell r="G12">
            <v>0.05</v>
          </cell>
          <cell r="J12">
            <v>500</v>
          </cell>
          <cell r="K12">
            <v>0.72402686310740605</v>
          </cell>
          <cell r="L12">
            <v>1</v>
          </cell>
          <cell r="M12">
            <v>1</v>
          </cell>
          <cell r="N12">
            <v>1.3848053726214813</v>
          </cell>
        </row>
        <row r="13">
          <cell r="A13">
            <v>6</v>
          </cell>
          <cell r="B13">
            <v>8</v>
          </cell>
          <cell r="C13">
            <v>1031</v>
          </cell>
          <cell r="D13">
            <v>191</v>
          </cell>
          <cell r="E13">
            <v>618</v>
          </cell>
          <cell r="F13">
            <v>618</v>
          </cell>
          <cell r="G13">
            <v>0.05</v>
          </cell>
          <cell r="J13">
            <v>500</v>
          </cell>
          <cell r="K13">
            <v>0.72402686310740605</v>
          </cell>
          <cell r="L13">
            <v>1</v>
          </cell>
          <cell r="M13">
            <v>1</v>
          </cell>
          <cell r="N13">
            <v>1.3848053726214813</v>
          </cell>
        </row>
        <row r="14">
          <cell r="A14">
            <v>7</v>
          </cell>
          <cell r="B14">
            <v>12</v>
          </cell>
          <cell r="C14">
            <v>1404</v>
          </cell>
          <cell r="D14">
            <v>260</v>
          </cell>
          <cell r="E14">
            <v>842</v>
          </cell>
          <cell r="F14">
            <v>842</v>
          </cell>
          <cell r="G14">
            <v>0.05</v>
          </cell>
          <cell r="J14">
            <v>500</v>
          </cell>
          <cell r="K14">
            <v>0.62462385595402214</v>
          </cell>
          <cell r="L14">
            <v>1</v>
          </cell>
          <cell r="M14">
            <v>1</v>
          </cell>
          <cell r="N14">
            <v>1.3649247711908044</v>
          </cell>
        </row>
        <row r="15">
          <cell r="A15">
            <v>7</v>
          </cell>
          <cell r="B15">
            <v>12</v>
          </cell>
          <cell r="C15">
            <v>1404</v>
          </cell>
          <cell r="D15">
            <v>260</v>
          </cell>
          <cell r="E15">
            <v>842</v>
          </cell>
          <cell r="F15">
            <v>842</v>
          </cell>
          <cell r="G15">
            <v>0.05</v>
          </cell>
          <cell r="J15">
            <v>500</v>
          </cell>
          <cell r="K15">
            <v>0.62462385595402214</v>
          </cell>
          <cell r="L15">
            <v>1</v>
          </cell>
          <cell r="M15">
            <v>1</v>
          </cell>
          <cell r="N15">
            <v>1.3649247711908044</v>
          </cell>
        </row>
        <row r="16">
          <cell r="A16">
            <v>7</v>
          </cell>
          <cell r="B16">
            <v>12</v>
          </cell>
          <cell r="C16">
            <v>1404</v>
          </cell>
          <cell r="D16">
            <v>260</v>
          </cell>
          <cell r="E16">
            <v>842</v>
          </cell>
          <cell r="F16">
            <v>842</v>
          </cell>
          <cell r="G16">
            <v>0.05</v>
          </cell>
          <cell r="J16">
            <v>500</v>
          </cell>
          <cell r="K16">
            <v>0.62462385595402214</v>
          </cell>
          <cell r="L16">
            <v>1</v>
          </cell>
          <cell r="M16">
            <v>1</v>
          </cell>
          <cell r="N16">
            <v>1.3649247711908044</v>
          </cell>
        </row>
        <row r="17">
          <cell r="A17">
            <v>8</v>
          </cell>
          <cell r="B17">
            <v>17</v>
          </cell>
          <cell r="C17">
            <v>1807</v>
          </cell>
          <cell r="D17">
            <v>335</v>
          </cell>
          <cell r="E17">
            <v>1084</v>
          </cell>
          <cell r="F17">
            <v>1084</v>
          </cell>
          <cell r="G17">
            <v>0.05</v>
          </cell>
          <cell r="J17">
            <v>500</v>
          </cell>
          <cell r="K17">
            <v>0.55736577589449987</v>
          </cell>
          <cell r="L17">
            <v>1</v>
          </cell>
          <cell r="M17">
            <v>1</v>
          </cell>
          <cell r="N17">
            <v>1.3514731551788999</v>
          </cell>
        </row>
        <row r="18">
          <cell r="A18">
            <v>8</v>
          </cell>
          <cell r="B18">
            <v>17</v>
          </cell>
          <cell r="C18">
            <v>1807</v>
          </cell>
          <cell r="D18">
            <v>335</v>
          </cell>
          <cell r="E18">
            <v>1084</v>
          </cell>
          <cell r="F18">
            <v>1084</v>
          </cell>
          <cell r="G18">
            <v>0.05</v>
          </cell>
          <cell r="J18">
            <v>500</v>
          </cell>
          <cell r="K18">
            <v>0.55736577589449987</v>
          </cell>
          <cell r="L18">
            <v>1</v>
          </cell>
          <cell r="M18">
            <v>1</v>
          </cell>
          <cell r="N18">
            <v>1.3514731551788999</v>
          </cell>
        </row>
        <row r="19">
          <cell r="A19">
            <v>8</v>
          </cell>
          <cell r="B19">
            <v>17</v>
          </cell>
          <cell r="C19">
            <v>1807</v>
          </cell>
          <cell r="D19">
            <v>335</v>
          </cell>
          <cell r="E19">
            <v>1084</v>
          </cell>
          <cell r="F19">
            <v>1084</v>
          </cell>
          <cell r="G19">
            <v>0.05</v>
          </cell>
          <cell r="J19">
            <v>500</v>
          </cell>
          <cell r="K19">
            <v>0.55736577589449987</v>
          </cell>
          <cell r="L19">
            <v>1</v>
          </cell>
          <cell r="M19">
            <v>1</v>
          </cell>
          <cell r="N19">
            <v>1.3514731551788999</v>
          </cell>
        </row>
        <row r="20">
          <cell r="A20">
            <v>9</v>
          </cell>
          <cell r="B20">
            <v>19</v>
          </cell>
          <cell r="C20">
            <v>1968</v>
          </cell>
          <cell r="D20">
            <v>364</v>
          </cell>
          <cell r="E20">
            <v>1181</v>
          </cell>
          <cell r="F20">
            <v>1181</v>
          </cell>
          <cell r="G20">
            <v>0.05</v>
          </cell>
          <cell r="J20">
            <v>500</v>
          </cell>
          <cell r="K20">
            <v>0.57834261814784194</v>
          </cell>
          <cell r="L20">
            <v>1</v>
          </cell>
          <cell r="M20">
            <v>1</v>
          </cell>
          <cell r="N20">
            <v>1.3556685236295685</v>
          </cell>
        </row>
        <row r="21">
          <cell r="A21">
            <v>9</v>
          </cell>
          <cell r="B21">
            <v>19</v>
          </cell>
          <cell r="C21">
            <v>1968</v>
          </cell>
          <cell r="D21">
            <v>364</v>
          </cell>
          <cell r="E21">
            <v>1181</v>
          </cell>
          <cell r="F21">
            <v>1181</v>
          </cell>
          <cell r="G21">
            <v>0.05</v>
          </cell>
          <cell r="J21">
            <v>500</v>
          </cell>
          <cell r="K21">
            <v>0.57834261814784194</v>
          </cell>
          <cell r="L21">
            <v>1</v>
          </cell>
          <cell r="M21">
            <v>1</v>
          </cell>
          <cell r="N21">
            <v>1.3556685236295685</v>
          </cell>
        </row>
        <row r="22">
          <cell r="A22">
            <v>10</v>
          </cell>
          <cell r="B22">
            <v>21</v>
          </cell>
          <cell r="C22">
            <v>2971</v>
          </cell>
          <cell r="D22">
            <v>556</v>
          </cell>
          <cell r="E22">
            <v>1734</v>
          </cell>
          <cell r="F22">
            <v>1716</v>
          </cell>
          <cell r="G22">
            <v>0.05</v>
          </cell>
          <cell r="J22">
            <v>500</v>
          </cell>
          <cell r="K22">
            <v>0.50631480188477418</v>
          </cell>
          <cell r="L22">
            <v>1</v>
          </cell>
          <cell r="M22">
            <v>1</v>
          </cell>
          <cell r="N22">
            <v>1.3412629603769548</v>
          </cell>
          <cell r="P22" t="str">
            <v>标准人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11</v>
          </cell>
          <cell r="B23">
            <v>23</v>
          </cell>
          <cell r="C23">
            <v>3139</v>
          </cell>
          <cell r="D23">
            <v>587</v>
          </cell>
          <cell r="E23">
            <v>1831</v>
          </cell>
          <cell r="F23">
            <v>1813</v>
          </cell>
          <cell r="G23">
            <v>0.05</v>
          </cell>
          <cell r="J23">
            <v>500</v>
          </cell>
          <cell r="K23">
            <v>0.5224647171950455</v>
          </cell>
          <cell r="L23">
            <v>1</v>
          </cell>
          <cell r="M23">
            <v>1</v>
          </cell>
          <cell r="N23">
            <v>1.3444929434390092</v>
          </cell>
          <cell r="P23" t="str">
            <v>防护(物)</v>
          </cell>
          <cell r="Q23">
            <v>1.2</v>
          </cell>
          <cell r="R23">
            <v>0.78800000000000003</v>
          </cell>
          <cell r="S23">
            <v>1.3</v>
          </cell>
          <cell r="T23">
            <v>0.72</v>
          </cell>
          <cell r="U23">
            <v>0.9</v>
          </cell>
        </row>
        <row r="24">
          <cell r="A24">
            <v>11</v>
          </cell>
          <cell r="B24">
            <v>23</v>
          </cell>
          <cell r="C24">
            <v>3139</v>
          </cell>
          <cell r="D24">
            <v>587</v>
          </cell>
          <cell r="E24">
            <v>1831</v>
          </cell>
          <cell r="F24">
            <v>1813</v>
          </cell>
          <cell r="G24">
            <v>0.05</v>
          </cell>
          <cell r="J24">
            <v>500</v>
          </cell>
          <cell r="K24">
            <v>0.5224647171950455</v>
          </cell>
          <cell r="L24">
            <v>1</v>
          </cell>
          <cell r="M24">
            <v>1</v>
          </cell>
          <cell r="N24">
            <v>1.3444929434390092</v>
          </cell>
          <cell r="P24" t="str">
            <v>防护(法)</v>
          </cell>
          <cell r="Q24">
            <v>1.2</v>
          </cell>
          <cell r="R24">
            <v>0.78800000000000003</v>
          </cell>
          <cell r="S24">
            <v>0.72</v>
          </cell>
          <cell r="T24">
            <v>1.3</v>
          </cell>
          <cell r="U24">
            <v>0.9</v>
          </cell>
          <cell r="W24">
            <v>1.3882352941176472</v>
          </cell>
        </row>
        <row r="25">
          <cell r="A25">
            <v>12</v>
          </cell>
          <cell r="B25">
            <v>26</v>
          </cell>
          <cell r="C25">
            <v>3518</v>
          </cell>
          <cell r="D25">
            <v>717</v>
          </cell>
          <cell r="E25">
            <v>1976</v>
          </cell>
          <cell r="F25">
            <v>2407</v>
          </cell>
          <cell r="G25">
            <v>0.05</v>
          </cell>
          <cell r="J25">
            <v>500</v>
          </cell>
          <cell r="K25">
            <v>0.52574859009271302</v>
          </cell>
          <cell r="L25">
            <v>1</v>
          </cell>
          <cell r="M25">
            <v>1</v>
          </cell>
          <cell r="N25">
            <v>1.3451497180185426</v>
          </cell>
          <cell r="P25" t="str">
            <v>突击(物)</v>
          </cell>
          <cell r="Q25">
            <v>1.0680000000000001</v>
          </cell>
          <cell r="R25">
            <v>0.98</v>
          </cell>
          <cell r="S25">
            <v>1.24</v>
          </cell>
          <cell r="T25">
            <v>0.67999999999999994</v>
          </cell>
          <cell r="U25">
            <v>1.1000000000000001</v>
          </cell>
        </row>
        <row r="26">
          <cell r="A26">
            <v>12</v>
          </cell>
          <cell r="B26">
            <v>26</v>
          </cell>
          <cell r="C26">
            <v>3518</v>
          </cell>
          <cell r="D26">
            <v>717</v>
          </cell>
          <cell r="E26">
            <v>1976</v>
          </cell>
          <cell r="F26">
            <v>2407</v>
          </cell>
          <cell r="G26">
            <v>0.05</v>
          </cell>
          <cell r="J26">
            <v>500</v>
          </cell>
          <cell r="K26">
            <v>0.52574859009271302</v>
          </cell>
          <cell r="L26">
            <v>1</v>
          </cell>
          <cell r="M26">
            <v>1</v>
          </cell>
          <cell r="N26">
            <v>1.3451497180185426</v>
          </cell>
          <cell r="P26" t="str">
            <v>突击(法)</v>
          </cell>
          <cell r="Q26">
            <v>1.0680000000000001</v>
          </cell>
          <cell r="R26">
            <v>0.98</v>
          </cell>
          <cell r="S26">
            <v>0.67999999999999994</v>
          </cell>
          <cell r="T26">
            <v>1.24</v>
          </cell>
          <cell r="U26">
            <v>1.1000000000000001</v>
          </cell>
        </row>
        <row r="27">
          <cell r="A27">
            <v>12</v>
          </cell>
          <cell r="B27">
            <v>26</v>
          </cell>
          <cell r="C27">
            <v>3518</v>
          </cell>
          <cell r="D27">
            <v>717</v>
          </cell>
          <cell r="E27">
            <v>1976</v>
          </cell>
          <cell r="F27">
            <v>2407</v>
          </cell>
          <cell r="G27">
            <v>0.05</v>
          </cell>
          <cell r="J27">
            <v>500</v>
          </cell>
          <cell r="K27">
            <v>0.52574859009271302</v>
          </cell>
          <cell r="L27">
            <v>1</v>
          </cell>
          <cell r="M27">
            <v>1</v>
          </cell>
          <cell r="N27">
            <v>1.3451497180185426</v>
          </cell>
          <cell r="P27" t="str">
            <v>辅助(物)</v>
          </cell>
          <cell r="Q27">
            <v>1.02</v>
          </cell>
          <cell r="R27">
            <v>0.80000000000000016</v>
          </cell>
          <cell r="S27">
            <v>1.3</v>
          </cell>
          <cell r="T27">
            <v>0.7</v>
          </cell>
          <cell r="U27">
            <v>0.9</v>
          </cell>
        </row>
        <row r="28">
          <cell r="A28">
            <v>13</v>
          </cell>
          <cell r="B28">
            <v>30</v>
          </cell>
          <cell r="C28">
            <v>4162</v>
          </cell>
          <cell r="D28">
            <v>782</v>
          </cell>
          <cell r="E28">
            <v>2628</v>
          </cell>
          <cell r="F28">
            <v>2628</v>
          </cell>
          <cell r="G28">
            <v>0.05</v>
          </cell>
          <cell r="J28">
            <v>500</v>
          </cell>
          <cell r="K28">
            <v>0.61161298424996313</v>
          </cell>
          <cell r="L28">
            <v>1.1666666666666667</v>
          </cell>
          <cell r="M28">
            <v>1</v>
          </cell>
          <cell r="N28">
            <v>1.3829892635166592</v>
          </cell>
          <cell r="P28" t="str">
            <v>辅助(法)</v>
          </cell>
          <cell r="Q28">
            <v>1.02</v>
          </cell>
          <cell r="R28">
            <v>0.80000000000000016</v>
          </cell>
          <cell r="S28">
            <v>0.7</v>
          </cell>
          <cell r="T28">
            <v>1.3</v>
          </cell>
          <cell r="U28">
            <v>0.9</v>
          </cell>
        </row>
        <row r="29">
          <cell r="A29">
            <v>13</v>
          </cell>
          <cell r="B29">
            <v>30</v>
          </cell>
          <cell r="C29">
            <v>4162</v>
          </cell>
          <cell r="D29">
            <v>782</v>
          </cell>
          <cell r="E29">
            <v>2628</v>
          </cell>
          <cell r="F29">
            <v>2628</v>
          </cell>
          <cell r="G29">
            <v>0.05</v>
          </cell>
          <cell r="J29">
            <v>500</v>
          </cell>
          <cell r="K29">
            <v>0.61161298424996313</v>
          </cell>
          <cell r="L29">
            <v>1.1666666666666667</v>
          </cell>
          <cell r="M29">
            <v>1</v>
          </cell>
          <cell r="N29">
            <v>1.3829892635166592</v>
          </cell>
          <cell r="P29" t="str">
            <v>强攻</v>
          </cell>
          <cell r="Q29">
            <v>0.76</v>
          </cell>
          <cell r="R29">
            <v>1.4079999999999999</v>
          </cell>
          <cell r="S29">
            <v>1.08</v>
          </cell>
          <cell r="T29">
            <v>0.6399999999999999</v>
          </cell>
          <cell r="U29">
            <v>1</v>
          </cell>
        </row>
        <row r="30">
          <cell r="A30">
            <v>13</v>
          </cell>
          <cell r="B30">
            <v>30</v>
          </cell>
          <cell r="C30">
            <v>4162</v>
          </cell>
          <cell r="D30">
            <v>782</v>
          </cell>
          <cell r="E30">
            <v>2628</v>
          </cell>
          <cell r="F30">
            <v>2628</v>
          </cell>
          <cell r="G30">
            <v>0.05</v>
          </cell>
          <cell r="J30">
            <v>500</v>
          </cell>
          <cell r="K30">
            <v>0.61161298424996313</v>
          </cell>
          <cell r="L30">
            <v>1.1666666666666667</v>
          </cell>
          <cell r="M30">
            <v>1</v>
          </cell>
          <cell r="N30">
            <v>1.3829892635166592</v>
          </cell>
          <cell r="P30" t="str">
            <v>特攻</v>
          </cell>
          <cell r="Q30">
            <v>0.78</v>
          </cell>
          <cell r="R30">
            <v>1.3879999999999999</v>
          </cell>
          <cell r="S30">
            <v>0.6399999999999999</v>
          </cell>
          <cell r="T30">
            <v>1.08</v>
          </cell>
          <cell r="U30">
            <v>1</v>
          </cell>
        </row>
        <row r="31">
          <cell r="A31">
            <v>14</v>
          </cell>
          <cell r="B31">
            <v>32</v>
          </cell>
          <cell r="C31">
            <v>4337</v>
          </cell>
          <cell r="D31">
            <v>814</v>
          </cell>
          <cell r="E31">
            <v>2738</v>
          </cell>
          <cell r="F31">
            <v>2738</v>
          </cell>
          <cell r="G31">
            <v>0.05</v>
          </cell>
          <cell r="J31">
            <v>500</v>
          </cell>
          <cell r="K31">
            <v>0.60344028269631034</v>
          </cell>
          <cell r="L31">
            <v>1.25</v>
          </cell>
          <cell r="M31">
            <v>1</v>
          </cell>
          <cell r="N31">
            <v>1.391688056539262</v>
          </cell>
        </row>
        <row r="32">
          <cell r="A32">
            <v>14</v>
          </cell>
          <cell r="B32">
            <v>32</v>
          </cell>
          <cell r="C32">
            <v>4337</v>
          </cell>
          <cell r="D32">
            <v>814</v>
          </cell>
          <cell r="E32">
            <v>2738</v>
          </cell>
          <cell r="F32">
            <v>2738</v>
          </cell>
          <cell r="G32">
            <v>0.05</v>
          </cell>
          <cell r="J32">
            <v>500</v>
          </cell>
          <cell r="K32">
            <v>0.60344028269631034</v>
          </cell>
          <cell r="L32">
            <v>1.25</v>
          </cell>
          <cell r="M32">
            <v>1</v>
          </cell>
          <cell r="N32">
            <v>1.391688056539262</v>
          </cell>
        </row>
        <row r="33">
          <cell r="A33">
            <v>15</v>
          </cell>
          <cell r="B33">
            <v>35</v>
          </cell>
          <cell r="C33">
            <v>4683</v>
          </cell>
          <cell r="D33">
            <v>880</v>
          </cell>
          <cell r="E33">
            <v>2957</v>
          </cell>
          <cell r="F33">
            <v>2957</v>
          </cell>
          <cell r="G33">
            <v>0.05</v>
          </cell>
          <cell r="J33">
            <v>500</v>
          </cell>
          <cell r="K33">
            <v>0.59995745957086399</v>
          </cell>
          <cell r="L33">
            <v>1.3333333333333333</v>
          </cell>
          <cell r="M33">
            <v>1</v>
          </cell>
          <cell r="N33">
            <v>1.4013248252475059</v>
          </cell>
        </row>
        <row r="34">
          <cell r="A34">
            <v>15</v>
          </cell>
          <cell r="B34">
            <v>35</v>
          </cell>
          <cell r="C34">
            <v>4683</v>
          </cell>
          <cell r="D34">
            <v>880</v>
          </cell>
          <cell r="E34">
            <v>2957</v>
          </cell>
          <cell r="F34">
            <v>2957</v>
          </cell>
          <cell r="G34">
            <v>0.05</v>
          </cell>
          <cell r="J34">
            <v>500</v>
          </cell>
          <cell r="K34">
            <v>0.59995745957086399</v>
          </cell>
          <cell r="L34">
            <v>1.3333333333333333</v>
          </cell>
          <cell r="M34">
            <v>1</v>
          </cell>
          <cell r="N34">
            <v>1.4013248252475059</v>
          </cell>
        </row>
        <row r="35">
          <cell r="A35">
            <v>15</v>
          </cell>
          <cell r="B35">
            <v>35</v>
          </cell>
          <cell r="C35">
            <v>4683</v>
          </cell>
          <cell r="D35">
            <v>880</v>
          </cell>
          <cell r="E35">
            <v>2957</v>
          </cell>
          <cell r="F35">
            <v>2957</v>
          </cell>
          <cell r="G35">
            <v>0.05</v>
          </cell>
          <cell r="J35">
            <v>500</v>
          </cell>
          <cell r="K35">
            <v>0.59995745957086399</v>
          </cell>
          <cell r="L35">
            <v>1.3333333333333333</v>
          </cell>
          <cell r="M35">
            <v>1</v>
          </cell>
          <cell r="N35">
            <v>1.4013248252475059</v>
          </cell>
          <cell r="O35">
            <v>1</v>
          </cell>
          <cell r="P35">
            <v>1</v>
          </cell>
          <cell r="Q35">
            <v>0</v>
          </cell>
          <cell r="R35">
            <v>5000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A36">
            <v>16</v>
          </cell>
          <cell r="B36">
            <v>36</v>
          </cell>
          <cell r="C36">
            <v>4771</v>
          </cell>
          <cell r="D36">
            <v>896</v>
          </cell>
          <cell r="E36">
            <v>3012</v>
          </cell>
          <cell r="F36">
            <v>3012</v>
          </cell>
          <cell r="G36">
            <v>0.05</v>
          </cell>
          <cell r="J36">
            <v>500</v>
          </cell>
          <cell r="K36">
            <v>0.61865509620848591</v>
          </cell>
          <cell r="L36">
            <v>1.3333333333333333</v>
          </cell>
          <cell r="M36">
            <v>1</v>
          </cell>
          <cell r="N36">
            <v>1.4050643525750304</v>
          </cell>
          <cell r="O36">
            <v>2</v>
          </cell>
          <cell r="P36">
            <v>30</v>
          </cell>
          <cell r="Q36">
            <v>0</v>
          </cell>
          <cell r="R36">
            <v>5000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>
            <v>16</v>
          </cell>
          <cell r="B37">
            <v>36</v>
          </cell>
          <cell r="C37">
            <v>4771</v>
          </cell>
          <cell r="D37">
            <v>896</v>
          </cell>
          <cell r="E37">
            <v>3012</v>
          </cell>
          <cell r="F37">
            <v>3012</v>
          </cell>
          <cell r="G37">
            <v>0.05</v>
          </cell>
          <cell r="J37">
            <v>500</v>
          </cell>
          <cell r="K37">
            <v>0.61865509620848591</v>
          </cell>
          <cell r="L37">
            <v>1.3333333333333333</v>
          </cell>
          <cell r="M37">
            <v>1</v>
          </cell>
          <cell r="N37">
            <v>1.4050643525750304</v>
          </cell>
          <cell r="O37">
            <v>3</v>
          </cell>
          <cell r="P37">
            <v>60</v>
          </cell>
          <cell r="Q37">
            <v>500</v>
          </cell>
          <cell r="R37">
            <v>5000</v>
          </cell>
          <cell r="S37">
            <v>500</v>
          </cell>
          <cell r="T37">
            <v>0</v>
          </cell>
          <cell r="U37">
            <v>1000</v>
          </cell>
          <cell r="V37">
            <v>0</v>
          </cell>
        </row>
        <row r="38">
          <cell r="A38">
            <v>17</v>
          </cell>
          <cell r="B38">
            <v>37</v>
          </cell>
          <cell r="C38">
            <v>4994</v>
          </cell>
          <cell r="D38">
            <v>939</v>
          </cell>
          <cell r="E38">
            <v>3172</v>
          </cell>
          <cell r="F38">
            <v>3172</v>
          </cell>
          <cell r="G38">
            <v>0.05</v>
          </cell>
          <cell r="J38">
            <v>500</v>
          </cell>
          <cell r="K38">
            <v>0.65048971211376094</v>
          </cell>
          <cell r="L38">
            <v>1.4166666666666667</v>
          </cell>
          <cell r="M38">
            <v>1</v>
          </cell>
          <cell r="N38">
            <v>1.4217646090894189</v>
          </cell>
          <cell r="O38">
            <v>4</v>
          </cell>
          <cell r="P38">
            <v>90</v>
          </cell>
          <cell r="Q38">
            <v>1000</v>
          </cell>
          <cell r="R38">
            <v>5000</v>
          </cell>
          <cell r="S38">
            <v>1000</v>
          </cell>
          <cell r="T38">
            <v>0</v>
          </cell>
          <cell r="U38">
            <v>1500</v>
          </cell>
          <cell r="V38">
            <v>0</v>
          </cell>
        </row>
        <row r="39">
          <cell r="A39">
            <v>17</v>
          </cell>
          <cell r="B39">
            <v>37</v>
          </cell>
          <cell r="C39">
            <v>4994</v>
          </cell>
          <cell r="D39">
            <v>939</v>
          </cell>
          <cell r="E39">
            <v>3172</v>
          </cell>
          <cell r="F39">
            <v>3172</v>
          </cell>
          <cell r="G39">
            <v>0.05</v>
          </cell>
          <cell r="J39">
            <v>500</v>
          </cell>
          <cell r="K39">
            <v>0.65048971211376094</v>
          </cell>
          <cell r="L39">
            <v>1.4166666666666667</v>
          </cell>
          <cell r="M39">
            <v>1</v>
          </cell>
          <cell r="N39">
            <v>1.4217646090894189</v>
          </cell>
          <cell r="O39">
            <v>5</v>
          </cell>
          <cell r="P39">
            <v>120</v>
          </cell>
          <cell r="Q39">
            <v>1500</v>
          </cell>
          <cell r="R39">
            <v>5000</v>
          </cell>
          <cell r="S39">
            <v>1500</v>
          </cell>
          <cell r="T39">
            <v>0</v>
          </cell>
          <cell r="U39">
            <v>2000</v>
          </cell>
          <cell r="V39">
            <v>0</v>
          </cell>
        </row>
        <row r="40">
          <cell r="A40">
            <v>17</v>
          </cell>
          <cell r="B40">
            <v>37</v>
          </cell>
          <cell r="C40">
            <v>4994</v>
          </cell>
          <cell r="D40">
            <v>939</v>
          </cell>
          <cell r="E40">
            <v>3172</v>
          </cell>
          <cell r="F40">
            <v>3172</v>
          </cell>
          <cell r="G40">
            <v>0.05</v>
          </cell>
          <cell r="J40">
            <v>500</v>
          </cell>
          <cell r="K40">
            <v>0.65048971211376094</v>
          </cell>
          <cell r="L40">
            <v>1.4166666666666667</v>
          </cell>
          <cell r="M40">
            <v>1</v>
          </cell>
          <cell r="N40">
            <v>1.4217646090894189</v>
          </cell>
          <cell r="O40">
            <v>6</v>
          </cell>
          <cell r="P40">
            <v>140</v>
          </cell>
          <cell r="Q40">
            <v>2000</v>
          </cell>
          <cell r="R40">
            <v>5000</v>
          </cell>
          <cell r="S40">
            <v>2000</v>
          </cell>
          <cell r="T40">
            <v>0</v>
          </cell>
          <cell r="U40">
            <v>2500</v>
          </cell>
          <cell r="V40">
            <v>0</v>
          </cell>
        </row>
        <row r="41">
          <cell r="A41">
            <v>18</v>
          </cell>
          <cell r="B41">
            <v>39</v>
          </cell>
          <cell r="C41">
            <v>5171</v>
          </cell>
          <cell r="D41">
            <v>972</v>
          </cell>
          <cell r="E41">
            <v>3284</v>
          </cell>
          <cell r="F41">
            <v>3284</v>
          </cell>
          <cell r="G41">
            <v>0.05</v>
          </cell>
          <cell r="J41">
            <v>500</v>
          </cell>
          <cell r="K41">
            <v>0.6559836910846597</v>
          </cell>
          <cell r="L41">
            <v>1.4166666666666667</v>
          </cell>
          <cell r="M41">
            <v>1</v>
          </cell>
          <cell r="N41">
            <v>1.4228634048835986</v>
          </cell>
        </row>
        <row r="42">
          <cell r="A42">
            <v>18</v>
          </cell>
          <cell r="B42">
            <v>39</v>
          </cell>
          <cell r="C42">
            <v>5171</v>
          </cell>
          <cell r="D42">
            <v>972</v>
          </cell>
          <cell r="E42">
            <v>3284</v>
          </cell>
          <cell r="F42">
            <v>3284</v>
          </cell>
          <cell r="G42">
            <v>0.05</v>
          </cell>
          <cell r="J42">
            <v>500</v>
          </cell>
          <cell r="K42">
            <v>0.6559836910846597</v>
          </cell>
          <cell r="L42">
            <v>1.4166666666666667</v>
          </cell>
          <cell r="M42">
            <v>1</v>
          </cell>
          <cell r="N42">
            <v>1.4228634048835986</v>
          </cell>
        </row>
        <row r="43">
          <cell r="A43">
            <v>19</v>
          </cell>
          <cell r="B43">
            <v>41</v>
          </cell>
          <cell r="C43">
            <v>5516</v>
          </cell>
          <cell r="D43">
            <v>1039</v>
          </cell>
          <cell r="E43">
            <v>3503</v>
          </cell>
          <cell r="F43">
            <v>3503</v>
          </cell>
          <cell r="G43">
            <v>0.05</v>
          </cell>
          <cell r="J43">
            <v>500</v>
          </cell>
          <cell r="K43">
            <v>0.65945107746511056</v>
          </cell>
          <cell r="L43">
            <v>1.5</v>
          </cell>
          <cell r="M43">
            <v>1</v>
          </cell>
          <cell r="N43">
            <v>1.4338902154930222</v>
          </cell>
        </row>
        <row r="44">
          <cell r="A44">
            <v>19</v>
          </cell>
          <cell r="B44">
            <v>41</v>
          </cell>
          <cell r="C44">
            <v>5516</v>
          </cell>
          <cell r="D44">
            <v>1039</v>
          </cell>
          <cell r="E44">
            <v>3503</v>
          </cell>
          <cell r="F44">
            <v>3503</v>
          </cell>
          <cell r="G44">
            <v>0.05</v>
          </cell>
          <cell r="J44">
            <v>500</v>
          </cell>
          <cell r="K44">
            <v>0.65945107746511056</v>
          </cell>
          <cell r="L44">
            <v>1.5</v>
          </cell>
          <cell r="M44">
            <v>1</v>
          </cell>
          <cell r="N44">
            <v>1.4338902154930222</v>
          </cell>
        </row>
        <row r="45">
          <cell r="A45">
            <v>19</v>
          </cell>
          <cell r="B45">
            <v>41</v>
          </cell>
          <cell r="C45">
            <v>5516</v>
          </cell>
          <cell r="D45">
            <v>1039</v>
          </cell>
          <cell r="E45">
            <v>3503</v>
          </cell>
          <cell r="F45">
            <v>3503</v>
          </cell>
          <cell r="G45">
            <v>0.05</v>
          </cell>
          <cell r="J45">
            <v>500</v>
          </cell>
          <cell r="K45">
            <v>0.65945107746511056</v>
          </cell>
          <cell r="L45">
            <v>1.5</v>
          </cell>
          <cell r="M45">
            <v>1</v>
          </cell>
          <cell r="N45">
            <v>1.4338902154930222</v>
          </cell>
        </row>
        <row r="46">
          <cell r="A46">
            <v>20</v>
          </cell>
          <cell r="B46">
            <v>43</v>
          </cell>
          <cell r="C46">
            <v>6047</v>
          </cell>
          <cell r="D46">
            <v>1140</v>
          </cell>
          <cell r="E46">
            <v>3907</v>
          </cell>
          <cell r="F46">
            <v>3907</v>
          </cell>
          <cell r="G46">
            <v>0.05</v>
          </cell>
          <cell r="J46">
            <v>500</v>
          </cell>
          <cell r="K46">
            <v>0.6631542244721691</v>
          </cell>
          <cell r="L46">
            <v>1.5833333333333333</v>
          </cell>
          <cell r="M46">
            <v>1</v>
          </cell>
          <cell r="N46">
            <v>1.4449641782277671</v>
          </cell>
        </row>
        <row r="47">
          <cell r="A47">
            <v>21</v>
          </cell>
          <cell r="B47">
            <v>45</v>
          </cell>
          <cell r="C47">
            <v>6315</v>
          </cell>
          <cell r="D47">
            <v>1191</v>
          </cell>
          <cell r="E47">
            <v>4080</v>
          </cell>
          <cell r="F47">
            <v>4080</v>
          </cell>
          <cell r="G47">
            <v>0.05</v>
          </cell>
          <cell r="J47">
            <v>500</v>
          </cell>
          <cell r="K47">
            <v>0.66670546845697443</v>
          </cell>
          <cell r="L47">
            <v>1.5833333333333333</v>
          </cell>
          <cell r="M47">
            <v>1</v>
          </cell>
          <cell r="N47">
            <v>1.4456744270247281</v>
          </cell>
          <cell r="P47" t="str">
            <v>常规怪</v>
          </cell>
          <cell r="Q47">
            <v>4</v>
          </cell>
          <cell r="R47">
            <v>0.8</v>
          </cell>
          <cell r="S47">
            <v>0.69</v>
          </cell>
          <cell r="T47">
            <v>8.6956521739130448</v>
          </cell>
        </row>
        <row r="48">
          <cell r="A48">
            <v>21</v>
          </cell>
          <cell r="B48">
            <v>45</v>
          </cell>
          <cell r="C48">
            <v>6315</v>
          </cell>
          <cell r="D48">
            <v>1191</v>
          </cell>
          <cell r="E48">
            <v>4080</v>
          </cell>
          <cell r="F48">
            <v>4080</v>
          </cell>
          <cell r="G48">
            <v>0.05</v>
          </cell>
          <cell r="J48">
            <v>500</v>
          </cell>
          <cell r="K48">
            <v>0.66670546845697443</v>
          </cell>
          <cell r="L48">
            <v>1.5833333333333333</v>
          </cell>
          <cell r="M48">
            <v>1</v>
          </cell>
          <cell r="N48">
            <v>1.4456744270247281</v>
          </cell>
          <cell r="P48" t="str">
            <v>精英怪</v>
          </cell>
          <cell r="Q48">
            <v>8</v>
          </cell>
          <cell r="R48">
            <v>1</v>
          </cell>
          <cell r="S48">
            <v>1.2</v>
          </cell>
          <cell r="T48">
            <v>5</v>
          </cell>
        </row>
        <row r="49">
          <cell r="A49">
            <v>21</v>
          </cell>
          <cell r="B49">
            <v>45</v>
          </cell>
          <cell r="C49">
            <v>6315</v>
          </cell>
          <cell r="D49">
            <v>1191</v>
          </cell>
          <cell r="E49">
            <v>4080</v>
          </cell>
          <cell r="F49">
            <v>4080</v>
          </cell>
          <cell r="G49">
            <v>0.05</v>
          </cell>
          <cell r="J49">
            <v>500</v>
          </cell>
          <cell r="K49">
            <v>0.66670546845697443</v>
          </cell>
          <cell r="L49">
            <v>1.5833333333333333</v>
          </cell>
          <cell r="M49">
            <v>1</v>
          </cell>
          <cell r="N49">
            <v>1.4456744270247281</v>
          </cell>
          <cell r="P49" t="str">
            <v>boss</v>
          </cell>
          <cell r="Q49">
            <v>20</v>
          </cell>
          <cell r="R49">
            <v>1.2</v>
          </cell>
          <cell r="S49">
            <v>1.84</v>
          </cell>
          <cell r="T49">
            <v>3.2608695652173911</v>
          </cell>
        </row>
        <row r="50">
          <cell r="A50">
            <v>22</v>
          </cell>
          <cell r="B50">
            <v>47</v>
          </cell>
          <cell r="C50">
            <v>6835</v>
          </cell>
          <cell r="D50">
            <v>1294</v>
          </cell>
          <cell r="E50">
            <v>4411</v>
          </cell>
          <cell r="F50">
            <v>4411</v>
          </cell>
          <cell r="G50">
            <v>0.05</v>
          </cell>
          <cell r="J50">
            <v>500</v>
          </cell>
          <cell r="K50">
            <v>0.66770595268631261</v>
          </cell>
          <cell r="L50">
            <v>1.5833333333333333</v>
          </cell>
          <cell r="M50">
            <v>1</v>
          </cell>
          <cell r="N50">
            <v>1.4458745238705959</v>
          </cell>
          <cell r="P50" t="str">
            <v>巨构</v>
          </cell>
          <cell r="Q50">
            <v>60</v>
          </cell>
          <cell r="R50">
            <v>1.5</v>
          </cell>
          <cell r="S50">
            <v>2.8</v>
          </cell>
          <cell r="T50">
            <v>2.1428571428571428</v>
          </cell>
        </row>
        <row r="51">
          <cell r="A51">
            <v>23</v>
          </cell>
          <cell r="B51">
            <v>49</v>
          </cell>
          <cell r="C51">
            <v>7187</v>
          </cell>
          <cell r="D51">
            <v>1362</v>
          </cell>
          <cell r="E51">
            <v>4637</v>
          </cell>
          <cell r="F51">
            <v>4637</v>
          </cell>
          <cell r="G51">
            <v>0.05</v>
          </cell>
          <cell r="J51">
            <v>500</v>
          </cell>
          <cell r="K51">
            <v>0.79313285618884588</v>
          </cell>
          <cell r="L51">
            <v>1.6666666666666667</v>
          </cell>
          <cell r="M51">
            <v>1</v>
          </cell>
          <cell r="N51">
            <v>1.4812932379044359</v>
          </cell>
        </row>
        <row r="52">
          <cell r="A52">
            <v>24</v>
          </cell>
          <cell r="B52">
            <v>15</v>
          </cell>
          <cell r="C52">
            <v>1646</v>
          </cell>
          <cell r="D52">
            <v>305</v>
          </cell>
          <cell r="E52">
            <v>987</v>
          </cell>
          <cell r="F52">
            <v>987</v>
          </cell>
          <cell r="G52">
            <v>0.05</v>
          </cell>
          <cell r="J52">
            <v>500</v>
          </cell>
          <cell r="K52">
            <v>0.53274425572435635</v>
          </cell>
          <cell r="L52">
            <v>1</v>
          </cell>
          <cell r="M52">
            <v>1</v>
          </cell>
          <cell r="N52">
            <v>1.3465488511448713</v>
          </cell>
        </row>
        <row r="53">
          <cell r="A53">
            <v>25</v>
          </cell>
          <cell r="B53">
            <v>20</v>
          </cell>
          <cell r="C53">
            <v>2909</v>
          </cell>
          <cell r="D53">
            <v>543</v>
          </cell>
          <cell r="E53">
            <v>1630</v>
          </cell>
          <cell r="F53">
            <v>1618</v>
          </cell>
          <cell r="G53">
            <v>0.05</v>
          </cell>
          <cell r="J53">
            <v>500</v>
          </cell>
          <cell r="K53">
            <v>0.42117678572189488</v>
          </cell>
          <cell r="L53">
            <v>1</v>
          </cell>
          <cell r="M53">
            <v>1</v>
          </cell>
          <cell r="N53">
            <v>1.324235357144379</v>
          </cell>
        </row>
        <row r="54">
          <cell r="A54">
            <v>26</v>
          </cell>
          <cell r="B54">
            <v>35</v>
          </cell>
          <cell r="C54">
            <v>5019</v>
          </cell>
          <cell r="D54">
            <v>948</v>
          </cell>
          <cell r="E54">
            <v>3169</v>
          </cell>
          <cell r="F54">
            <v>3169</v>
          </cell>
          <cell r="G54">
            <v>0.05</v>
          </cell>
          <cell r="J54">
            <v>500</v>
          </cell>
          <cell r="K54">
            <v>0.61472269603360086</v>
          </cell>
          <cell r="L54">
            <v>1.3333333333333333</v>
          </cell>
          <cell r="M54">
            <v>1</v>
          </cell>
          <cell r="N54">
            <v>1.4042778725400533</v>
          </cell>
        </row>
        <row r="55">
          <cell r="A55">
            <v>29</v>
          </cell>
          <cell r="B55">
            <v>4</v>
          </cell>
          <cell r="C55">
            <v>724</v>
          </cell>
          <cell r="D55">
            <v>134</v>
          </cell>
          <cell r="E55">
            <v>434</v>
          </cell>
          <cell r="F55">
            <v>434</v>
          </cell>
          <cell r="G55">
            <v>0.05</v>
          </cell>
          <cell r="J55">
            <v>500</v>
          </cell>
          <cell r="K55">
            <v>0.58008107853730251</v>
          </cell>
          <cell r="L55">
            <v>1</v>
          </cell>
          <cell r="M55">
            <v>1</v>
          </cell>
          <cell r="N55">
            <v>1.3560162157074604</v>
          </cell>
        </row>
        <row r="56">
          <cell r="A56">
            <v>30</v>
          </cell>
          <cell r="B56">
            <v>18</v>
          </cell>
          <cell r="C56">
            <v>1887</v>
          </cell>
          <cell r="D56">
            <v>350</v>
          </cell>
          <cell r="E56">
            <v>1132</v>
          </cell>
          <cell r="F56">
            <v>1132</v>
          </cell>
          <cell r="G56">
            <v>0.05</v>
          </cell>
          <cell r="J56">
            <v>500</v>
          </cell>
          <cell r="K56">
            <v>0.46449028452769869</v>
          </cell>
          <cell r="L56">
            <v>1</v>
          </cell>
          <cell r="M56">
            <v>1</v>
          </cell>
          <cell r="N56">
            <v>1.3328980569055398</v>
          </cell>
        </row>
        <row r="57">
          <cell r="A57">
            <v>31</v>
          </cell>
          <cell r="B57">
            <v>33</v>
          </cell>
          <cell r="C57">
            <v>4844</v>
          </cell>
          <cell r="D57">
            <v>916</v>
          </cell>
          <cell r="E57">
            <v>3058</v>
          </cell>
          <cell r="F57">
            <v>3058</v>
          </cell>
          <cell r="G57">
            <v>0.05</v>
          </cell>
          <cell r="J57">
            <v>500</v>
          </cell>
          <cell r="K57">
            <v>0.63680195589685296</v>
          </cell>
          <cell r="L57">
            <v>1.3333333333333333</v>
          </cell>
          <cell r="M57">
            <v>1</v>
          </cell>
          <cell r="N57">
            <v>1.4086937245127038</v>
          </cell>
        </row>
        <row r="58">
          <cell r="A58">
            <v>34</v>
          </cell>
          <cell r="B58">
            <v>16</v>
          </cell>
          <cell r="C58">
            <v>1726</v>
          </cell>
          <cell r="D58">
            <v>320</v>
          </cell>
          <cell r="E58">
            <v>1036</v>
          </cell>
          <cell r="F58">
            <v>1036</v>
          </cell>
          <cell r="G58">
            <v>0.05</v>
          </cell>
          <cell r="J58">
            <v>500</v>
          </cell>
          <cell r="K58">
            <v>0.50772924901075234</v>
          </cell>
          <cell r="L58">
            <v>1</v>
          </cell>
          <cell r="M58">
            <v>1</v>
          </cell>
          <cell r="N58">
            <v>1.3415458498021504</v>
          </cell>
        </row>
        <row r="59">
          <cell r="A59">
            <v>35</v>
          </cell>
          <cell r="B59">
            <v>30</v>
          </cell>
          <cell r="C59">
            <v>4414</v>
          </cell>
          <cell r="D59">
            <v>833</v>
          </cell>
          <cell r="E59">
            <v>2787</v>
          </cell>
          <cell r="F59">
            <v>2787</v>
          </cell>
          <cell r="G59">
            <v>0.05</v>
          </cell>
          <cell r="J59">
            <v>500</v>
          </cell>
          <cell r="K59">
            <v>0.61153909312733779</v>
          </cell>
          <cell r="L59">
            <v>1.3333333333333333</v>
          </cell>
          <cell r="M59">
            <v>1</v>
          </cell>
          <cell r="N59">
            <v>1.4036411519588008</v>
          </cell>
        </row>
        <row r="60">
          <cell r="A60">
            <v>36</v>
          </cell>
          <cell r="B60">
            <v>45</v>
          </cell>
          <cell r="C60">
            <v>6785</v>
          </cell>
          <cell r="D60">
            <v>1291</v>
          </cell>
          <cell r="E60">
            <v>4387</v>
          </cell>
          <cell r="F60">
            <v>4377</v>
          </cell>
          <cell r="G60">
            <v>0.05</v>
          </cell>
          <cell r="J60">
            <v>500</v>
          </cell>
          <cell r="K60">
            <v>0.76965477591080123</v>
          </cell>
          <cell r="L60">
            <v>1.75</v>
          </cell>
          <cell r="M60">
            <v>1</v>
          </cell>
          <cell r="N60">
            <v>1.4869309551821601</v>
          </cell>
        </row>
        <row r="61">
          <cell r="A61">
            <v>39</v>
          </cell>
          <cell r="B61">
            <v>17</v>
          </cell>
          <cell r="C61">
            <v>2388</v>
          </cell>
          <cell r="D61">
            <v>452</v>
          </cell>
          <cell r="E61">
            <v>1479</v>
          </cell>
          <cell r="F61">
            <v>1479</v>
          </cell>
          <cell r="G61">
            <v>0.05</v>
          </cell>
          <cell r="J61">
            <v>500</v>
          </cell>
          <cell r="K61">
            <v>0.56875579577940305</v>
          </cell>
          <cell r="L61">
            <v>1</v>
          </cell>
          <cell r="M61">
            <v>1</v>
          </cell>
          <cell r="N61">
            <v>1.3537511591558806</v>
          </cell>
        </row>
        <row r="62">
          <cell r="A62">
            <v>40</v>
          </cell>
          <cell r="B62">
            <v>30</v>
          </cell>
          <cell r="C62">
            <v>4414</v>
          </cell>
          <cell r="D62">
            <v>833</v>
          </cell>
          <cell r="E62">
            <v>2787</v>
          </cell>
          <cell r="F62">
            <v>2787</v>
          </cell>
          <cell r="G62">
            <v>0.05</v>
          </cell>
          <cell r="J62">
            <v>500</v>
          </cell>
          <cell r="K62">
            <v>0.61153909312733779</v>
          </cell>
          <cell r="L62">
            <v>1.3333333333333333</v>
          </cell>
          <cell r="M62">
            <v>1</v>
          </cell>
          <cell r="N62">
            <v>1.4036411519588008</v>
          </cell>
        </row>
        <row r="63">
          <cell r="A63">
            <v>41</v>
          </cell>
          <cell r="B63">
            <v>45</v>
          </cell>
          <cell r="C63">
            <v>6785</v>
          </cell>
          <cell r="D63">
            <v>1291</v>
          </cell>
          <cell r="E63">
            <v>4387</v>
          </cell>
          <cell r="F63">
            <v>4377</v>
          </cell>
          <cell r="G63">
            <v>0.05</v>
          </cell>
          <cell r="J63">
            <v>500</v>
          </cell>
          <cell r="K63">
            <v>0.76965477591080123</v>
          </cell>
          <cell r="L63">
            <v>1.75</v>
          </cell>
          <cell r="M63">
            <v>1</v>
          </cell>
          <cell r="N63">
            <v>1.4869309551821601</v>
          </cell>
        </row>
        <row r="64">
          <cell r="A64">
            <v>44</v>
          </cell>
          <cell r="B64">
            <v>16</v>
          </cell>
          <cell r="C64">
            <v>1726</v>
          </cell>
          <cell r="D64">
            <v>320</v>
          </cell>
          <cell r="E64">
            <v>1036</v>
          </cell>
          <cell r="F64">
            <v>1036</v>
          </cell>
          <cell r="G64">
            <v>0.05</v>
          </cell>
          <cell r="J64">
            <v>500</v>
          </cell>
          <cell r="K64">
            <v>0.50772924901075234</v>
          </cell>
          <cell r="L64">
            <v>1</v>
          </cell>
          <cell r="M64">
            <v>1</v>
          </cell>
          <cell r="N64">
            <v>1.3415458498021504</v>
          </cell>
        </row>
        <row r="65">
          <cell r="A65">
            <v>45</v>
          </cell>
          <cell r="B65">
            <v>28</v>
          </cell>
          <cell r="C65">
            <v>3903</v>
          </cell>
          <cell r="D65">
            <v>732</v>
          </cell>
          <cell r="E65">
            <v>2464</v>
          </cell>
          <cell r="F65">
            <v>2464</v>
          </cell>
          <cell r="G65">
            <v>0.05</v>
          </cell>
          <cell r="J65">
            <v>500</v>
          </cell>
          <cell r="K65">
            <v>0.63916648278779375</v>
          </cell>
          <cell r="L65">
            <v>1.0833333333333333</v>
          </cell>
          <cell r="M65">
            <v>1</v>
          </cell>
          <cell r="N65">
            <v>1.3781666298908921</v>
          </cell>
        </row>
        <row r="66">
          <cell r="A66">
            <v>46</v>
          </cell>
          <cell r="B66">
            <v>40</v>
          </cell>
          <cell r="C66">
            <v>6275</v>
          </cell>
          <cell r="D66">
            <v>1184</v>
          </cell>
          <cell r="E66">
            <v>4033</v>
          </cell>
          <cell r="F66">
            <v>4033</v>
          </cell>
          <cell r="G66">
            <v>0.05</v>
          </cell>
          <cell r="J66">
            <v>500</v>
          </cell>
          <cell r="K66">
            <v>0.63425793511275985</v>
          </cell>
          <cell r="L66">
            <v>1.5</v>
          </cell>
          <cell r="M66">
            <v>1</v>
          </cell>
          <cell r="N66">
            <v>1.428851587022552</v>
          </cell>
        </row>
        <row r="67">
          <cell r="A67">
            <v>49</v>
          </cell>
          <cell r="B67">
            <v>16</v>
          </cell>
          <cell r="C67">
            <v>1726</v>
          </cell>
          <cell r="D67">
            <v>320</v>
          </cell>
          <cell r="E67">
            <v>1036</v>
          </cell>
          <cell r="F67">
            <v>1036</v>
          </cell>
          <cell r="G67">
            <v>0.05</v>
          </cell>
          <cell r="J67">
            <v>500</v>
          </cell>
          <cell r="K67">
            <v>0.50772924901075234</v>
          </cell>
          <cell r="L67">
            <v>1</v>
          </cell>
          <cell r="M67">
            <v>1</v>
          </cell>
          <cell r="N67">
            <v>1.3415458498021504</v>
          </cell>
        </row>
        <row r="68">
          <cell r="A68">
            <v>50</v>
          </cell>
          <cell r="B68">
            <v>28</v>
          </cell>
          <cell r="C68">
            <v>3903</v>
          </cell>
          <cell r="D68">
            <v>732</v>
          </cell>
          <cell r="E68">
            <v>2464</v>
          </cell>
          <cell r="F68">
            <v>2464</v>
          </cell>
          <cell r="G68">
            <v>0.05</v>
          </cell>
          <cell r="J68">
            <v>500</v>
          </cell>
          <cell r="K68">
            <v>0.63916648278779375</v>
          </cell>
          <cell r="L68">
            <v>1.0833333333333333</v>
          </cell>
          <cell r="M68">
            <v>1</v>
          </cell>
          <cell r="N68">
            <v>1.3781666298908921</v>
          </cell>
        </row>
        <row r="69">
          <cell r="A69">
            <v>51</v>
          </cell>
          <cell r="B69">
            <v>40</v>
          </cell>
          <cell r="C69">
            <v>6191</v>
          </cell>
          <cell r="D69">
            <v>1174</v>
          </cell>
          <cell r="E69">
            <v>3993</v>
          </cell>
          <cell r="F69">
            <v>3993</v>
          </cell>
          <cell r="G69">
            <v>0.05</v>
          </cell>
          <cell r="J69">
            <v>500</v>
          </cell>
          <cell r="K69">
            <v>0.64094407067738768</v>
          </cell>
          <cell r="L69">
            <v>1.5</v>
          </cell>
          <cell r="M69">
            <v>1</v>
          </cell>
          <cell r="N69">
            <v>1.4301888141354775</v>
          </cell>
        </row>
        <row r="70">
          <cell r="A70">
            <v>54</v>
          </cell>
          <cell r="B70">
            <v>15</v>
          </cell>
          <cell r="C70">
            <v>1646</v>
          </cell>
          <cell r="D70">
            <v>305</v>
          </cell>
          <cell r="E70">
            <v>987</v>
          </cell>
          <cell r="F70">
            <v>987</v>
          </cell>
          <cell r="G70">
            <v>0.05</v>
          </cell>
          <cell r="J70">
            <v>500</v>
          </cell>
          <cell r="K70">
            <v>0.61208914487479249</v>
          </cell>
          <cell r="L70">
            <v>1</v>
          </cell>
          <cell r="M70">
            <v>1</v>
          </cell>
          <cell r="N70">
            <v>1.3624178289749584</v>
          </cell>
        </row>
        <row r="71">
          <cell r="A71">
            <v>55</v>
          </cell>
          <cell r="B71">
            <v>19</v>
          </cell>
          <cell r="C71">
            <v>2803</v>
          </cell>
          <cell r="D71">
            <v>524</v>
          </cell>
          <cell r="E71">
            <v>1637</v>
          </cell>
          <cell r="F71">
            <v>1620</v>
          </cell>
          <cell r="G71">
            <v>0.05</v>
          </cell>
          <cell r="J71">
            <v>500</v>
          </cell>
          <cell r="K71">
            <v>0.53663176120853362</v>
          </cell>
          <cell r="L71">
            <v>1</v>
          </cell>
          <cell r="M71">
            <v>1</v>
          </cell>
          <cell r="N71">
            <v>1.3473263522417067</v>
          </cell>
        </row>
        <row r="72">
          <cell r="A72">
            <v>56</v>
          </cell>
          <cell r="B72">
            <v>24</v>
          </cell>
          <cell r="C72">
            <v>3343</v>
          </cell>
          <cell r="D72">
            <v>684</v>
          </cell>
          <cell r="E72">
            <v>1879</v>
          </cell>
          <cell r="F72">
            <v>2296</v>
          </cell>
          <cell r="G72">
            <v>0.05</v>
          </cell>
          <cell r="J72">
            <v>500</v>
          </cell>
          <cell r="K72">
            <v>0.55210632527874515</v>
          </cell>
          <cell r="L72">
            <v>1</v>
          </cell>
          <cell r="M72">
            <v>1</v>
          </cell>
          <cell r="N72">
            <v>1.350421265055749</v>
          </cell>
        </row>
        <row r="73">
          <cell r="A73">
            <v>57</v>
          </cell>
          <cell r="B73">
            <v>28</v>
          </cell>
          <cell r="C73">
            <v>3987</v>
          </cell>
          <cell r="D73">
            <v>749</v>
          </cell>
          <cell r="E73">
            <v>2517</v>
          </cell>
          <cell r="F73">
            <v>2517</v>
          </cell>
          <cell r="G73">
            <v>0.05</v>
          </cell>
          <cell r="J73">
            <v>500</v>
          </cell>
          <cell r="K73">
            <v>0.63854695926638028</v>
          </cell>
          <cell r="L73">
            <v>1.1666666666666667</v>
          </cell>
          <cell r="M73">
            <v>1</v>
          </cell>
          <cell r="N73">
            <v>1.3883760585199427</v>
          </cell>
        </row>
        <row r="74">
          <cell r="A74">
            <v>58</v>
          </cell>
          <cell r="B74">
            <v>33</v>
          </cell>
          <cell r="C74">
            <v>4508</v>
          </cell>
          <cell r="D74">
            <v>847</v>
          </cell>
          <cell r="E74">
            <v>2846</v>
          </cell>
          <cell r="F74">
            <v>2846</v>
          </cell>
          <cell r="G74">
            <v>0.05</v>
          </cell>
          <cell r="J74">
            <v>500</v>
          </cell>
          <cell r="K74">
            <v>0.62332341627177512</v>
          </cell>
          <cell r="L74">
            <v>1.3333333333333333</v>
          </cell>
          <cell r="M74">
            <v>1</v>
          </cell>
          <cell r="N74">
            <v>1.4059980165876882</v>
          </cell>
        </row>
        <row r="75">
          <cell r="A75">
            <v>59</v>
          </cell>
          <cell r="B75">
            <v>35</v>
          </cell>
          <cell r="C75">
            <v>4817</v>
          </cell>
          <cell r="D75">
            <v>906</v>
          </cell>
          <cell r="E75">
            <v>3059</v>
          </cell>
          <cell r="F75">
            <v>3047</v>
          </cell>
          <cell r="G75">
            <v>0.05</v>
          </cell>
          <cell r="J75">
            <v>500</v>
          </cell>
          <cell r="K75">
            <v>0.67506792819694716</v>
          </cell>
          <cell r="L75">
            <v>1.4166666666666667</v>
          </cell>
          <cell r="M75">
            <v>1</v>
          </cell>
          <cell r="N75">
            <v>1.4266802523060562</v>
          </cell>
        </row>
        <row r="76">
          <cell r="A76">
            <v>60</v>
          </cell>
          <cell r="B76">
            <v>39</v>
          </cell>
          <cell r="C76">
            <v>5339</v>
          </cell>
          <cell r="D76">
            <v>1006</v>
          </cell>
          <cell r="E76">
            <v>3390</v>
          </cell>
          <cell r="F76">
            <v>3377</v>
          </cell>
          <cell r="G76">
            <v>0.05</v>
          </cell>
          <cell r="J76">
            <v>500</v>
          </cell>
          <cell r="K76">
            <v>0.68197215727572491</v>
          </cell>
          <cell r="L76">
            <v>1.5</v>
          </cell>
          <cell r="M76">
            <v>1</v>
          </cell>
          <cell r="N76">
            <v>1.4383944314551451</v>
          </cell>
        </row>
        <row r="77">
          <cell r="A77">
            <v>61</v>
          </cell>
          <cell r="B77">
            <v>41</v>
          </cell>
          <cell r="C77">
            <v>5863</v>
          </cell>
          <cell r="D77">
            <v>1106</v>
          </cell>
          <cell r="E77">
            <v>3788</v>
          </cell>
          <cell r="F77">
            <v>3774</v>
          </cell>
          <cell r="G77">
            <v>0.05</v>
          </cell>
          <cell r="J77">
            <v>500</v>
          </cell>
          <cell r="K77">
            <v>0.68450599667459366</v>
          </cell>
          <cell r="L77">
            <v>1.5833333333333333</v>
          </cell>
          <cell r="M77">
            <v>1</v>
          </cell>
          <cell r="N77">
            <v>1.4492345326682521</v>
          </cell>
        </row>
        <row r="78">
          <cell r="A78">
            <v>62</v>
          </cell>
          <cell r="B78">
            <v>47</v>
          </cell>
          <cell r="C78">
            <v>7003</v>
          </cell>
          <cell r="D78">
            <v>1328</v>
          </cell>
          <cell r="E78">
            <v>4517</v>
          </cell>
          <cell r="F78">
            <v>4501</v>
          </cell>
          <cell r="G78">
            <v>0.05</v>
          </cell>
          <cell r="J78">
            <v>500</v>
          </cell>
          <cell r="K78">
            <v>0.81468156885202547</v>
          </cell>
          <cell r="L78">
            <v>1.6666666666666667</v>
          </cell>
          <cell r="M78">
            <v>1</v>
          </cell>
          <cell r="N78">
            <v>1.4856029804370716</v>
          </cell>
        </row>
        <row r="81">
          <cell r="A81">
            <v>65</v>
          </cell>
          <cell r="B81">
            <v>30</v>
          </cell>
          <cell r="C81">
            <v>4162</v>
          </cell>
          <cell r="D81">
            <v>782</v>
          </cell>
          <cell r="E81">
            <v>2628</v>
          </cell>
          <cell r="F81">
            <v>2628</v>
          </cell>
          <cell r="K81">
            <v>0.61161298424996313</v>
          </cell>
          <cell r="L81">
            <v>1.1666666666666667</v>
          </cell>
          <cell r="M81">
            <v>1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BB60D-755E-4E48-9708-C0F5F2A8E276}">
  <sheetPr>
    <tabColor theme="4" tint="0.79998168889431442"/>
  </sheetPr>
  <dimension ref="A4:B26"/>
  <sheetViews>
    <sheetView workbookViewId="0">
      <selection activeCell="F29" sqref="F29"/>
    </sheetView>
  </sheetViews>
  <sheetFormatPr defaultRowHeight="14.25" x14ac:dyDescent="0.2"/>
  <sheetData>
    <row r="4" spans="1:2" x14ac:dyDescent="0.2">
      <c r="A4" s="106" t="s">
        <v>1967</v>
      </c>
      <c r="B4" s="107" t="s">
        <v>1970</v>
      </c>
    </row>
    <row r="6" spans="1:2" x14ac:dyDescent="0.2">
      <c r="B6" s="8" t="s">
        <v>1968</v>
      </c>
    </row>
    <row r="7" spans="1:2" x14ac:dyDescent="0.2">
      <c r="B7" s="8"/>
    </row>
    <row r="9" spans="1:2" x14ac:dyDescent="0.2">
      <c r="A9" s="106" t="s">
        <v>1969</v>
      </c>
    </row>
    <row r="11" spans="1:2" x14ac:dyDescent="0.2">
      <c r="B11" s="105" t="s">
        <v>1971</v>
      </c>
    </row>
    <row r="13" spans="1:2" x14ac:dyDescent="0.2">
      <c r="B13" s="8" t="s">
        <v>1974</v>
      </c>
    </row>
    <row r="14" spans="1:2" x14ac:dyDescent="0.2">
      <c r="B14" s="8" t="s">
        <v>1975</v>
      </c>
    </row>
    <row r="17" spans="2:2" x14ac:dyDescent="0.2">
      <c r="B17" s="105" t="s">
        <v>1972</v>
      </c>
    </row>
    <row r="19" spans="2:2" x14ac:dyDescent="0.2">
      <c r="B19" s="8" t="s">
        <v>1980</v>
      </c>
    </row>
    <row r="20" spans="2:2" x14ac:dyDescent="0.2">
      <c r="B20" s="8" t="s">
        <v>1981</v>
      </c>
    </row>
    <row r="22" spans="2:2" x14ac:dyDescent="0.2">
      <c r="B22" s="8" t="s">
        <v>1975</v>
      </c>
    </row>
    <row r="25" spans="2:2" x14ac:dyDescent="0.2">
      <c r="B25" s="105" t="s">
        <v>1973</v>
      </c>
    </row>
    <row r="26" spans="2:2" x14ac:dyDescent="0.2">
      <c r="B26" s="8" t="s">
        <v>1982</v>
      </c>
    </row>
  </sheetData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0"/>
  <sheetViews>
    <sheetView workbookViewId="0">
      <pane xSplit="3" ySplit="5" topLeftCell="D6" activePane="bottomRight" state="frozen"/>
      <selection pane="topRight"/>
      <selection pane="bottomLeft"/>
      <selection pane="bottomRight" activeCell="I20" sqref="I20"/>
    </sheetView>
  </sheetViews>
  <sheetFormatPr defaultColWidth="9" defaultRowHeight="14.25" x14ac:dyDescent="0.2"/>
  <cols>
    <col min="2" max="2" width="4.25" customWidth="1"/>
    <col min="3" max="3" width="11" customWidth="1"/>
    <col min="4" max="5" width="5.5" customWidth="1"/>
    <col min="6" max="6" width="7.625" customWidth="1"/>
    <col min="7" max="7" width="7.125" customWidth="1"/>
    <col min="8" max="8" width="5" customWidth="1"/>
    <col min="9" max="9" width="4.875" customWidth="1"/>
    <col min="10" max="10" width="6.25" style="5" customWidth="1"/>
    <col min="11" max="11" width="9" style="5" customWidth="1"/>
    <col min="12" max="12" width="29.125" customWidth="1"/>
    <col min="13" max="13" width="11.375" customWidth="1"/>
    <col min="14" max="14" width="12.875" customWidth="1"/>
    <col min="15" max="18" width="5.5" customWidth="1"/>
    <col min="20" max="20" width="11" customWidth="1"/>
    <col min="21" max="21" width="6.625" customWidth="1"/>
    <col min="22" max="25" width="4.75" customWidth="1"/>
  </cols>
  <sheetData>
    <row r="1" spans="1:40" x14ac:dyDescent="0.2">
      <c r="A1" s="110" t="s">
        <v>3</v>
      </c>
      <c r="B1" s="28" t="s">
        <v>1983</v>
      </c>
      <c r="C1" s="28" t="s">
        <v>4</v>
      </c>
      <c r="D1" s="28"/>
      <c r="E1" s="28" t="s">
        <v>5</v>
      </c>
      <c r="F1" s="28" t="s">
        <v>6</v>
      </c>
      <c r="G1" s="28" t="s">
        <v>7</v>
      </c>
      <c r="H1" s="28"/>
      <c r="I1" s="28"/>
      <c r="J1" s="108" t="s">
        <v>8</v>
      </c>
      <c r="K1" s="108" t="s">
        <v>9</v>
      </c>
      <c r="L1" s="28" t="s">
        <v>10</v>
      </c>
      <c r="M1" s="110" t="s">
        <v>1358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/>
      <c r="V1" s="28"/>
      <c r="W1" s="28"/>
      <c r="X1" s="28"/>
      <c r="Y1" s="28"/>
      <c r="Z1" s="19" t="s">
        <v>18</v>
      </c>
      <c r="AA1" s="19" t="s">
        <v>19</v>
      </c>
      <c r="AB1" s="19" t="s">
        <v>20</v>
      </c>
      <c r="AC1" s="19" t="s">
        <v>21</v>
      </c>
      <c r="AD1" s="19" t="s">
        <v>22</v>
      </c>
    </row>
    <row r="2" spans="1:40" x14ac:dyDescent="0.2">
      <c r="A2" s="110" t="s">
        <v>23</v>
      </c>
      <c r="B2" s="28" t="s">
        <v>1984</v>
      </c>
      <c r="C2" s="28" t="s">
        <v>24</v>
      </c>
      <c r="D2" s="28"/>
      <c r="E2" s="28" t="s">
        <v>23</v>
      </c>
      <c r="F2" s="28" t="s">
        <v>23</v>
      </c>
      <c r="G2" s="28" t="s">
        <v>23</v>
      </c>
      <c r="H2" s="28"/>
      <c r="I2" s="28"/>
      <c r="J2" s="108" t="s">
        <v>23</v>
      </c>
      <c r="K2" s="109" t="s">
        <v>25</v>
      </c>
      <c r="L2" s="109" t="s">
        <v>25</v>
      </c>
      <c r="M2" s="110" t="s">
        <v>1359</v>
      </c>
      <c r="N2" s="28" t="s">
        <v>23</v>
      </c>
      <c r="O2" s="28" t="s">
        <v>23</v>
      </c>
      <c r="P2" s="28" t="s">
        <v>23</v>
      </c>
      <c r="Q2" s="28" t="s">
        <v>23</v>
      </c>
      <c r="R2" s="28" t="s">
        <v>23</v>
      </c>
      <c r="S2" s="28" t="s">
        <v>23</v>
      </c>
      <c r="T2" s="28" t="s">
        <v>23</v>
      </c>
      <c r="U2" s="28"/>
      <c r="V2" s="28"/>
      <c r="W2" s="28"/>
      <c r="X2" s="28"/>
      <c r="Y2" s="28"/>
      <c r="Z2" s="19" t="s">
        <v>23</v>
      </c>
      <c r="AA2" s="19" t="s">
        <v>23</v>
      </c>
      <c r="AB2" s="19" t="s">
        <v>23</v>
      </c>
      <c r="AC2" s="19" t="s">
        <v>23</v>
      </c>
      <c r="AD2" s="19" t="s">
        <v>23</v>
      </c>
    </row>
    <row r="3" spans="1:40" x14ac:dyDescent="0.2">
      <c r="A3" s="28" t="s">
        <v>26</v>
      </c>
      <c r="B3" s="28" t="s">
        <v>29</v>
      </c>
      <c r="C3" s="28" t="s">
        <v>27</v>
      </c>
      <c r="D3" s="28" t="s">
        <v>28</v>
      </c>
      <c r="E3" s="28" t="s">
        <v>29</v>
      </c>
      <c r="F3" s="28" t="s">
        <v>30</v>
      </c>
      <c r="G3" s="28" t="s">
        <v>26</v>
      </c>
      <c r="H3" s="28" t="s">
        <v>28</v>
      </c>
      <c r="I3" s="28" t="s">
        <v>28</v>
      </c>
      <c r="J3" s="108" t="s">
        <v>26</v>
      </c>
      <c r="K3" s="108" t="s">
        <v>30</v>
      </c>
      <c r="L3" s="28" t="s">
        <v>31</v>
      </c>
      <c r="M3" s="28" t="s">
        <v>32</v>
      </c>
      <c r="N3" s="28" t="s">
        <v>29</v>
      </c>
      <c r="O3" s="28" t="s">
        <v>26</v>
      </c>
      <c r="P3" s="28" t="s">
        <v>26</v>
      </c>
      <c r="Q3" s="28" t="s">
        <v>26</v>
      </c>
      <c r="R3" s="28" t="s">
        <v>26</v>
      </c>
      <c r="S3" s="28" t="s">
        <v>26</v>
      </c>
      <c r="T3" s="28" t="s">
        <v>26</v>
      </c>
      <c r="U3" s="28" t="s">
        <v>26</v>
      </c>
      <c r="V3" s="28" t="s">
        <v>26</v>
      </c>
      <c r="W3" s="28" t="s">
        <v>26</v>
      </c>
      <c r="X3" s="28" t="s">
        <v>26</v>
      </c>
      <c r="Y3" s="28" t="s">
        <v>26</v>
      </c>
      <c r="Z3" s="19" t="s">
        <v>26</v>
      </c>
      <c r="AA3" s="19" t="s">
        <v>26</v>
      </c>
      <c r="AB3" s="19" t="s">
        <v>26</v>
      </c>
      <c r="AC3" s="19" t="s">
        <v>26</v>
      </c>
      <c r="AD3" s="19" t="s">
        <v>26</v>
      </c>
    </row>
    <row r="4" spans="1:40" ht="15" thickBot="1" x14ac:dyDescent="0.25">
      <c r="A4" s="28"/>
      <c r="B4" s="28" t="s">
        <v>1983</v>
      </c>
      <c r="C4" s="28" t="s">
        <v>4</v>
      </c>
      <c r="D4" s="28" t="s">
        <v>33</v>
      </c>
      <c r="E4" s="28" t="s">
        <v>5</v>
      </c>
      <c r="F4" s="28"/>
      <c r="G4" s="28" t="s">
        <v>7</v>
      </c>
      <c r="H4" s="28" t="s">
        <v>34</v>
      </c>
      <c r="I4" s="28" t="s">
        <v>35</v>
      </c>
      <c r="J4" s="108" t="s">
        <v>36</v>
      </c>
      <c r="K4" s="108" t="s">
        <v>34</v>
      </c>
      <c r="L4" s="28" t="s">
        <v>10</v>
      </c>
      <c r="M4" s="28" t="s">
        <v>37</v>
      </c>
      <c r="N4" s="28" t="s">
        <v>11</v>
      </c>
      <c r="O4" s="28" t="s">
        <v>12</v>
      </c>
      <c r="P4" s="28" t="s">
        <v>13</v>
      </c>
      <c r="Q4" s="28" t="s">
        <v>14</v>
      </c>
      <c r="R4" s="28" t="s">
        <v>15</v>
      </c>
      <c r="S4" s="28" t="s">
        <v>16</v>
      </c>
      <c r="T4" s="28" t="s">
        <v>17</v>
      </c>
      <c r="U4" s="28" t="s">
        <v>38</v>
      </c>
      <c r="V4" s="28" t="s">
        <v>39</v>
      </c>
      <c r="W4" s="28" t="s">
        <v>40</v>
      </c>
      <c r="X4" s="28" t="s">
        <v>41</v>
      </c>
      <c r="Y4" s="28" t="s">
        <v>42</v>
      </c>
      <c r="Z4" s="19" t="s">
        <v>18</v>
      </c>
      <c r="AA4" s="19" t="s">
        <v>19</v>
      </c>
      <c r="AB4" s="19" t="s">
        <v>20</v>
      </c>
      <c r="AC4" s="19" t="s">
        <v>21</v>
      </c>
      <c r="AD4" s="19" t="s">
        <v>22</v>
      </c>
    </row>
    <row r="5" spans="1:40" s="14" customFormat="1" ht="43.5" thickBot="1" x14ac:dyDescent="0.25">
      <c r="A5" s="29" t="s">
        <v>43</v>
      </c>
      <c r="B5" s="169" t="s">
        <v>1985</v>
      </c>
      <c r="C5" s="29" t="s">
        <v>44</v>
      </c>
      <c r="D5" s="29" t="s">
        <v>45</v>
      </c>
      <c r="E5" s="29" t="s">
        <v>46</v>
      </c>
      <c r="F5" s="128" t="s">
        <v>1896</v>
      </c>
      <c r="G5" s="29" t="s">
        <v>47</v>
      </c>
      <c r="H5" s="29" t="s">
        <v>48</v>
      </c>
      <c r="I5" s="29" t="s">
        <v>49</v>
      </c>
      <c r="J5" s="126" t="s">
        <v>50</v>
      </c>
      <c r="K5" s="126" t="s">
        <v>51</v>
      </c>
      <c r="L5" s="29" t="s">
        <v>2</v>
      </c>
      <c r="M5" s="29" t="s">
        <v>52</v>
      </c>
      <c r="N5" s="29" t="s">
        <v>53</v>
      </c>
      <c r="O5" s="29" t="s">
        <v>54</v>
      </c>
      <c r="P5" s="29" t="s">
        <v>55</v>
      </c>
      <c r="Q5" s="29" t="s">
        <v>56</v>
      </c>
      <c r="R5" s="29" t="s">
        <v>57</v>
      </c>
      <c r="S5" s="29" t="s">
        <v>58</v>
      </c>
      <c r="T5" s="29" t="s">
        <v>59</v>
      </c>
      <c r="U5" s="111" t="s">
        <v>60</v>
      </c>
      <c r="V5" s="112" t="s">
        <v>61</v>
      </c>
      <c r="W5" s="112" t="s">
        <v>62</v>
      </c>
      <c r="X5" s="112" t="s">
        <v>63</v>
      </c>
      <c r="Y5" s="112" t="s">
        <v>64</v>
      </c>
      <c r="Z5" s="104" t="s">
        <v>1798</v>
      </c>
      <c r="AA5" s="45" t="s">
        <v>65</v>
      </c>
      <c r="AB5" s="45" t="s">
        <v>66</v>
      </c>
      <c r="AC5" s="45" t="s">
        <v>67</v>
      </c>
      <c r="AD5" s="45" t="s">
        <v>68</v>
      </c>
      <c r="AE5"/>
      <c r="AF5"/>
      <c r="AG5"/>
      <c r="AH5"/>
      <c r="AI5"/>
      <c r="AJ5"/>
      <c r="AK5"/>
      <c r="AL5"/>
      <c r="AM5"/>
      <c r="AN5"/>
    </row>
    <row r="6" spans="1:40" s="1" customFormat="1" x14ac:dyDescent="0.2">
      <c r="A6" s="3">
        <v>1058</v>
      </c>
      <c r="B6" s="3"/>
      <c r="C6" s="62" t="s">
        <v>1644</v>
      </c>
      <c r="D6" s="3">
        <v>2</v>
      </c>
      <c r="E6" s="3">
        <v>1</v>
      </c>
      <c r="F6" s="3">
        <v>105801</v>
      </c>
      <c r="G6" s="3">
        <v>2</v>
      </c>
      <c r="H6" s="3">
        <v>4</v>
      </c>
      <c r="I6" s="3">
        <v>5</v>
      </c>
      <c r="J6" s="66">
        <v>1</v>
      </c>
      <c r="K6" s="67" t="s">
        <v>901</v>
      </c>
      <c r="L6" s="62" t="s">
        <v>855</v>
      </c>
      <c r="M6" s="3"/>
      <c r="N6" s="3">
        <v>105805</v>
      </c>
      <c r="O6" s="3">
        <v>0</v>
      </c>
      <c r="P6" s="3">
        <v>0</v>
      </c>
      <c r="Q6" s="3">
        <v>0</v>
      </c>
      <c r="R6" s="3">
        <v>0</v>
      </c>
      <c r="S6" s="62">
        <f>VLOOKUP(A6,特工配置转化!A:Z,25,0)</f>
        <v>436</v>
      </c>
      <c r="T6" s="62">
        <f>VLOOKUP(A6,特工配置转化!A:Z,26,0)*10000</f>
        <v>0</v>
      </c>
      <c r="U6" s="3">
        <v>5000</v>
      </c>
      <c r="V6" s="3">
        <v>0</v>
      </c>
      <c r="W6" s="3">
        <v>0</v>
      </c>
      <c r="X6" s="3">
        <v>0</v>
      </c>
      <c r="Y6" s="3">
        <v>0</v>
      </c>
      <c r="Z6" s="62">
        <f>VLOOKUP(A6,特工配置转化!A:Z,21,0)*10000</f>
        <v>717758</v>
      </c>
      <c r="AA6" s="62">
        <f>VLOOKUP(A6,特工配置转化!A:Z,22,0)*10000</f>
        <v>90082</v>
      </c>
      <c r="AB6" s="62">
        <f>VLOOKUP(A6,特工配置转化!A:Z,23,0)*10000</f>
        <v>260051.99999999997</v>
      </c>
      <c r="AC6" s="62">
        <f>VLOOKUP(A6,特工配置转化!A:Z,24,0)*10000</f>
        <v>459509</v>
      </c>
      <c r="AD6" s="62">
        <v>0</v>
      </c>
      <c r="AE6"/>
      <c r="AF6"/>
      <c r="AG6"/>
      <c r="AH6"/>
      <c r="AI6"/>
    </row>
    <row r="7" spans="1:40" s="1" customFormat="1" x14ac:dyDescent="0.2">
      <c r="A7" s="3">
        <v>1053</v>
      </c>
      <c r="B7" s="3"/>
      <c r="C7" s="62" t="s">
        <v>1384</v>
      </c>
      <c r="D7" s="3">
        <v>1</v>
      </c>
      <c r="E7" s="3">
        <v>5</v>
      </c>
      <c r="F7" s="3">
        <v>101</v>
      </c>
      <c r="G7" s="3">
        <v>3</v>
      </c>
      <c r="H7" s="3">
        <v>4</v>
      </c>
      <c r="I7" s="3">
        <v>5</v>
      </c>
      <c r="J7" s="66">
        <v>1</v>
      </c>
      <c r="K7" s="67" t="s">
        <v>902</v>
      </c>
      <c r="L7" s="62" t="s">
        <v>852</v>
      </c>
      <c r="M7" s="3"/>
      <c r="N7" s="3">
        <v>105305</v>
      </c>
      <c r="O7" s="3">
        <v>0</v>
      </c>
      <c r="P7" s="3">
        <v>0</v>
      </c>
      <c r="Q7" s="3">
        <v>0</v>
      </c>
      <c r="R7" s="3">
        <v>0</v>
      </c>
      <c r="S7" s="62">
        <f>VLOOKUP(A7,特工配置转化!A:Z,25,0)</f>
        <v>454</v>
      </c>
      <c r="T7" s="62">
        <f>VLOOKUP(A7,特工配置转化!A:Z,26,0)*10000</f>
        <v>0</v>
      </c>
      <c r="U7" s="3">
        <v>5000</v>
      </c>
      <c r="V7" s="3">
        <v>0</v>
      </c>
      <c r="W7" s="3">
        <v>0</v>
      </c>
      <c r="X7" s="3">
        <v>0</v>
      </c>
      <c r="Y7" s="3">
        <v>0</v>
      </c>
      <c r="Z7" s="62">
        <f>VLOOKUP(A7,特工配置转化!A:Z,21,0)*10000</f>
        <v>631555</v>
      </c>
      <c r="AA7" s="62">
        <f>VLOOKUP(A7,特工配置转化!A:Z,22,0)*10000</f>
        <v>110295</v>
      </c>
      <c r="AB7" s="62">
        <f>VLOOKUP(A7,特工配置转化!A:Z,23,0)*10000</f>
        <v>279745</v>
      </c>
      <c r="AC7" s="62">
        <f>VLOOKUP(A7,特工配置转化!A:Z,24,0)*10000</f>
        <v>416805</v>
      </c>
      <c r="AD7" s="62">
        <v>0</v>
      </c>
      <c r="AE7"/>
      <c r="AF7"/>
      <c r="AG7"/>
      <c r="AH7"/>
      <c r="AI7"/>
    </row>
    <row r="8" spans="1:40" s="1" customFormat="1" x14ac:dyDescent="0.2">
      <c r="A8" s="3">
        <v>1060</v>
      </c>
      <c r="B8" s="3"/>
      <c r="C8" s="62" t="s">
        <v>1723</v>
      </c>
      <c r="D8" s="3">
        <v>2</v>
      </c>
      <c r="E8" s="3">
        <v>4</v>
      </c>
      <c r="F8" s="3">
        <v>106001</v>
      </c>
      <c r="G8" s="3">
        <v>5</v>
      </c>
      <c r="H8" s="3">
        <v>4</v>
      </c>
      <c r="I8" s="3">
        <v>5</v>
      </c>
      <c r="J8" s="66">
        <v>1</v>
      </c>
      <c r="K8" s="67" t="s">
        <v>904</v>
      </c>
      <c r="L8" s="62" t="s">
        <v>857</v>
      </c>
      <c r="M8" s="3"/>
      <c r="N8" s="3">
        <v>106005</v>
      </c>
      <c r="O8" s="3">
        <v>0</v>
      </c>
      <c r="P8" s="3">
        <v>0</v>
      </c>
      <c r="Q8" s="3">
        <v>0</v>
      </c>
      <c r="R8" s="3">
        <v>0</v>
      </c>
      <c r="S8" s="62">
        <f>VLOOKUP(A8,特工配置转化!A:Z,25,0)</f>
        <v>572</v>
      </c>
      <c r="T8" s="62">
        <f>VLOOKUP(A8,特工配置转化!A:Z,26,0)*10000</f>
        <v>0</v>
      </c>
      <c r="U8" s="3">
        <v>5000</v>
      </c>
      <c r="V8" s="3">
        <v>0</v>
      </c>
      <c r="W8" s="3">
        <v>0</v>
      </c>
      <c r="X8" s="3">
        <v>0</v>
      </c>
      <c r="Y8" s="3">
        <v>0</v>
      </c>
      <c r="Z8" s="62">
        <f>VLOOKUP(A8,特工配置转化!A:Z,21,0)*10000</f>
        <v>612679</v>
      </c>
      <c r="AA8" s="62">
        <f>VLOOKUP(A8,特工配置转化!A:Z,22,0)*10000</f>
        <v>114911</v>
      </c>
      <c r="AB8" s="62">
        <f>VLOOKUP(A8,特工配置转化!A:Z,23,0)*10000</f>
        <v>437832</v>
      </c>
      <c r="AC8" s="62">
        <f>VLOOKUP(A8,特工配置转化!A:Z,24,0)*10000</f>
        <v>252622</v>
      </c>
      <c r="AD8" s="62">
        <v>0</v>
      </c>
      <c r="AE8"/>
      <c r="AF8"/>
      <c r="AG8"/>
      <c r="AH8"/>
      <c r="AI8"/>
    </row>
    <row r="9" spans="1:40" s="1" customFormat="1" x14ac:dyDescent="0.2">
      <c r="A9" s="3">
        <v>1059</v>
      </c>
      <c r="B9" s="3"/>
      <c r="C9" s="62" t="s">
        <v>1724</v>
      </c>
      <c r="D9" s="3">
        <v>2</v>
      </c>
      <c r="E9" s="3">
        <v>3</v>
      </c>
      <c r="F9" s="3">
        <v>105901</v>
      </c>
      <c r="G9" s="3">
        <v>1</v>
      </c>
      <c r="H9" s="3">
        <v>4</v>
      </c>
      <c r="I9" s="3">
        <v>5</v>
      </c>
      <c r="J9" s="66">
        <v>1</v>
      </c>
      <c r="K9" s="67" t="s">
        <v>903</v>
      </c>
      <c r="L9" s="62" t="s">
        <v>856</v>
      </c>
      <c r="M9" s="3"/>
      <c r="N9" s="3">
        <v>105905</v>
      </c>
      <c r="O9" s="3">
        <v>0</v>
      </c>
      <c r="P9" s="3">
        <v>0</v>
      </c>
      <c r="Q9" s="3">
        <v>0</v>
      </c>
      <c r="R9" s="3">
        <v>0</v>
      </c>
      <c r="S9" s="62">
        <f>VLOOKUP(A9,特工配置转化!A:Z,25,0)</f>
        <v>475</v>
      </c>
      <c r="T9" s="62">
        <f>VLOOKUP(A9,特工配置转化!A:Z,26,0)*10000</f>
        <v>500</v>
      </c>
      <c r="U9" s="3">
        <v>5000</v>
      </c>
      <c r="V9" s="3">
        <v>0</v>
      </c>
      <c r="W9" s="3">
        <v>0</v>
      </c>
      <c r="X9" s="3">
        <v>0</v>
      </c>
      <c r="Y9" s="3">
        <v>0</v>
      </c>
      <c r="Z9" s="62">
        <f>VLOOKUP(A9,特工配置转化!A:Z,21,0)*10000</f>
        <v>443159</v>
      </c>
      <c r="AA9" s="62">
        <f>VLOOKUP(A9,特工配置转化!A:Z,22,0)*10000</f>
        <v>159954</v>
      </c>
      <c r="AB9" s="62">
        <f>VLOOKUP(A9,特工配置转化!A:Z,23,0)*10000</f>
        <v>383694</v>
      </c>
      <c r="AC9" s="62">
        <f>VLOOKUP(A9,特工配置转化!A:Z,24,0)*10000</f>
        <v>233145</v>
      </c>
      <c r="AD9" s="62">
        <v>0</v>
      </c>
      <c r="AE9"/>
      <c r="AF9"/>
      <c r="AG9"/>
      <c r="AH9"/>
      <c r="AI9"/>
    </row>
    <row r="10" spans="1:40" s="1" customFormat="1" x14ac:dyDescent="0.2">
      <c r="A10" s="3">
        <v>1057</v>
      </c>
      <c r="B10" s="3"/>
      <c r="C10" s="3" t="s">
        <v>1385</v>
      </c>
      <c r="D10" s="3">
        <v>2</v>
      </c>
      <c r="E10" s="3">
        <v>2</v>
      </c>
      <c r="F10" s="3">
        <v>101</v>
      </c>
      <c r="G10" s="3">
        <v>4</v>
      </c>
      <c r="H10" s="3">
        <v>4</v>
      </c>
      <c r="I10" s="3">
        <v>5</v>
      </c>
      <c r="J10" s="66">
        <v>1</v>
      </c>
      <c r="K10" s="67" t="s">
        <v>903</v>
      </c>
      <c r="L10" s="62" t="s">
        <v>854</v>
      </c>
      <c r="M10" s="3"/>
      <c r="N10" s="3">
        <v>105705</v>
      </c>
      <c r="O10" s="3">
        <v>0</v>
      </c>
      <c r="P10" s="3">
        <v>0</v>
      </c>
      <c r="Q10" s="3">
        <v>0</v>
      </c>
      <c r="R10" s="3">
        <v>0</v>
      </c>
      <c r="S10" s="62">
        <f>VLOOKUP(A10,特工配置转化!A:Z,25,0)</f>
        <v>520</v>
      </c>
      <c r="T10" s="62">
        <f>VLOOKUP(A10,特工配置转化!A:Z,26,0)*10000</f>
        <v>500</v>
      </c>
      <c r="U10" s="3">
        <v>5000</v>
      </c>
      <c r="V10" s="3">
        <v>0</v>
      </c>
      <c r="W10" s="3">
        <v>0</v>
      </c>
      <c r="X10" s="3">
        <v>0</v>
      </c>
      <c r="Y10" s="3">
        <v>0</v>
      </c>
      <c r="Z10" s="62">
        <f>VLOOKUP(A10,特工配置转化!A:Z,21,0)*10000</f>
        <v>466543</v>
      </c>
      <c r="AA10" s="62">
        <f>VLOOKUP(A10,特工配置转化!A:Z,22,0)*10000</f>
        <v>151687</v>
      </c>
      <c r="AB10" s="62">
        <f>VLOOKUP(A10,特工配置转化!A:Z,23,0)*10000</f>
        <v>240070</v>
      </c>
      <c r="AC10" s="62">
        <f>VLOOKUP(A10,特工配置转化!A:Z,24,0)*10000</f>
        <v>398107</v>
      </c>
      <c r="AD10" s="62">
        <v>0</v>
      </c>
      <c r="AE10"/>
      <c r="AF10"/>
      <c r="AG10"/>
      <c r="AH10"/>
      <c r="AI10"/>
    </row>
    <row r="11" spans="1:40" s="1" customFormat="1" x14ac:dyDescent="0.2">
      <c r="A11" s="3">
        <v>1055</v>
      </c>
      <c r="B11" s="3"/>
      <c r="C11" s="62" t="s">
        <v>1917</v>
      </c>
      <c r="D11" s="3">
        <v>2</v>
      </c>
      <c r="E11" s="3">
        <v>3</v>
      </c>
      <c r="F11" s="3">
        <v>105501</v>
      </c>
      <c r="G11" s="3">
        <v>4</v>
      </c>
      <c r="H11" s="3">
        <v>4</v>
      </c>
      <c r="I11" s="3">
        <v>5</v>
      </c>
      <c r="J11" s="66">
        <v>1</v>
      </c>
      <c r="K11" s="67" t="s">
        <v>910</v>
      </c>
      <c r="L11" s="62" t="s">
        <v>853</v>
      </c>
      <c r="M11" s="3"/>
      <c r="N11" s="3">
        <v>105505</v>
      </c>
      <c r="O11" s="3">
        <v>0</v>
      </c>
      <c r="P11" s="3">
        <v>0</v>
      </c>
      <c r="Q11" s="3">
        <v>0</v>
      </c>
      <c r="R11" s="3">
        <v>0</v>
      </c>
      <c r="S11" s="62">
        <f>VLOOKUP(A11,特工配置转化!A:Z,25,0)</f>
        <v>495</v>
      </c>
      <c r="T11" s="62">
        <f>VLOOKUP(A11,特工配置转化!A:Z,26,0)*10000</f>
        <v>500</v>
      </c>
      <c r="U11" s="3">
        <v>5000</v>
      </c>
      <c r="V11" s="3">
        <v>0</v>
      </c>
      <c r="W11" s="3">
        <v>0</v>
      </c>
      <c r="X11" s="3">
        <v>0</v>
      </c>
      <c r="Y11" s="3">
        <v>0</v>
      </c>
      <c r="Z11" s="62">
        <f>VLOOKUP(A11,特工配置转化!A:Z,21,0)*10000</f>
        <v>487643</v>
      </c>
      <c r="AA11" s="62">
        <f>VLOOKUP(A11,特工配置转化!A:Z,22,0)*10000</f>
        <v>148334</v>
      </c>
      <c r="AB11" s="62">
        <f>VLOOKUP(A11,特工配置转化!A:Z,23,0)*10000</f>
        <v>237762</v>
      </c>
      <c r="AC11" s="62">
        <f>VLOOKUP(A11,特工配置转化!A:Z,24,0)*10000</f>
        <v>397328</v>
      </c>
      <c r="AD11" s="62">
        <v>0</v>
      </c>
      <c r="AE11"/>
      <c r="AF11"/>
      <c r="AG11"/>
      <c r="AH11"/>
      <c r="AI11"/>
    </row>
    <row r="12" spans="1:40" s="1" customFormat="1" x14ac:dyDescent="0.2">
      <c r="A12" s="3">
        <v>1056</v>
      </c>
      <c r="B12" s="3"/>
      <c r="C12" s="62" t="s">
        <v>1920</v>
      </c>
      <c r="D12" s="3">
        <v>1</v>
      </c>
      <c r="E12" s="3">
        <v>2</v>
      </c>
      <c r="F12" s="3">
        <v>105601</v>
      </c>
      <c r="G12" s="3">
        <v>1</v>
      </c>
      <c r="H12" s="3">
        <v>4</v>
      </c>
      <c r="I12" s="3">
        <v>5</v>
      </c>
      <c r="J12" s="66">
        <v>1</v>
      </c>
      <c r="K12" s="67" t="s">
        <v>903</v>
      </c>
      <c r="L12" s="62" t="s">
        <v>1921</v>
      </c>
      <c r="M12" s="3"/>
      <c r="N12" s="3">
        <v>105605</v>
      </c>
      <c r="O12" s="3">
        <v>0</v>
      </c>
      <c r="P12" s="3">
        <v>0</v>
      </c>
      <c r="Q12" s="3">
        <v>0</v>
      </c>
      <c r="R12" s="3">
        <v>0</v>
      </c>
      <c r="S12" s="62">
        <f>VLOOKUP(A12,特工配置转化!A:Z,25,0)</f>
        <v>510</v>
      </c>
      <c r="T12" s="62">
        <f>VLOOKUP(A12,特工配置转化!A:Z,26,0)*10000</f>
        <v>500</v>
      </c>
      <c r="U12" s="3">
        <v>5000</v>
      </c>
      <c r="V12" s="3">
        <v>0</v>
      </c>
      <c r="W12" s="3">
        <v>0</v>
      </c>
      <c r="X12" s="3">
        <v>0</v>
      </c>
      <c r="Y12" s="3">
        <v>0</v>
      </c>
      <c r="Z12" s="62">
        <f>VLOOKUP(A12,特工配置转化!A:Z,21,0)*10000</f>
        <v>466002</v>
      </c>
      <c r="AA12" s="62">
        <f>VLOOKUP(A12,特工配置转化!A:Z,22,0)*10000</f>
        <v>153998</v>
      </c>
      <c r="AB12" s="62">
        <f>VLOOKUP(A12,特工配置转化!A:Z,23,0)*10000</f>
        <v>394212</v>
      </c>
      <c r="AC12" s="62">
        <f>VLOOKUP(A12,特工配置转化!A:Z,24,0)*10000</f>
        <v>231991</v>
      </c>
      <c r="AD12" s="62">
        <v>0</v>
      </c>
      <c r="AE12"/>
      <c r="AF12"/>
      <c r="AG12"/>
      <c r="AH12"/>
      <c r="AI12"/>
    </row>
    <row r="13" spans="1:40" s="8" customFormat="1" x14ac:dyDescent="0.2">
      <c r="A13" s="62">
        <v>1008</v>
      </c>
      <c r="B13" s="62"/>
      <c r="C13" s="62" t="s">
        <v>1415</v>
      </c>
      <c r="D13" s="62">
        <v>1</v>
      </c>
      <c r="E13" s="3">
        <v>3</v>
      </c>
      <c r="F13" s="62">
        <v>100801</v>
      </c>
      <c r="G13" s="62">
        <v>2</v>
      </c>
      <c r="H13" s="62">
        <v>6</v>
      </c>
      <c r="I13" s="62">
        <v>5</v>
      </c>
      <c r="J13" s="67">
        <v>2</v>
      </c>
      <c r="K13" s="67" t="s">
        <v>901</v>
      </c>
      <c r="L13" s="62" t="s">
        <v>72</v>
      </c>
      <c r="M13" s="62"/>
      <c r="N13" s="62">
        <v>100805</v>
      </c>
      <c r="O13" s="62">
        <v>0</v>
      </c>
      <c r="P13" s="62">
        <v>0</v>
      </c>
      <c r="Q13" s="62">
        <v>0</v>
      </c>
      <c r="R13" s="62">
        <v>0</v>
      </c>
      <c r="S13" s="62">
        <f>VLOOKUP(A13,特工配置转化!A:Z,25,0)</f>
        <v>463</v>
      </c>
      <c r="T13" s="62">
        <f>VLOOKUP(A13,特工配置转化!A:Z,26,0)*10000</f>
        <v>0</v>
      </c>
      <c r="U13" s="3">
        <v>5000</v>
      </c>
      <c r="V13" s="3">
        <v>0</v>
      </c>
      <c r="W13" s="3">
        <v>0</v>
      </c>
      <c r="X13" s="3">
        <v>0</v>
      </c>
      <c r="Y13" s="3">
        <v>0</v>
      </c>
      <c r="Z13" s="62">
        <f>VLOOKUP(A13,特工配置转化!A:Z,21,0)*10000</f>
        <v>810783</v>
      </c>
      <c r="AA13" s="62">
        <f>VLOOKUP(A13,特工配置转化!A:Z,22,0)*10000</f>
        <v>96359.999999999985</v>
      </c>
      <c r="AB13" s="62">
        <f>VLOOKUP(A13,特工配置转化!A:Z,23,0)*10000</f>
        <v>544266</v>
      </c>
      <c r="AC13" s="62">
        <f>VLOOKUP(A13,特工配置转化!A:Z,24,0)*10000</f>
        <v>303057</v>
      </c>
      <c r="AD13" s="62">
        <v>0</v>
      </c>
    </row>
    <row r="14" spans="1:40" s="1" customFormat="1" x14ac:dyDescent="0.2">
      <c r="A14" s="3">
        <v>1018</v>
      </c>
      <c r="B14" s="3"/>
      <c r="C14" s="62" t="s">
        <v>1426</v>
      </c>
      <c r="D14" s="3">
        <v>2</v>
      </c>
      <c r="E14" s="66">
        <v>2</v>
      </c>
      <c r="F14" s="3">
        <v>101801</v>
      </c>
      <c r="G14" s="66">
        <v>2</v>
      </c>
      <c r="H14" s="3">
        <v>3</v>
      </c>
      <c r="I14" s="3">
        <v>5</v>
      </c>
      <c r="J14" s="66">
        <v>2</v>
      </c>
      <c r="K14" s="67" t="s">
        <v>905</v>
      </c>
      <c r="L14" s="62" t="s">
        <v>1867</v>
      </c>
      <c r="M14" s="3"/>
      <c r="N14" s="3">
        <v>101805</v>
      </c>
      <c r="O14" s="3">
        <v>0</v>
      </c>
      <c r="P14" s="3">
        <v>0</v>
      </c>
      <c r="Q14" s="3">
        <v>0</v>
      </c>
      <c r="R14" s="3">
        <v>0</v>
      </c>
      <c r="S14" s="62">
        <f>VLOOKUP(A14,特工配置转化!A:Z,25,0)</f>
        <v>450</v>
      </c>
      <c r="T14" s="62">
        <f>VLOOKUP(A14,特工配置转化!A:Z,26,0)*10000</f>
        <v>0</v>
      </c>
      <c r="U14" s="3">
        <v>5000</v>
      </c>
      <c r="V14" s="3">
        <v>0</v>
      </c>
      <c r="W14" s="3">
        <v>0</v>
      </c>
      <c r="X14" s="3">
        <v>0</v>
      </c>
      <c r="Y14" s="3">
        <v>0</v>
      </c>
      <c r="Z14" s="62">
        <f>VLOOKUP(A14,特工配置转化!A:Z,21,0)*10000</f>
        <v>824671</v>
      </c>
      <c r="AA14" s="62">
        <f>VLOOKUP(A14,特工配置转化!A:Z,22,0)*10000</f>
        <v>101912</v>
      </c>
      <c r="AB14" s="62">
        <f>VLOOKUP(A14,特工配置转化!A:Z,23,0)*10000</f>
        <v>283059</v>
      </c>
      <c r="AC14" s="62">
        <f>VLOOKUP(A14,特工配置转化!A:Z,24,0)*10000</f>
        <v>520372</v>
      </c>
      <c r="AD14" s="62">
        <v>0</v>
      </c>
      <c r="AE14"/>
      <c r="AF14"/>
      <c r="AG14"/>
      <c r="AH14"/>
      <c r="AI14"/>
    </row>
    <row r="15" spans="1:40" s="1" customFormat="1" x14ac:dyDescent="0.2">
      <c r="A15" s="3">
        <v>1029</v>
      </c>
      <c r="B15" s="3"/>
      <c r="C15" s="62" t="s">
        <v>1416</v>
      </c>
      <c r="D15" s="3">
        <v>1</v>
      </c>
      <c r="E15" s="3">
        <v>1</v>
      </c>
      <c r="F15" s="3">
        <v>102901</v>
      </c>
      <c r="G15" s="3">
        <v>2</v>
      </c>
      <c r="H15" s="3">
        <v>4</v>
      </c>
      <c r="I15" s="3">
        <v>5</v>
      </c>
      <c r="J15" s="66">
        <v>2</v>
      </c>
      <c r="K15" s="67" t="s">
        <v>901</v>
      </c>
      <c r="L15" s="62" t="s">
        <v>939</v>
      </c>
      <c r="M15" s="3"/>
      <c r="N15" s="3">
        <v>102905</v>
      </c>
      <c r="O15" s="3">
        <v>0</v>
      </c>
      <c r="P15" s="3">
        <v>0</v>
      </c>
      <c r="Q15" s="3">
        <v>0</v>
      </c>
      <c r="R15" s="3">
        <v>0</v>
      </c>
      <c r="S15" s="62">
        <f>VLOOKUP(A15,特工配置转化!A:Z,25,0)</f>
        <v>427</v>
      </c>
      <c r="T15" s="62">
        <f>VLOOKUP(A15,特工配置转化!A:Z,26,0)*10000</f>
        <v>0</v>
      </c>
      <c r="U15" s="3">
        <v>5000</v>
      </c>
      <c r="V15" s="3">
        <v>0</v>
      </c>
      <c r="W15" s="3">
        <v>0</v>
      </c>
      <c r="X15" s="3">
        <v>0</v>
      </c>
      <c r="Y15" s="3">
        <v>0</v>
      </c>
      <c r="Z15" s="62">
        <f>VLOOKUP(A15,特工配置转化!A:Z,21,0)*10000</f>
        <v>806699</v>
      </c>
      <c r="AA15" s="62">
        <f>VLOOKUP(A15,特工配置转化!A:Z,22,0)*10000</f>
        <v>105300.99999999999</v>
      </c>
      <c r="AB15" s="62">
        <f>VLOOKUP(A15,特工配置转化!A:Z,23,0)*10000</f>
        <v>515062</v>
      </c>
      <c r="AC15" s="62">
        <f>VLOOKUP(A15,特工配置转化!A:Z,24,0)*10000</f>
        <v>288206</v>
      </c>
      <c r="AD15" s="62">
        <v>0</v>
      </c>
      <c r="AE15"/>
      <c r="AF15"/>
      <c r="AG15"/>
      <c r="AH15"/>
      <c r="AI15"/>
    </row>
    <row r="16" spans="1:40" s="1" customFormat="1" x14ac:dyDescent="0.2">
      <c r="A16" s="3">
        <v>1002</v>
      </c>
      <c r="B16" s="3"/>
      <c r="C16" s="62" t="s">
        <v>1600</v>
      </c>
      <c r="D16" s="3">
        <v>2</v>
      </c>
      <c r="E16" s="66">
        <v>4</v>
      </c>
      <c r="F16" s="3">
        <v>100201</v>
      </c>
      <c r="G16" s="66">
        <v>2</v>
      </c>
      <c r="H16" s="3">
        <v>1</v>
      </c>
      <c r="I16" s="3">
        <v>5</v>
      </c>
      <c r="J16" s="66">
        <v>2</v>
      </c>
      <c r="K16" s="67" t="s">
        <v>906</v>
      </c>
      <c r="L16" s="62" t="s">
        <v>859</v>
      </c>
      <c r="M16" s="3"/>
      <c r="N16" s="3">
        <v>100205</v>
      </c>
      <c r="O16" s="3">
        <v>0</v>
      </c>
      <c r="P16" s="3">
        <v>0</v>
      </c>
      <c r="Q16" s="3">
        <v>0</v>
      </c>
      <c r="R16" s="3">
        <v>0</v>
      </c>
      <c r="S16" s="62">
        <f>VLOOKUP(A16,特工配置转化!A:Z,25,0)</f>
        <v>470</v>
      </c>
      <c r="T16" s="62">
        <f>VLOOKUP(A16,特工配置转化!A:Z,26,0)*10000</f>
        <v>0</v>
      </c>
      <c r="U16" s="3">
        <v>5000</v>
      </c>
      <c r="V16" s="3">
        <v>0</v>
      </c>
      <c r="W16" s="3">
        <v>0</v>
      </c>
      <c r="X16" s="3">
        <v>0</v>
      </c>
      <c r="Y16" s="3">
        <v>0</v>
      </c>
      <c r="Z16" s="62">
        <f>VLOOKUP(A16,特工配置转化!A:Z,21,0)*10000</f>
        <v>820995.00000000012</v>
      </c>
      <c r="AA16" s="62">
        <f>VLOOKUP(A16,特工配置转化!A:Z,22,0)*10000</f>
        <v>100803</v>
      </c>
      <c r="AB16" s="62">
        <f>VLOOKUP(A16,特工配置转化!A:Z,23,0)*10000</f>
        <v>271623</v>
      </c>
      <c r="AC16" s="62">
        <f>VLOOKUP(A16,特工配置转化!A:Z,24,0)*10000</f>
        <v>541611</v>
      </c>
      <c r="AD16" s="62">
        <v>0</v>
      </c>
      <c r="AE16"/>
      <c r="AF16"/>
      <c r="AG16"/>
      <c r="AH16"/>
      <c r="AI16"/>
    </row>
    <row r="17" spans="1:41" s="1" customFormat="1" ht="15" thickBot="1" x14ac:dyDescent="0.25">
      <c r="A17" s="3">
        <v>1013</v>
      </c>
      <c r="B17" s="3"/>
      <c r="C17" s="62" t="s">
        <v>1425</v>
      </c>
      <c r="D17" s="3">
        <v>2</v>
      </c>
      <c r="E17" s="66">
        <v>3</v>
      </c>
      <c r="F17" s="3">
        <v>101301</v>
      </c>
      <c r="G17" s="66">
        <v>3</v>
      </c>
      <c r="H17" s="3">
        <v>3</v>
      </c>
      <c r="I17" s="3">
        <v>2</v>
      </c>
      <c r="J17" s="66">
        <v>2</v>
      </c>
      <c r="K17" s="67" t="s">
        <v>907</v>
      </c>
      <c r="L17" s="62" t="s">
        <v>860</v>
      </c>
      <c r="M17" s="3"/>
      <c r="N17" s="3">
        <v>101305</v>
      </c>
      <c r="O17" s="3">
        <v>0</v>
      </c>
      <c r="P17" s="3">
        <v>0</v>
      </c>
      <c r="Q17" s="3">
        <v>0</v>
      </c>
      <c r="R17" s="3">
        <v>0</v>
      </c>
      <c r="S17" s="62">
        <f>VLOOKUP(A17,特工配置转化!A:Z,25,0)</f>
        <v>472</v>
      </c>
      <c r="T17" s="62">
        <f>VLOOKUP(A17,特工配置转化!A:Z,26,0)*10000</f>
        <v>0</v>
      </c>
      <c r="U17" s="3">
        <v>5000</v>
      </c>
      <c r="V17" s="3">
        <v>0</v>
      </c>
      <c r="W17" s="3">
        <v>0</v>
      </c>
      <c r="X17" s="3">
        <v>0</v>
      </c>
      <c r="Y17" s="3">
        <v>0</v>
      </c>
      <c r="Z17" s="62">
        <f>VLOOKUP(A17,特工配置转化!A:Z,21,0)*10000</f>
        <v>680485.99999999988</v>
      </c>
      <c r="AA17" s="62">
        <f>VLOOKUP(A17,特工配置转化!A:Z,22,0)*10000</f>
        <v>126016</v>
      </c>
      <c r="AB17" s="62">
        <f>VLOOKUP(A17,特工配置转化!A:Z,23,0)*10000</f>
        <v>337220</v>
      </c>
      <c r="AC17" s="62">
        <f>VLOOKUP(A17,特工配置转化!A:Z,24,0)*10000</f>
        <v>480343</v>
      </c>
      <c r="AD17" s="62">
        <v>0</v>
      </c>
      <c r="AE17"/>
      <c r="AF17"/>
      <c r="AG17"/>
      <c r="AH17"/>
      <c r="AI17"/>
    </row>
    <row r="18" spans="1:41" s="15" customFormat="1" x14ac:dyDescent="0.2">
      <c r="A18" s="62">
        <v>1007</v>
      </c>
      <c r="B18" s="62"/>
      <c r="C18" s="62" t="s">
        <v>1417</v>
      </c>
      <c r="D18" s="62">
        <v>2</v>
      </c>
      <c r="E18" s="3">
        <v>2</v>
      </c>
      <c r="F18" s="62">
        <v>100701</v>
      </c>
      <c r="G18" s="62">
        <v>3</v>
      </c>
      <c r="H18" s="62">
        <v>6</v>
      </c>
      <c r="I18" s="62">
        <v>5</v>
      </c>
      <c r="J18" s="67">
        <v>2</v>
      </c>
      <c r="K18" s="67" t="s">
        <v>907</v>
      </c>
      <c r="L18" s="62" t="s">
        <v>861</v>
      </c>
      <c r="M18" s="62"/>
      <c r="N18" s="62">
        <v>100705</v>
      </c>
      <c r="O18" s="62">
        <v>0</v>
      </c>
      <c r="P18" s="62">
        <v>0</v>
      </c>
      <c r="Q18" s="62">
        <v>0</v>
      </c>
      <c r="R18" s="62">
        <v>0</v>
      </c>
      <c r="S18" s="62">
        <f>VLOOKUP(A18,特工配置转化!A:Z,25,0)</f>
        <v>427</v>
      </c>
      <c r="T18" s="62">
        <f>VLOOKUP(A18,特工配置转化!A:Z,26,0)*10000</f>
        <v>0</v>
      </c>
      <c r="U18" s="3">
        <v>5000</v>
      </c>
      <c r="V18" s="3">
        <v>0</v>
      </c>
      <c r="W18" s="3">
        <v>0</v>
      </c>
      <c r="X18" s="3">
        <v>0</v>
      </c>
      <c r="Y18" s="3">
        <v>0</v>
      </c>
      <c r="Z18" s="62">
        <f>VLOOKUP(A18,特工配置转化!A:Z,21,0)*10000</f>
        <v>687430</v>
      </c>
      <c r="AA18" s="62">
        <f>VLOOKUP(A18,特工配置转化!A:Z,22,0)*10000</f>
        <v>126572</v>
      </c>
      <c r="AB18" s="62">
        <f>VLOOKUP(A18,特工配置转化!A:Z,23,0)*10000</f>
        <v>479853</v>
      </c>
      <c r="AC18" s="62">
        <f>VLOOKUP(A18,特工配置转化!A:Z,24,0)*10000</f>
        <v>327744</v>
      </c>
      <c r="AD18" s="62"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s="1" customFormat="1" x14ac:dyDescent="0.2">
      <c r="A19" s="3">
        <v>1044</v>
      </c>
      <c r="B19" s="3"/>
      <c r="C19" s="3" t="s">
        <v>1386</v>
      </c>
      <c r="D19" s="3">
        <v>2</v>
      </c>
      <c r="E19" s="66">
        <v>4</v>
      </c>
      <c r="F19" s="3">
        <v>101</v>
      </c>
      <c r="G19" s="66">
        <v>3</v>
      </c>
      <c r="H19" s="3">
        <v>3</v>
      </c>
      <c r="I19" s="3">
        <v>5</v>
      </c>
      <c r="J19" s="66">
        <v>2</v>
      </c>
      <c r="K19" s="67" t="s">
        <v>907</v>
      </c>
      <c r="L19" s="62" t="s">
        <v>863</v>
      </c>
      <c r="M19" s="3"/>
      <c r="N19" s="3">
        <v>104405</v>
      </c>
      <c r="O19" s="3">
        <v>0</v>
      </c>
      <c r="P19" s="3">
        <v>0</v>
      </c>
      <c r="Q19" s="3">
        <v>0</v>
      </c>
      <c r="R19" s="3">
        <v>0</v>
      </c>
      <c r="S19" s="62">
        <f>VLOOKUP(A19,特工配置转化!A:Z,25,0)</f>
        <v>436</v>
      </c>
      <c r="T19" s="62">
        <f>VLOOKUP(A19,特工配置转化!A:Z,26,0)*10000</f>
        <v>0</v>
      </c>
      <c r="U19" s="3">
        <v>5000</v>
      </c>
      <c r="V19" s="3">
        <v>0</v>
      </c>
      <c r="W19" s="3">
        <v>0</v>
      </c>
      <c r="X19" s="3">
        <v>0</v>
      </c>
      <c r="Y19" s="3">
        <v>0</v>
      </c>
      <c r="Z19" s="62">
        <f>VLOOKUP(A19,特工配置转化!A:Z,21,0)*10000</f>
        <v>686041</v>
      </c>
      <c r="AA19" s="62">
        <f>VLOOKUP(A19,特工配置转化!A:Z,22,0)*10000</f>
        <v>124163</v>
      </c>
      <c r="AB19" s="62">
        <f>VLOOKUP(A19,特工配置转化!A:Z,23,0)*10000</f>
        <v>488430.00000000006</v>
      </c>
      <c r="AC19" s="62">
        <f>VLOOKUP(A19,特工配置转化!A:Z,24,0)*10000</f>
        <v>333626</v>
      </c>
      <c r="AD19" s="62">
        <v>0</v>
      </c>
      <c r="AE19"/>
      <c r="AF19"/>
      <c r="AG19"/>
      <c r="AH19"/>
      <c r="AI19"/>
    </row>
    <row r="20" spans="1:41" s="1" customFormat="1" x14ac:dyDescent="0.2">
      <c r="A20" s="3">
        <v>1048</v>
      </c>
      <c r="B20" s="3"/>
      <c r="C20" s="62" t="s">
        <v>1387</v>
      </c>
      <c r="D20" s="3">
        <v>2</v>
      </c>
      <c r="E20" s="66">
        <v>2</v>
      </c>
      <c r="F20" s="3">
        <v>101</v>
      </c>
      <c r="G20" s="66">
        <v>5</v>
      </c>
      <c r="H20" s="3">
        <v>4</v>
      </c>
      <c r="I20" s="3">
        <v>5</v>
      </c>
      <c r="J20" s="66">
        <v>2</v>
      </c>
      <c r="K20" s="67" t="s">
        <v>1794</v>
      </c>
      <c r="L20" s="62" t="s">
        <v>862</v>
      </c>
      <c r="M20" s="3"/>
      <c r="N20" s="3">
        <v>104805</v>
      </c>
      <c r="O20" s="3">
        <v>0</v>
      </c>
      <c r="P20" s="3">
        <v>0</v>
      </c>
      <c r="Q20" s="3">
        <v>0</v>
      </c>
      <c r="R20" s="3">
        <v>0</v>
      </c>
      <c r="S20" s="62">
        <f>VLOOKUP(A20,特工配置转化!A:Z,25,0)</f>
        <v>533</v>
      </c>
      <c r="T20" s="62">
        <f>VLOOKUP(A20,特工配置转化!A:Z,26,0)*10000</f>
        <v>0</v>
      </c>
      <c r="U20" s="3">
        <v>5000</v>
      </c>
      <c r="V20" s="3">
        <v>0</v>
      </c>
      <c r="W20" s="3">
        <v>0</v>
      </c>
      <c r="X20" s="3">
        <v>0</v>
      </c>
      <c r="Y20" s="3">
        <v>0</v>
      </c>
      <c r="Z20" s="62">
        <f>VLOOKUP(A20,特工配置转化!A:Z,21,0)*10000</f>
        <v>723210</v>
      </c>
      <c r="AA20" s="62">
        <f>VLOOKUP(A20,特工配置转化!A:Z,22,0)*10000</f>
        <v>123444</v>
      </c>
      <c r="AB20" s="62">
        <f>VLOOKUP(A20,特工配置转化!A:Z,23,0)*10000</f>
        <v>285526</v>
      </c>
      <c r="AC20" s="62">
        <f>VLOOKUP(A20,特工配置转化!A:Z,24,0)*10000</f>
        <v>503298</v>
      </c>
      <c r="AD20" s="62">
        <v>0</v>
      </c>
      <c r="AE20"/>
      <c r="AF20"/>
      <c r="AG20"/>
      <c r="AH20"/>
      <c r="AI20"/>
    </row>
    <row r="21" spans="1:41" s="1" customFormat="1" x14ac:dyDescent="0.2">
      <c r="A21" s="3">
        <v>1036</v>
      </c>
      <c r="B21" s="3"/>
      <c r="C21" s="62" t="s">
        <v>1863</v>
      </c>
      <c r="D21" s="3">
        <v>2</v>
      </c>
      <c r="E21" s="66">
        <v>3</v>
      </c>
      <c r="F21" s="3">
        <v>103601</v>
      </c>
      <c r="G21" s="66">
        <v>5</v>
      </c>
      <c r="H21" s="3">
        <v>4</v>
      </c>
      <c r="I21" s="3">
        <v>5</v>
      </c>
      <c r="J21" s="66">
        <v>2</v>
      </c>
      <c r="K21" s="67" t="s">
        <v>911</v>
      </c>
      <c r="L21" s="62" t="s">
        <v>868</v>
      </c>
      <c r="M21" s="3"/>
      <c r="N21" s="3">
        <v>103605</v>
      </c>
      <c r="O21" s="3">
        <v>0</v>
      </c>
      <c r="P21" s="3">
        <v>0</v>
      </c>
      <c r="Q21" s="3">
        <v>0</v>
      </c>
      <c r="R21" s="3">
        <v>0</v>
      </c>
      <c r="S21" s="62">
        <f>VLOOKUP(A21,特工配置转化!A:Z,25,0)</f>
        <v>566</v>
      </c>
      <c r="T21" s="62">
        <f>VLOOKUP(A21,特工配置转化!A:Z,26,0)*10000</f>
        <v>0</v>
      </c>
      <c r="U21" s="3">
        <v>5000</v>
      </c>
      <c r="V21" s="3">
        <v>0</v>
      </c>
      <c r="W21" s="3">
        <v>0</v>
      </c>
      <c r="X21" s="3">
        <v>0</v>
      </c>
      <c r="Y21" s="3">
        <v>0</v>
      </c>
      <c r="Z21" s="62">
        <f>VLOOKUP(A21,特工配置转化!A:Z,21,0)*10000</f>
        <v>709405</v>
      </c>
      <c r="AA21" s="62">
        <f>VLOOKUP(A21,特工配置转化!A:Z,22,0)*10000</f>
        <v>129166.00000000001</v>
      </c>
      <c r="AB21" s="62">
        <f>VLOOKUP(A21,特工配置转化!A:Z,23,0)*10000</f>
        <v>488349</v>
      </c>
      <c r="AC21" s="62">
        <f>VLOOKUP(A21,特工配置转化!A:Z,24,0)*10000</f>
        <v>283304</v>
      </c>
      <c r="AD21" s="62">
        <v>0</v>
      </c>
      <c r="AE21"/>
      <c r="AF21"/>
      <c r="AG21"/>
      <c r="AH21"/>
      <c r="AI21"/>
    </row>
    <row r="22" spans="1:41" s="1" customFormat="1" x14ac:dyDescent="0.2">
      <c r="A22" s="3">
        <v>1049</v>
      </c>
      <c r="B22" s="3"/>
      <c r="C22" s="62" t="s">
        <v>1388</v>
      </c>
      <c r="D22" s="3">
        <v>1</v>
      </c>
      <c r="E22" s="66">
        <v>5</v>
      </c>
      <c r="F22" s="3">
        <v>101</v>
      </c>
      <c r="G22" s="66">
        <v>5</v>
      </c>
      <c r="H22" s="3">
        <v>1</v>
      </c>
      <c r="I22" s="3">
        <v>5</v>
      </c>
      <c r="J22" s="66">
        <v>2</v>
      </c>
      <c r="K22" s="67" t="s">
        <v>1794</v>
      </c>
      <c r="L22" s="62" t="s">
        <v>865</v>
      </c>
      <c r="M22" s="3"/>
      <c r="N22" s="3">
        <v>104905</v>
      </c>
      <c r="O22" s="3">
        <v>0</v>
      </c>
      <c r="P22" s="3">
        <v>0</v>
      </c>
      <c r="Q22" s="3">
        <v>0</v>
      </c>
      <c r="R22" s="3">
        <v>0</v>
      </c>
      <c r="S22" s="62">
        <f>VLOOKUP(A22,特工配置转化!A:Z,25,0)</f>
        <v>572</v>
      </c>
      <c r="T22" s="62">
        <f>VLOOKUP(A22,特工配置转化!A:Z,26,0)*10000</f>
        <v>0</v>
      </c>
      <c r="U22" s="3">
        <v>5000</v>
      </c>
      <c r="V22" s="3">
        <v>0</v>
      </c>
      <c r="W22" s="3">
        <v>0</v>
      </c>
      <c r="X22" s="3">
        <v>0</v>
      </c>
      <c r="Y22" s="3">
        <v>0</v>
      </c>
      <c r="Z22" s="62">
        <f>VLOOKUP(A22,特工配置转化!A:Z,21,0)*10000</f>
        <v>693829.00000000012</v>
      </c>
      <c r="AA22" s="62">
        <f>VLOOKUP(A22,特工配置转化!A:Z,22,0)*10000</f>
        <v>133088</v>
      </c>
      <c r="AB22" s="62">
        <f>VLOOKUP(A22,特工配置转化!A:Z,23,0)*10000</f>
        <v>495822.99999999994</v>
      </c>
      <c r="AC22" s="62">
        <f>VLOOKUP(A22,特工配置转化!A:Z,24,0)*10000</f>
        <v>270250</v>
      </c>
      <c r="AD22" s="62">
        <v>0</v>
      </c>
      <c r="AE22"/>
      <c r="AF22"/>
      <c r="AG22"/>
      <c r="AH22"/>
      <c r="AI22"/>
    </row>
    <row r="23" spans="1:41" s="8" customFormat="1" x14ac:dyDescent="0.2">
      <c r="A23" s="62">
        <v>1009</v>
      </c>
      <c r="B23" s="62"/>
      <c r="C23" s="62" t="s">
        <v>1418</v>
      </c>
      <c r="D23" s="62">
        <v>2</v>
      </c>
      <c r="E23" s="3">
        <v>3</v>
      </c>
      <c r="F23" s="62">
        <v>100901</v>
      </c>
      <c r="G23" s="62">
        <v>1</v>
      </c>
      <c r="H23" s="62">
        <v>6</v>
      </c>
      <c r="I23" s="62">
        <v>2</v>
      </c>
      <c r="J23" s="67">
        <v>2</v>
      </c>
      <c r="K23" s="67" t="s">
        <v>914</v>
      </c>
      <c r="L23" s="62" t="s">
        <v>76</v>
      </c>
      <c r="M23" s="62"/>
      <c r="N23" s="62">
        <v>100905</v>
      </c>
      <c r="O23" s="62">
        <v>0</v>
      </c>
      <c r="P23" s="62">
        <v>0</v>
      </c>
      <c r="Q23" s="62">
        <v>0</v>
      </c>
      <c r="R23" s="62">
        <v>0</v>
      </c>
      <c r="S23" s="62">
        <f>VLOOKUP(A23,特工配置转化!A:Z,25,0)</f>
        <v>485</v>
      </c>
      <c r="T23" s="62">
        <f>VLOOKUP(A23,特工配置转化!A:Z,26,0)*10000</f>
        <v>500</v>
      </c>
      <c r="U23" s="3">
        <v>5000</v>
      </c>
      <c r="V23" s="3">
        <v>0</v>
      </c>
      <c r="W23" s="3">
        <v>0</v>
      </c>
      <c r="X23" s="3">
        <v>0</v>
      </c>
      <c r="Y23" s="3">
        <v>0</v>
      </c>
      <c r="Z23" s="62">
        <f>VLOOKUP(A23,特工配置转化!A:Z,21,0)*10000</f>
        <v>514789.00000000006</v>
      </c>
      <c r="AA23" s="62">
        <f>VLOOKUP(A23,特工配置转化!A:Z,22,0)*10000</f>
        <v>179276.00000000003</v>
      </c>
      <c r="AB23" s="62">
        <f>VLOOKUP(A23,特工配置转化!A:Z,23,0)*10000</f>
        <v>434514</v>
      </c>
      <c r="AC23" s="62">
        <f>VLOOKUP(A23,特工配置转化!A:Z,24,0)*10000</f>
        <v>261673</v>
      </c>
      <c r="AD23" s="62">
        <v>0</v>
      </c>
    </row>
    <row r="24" spans="1:41" s="1" customFormat="1" x14ac:dyDescent="0.2">
      <c r="A24" s="3">
        <v>1030</v>
      </c>
      <c r="B24" s="3"/>
      <c r="C24" s="62" t="s">
        <v>1419</v>
      </c>
      <c r="D24" s="3">
        <v>2</v>
      </c>
      <c r="E24" s="3">
        <v>1</v>
      </c>
      <c r="F24" s="3">
        <v>103001</v>
      </c>
      <c r="G24" s="3">
        <v>4</v>
      </c>
      <c r="H24" s="3">
        <v>4</v>
      </c>
      <c r="I24" s="3">
        <v>5</v>
      </c>
      <c r="J24" s="66">
        <v>2</v>
      </c>
      <c r="K24" s="67" t="s">
        <v>916</v>
      </c>
      <c r="L24" s="3" t="s">
        <v>77</v>
      </c>
      <c r="M24" s="3"/>
      <c r="N24" s="3">
        <v>103005</v>
      </c>
      <c r="O24" s="3">
        <v>0</v>
      </c>
      <c r="P24" s="3">
        <v>0</v>
      </c>
      <c r="Q24" s="3">
        <v>0</v>
      </c>
      <c r="R24" s="3">
        <v>0</v>
      </c>
      <c r="S24" s="62">
        <f>VLOOKUP(A24,特工配置转化!A:Z,25,0)</f>
        <v>505</v>
      </c>
      <c r="T24" s="62">
        <f>VLOOKUP(A24,特工配置转化!A:Z,26,0)*10000</f>
        <v>500</v>
      </c>
      <c r="U24" s="3">
        <v>5000</v>
      </c>
      <c r="V24" s="3">
        <v>0</v>
      </c>
      <c r="W24" s="3">
        <v>0</v>
      </c>
      <c r="X24" s="3">
        <v>0</v>
      </c>
      <c r="Y24" s="3">
        <v>0</v>
      </c>
      <c r="Z24" s="62">
        <f>VLOOKUP(A24,特工配置转化!A:Z,21,0)*10000</f>
        <v>509752</v>
      </c>
      <c r="AA24" s="62">
        <f>VLOOKUP(A24,特工配置转化!A:Z,22,0)*10000</f>
        <v>182854</v>
      </c>
      <c r="AB24" s="62">
        <f>VLOOKUP(A24,特工配置转化!A:Z,23,0)*10000</f>
        <v>255660</v>
      </c>
      <c r="AC24" s="62">
        <f>VLOOKUP(A24,特工配置转化!A:Z,24,0)*10000</f>
        <v>425692</v>
      </c>
      <c r="AD24" s="62">
        <v>0</v>
      </c>
      <c r="AE24"/>
      <c r="AF24"/>
      <c r="AG24"/>
      <c r="AH24"/>
      <c r="AI24"/>
    </row>
    <row r="25" spans="1:41" s="1" customFormat="1" x14ac:dyDescent="0.2">
      <c r="A25" s="3">
        <v>1015</v>
      </c>
      <c r="B25" s="3"/>
      <c r="C25" s="62" t="s">
        <v>1895</v>
      </c>
      <c r="D25" s="3">
        <v>1</v>
      </c>
      <c r="E25" s="66">
        <v>4</v>
      </c>
      <c r="F25" s="66">
        <v>101501</v>
      </c>
      <c r="G25" s="66">
        <v>1</v>
      </c>
      <c r="H25" s="3">
        <v>6</v>
      </c>
      <c r="I25" s="3">
        <v>5</v>
      </c>
      <c r="J25" s="66">
        <v>2</v>
      </c>
      <c r="K25" s="67" t="s">
        <v>908</v>
      </c>
      <c r="L25" s="62" t="s">
        <v>866</v>
      </c>
      <c r="M25" s="3"/>
      <c r="N25" s="3">
        <v>101505</v>
      </c>
      <c r="O25" s="3">
        <v>0</v>
      </c>
      <c r="P25" s="3">
        <v>0</v>
      </c>
      <c r="Q25" s="3">
        <v>0</v>
      </c>
      <c r="R25" s="3">
        <v>0</v>
      </c>
      <c r="S25" s="62">
        <f>VLOOKUP(A25,特工配置转化!A:Z,25,0)</f>
        <v>490</v>
      </c>
      <c r="T25" s="62">
        <f>VLOOKUP(A25,特工配置转化!A:Z,26,0)*10000</f>
        <v>500</v>
      </c>
      <c r="U25" s="3">
        <v>5000</v>
      </c>
      <c r="V25" s="3">
        <v>0</v>
      </c>
      <c r="W25" s="3">
        <v>0</v>
      </c>
      <c r="X25" s="3">
        <v>0</v>
      </c>
      <c r="Y25" s="3">
        <v>0</v>
      </c>
      <c r="Z25" s="62">
        <f>VLOOKUP(A25,特工配置转化!A:Z,21,0)*10000</f>
        <v>498751.00000000006</v>
      </c>
      <c r="AA25" s="62">
        <f>VLOOKUP(A25,特工配置转化!A:Z,22,0)*10000</f>
        <v>180430</v>
      </c>
      <c r="AB25" s="62">
        <f>VLOOKUP(A25,特工配置转化!A:Z,23,0)*10000</f>
        <v>438926</v>
      </c>
      <c r="AC25" s="62">
        <f>VLOOKUP(A25,特工配置转化!A:Z,24,0)*10000</f>
        <v>266639</v>
      </c>
      <c r="AD25" s="62">
        <v>0</v>
      </c>
      <c r="AE25"/>
      <c r="AF25"/>
      <c r="AG25"/>
      <c r="AH25"/>
      <c r="AI25"/>
    </row>
    <row r="26" spans="1:41" s="1" customFormat="1" x14ac:dyDescent="0.2">
      <c r="A26" s="3">
        <v>1050</v>
      </c>
      <c r="B26" s="3"/>
      <c r="C26" s="62" t="s">
        <v>1389</v>
      </c>
      <c r="D26" s="3">
        <v>2</v>
      </c>
      <c r="E26" s="66">
        <v>5</v>
      </c>
      <c r="F26" s="3">
        <v>101</v>
      </c>
      <c r="G26" s="66">
        <v>4</v>
      </c>
      <c r="H26" s="3">
        <v>4</v>
      </c>
      <c r="I26" s="3">
        <v>5</v>
      </c>
      <c r="J26" s="66">
        <v>2</v>
      </c>
      <c r="K26" s="67" t="s">
        <v>910</v>
      </c>
      <c r="L26" s="62" t="s">
        <v>867</v>
      </c>
      <c r="M26" s="3"/>
      <c r="N26" s="3">
        <v>105005</v>
      </c>
      <c r="O26" s="3">
        <v>0</v>
      </c>
      <c r="P26" s="3">
        <v>0</v>
      </c>
      <c r="Q26" s="3">
        <v>0</v>
      </c>
      <c r="R26" s="3">
        <v>0</v>
      </c>
      <c r="S26" s="62">
        <f>VLOOKUP(A26,特工配置转化!A:Z,25,0)</f>
        <v>475</v>
      </c>
      <c r="T26" s="62">
        <f>VLOOKUP(A26,特工配置转化!A:Z,26,0)*10000</f>
        <v>500</v>
      </c>
      <c r="U26" s="3">
        <v>5000</v>
      </c>
      <c r="V26" s="3">
        <v>0</v>
      </c>
      <c r="W26" s="3">
        <v>0</v>
      </c>
      <c r="X26" s="3">
        <v>0</v>
      </c>
      <c r="Y26" s="3">
        <v>0</v>
      </c>
      <c r="Z26" s="62">
        <f>VLOOKUP(A26,特工配置转化!A:Z,21,0)*10000</f>
        <v>550638</v>
      </c>
      <c r="AA26" s="62">
        <f>VLOOKUP(A26,特工配置转化!A:Z,22,0)*10000</f>
        <v>169731</v>
      </c>
      <c r="AB26" s="62">
        <f>VLOOKUP(A26,特工配置转化!A:Z,23,0)*10000</f>
        <v>267946</v>
      </c>
      <c r="AC26" s="62">
        <f>VLOOKUP(A26,特工配置转化!A:Z,24,0)*10000</f>
        <v>443337</v>
      </c>
      <c r="AD26" s="62">
        <v>0</v>
      </c>
      <c r="AE26"/>
      <c r="AF26"/>
      <c r="AG26"/>
      <c r="AH26"/>
      <c r="AI26"/>
    </row>
    <row r="27" spans="1:41" s="1" customFormat="1" x14ac:dyDescent="0.2">
      <c r="A27" s="3">
        <v>1012</v>
      </c>
      <c r="B27" s="3"/>
      <c r="C27" s="62" t="s">
        <v>1543</v>
      </c>
      <c r="D27" s="3">
        <v>1</v>
      </c>
      <c r="E27" s="66">
        <v>1</v>
      </c>
      <c r="F27" s="3">
        <v>101201</v>
      </c>
      <c r="G27" s="66">
        <v>1</v>
      </c>
      <c r="H27" s="3">
        <v>3</v>
      </c>
      <c r="I27" s="3">
        <v>2</v>
      </c>
      <c r="J27" s="66">
        <v>2</v>
      </c>
      <c r="K27" s="67" t="s">
        <v>909</v>
      </c>
      <c r="L27" s="62" t="s">
        <v>864</v>
      </c>
      <c r="M27" s="3"/>
      <c r="N27" s="3">
        <v>101205</v>
      </c>
      <c r="O27" s="3">
        <v>0</v>
      </c>
      <c r="P27" s="3">
        <v>0</v>
      </c>
      <c r="Q27" s="3">
        <v>0</v>
      </c>
      <c r="R27" s="3">
        <v>0</v>
      </c>
      <c r="S27" s="62">
        <f>VLOOKUP(A27,特工配置转化!A:Z,25,0)</f>
        <v>485</v>
      </c>
      <c r="T27" s="62">
        <f>VLOOKUP(A27,特工配置转化!A:Z,26,0)*10000</f>
        <v>500</v>
      </c>
      <c r="U27" s="3">
        <v>5000</v>
      </c>
      <c r="V27" s="3">
        <v>0</v>
      </c>
      <c r="W27" s="3">
        <v>0</v>
      </c>
      <c r="X27" s="3">
        <v>0</v>
      </c>
      <c r="Y27" s="3">
        <v>0</v>
      </c>
      <c r="Z27" s="62">
        <f>VLOOKUP(A27,特工配置转化!A:Z,21,0)*10000</f>
        <v>502890</v>
      </c>
      <c r="AA27" s="62">
        <f>VLOOKUP(A27,特工配置转化!A:Z,22,0)*10000</f>
        <v>182560</v>
      </c>
      <c r="AB27" s="62">
        <f>VLOOKUP(A27,特工配置转化!A:Z,23,0)*10000</f>
        <v>433853</v>
      </c>
      <c r="AC27" s="62">
        <f>VLOOKUP(A27,特工配置转化!A:Z,24,0)*10000</f>
        <v>255921.99999999997</v>
      </c>
      <c r="AD27" s="62">
        <v>0</v>
      </c>
      <c r="AE27"/>
      <c r="AF27"/>
      <c r="AG27"/>
      <c r="AH27"/>
      <c r="AI27"/>
    </row>
    <row r="28" spans="1:41" s="1" customFormat="1" x14ac:dyDescent="0.2">
      <c r="A28" s="3">
        <v>1037</v>
      </c>
      <c r="B28" s="3"/>
      <c r="C28" s="62" t="s">
        <v>1390</v>
      </c>
      <c r="D28" s="3">
        <v>2</v>
      </c>
      <c r="E28" s="66">
        <v>1</v>
      </c>
      <c r="F28" s="3">
        <v>101</v>
      </c>
      <c r="G28" s="66">
        <v>2</v>
      </c>
      <c r="H28" s="3">
        <v>1</v>
      </c>
      <c r="I28" s="3">
        <v>2</v>
      </c>
      <c r="J28" s="66">
        <v>3</v>
      </c>
      <c r="K28" s="67" t="s">
        <v>901</v>
      </c>
      <c r="L28" s="62" t="s">
        <v>878</v>
      </c>
      <c r="M28" s="3"/>
      <c r="N28" s="3">
        <v>103705</v>
      </c>
      <c r="O28" s="3">
        <v>0</v>
      </c>
      <c r="P28" s="3">
        <v>0</v>
      </c>
      <c r="Q28" s="3">
        <v>0</v>
      </c>
      <c r="R28" s="3">
        <v>0</v>
      </c>
      <c r="S28" s="62">
        <f>VLOOKUP(A28,特工配置转化!A:Z,25,0)</f>
        <v>450</v>
      </c>
      <c r="T28" s="62">
        <f>VLOOKUP(A28,特工配置转化!A:Z,26,0)*10000</f>
        <v>0</v>
      </c>
      <c r="U28" s="3">
        <v>5000</v>
      </c>
      <c r="V28" s="3">
        <v>0</v>
      </c>
      <c r="W28" s="3">
        <v>0</v>
      </c>
      <c r="X28" s="3">
        <v>0</v>
      </c>
      <c r="Y28" s="3">
        <v>0</v>
      </c>
      <c r="Z28" s="62">
        <f>VLOOKUP(A28,特工配置转化!A:Z,21,0)*10000</f>
        <v>987840.00000000012</v>
      </c>
      <c r="AA28" s="62">
        <f>VLOOKUP(A28,特工配置转化!A:Z,22,0)*10000</f>
        <v>126255</v>
      </c>
      <c r="AB28" s="62">
        <f>VLOOKUP(A28,特工配置转化!A:Z,23,0)*10000</f>
        <v>651924.00000000012</v>
      </c>
      <c r="AC28" s="62">
        <f>VLOOKUP(A28,特工配置转化!A:Z,24,0)*10000</f>
        <v>366509</v>
      </c>
      <c r="AD28" s="62">
        <v>0</v>
      </c>
      <c r="AE28"/>
      <c r="AF28"/>
      <c r="AG28"/>
      <c r="AH28"/>
      <c r="AI28"/>
    </row>
    <row r="29" spans="1:41" s="1" customFormat="1" x14ac:dyDescent="0.2">
      <c r="A29" s="3">
        <v>1033</v>
      </c>
      <c r="B29" s="3"/>
      <c r="C29" s="3" t="s">
        <v>1391</v>
      </c>
      <c r="D29" s="3">
        <v>2</v>
      </c>
      <c r="E29" s="66">
        <v>5</v>
      </c>
      <c r="F29" s="3">
        <v>101</v>
      </c>
      <c r="G29" s="66">
        <v>2</v>
      </c>
      <c r="H29" s="3">
        <v>4</v>
      </c>
      <c r="I29" s="3">
        <v>2</v>
      </c>
      <c r="J29" s="66">
        <v>3</v>
      </c>
      <c r="K29" s="67" t="s">
        <v>1795</v>
      </c>
      <c r="L29" s="62" t="s">
        <v>870</v>
      </c>
      <c r="M29" s="3"/>
      <c r="N29" s="3">
        <v>103305</v>
      </c>
      <c r="O29" s="3">
        <v>0</v>
      </c>
      <c r="P29" s="3">
        <v>0</v>
      </c>
      <c r="Q29" s="3">
        <v>0</v>
      </c>
      <c r="R29" s="3">
        <v>0</v>
      </c>
      <c r="S29" s="62">
        <f>VLOOKUP(A29,特工配置转化!A:Z,25,0)</f>
        <v>463</v>
      </c>
      <c r="T29" s="62">
        <f>VLOOKUP(A29,特工配置转化!A:Z,26,0)*10000</f>
        <v>0</v>
      </c>
      <c r="U29" s="3">
        <v>5000</v>
      </c>
      <c r="V29" s="3">
        <v>0</v>
      </c>
      <c r="W29" s="3">
        <v>0</v>
      </c>
      <c r="X29" s="3">
        <v>0</v>
      </c>
      <c r="Y29" s="3">
        <v>0</v>
      </c>
      <c r="Z29" s="62">
        <f>VLOOKUP(A29,特工配置转化!A:Z,21,0)*10000</f>
        <v>997920</v>
      </c>
      <c r="AA29" s="62">
        <f>VLOOKUP(A29,特工配置转化!A:Z,22,0)*10000</f>
        <v>124444</v>
      </c>
      <c r="AB29" s="62">
        <f>VLOOKUP(A29,特工配置转化!A:Z,23,0)*10000</f>
        <v>359680.00000000006</v>
      </c>
      <c r="AC29" s="62">
        <f>VLOOKUP(A29,特工配置转化!A:Z,24,0)*10000</f>
        <v>658476</v>
      </c>
      <c r="AD29" s="62">
        <v>0</v>
      </c>
      <c r="AE29"/>
      <c r="AF29"/>
      <c r="AG29"/>
      <c r="AH29"/>
      <c r="AI29"/>
    </row>
    <row r="30" spans="1:41" s="1" customFormat="1" x14ac:dyDescent="0.2">
      <c r="A30" s="3">
        <v>1042</v>
      </c>
      <c r="B30" s="3"/>
      <c r="C30" s="3" t="s">
        <v>1392</v>
      </c>
      <c r="D30" s="3">
        <v>2</v>
      </c>
      <c r="E30" s="66">
        <v>2</v>
      </c>
      <c r="F30" s="3">
        <v>101</v>
      </c>
      <c r="G30" s="66">
        <v>2</v>
      </c>
      <c r="H30" s="3">
        <v>3</v>
      </c>
      <c r="I30" s="3">
        <v>5</v>
      </c>
      <c r="J30" s="66">
        <v>3</v>
      </c>
      <c r="K30" s="67" t="s">
        <v>919</v>
      </c>
      <c r="L30" s="62" t="s">
        <v>871</v>
      </c>
      <c r="M30" s="3"/>
      <c r="N30" s="3">
        <v>104205</v>
      </c>
      <c r="O30" s="3">
        <v>0</v>
      </c>
      <c r="P30" s="3">
        <v>0</v>
      </c>
      <c r="Q30" s="3">
        <v>0</v>
      </c>
      <c r="R30" s="3">
        <v>0</v>
      </c>
      <c r="S30" s="62">
        <f>VLOOKUP(A30,特工配置转化!A:Z,25,0)</f>
        <v>436</v>
      </c>
      <c r="T30" s="62">
        <f>VLOOKUP(A30,特工配置转化!A:Z,26,0)*10000</f>
        <v>0</v>
      </c>
      <c r="U30" s="3">
        <v>5000</v>
      </c>
      <c r="V30" s="3">
        <v>0</v>
      </c>
      <c r="W30" s="3">
        <v>0</v>
      </c>
      <c r="X30" s="3">
        <v>0</v>
      </c>
      <c r="Y30" s="3">
        <v>0</v>
      </c>
      <c r="Z30" s="62">
        <f>VLOOKUP(A30,特工配置转化!A:Z,21,0)*10000</f>
        <v>997920</v>
      </c>
      <c r="AA30" s="62">
        <f>VLOOKUP(A30,特工配置转化!A:Z,22,0)*10000</f>
        <v>121904</v>
      </c>
      <c r="AB30" s="62">
        <f>VLOOKUP(A30,特工配置转化!A:Z,23,0)*10000</f>
        <v>661752</v>
      </c>
      <c r="AC30" s="62">
        <f>VLOOKUP(A30,特工配置转化!A:Z,24,0)*10000</f>
        <v>370138.00000000006</v>
      </c>
      <c r="AD30" s="62">
        <v>0</v>
      </c>
      <c r="AE30"/>
      <c r="AF30"/>
      <c r="AG30"/>
      <c r="AH30"/>
      <c r="AI30"/>
    </row>
    <row r="31" spans="1:41" s="1" customFormat="1" x14ac:dyDescent="0.2">
      <c r="A31" s="3">
        <v>1052</v>
      </c>
      <c r="B31" s="3"/>
      <c r="C31" s="3" t="s">
        <v>1601</v>
      </c>
      <c r="D31" s="3">
        <v>2</v>
      </c>
      <c r="E31" s="66">
        <v>3</v>
      </c>
      <c r="F31" s="3">
        <v>105201</v>
      </c>
      <c r="G31" s="66">
        <v>2</v>
      </c>
      <c r="H31" s="3">
        <v>5</v>
      </c>
      <c r="I31" s="3">
        <v>2</v>
      </c>
      <c r="J31" s="66">
        <v>3</v>
      </c>
      <c r="K31" s="67" t="s">
        <v>905</v>
      </c>
      <c r="L31" s="62" t="s">
        <v>874</v>
      </c>
      <c r="M31" s="3"/>
      <c r="N31" s="3">
        <v>105205</v>
      </c>
      <c r="O31" s="3">
        <v>0</v>
      </c>
      <c r="P31" s="3">
        <v>0</v>
      </c>
      <c r="Q31" s="3">
        <v>0</v>
      </c>
      <c r="R31" s="3">
        <v>0</v>
      </c>
      <c r="S31" s="62">
        <f>VLOOKUP(A31,特工配置转化!A:Z,25,0)</f>
        <v>454</v>
      </c>
      <c r="T31" s="62">
        <f>VLOOKUP(A31,特工配置转化!A:Z,26,0)*10000</f>
        <v>0</v>
      </c>
      <c r="U31" s="3">
        <v>5000</v>
      </c>
      <c r="V31" s="3">
        <v>0</v>
      </c>
      <c r="W31" s="3">
        <v>0</v>
      </c>
      <c r="X31" s="3">
        <v>0</v>
      </c>
      <c r="Y31" s="3">
        <v>0</v>
      </c>
      <c r="Z31" s="62">
        <f>VLOOKUP(A31,特工配置转化!A:Z,21,0)*10000</f>
        <v>984816</v>
      </c>
      <c r="AA31" s="62">
        <f>VLOOKUP(A31,特工配置转化!A:Z,22,0)*10000</f>
        <v>128584</v>
      </c>
      <c r="AB31" s="62">
        <f>VLOOKUP(A31,特工配置转化!A:Z,23,0)*10000</f>
        <v>642751</v>
      </c>
      <c r="AC31" s="62">
        <f>VLOOKUP(A31,特工配置转化!A:Z,24,0)*10000</f>
        <v>366146.00000000006</v>
      </c>
      <c r="AD31" s="62">
        <v>0</v>
      </c>
      <c r="AE31"/>
      <c r="AF31"/>
      <c r="AG31"/>
      <c r="AH31"/>
      <c r="AI31"/>
    </row>
    <row r="32" spans="1:41" s="1" customFormat="1" x14ac:dyDescent="0.2">
      <c r="A32" s="3">
        <v>1022</v>
      </c>
      <c r="B32" s="3"/>
      <c r="C32" s="3" t="s">
        <v>1393</v>
      </c>
      <c r="D32" s="3">
        <v>2</v>
      </c>
      <c r="E32" s="66">
        <v>1</v>
      </c>
      <c r="F32" s="3">
        <v>101</v>
      </c>
      <c r="G32" s="66">
        <v>2</v>
      </c>
      <c r="H32" s="3">
        <v>4</v>
      </c>
      <c r="I32" s="3">
        <v>2</v>
      </c>
      <c r="J32" s="66">
        <v>3</v>
      </c>
      <c r="K32" s="67" t="s">
        <v>906</v>
      </c>
      <c r="L32" s="62" t="s">
        <v>873</v>
      </c>
      <c r="M32" s="3"/>
      <c r="N32" s="3">
        <v>102205</v>
      </c>
      <c r="O32" s="3">
        <v>0</v>
      </c>
      <c r="P32" s="3">
        <v>0</v>
      </c>
      <c r="Q32" s="3">
        <v>0</v>
      </c>
      <c r="R32" s="3">
        <v>0</v>
      </c>
      <c r="S32" s="62">
        <f>VLOOKUP(A32,特工配置转化!A:Z,25,0)</f>
        <v>427</v>
      </c>
      <c r="T32" s="62">
        <f>VLOOKUP(A32,特工配置转化!A:Z,26,0)*10000</f>
        <v>0</v>
      </c>
      <c r="U32" s="3">
        <v>5000</v>
      </c>
      <c r="V32" s="3">
        <v>0</v>
      </c>
      <c r="W32" s="3">
        <v>0</v>
      </c>
      <c r="X32" s="3">
        <v>0</v>
      </c>
      <c r="Y32" s="3">
        <v>0</v>
      </c>
      <c r="Z32" s="62">
        <f>VLOOKUP(A32,特工配置转化!A:Z,21,0)*10000</f>
        <v>1001952</v>
      </c>
      <c r="AA32" s="62">
        <f>VLOOKUP(A32,特工配置转化!A:Z,22,0)*10000</f>
        <v>120711</v>
      </c>
      <c r="AB32" s="62">
        <f>VLOOKUP(A32,特工配置转化!A:Z,23,0)*10000</f>
        <v>352800</v>
      </c>
      <c r="AC32" s="62">
        <f>VLOOKUP(A32,特工配置转化!A:Z,24,0)*10000</f>
        <v>681408</v>
      </c>
      <c r="AD32" s="62">
        <v>0</v>
      </c>
      <c r="AE32"/>
      <c r="AF32"/>
      <c r="AG32"/>
      <c r="AH32"/>
      <c r="AI32"/>
    </row>
    <row r="33" spans="1:40" s="1" customFormat="1" x14ac:dyDescent="0.2">
      <c r="A33" s="3">
        <v>1038</v>
      </c>
      <c r="B33" s="3"/>
      <c r="C33" s="62" t="s">
        <v>1394</v>
      </c>
      <c r="D33" s="3">
        <v>2</v>
      </c>
      <c r="E33" s="3">
        <v>3</v>
      </c>
      <c r="F33" s="3">
        <v>101</v>
      </c>
      <c r="G33" s="3">
        <v>3</v>
      </c>
      <c r="H33" s="3">
        <v>1</v>
      </c>
      <c r="I33" s="3">
        <v>3</v>
      </c>
      <c r="J33" s="66">
        <v>3</v>
      </c>
      <c r="K33" s="67" t="s">
        <v>1796</v>
      </c>
      <c r="L33" s="62" t="s">
        <v>886</v>
      </c>
      <c r="M33" s="3"/>
      <c r="N33" s="3">
        <v>103805</v>
      </c>
      <c r="O33" s="3">
        <v>0</v>
      </c>
      <c r="P33" s="3">
        <v>0</v>
      </c>
      <c r="Q33" s="3">
        <v>0</v>
      </c>
      <c r="R33" s="3">
        <v>0</v>
      </c>
      <c r="S33" s="62">
        <f>VLOOKUP(A33,特工配置转化!A:Z,25,0)</f>
        <v>463</v>
      </c>
      <c r="T33" s="62">
        <f>VLOOKUP(A33,特工配置转化!A:Z,26,0)*10000</f>
        <v>0</v>
      </c>
      <c r="U33" s="3">
        <v>5000</v>
      </c>
      <c r="V33" s="3">
        <v>0</v>
      </c>
      <c r="W33" s="3">
        <v>0</v>
      </c>
      <c r="X33" s="3">
        <v>0</v>
      </c>
      <c r="Y33" s="3">
        <v>0</v>
      </c>
      <c r="Z33" s="62">
        <f>VLOOKUP(A33,特工配置转化!A:Z,21,0)*10000</f>
        <v>850973.99999999988</v>
      </c>
      <c r="AA33" s="62">
        <f>VLOOKUP(A33,特工配置转化!A:Z,22,0)*10000</f>
        <v>157018</v>
      </c>
      <c r="AB33" s="62">
        <f>VLOOKUP(A33,特工配置转化!A:Z,23,0)*10000</f>
        <v>396547</v>
      </c>
      <c r="AC33" s="62">
        <f>VLOOKUP(A33,特工配置转化!A:Z,24,0)*10000</f>
        <v>592704</v>
      </c>
      <c r="AD33" s="62">
        <v>0</v>
      </c>
      <c r="AE33"/>
      <c r="AF33"/>
      <c r="AG33"/>
      <c r="AH33"/>
      <c r="AI33"/>
    </row>
    <row r="34" spans="1:40" s="1" customFormat="1" x14ac:dyDescent="0.2">
      <c r="A34" s="3">
        <v>1034</v>
      </c>
      <c r="B34" s="3"/>
      <c r="C34" s="62" t="s">
        <v>1725</v>
      </c>
      <c r="D34" s="3">
        <v>1</v>
      </c>
      <c r="E34" s="66">
        <v>4</v>
      </c>
      <c r="F34" s="3">
        <v>103401</v>
      </c>
      <c r="G34" s="66">
        <v>3</v>
      </c>
      <c r="H34" s="3">
        <v>1</v>
      </c>
      <c r="I34" s="3">
        <v>2</v>
      </c>
      <c r="J34" s="66">
        <v>3</v>
      </c>
      <c r="K34" s="67" t="s">
        <v>902</v>
      </c>
      <c r="L34" s="62" t="s">
        <v>875</v>
      </c>
      <c r="M34" s="3"/>
      <c r="N34" s="3">
        <v>103405</v>
      </c>
      <c r="O34" s="3">
        <v>0</v>
      </c>
      <c r="P34" s="3">
        <v>0</v>
      </c>
      <c r="Q34" s="3">
        <v>0</v>
      </c>
      <c r="R34" s="3">
        <v>0</v>
      </c>
      <c r="S34" s="62">
        <f>VLOOKUP(A34,特工配置转化!A:Z,25,0)</f>
        <v>486</v>
      </c>
      <c r="T34" s="62">
        <f>VLOOKUP(A34,特工配置转化!A:Z,26,0)*10000</f>
        <v>0</v>
      </c>
      <c r="U34" s="3">
        <v>5000</v>
      </c>
      <c r="V34" s="3">
        <v>0</v>
      </c>
      <c r="W34" s="3">
        <v>0</v>
      </c>
      <c r="X34" s="3">
        <v>0</v>
      </c>
      <c r="Y34" s="3">
        <v>0</v>
      </c>
      <c r="Z34" s="62">
        <f>VLOOKUP(A34,特工配置转化!A:Z,21,0)*10000</f>
        <v>834952</v>
      </c>
      <c r="AA34" s="62">
        <f>VLOOKUP(A34,特工配置转化!A:Z,22,0)*10000</f>
        <v>158390</v>
      </c>
      <c r="AB34" s="62">
        <f>VLOOKUP(A34,特工配置转化!A:Z,23,0)*10000</f>
        <v>411263.99999999994</v>
      </c>
      <c r="AC34" s="62">
        <f>VLOOKUP(A34,特工配置转化!A:Z,24,0)*10000</f>
        <v>586656</v>
      </c>
      <c r="AD34" s="62">
        <v>0</v>
      </c>
      <c r="AE34"/>
      <c r="AF34"/>
      <c r="AG34"/>
      <c r="AH34"/>
      <c r="AI34"/>
    </row>
    <row r="35" spans="1:40" s="1" customFormat="1" x14ac:dyDescent="0.2">
      <c r="A35" s="3">
        <v>1014</v>
      </c>
      <c r="B35" s="3"/>
      <c r="C35" s="3" t="s">
        <v>1395</v>
      </c>
      <c r="D35" s="3">
        <v>2</v>
      </c>
      <c r="E35" s="66">
        <v>2</v>
      </c>
      <c r="F35" s="3">
        <v>101</v>
      </c>
      <c r="G35" s="66">
        <v>3</v>
      </c>
      <c r="H35" s="3">
        <v>6</v>
      </c>
      <c r="I35" s="3">
        <v>2</v>
      </c>
      <c r="J35" s="66">
        <v>3</v>
      </c>
      <c r="K35" s="67" t="s">
        <v>912</v>
      </c>
      <c r="L35" s="62" t="s">
        <v>876</v>
      </c>
      <c r="M35" s="3"/>
      <c r="N35" s="3">
        <v>101405</v>
      </c>
      <c r="O35" s="3">
        <v>0</v>
      </c>
      <c r="P35" s="3">
        <v>0</v>
      </c>
      <c r="Q35" s="3">
        <v>0</v>
      </c>
      <c r="R35" s="3">
        <v>0</v>
      </c>
      <c r="S35" s="62">
        <f>VLOOKUP(A35,特工配置转化!A:Z,25,0)</f>
        <v>436</v>
      </c>
      <c r="T35" s="62">
        <f>VLOOKUP(A35,特工配置转化!A:Z,26,0)*10000</f>
        <v>0</v>
      </c>
      <c r="U35" s="3">
        <v>5000</v>
      </c>
      <c r="V35" s="3">
        <v>0</v>
      </c>
      <c r="W35" s="3">
        <v>0</v>
      </c>
      <c r="X35" s="3">
        <v>0</v>
      </c>
      <c r="Y35" s="3">
        <v>0</v>
      </c>
      <c r="Z35" s="62">
        <f>VLOOKUP(A35,特工配置转化!A:Z,21,0)*10000</f>
        <v>861084</v>
      </c>
      <c r="AA35" s="62">
        <f>VLOOKUP(A35,特工配置转化!A:Z,22,0)*10000</f>
        <v>153573</v>
      </c>
      <c r="AB35" s="62">
        <f>VLOOKUP(A35,特工配置转化!A:Z,23,0)*10000</f>
        <v>398966</v>
      </c>
      <c r="AC35" s="62">
        <f>VLOOKUP(A35,特工配置转化!A:Z,24,0)*10000</f>
        <v>598752</v>
      </c>
      <c r="AD35" s="62">
        <v>0</v>
      </c>
      <c r="AE35"/>
      <c r="AF35"/>
      <c r="AG35"/>
      <c r="AH35"/>
      <c r="AI35"/>
    </row>
    <row r="36" spans="1:40" s="1" customFormat="1" x14ac:dyDescent="0.2">
      <c r="A36" s="3">
        <v>1025</v>
      </c>
      <c r="B36" s="3"/>
      <c r="C36" s="62" t="s">
        <v>1420</v>
      </c>
      <c r="D36" s="3">
        <v>2</v>
      </c>
      <c r="E36" s="3">
        <v>2</v>
      </c>
      <c r="F36" s="3">
        <v>102501</v>
      </c>
      <c r="G36" s="3">
        <v>3</v>
      </c>
      <c r="H36" s="3">
        <v>1</v>
      </c>
      <c r="I36" s="3">
        <v>5</v>
      </c>
      <c r="J36" s="66">
        <v>3</v>
      </c>
      <c r="K36" s="67" t="s">
        <v>907</v>
      </c>
      <c r="L36" s="3" t="s">
        <v>78</v>
      </c>
      <c r="M36" s="3"/>
      <c r="N36" s="3">
        <v>102505</v>
      </c>
      <c r="O36" s="3">
        <v>0</v>
      </c>
      <c r="P36" s="3">
        <v>0</v>
      </c>
      <c r="Q36" s="3">
        <v>0</v>
      </c>
      <c r="R36" s="3">
        <v>0</v>
      </c>
      <c r="S36" s="62">
        <f>VLOOKUP(A36,特工配置转化!A:Z,25,0)</f>
        <v>477</v>
      </c>
      <c r="T36" s="62">
        <f>VLOOKUP(A36,特工配置转化!A:Z,26,0)*10000</f>
        <v>0</v>
      </c>
      <c r="U36" s="3">
        <v>5000</v>
      </c>
      <c r="V36" s="3">
        <v>0</v>
      </c>
      <c r="W36" s="3">
        <v>0</v>
      </c>
      <c r="X36" s="3">
        <v>0</v>
      </c>
      <c r="Y36" s="3">
        <v>0</v>
      </c>
      <c r="Z36" s="62">
        <f>VLOOKUP(A36,特工配置转化!A:Z,21,0)*10000</f>
        <v>849946</v>
      </c>
      <c r="AA36" s="62">
        <f>VLOOKUP(A36,特工配置转化!A:Z,22,0)*10000</f>
        <v>152444</v>
      </c>
      <c r="AB36" s="62">
        <f>VLOOKUP(A36,特工配置转化!A:Z,23,0)*10000</f>
        <v>607824</v>
      </c>
      <c r="AC36" s="62">
        <f>VLOOKUP(A36,特工配置转化!A:Z,24,0)*10000</f>
        <v>407232</v>
      </c>
      <c r="AD36" s="62">
        <v>0</v>
      </c>
      <c r="AE36"/>
      <c r="AF36"/>
      <c r="AG36"/>
      <c r="AH36"/>
      <c r="AI36"/>
    </row>
    <row r="37" spans="1:40" s="1" customFormat="1" x14ac:dyDescent="0.2">
      <c r="A37" s="3">
        <v>1004</v>
      </c>
      <c r="B37" s="3"/>
      <c r="C37" s="3" t="s">
        <v>1654</v>
      </c>
      <c r="D37" s="3">
        <v>1</v>
      </c>
      <c r="E37" s="66">
        <v>1</v>
      </c>
      <c r="F37" s="3">
        <v>100401</v>
      </c>
      <c r="G37" s="66">
        <v>3</v>
      </c>
      <c r="H37" s="3">
        <v>1</v>
      </c>
      <c r="I37" s="3">
        <v>2</v>
      </c>
      <c r="J37" s="66">
        <v>3</v>
      </c>
      <c r="K37" s="67" t="s">
        <v>913</v>
      </c>
      <c r="L37" s="62" t="s">
        <v>877</v>
      </c>
      <c r="M37" s="3"/>
      <c r="N37" s="3">
        <v>100405</v>
      </c>
      <c r="O37" s="3">
        <v>0</v>
      </c>
      <c r="P37" s="3">
        <v>0</v>
      </c>
      <c r="Q37" s="3">
        <v>0</v>
      </c>
      <c r="R37" s="3">
        <v>0</v>
      </c>
      <c r="S37" s="62">
        <f>VLOOKUP(A37,特工配置转化!A:Z,25,0)</f>
        <v>432</v>
      </c>
      <c r="T37" s="62">
        <f>VLOOKUP(A37,特工配置转化!A:Z,26,0)*10000</f>
        <v>0</v>
      </c>
      <c r="U37" s="3">
        <v>5000</v>
      </c>
      <c r="V37" s="3">
        <v>0</v>
      </c>
      <c r="W37" s="3">
        <v>0</v>
      </c>
      <c r="X37" s="3">
        <v>0</v>
      </c>
      <c r="Y37" s="3">
        <v>0</v>
      </c>
      <c r="Z37" s="62">
        <f>VLOOKUP(A37,特工配置转化!A:Z,21,0)*10000</f>
        <v>842234</v>
      </c>
      <c r="AA37" s="62">
        <f>VLOOKUP(A37,特工配置转化!A:Z,22,0)*10000</f>
        <v>158542</v>
      </c>
      <c r="AB37" s="62">
        <f>VLOOKUP(A37,特工配置转化!A:Z,23,0)*10000</f>
        <v>592704</v>
      </c>
      <c r="AC37" s="62">
        <f>VLOOKUP(A37,特工配置转化!A:Z,24,0)*10000</f>
        <v>397152.00000000006</v>
      </c>
      <c r="AD37" s="62">
        <v>0</v>
      </c>
      <c r="AE37"/>
      <c r="AF37"/>
      <c r="AG37"/>
      <c r="AH37"/>
      <c r="AI37"/>
    </row>
    <row r="38" spans="1:40" s="1" customFormat="1" x14ac:dyDescent="0.2">
      <c r="A38" s="3">
        <v>1035</v>
      </c>
      <c r="B38" s="3"/>
      <c r="C38" s="3" t="s">
        <v>1396</v>
      </c>
      <c r="D38" s="3">
        <v>2</v>
      </c>
      <c r="E38" s="66">
        <v>5</v>
      </c>
      <c r="F38" s="3">
        <v>101</v>
      </c>
      <c r="G38" s="66">
        <v>5</v>
      </c>
      <c r="H38" s="3">
        <v>1</v>
      </c>
      <c r="I38" s="3">
        <v>5</v>
      </c>
      <c r="J38" s="66">
        <v>3</v>
      </c>
      <c r="K38" s="67" t="s">
        <v>914</v>
      </c>
      <c r="L38" s="3" t="s">
        <v>80</v>
      </c>
      <c r="M38" s="3"/>
      <c r="N38" s="3">
        <v>103505</v>
      </c>
      <c r="O38" s="3">
        <v>0</v>
      </c>
      <c r="P38" s="3">
        <v>0</v>
      </c>
      <c r="Q38" s="3">
        <v>0</v>
      </c>
      <c r="R38" s="3">
        <v>0</v>
      </c>
      <c r="S38" s="62">
        <f>VLOOKUP(A38,特工配置转化!A:Z,25,0)</f>
        <v>539</v>
      </c>
      <c r="T38" s="62">
        <f>VLOOKUP(A38,特工配置转化!A:Z,26,0)*10000</f>
        <v>0</v>
      </c>
      <c r="U38" s="3">
        <v>5000</v>
      </c>
      <c r="V38" s="3">
        <v>0</v>
      </c>
      <c r="W38" s="3">
        <v>0</v>
      </c>
      <c r="X38" s="3">
        <v>0</v>
      </c>
      <c r="Y38" s="3">
        <v>0</v>
      </c>
      <c r="Z38" s="62">
        <f>VLOOKUP(A38,特工配置转化!A:Z,21,0)*10000</f>
        <v>855691.00000000012</v>
      </c>
      <c r="AA38" s="62">
        <f>VLOOKUP(A38,特工配置转化!A:Z,22,0)*10000</f>
        <v>155493</v>
      </c>
      <c r="AB38" s="62">
        <f>VLOOKUP(A38,特工配置转化!A:Z,23,0)*10000</f>
        <v>639783</v>
      </c>
      <c r="AC38" s="62">
        <f>VLOOKUP(A38,特工配置转化!A:Z,24,0)*10000</f>
        <v>353001.99999999994</v>
      </c>
      <c r="AD38" s="62">
        <v>0</v>
      </c>
      <c r="AE38"/>
      <c r="AF38"/>
      <c r="AG38"/>
      <c r="AH38"/>
      <c r="AI38"/>
    </row>
    <row r="39" spans="1:40" s="1" customFormat="1" x14ac:dyDescent="0.2">
      <c r="A39" s="3">
        <v>1016</v>
      </c>
      <c r="B39" s="3"/>
      <c r="C39" s="62" t="s">
        <v>1748</v>
      </c>
      <c r="D39" s="3">
        <v>1</v>
      </c>
      <c r="E39" s="66">
        <v>1</v>
      </c>
      <c r="F39" s="3">
        <v>101601</v>
      </c>
      <c r="G39" s="66">
        <v>5</v>
      </c>
      <c r="H39" s="3">
        <v>3</v>
      </c>
      <c r="I39" s="3">
        <v>5</v>
      </c>
      <c r="J39" s="66">
        <v>3</v>
      </c>
      <c r="K39" s="67" t="s">
        <v>903</v>
      </c>
      <c r="L39" s="3" t="s">
        <v>81</v>
      </c>
      <c r="M39" s="3"/>
      <c r="N39" s="3">
        <v>101605</v>
      </c>
      <c r="O39" s="3">
        <v>0</v>
      </c>
      <c r="P39" s="3">
        <v>0</v>
      </c>
      <c r="Q39" s="3">
        <v>0</v>
      </c>
      <c r="R39" s="3">
        <v>0</v>
      </c>
      <c r="S39" s="62">
        <f>VLOOKUP(A39,特工配置转化!A:Z,25,0)</f>
        <v>566</v>
      </c>
      <c r="T39" s="62">
        <f>VLOOKUP(A39,特工配置转化!A:Z,26,0)*10000</f>
        <v>0</v>
      </c>
      <c r="U39" s="3">
        <v>5000</v>
      </c>
      <c r="V39" s="3">
        <v>0</v>
      </c>
      <c r="W39" s="3">
        <v>0</v>
      </c>
      <c r="X39" s="3">
        <v>0</v>
      </c>
      <c r="Y39" s="3">
        <v>0</v>
      </c>
      <c r="Z39" s="62">
        <f>VLOOKUP(A39,特工配置转化!A:Z,21,0)*10000</f>
        <v>864427</v>
      </c>
      <c r="AA39" s="62">
        <f>VLOOKUP(A39,特工配置转化!A:Z,22,0)*10000</f>
        <v>161744.99999999997</v>
      </c>
      <c r="AB39" s="62">
        <f>VLOOKUP(A39,特工配置转化!A:Z,23,0)*10000</f>
        <v>593974</v>
      </c>
      <c r="AC39" s="62">
        <f>VLOOKUP(A39,特工配置转化!A:Z,24,0)*10000</f>
        <v>356429</v>
      </c>
      <c r="AD39" s="62">
        <v>0</v>
      </c>
      <c r="AE39"/>
      <c r="AF39"/>
      <c r="AG39"/>
      <c r="AH39"/>
      <c r="AI39"/>
    </row>
    <row r="40" spans="1:40" s="1" customFormat="1" x14ac:dyDescent="0.2">
      <c r="A40" s="3">
        <v>1041</v>
      </c>
      <c r="B40" s="3"/>
      <c r="C40" s="3" t="s">
        <v>1397</v>
      </c>
      <c r="D40" s="3">
        <v>2</v>
      </c>
      <c r="E40" s="66">
        <v>3</v>
      </c>
      <c r="F40" s="3">
        <v>101</v>
      </c>
      <c r="G40" s="66">
        <v>5</v>
      </c>
      <c r="H40" s="3">
        <v>1</v>
      </c>
      <c r="I40" s="3">
        <v>5</v>
      </c>
      <c r="J40" s="66">
        <v>3</v>
      </c>
      <c r="K40" s="67" t="s">
        <v>911</v>
      </c>
      <c r="L40" s="62" t="s">
        <v>869</v>
      </c>
      <c r="M40" s="3"/>
      <c r="N40" s="3">
        <v>104105</v>
      </c>
      <c r="O40" s="3">
        <v>0</v>
      </c>
      <c r="P40" s="3">
        <v>0</v>
      </c>
      <c r="Q40" s="3">
        <v>0</v>
      </c>
      <c r="R40" s="3">
        <v>0</v>
      </c>
      <c r="S40" s="62">
        <f>VLOOKUP(A40,特工配置转化!A:Z,25,0)</f>
        <v>576</v>
      </c>
      <c r="T40" s="62">
        <f>VLOOKUP(A40,特工配置转化!A:Z,26,0)*10000</f>
        <v>0</v>
      </c>
      <c r="U40" s="3">
        <v>5000</v>
      </c>
      <c r="V40" s="3">
        <v>0</v>
      </c>
      <c r="W40" s="3">
        <v>0</v>
      </c>
      <c r="X40" s="3">
        <v>0</v>
      </c>
      <c r="Y40" s="3">
        <v>0</v>
      </c>
      <c r="Z40" s="62">
        <f>VLOOKUP(A40,特工配置转化!A:Z,21,0)*10000</f>
        <v>891072.00000000012</v>
      </c>
      <c r="AA40" s="62">
        <f>VLOOKUP(A40,特工配置转化!A:Z,22,0)*10000</f>
        <v>154224</v>
      </c>
      <c r="AB40" s="62">
        <f>VLOOKUP(A40,特工配置转化!A:Z,23,0)*10000</f>
        <v>352316</v>
      </c>
      <c r="AC40" s="62">
        <f>VLOOKUP(A40,特工配置转化!A:Z,24,0)*10000</f>
        <v>611806</v>
      </c>
      <c r="AD40" s="62">
        <v>0</v>
      </c>
      <c r="AE40"/>
      <c r="AF40"/>
      <c r="AG40"/>
      <c r="AH40"/>
      <c r="AI40"/>
    </row>
    <row r="41" spans="1:40" s="1" customFormat="1" x14ac:dyDescent="0.2">
      <c r="A41" s="3">
        <v>1040</v>
      </c>
      <c r="B41" s="3"/>
      <c r="C41" s="3" t="s">
        <v>1398</v>
      </c>
      <c r="D41" s="3">
        <v>2</v>
      </c>
      <c r="E41" s="66">
        <v>3</v>
      </c>
      <c r="F41" s="3">
        <v>101</v>
      </c>
      <c r="G41" s="66">
        <v>5</v>
      </c>
      <c r="H41" s="3">
        <v>1</v>
      </c>
      <c r="I41" s="3">
        <v>5</v>
      </c>
      <c r="J41" s="66">
        <v>3</v>
      </c>
      <c r="K41" s="67" t="s">
        <v>911</v>
      </c>
      <c r="L41" s="62" t="s">
        <v>879</v>
      </c>
      <c r="M41" s="3"/>
      <c r="N41" s="3">
        <v>104005</v>
      </c>
      <c r="O41" s="3">
        <v>0</v>
      </c>
      <c r="P41" s="3">
        <v>0</v>
      </c>
      <c r="Q41" s="3">
        <v>0</v>
      </c>
      <c r="R41" s="3">
        <v>0</v>
      </c>
      <c r="S41" s="62">
        <f>VLOOKUP(A41,特工配置转化!A:Z,25,0)</f>
        <v>572</v>
      </c>
      <c r="T41" s="62">
        <f>VLOOKUP(A41,特工配置转化!A:Z,26,0)*10000</f>
        <v>0</v>
      </c>
      <c r="U41" s="3">
        <v>5000</v>
      </c>
      <c r="V41" s="3">
        <v>0</v>
      </c>
      <c r="W41" s="3">
        <v>0</v>
      </c>
      <c r="X41" s="3">
        <v>0</v>
      </c>
      <c r="Y41" s="3">
        <v>0</v>
      </c>
      <c r="Z41" s="62">
        <f>VLOOKUP(A41,特工配置转化!A:Z,21,0)*10000</f>
        <v>882685</v>
      </c>
      <c r="AA41" s="62">
        <f>VLOOKUP(A41,特工配置转化!A:Z,22,0)*10000</f>
        <v>158191</v>
      </c>
      <c r="AB41" s="62">
        <f>VLOOKUP(A41,特工配置转化!A:Z,23,0)*10000</f>
        <v>354715</v>
      </c>
      <c r="AC41" s="62">
        <f>VLOOKUP(A41,特工配置转化!A:Z,24,0)*10000</f>
        <v>596434</v>
      </c>
      <c r="AD41" s="62">
        <v>0</v>
      </c>
      <c r="AE41"/>
      <c r="AF41"/>
      <c r="AG41"/>
      <c r="AH41"/>
      <c r="AI41"/>
    </row>
    <row r="42" spans="1:40" s="1" customFormat="1" x14ac:dyDescent="0.2">
      <c r="A42" s="3">
        <v>1026</v>
      </c>
      <c r="B42" s="3"/>
      <c r="C42" s="62" t="s">
        <v>1421</v>
      </c>
      <c r="D42" s="3">
        <v>2</v>
      </c>
      <c r="E42" s="3">
        <v>2</v>
      </c>
      <c r="F42" s="3">
        <v>102601</v>
      </c>
      <c r="G42" s="3">
        <v>5</v>
      </c>
      <c r="H42" s="3">
        <v>1</v>
      </c>
      <c r="I42" s="3">
        <v>5</v>
      </c>
      <c r="J42" s="66">
        <v>3</v>
      </c>
      <c r="K42" s="67" t="s">
        <v>915</v>
      </c>
      <c r="L42" s="3" t="s">
        <v>83</v>
      </c>
      <c r="M42" s="3"/>
      <c r="N42" s="3">
        <v>102605</v>
      </c>
      <c r="O42" s="3">
        <v>0</v>
      </c>
      <c r="P42" s="3">
        <v>0</v>
      </c>
      <c r="Q42" s="3">
        <v>0</v>
      </c>
      <c r="R42" s="3">
        <v>0</v>
      </c>
      <c r="S42" s="62">
        <f>VLOOKUP(A42,特工配置转化!A:Z,25,0)</f>
        <v>533</v>
      </c>
      <c r="T42" s="62">
        <f>VLOOKUP(A42,特工配置转化!A:Z,26,0)*10000</f>
        <v>0</v>
      </c>
      <c r="U42" s="3">
        <v>5000</v>
      </c>
      <c r="V42" s="3">
        <v>0</v>
      </c>
      <c r="W42" s="3">
        <v>0</v>
      </c>
      <c r="X42" s="3">
        <v>0</v>
      </c>
      <c r="Y42" s="3">
        <v>0</v>
      </c>
      <c r="Z42" s="62">
        <f>VLOOKUP(A42,特工配置转化!A:Z,21,0)*10000</f>
        <v>854381</v>
      </c>
      <c r="AA42" s="62">
        <f>VLOOKUP(A42,特工配置转化!A:Z,22,0)*10000</f>
        <v>164696</v>
      </c>
      <c r="AB42" s="62">
        <f>VLOOKUP(A42,特工配置转化!A:Z,23,0)*10000</f>
        <v>601353</v>
      </c>
      <c r="AC42" s="62">
        <f>VLOOKUP(A42,特工配置转化!A:Z,24,0)*10000</f>
        <v>343063</v>
      </c>
      <c r="AD42" s="62">
        <v>0</v>
      </c>
      <c r="AE42"/>
      <c r="AF42"/>
      <c r="AG42"/>
      <c r="AH42"/>
      <c r="AI42"/>
    </row>
    <row r="43" spans="1:40" s="1" customFormat="1" x14ac:dyDescent="0.2">
      <c r="A43" s="3">
        <v>1043</v>
      </c>
      <c r="B43" s="3"/>
      <c r="C43" s="3" t="s">
        <v>1399</v>
      </c>
      <c r="D43" s="3">
        <v>2</v>
      </c>
      <c r="E43" s="66">
        <v>2</v>
      </c>
      <c r="F43" s="3">
        <v>101</v>
      </c>
      <c r="G43" s="66">
        <v>1</v>
      </c>
      <c r="H43" s="3">
        <v>3</v>
      </c>
      <c r="I43" s="3">
        <v>4</v>
      </c>
      <c r="J43" s="66">
        <v>3</v>
      </c>
      <c r="K43" s="67" t="s">
        <v>914</v>
      </c>
      <c r="L43" s="62" t="s">
        <v>880</v>
      </c>
      <c r="M43" s="3"/>
      <c r="N43" s="3">
        <v>104305</v>
      </c>
      <c r="O43" s="3">
        <v>0</v>
      </c>
      <c r="P43" s="3">
        <v>0</v>
      </c>
      <c r="Q43" s="3">
        <v>0</v>
      </c>
      <c r="R43" s="3">
        <v>0</v>
      </c>
      <c r="S43" s="62">
        <f>VLOOKUP(A43,特工配置转化!A:Z,25,0)</f>
        <v>490</v>
      </c>
      <c r="T43" s="62">
        <f>VLOOKUP(A43,特工配置转化!A:Z,26,0)*10000</f>
        <v>500</v>
      </c>
      <c r="U43" s="3">
        <v>5000</v>
      </c>
      <c r="V43" s="3">
        <v>0</v>
      </c>
      <c r="W43" s="3">
        <v>0</v>
      </c>
      <c r="X43" s="3">
        <v>0</v>
      </c>
      <c r="Y43" s="3">
        <v>0</v>
      </c>
      <c r="Z43" s="62">
        <f>VLOOKUP(A43,特工配置转化!A:Z,21,0)*10000</f>
        <v>625951</v>
      </c>
      <c r="AA43" s="62">
        <f>VLOOKUP(A43,特工配置转化!A:Z,22,0)*10000</f>
        <v>225593</v>
      </c>
      <c r="AB43" s="62">
        <f>VLOOKUP(A43,特工配置转化!A:Z,23,0)*10000</f>
        <v>527990</v>
      </c>
      <c r="AC43" s="62">
        <f>VLOOKUP(A43,特工配置转化!A:Z,24,0)*10000</f>
        <v>316109</v>
      </c>
      <c r="AD43" s="62">
        <v>0</v>
      </c>
      <c r="AE43"/>
      <c r="AF43"/>
      <c r="AG43"/>
      <c r="AH43"/>
      <c r="AI43"/>
    </row>
    <row r="44" spans="1:40" s="1" customFormat="1" x14ac:dyDescent="0.2">
      <c r="A44" s="3">
        <v>1010</v>
      </c>
      <c r="B44" s="3"/>
      <c r="C44" s="3" t="s">
        <v>1400</v>
      </c>
      <c r="D44" s="3">
        <v>1</v>
      </c>
      <c r="E44" s="66">
        <v>4</v>
      </c>
      <c r="F44" s="3">
        <v>101</v>
      </c>
      <c r="G44" s="66">
        <v>1</v>
      </c>
      <c r="H44" s="3">
        <v>6</v>
      </c>
      <c r="I44" s="3">
        <v>4</v>
      </c>
      <c r="J44" s="66">
        <v>3</v>
      </c>
      <c r="K44" s="67" t="s">
        <v>909</v>
      </c>
      <c r="L44" s="62" t="s">
        <v>881</v>
      </c>
      <c r="M44" s="3"/>
      <c r="N44" s="3">
        <v>101005</v>
      </c>
      <c r="O44" s="3">
        <v>0</v>
      </c>
      <c r="P44" s="3">
        <v>0</v>
      </c>
      <c r="Q44" s="3">
        <v>0</v>
      </c>
      <c r="R44" s="3">
        <v>0</v>
      </c>
      <c r="S44" s="62">
        <f>VLOOKUP(A44,特工配置转化!A:Z,25,0)</f>
        <v>500</v>
      </c>
      <c r="T44" s="62">
        <f>VLOOKUP(A44,特工配置转化!A:Z,26,0)*10000</f>
        <v>500</v>
      </c>
      <c r="U44" s="3">
        <v>5000</v>
      </c>
      <c r="V44" s="3">
        <v>0</v>
      </c>
      <c r="W44" s="3">
        <v>0</v>
      </c>
      <c r="X44" s="3">
        <v>0</v>
      </c>
      <c r="Y44" s="3">
        <v>0</v>
      </c>
      <c r="Z44" s="62">
        <f>VLOOKUP(A44,特工配置转化!A:Z,21,0)*10000</f>
        <v>614141</v>
      </c>
      <c r="AA44" s="62">
        <f>VLOOKUP(A44,特工配置转化!A:Z,22,0)*10000</f>
        <v>222264.00000000003</v>
      </c>
      <c r="AB44" s="62">
        <f>VLOOKUP(A44,特工配置转化!A:Z,23,0)*10000</f>
        <v>544864</v>
      </c>
      <c r="AC44" s="62">
        <f>VLOOKUP(A44,特工配置转化!A:Z,24,0)*10000</f>
        <v>329011</v>
      </c>
      <c r="AD44" s="62">
        <v>0</v>
      </c>
      <c r="AE44"/>
      <c r="AF44"/>
      <c r="AG44"/>
      <c r="AH44"/>
      <c r="AI44"/>
    </row>
    <row r="45" spans="1:40" s="1" customFormat="1" x14ac:dyDescent="0.2">
      <c r="A45" s="3">
        <v>1046</v>
      </c>
      <c r="B45" s="3"/>
      <c r="C45" s="62" t="s">
        <v>1401</v>
      </c>
      <c r="D45" s="3">
        <v>1</v>
      </c>
      <c r="E45" s="66">
        <v>1</v>
      </c>
      <c r="F45" s="3">
        <v>101</v>
      </c>
      <c r="G45" s="66">
        <v>1</v>
      </c>
      <c r="H45" s="3">
        <v>3</v>
      </c>
      <c r="I45" s="3">
        <v>3</v>
      </c>
      <c r="J45" s="66">
        <v>3</v>
      </c>
      <c r="K45" s="67" t="s">
        <v>916</v>
      </c>
      <c r="L45" s="62" t="s">
        <v>882</v>
      </c>
      <c r="M45" s="3"/>
      <c r="N45" s="3">
        <v>104605</v>
      </c>
      <c r="O45" s="3">
        <v>0</v>
      </c>
      <c r="P45" s="3">
        <v>0</v>
      </c>
      <c r="Q45" s="3">
        <v>0</v>
      </c>
      <c r="R45" s="3">
        <v>0</v>
      </c>
      <c r="S45" s="62">
        <f>VLOOKUP(A45,特工配置转化!A:Z,25,0)</f>
        <v>510</v>
      </c>
      <c r="T45" s="62">
        <f>VLOOKUP(A45,特工配置转化!A:Z,26,0)*10000</f>
        <v>500</v>
      </c>
      <c r="U45" s="3">
        <v>5000</v>
      </c>
      <c r="V45" s="3">
        <v>0</v>
      </c>
      <c r="W45" s="3">
        <v>0</v>
      </c>
      <c r="X45" s="3">
        <v>0</v>
      </c>
      <c r="Y45" s="3">
        <v>0</v>
      </c>
      <c r="Z45" s="62">
        <f>VLOOKUP(A45,特工配置转化!A:Z,21,0)*10000</f>
        <v>629782</v>
      </c>
      <c r="AA45" s="62">
        <f>VLOOKUP(A45,特工配置转化!A:Z,22,0)*10000</f>
        <v>224869.99999999997</v>
      </c>
      <c r="AB45" s="62">
        <f>VLOOKUP(A45,特工配置转化!A:Z,23,0)*10000</f>
        <v>527990</v>
      </c>
      <c r="AC45" s="62">
        <f>VLOOKUP(A45,特工配置转化!A:Z,24,0)*10000</f>
        <v>316109</v>
      </c>
      <c r="AD45" s="62">
        <v>0</v>
      </c>
      <c r="AE45"/>
      <c r="AF45"/>
      <c r="AG45"/>
      <c r="AH45"/>
      <c r="AI45"/>
    </row>
    <row r="46" spans="1:40" s="1" customFormat="1" ht="15" thickBot="1" x14ac:dyDescent="0.25">
      <c r="A46" s="3">
        <v>1032</v>
      </c>
      <c r="B46" s="3"/>
      <c r="C46" s="3" t="s">
        <v>1402</v>
      </c>
      <c r="D46" s="3">
        <v>2</v>
      </c>
      <c r="E46" s="66">
        <v>2</v>
      </c>
      <c r="F46" s="3">
        <v>101</v>
      </c>
      <c r="G46" s="66">
        <v>1</v>
      </c>
      <c r="H46" s="3">
        <v>2</v>
      </c>
      <c r="I46" s="3">
        <v>2</v>
      </c>
      <c r="J46" s="66">
        <v>3</v>
      </c>
      <c r="K46" s="67" t="s">
        <v>910</v>
      </c>
      <c r="L46" s="62" t="s">
        <v>883</v>
      </c>
      <c r="M46" s="3"/>
      <c r="N46" s="3">
        <v>103205</v>
      </c>
      <c r="O46" s="3">
        <v>0</v>
      </c>
      <c r="P46" s="3">
        <v>0</v>
      </c>
      <c r="Q46" s="3">
        <v>0</v>
      </c>
      <c r="R46" s="3">
        <v>0</v>
      </c>
      <c r="S46" s="62">
        <f>VLOOKUP(A46,特工配置转化!A:Z,25,0)</f>
        <v>525</v>
      </c>
      <c r="T46" s="62">
        <f>VLOOKUP(A46,特工配置转化!A:Z,26,0)*10000</f>
        <v>500</v>
      </c>
      <c r="U46" s="3">
        <v>5000</v>
      </c>
      <c r="V46" s="3">
        <v>0</v>
      </c>
      <c r="W46" s="3">
        <v>0</v>
      </c>
      <c r="X46" s="3">
        <v>0</v>
      </c>
      <c r="Y46" s="3">
        <v>0</v>
      </c>
      <c r="Z46" s="62">
        <f>VLOOKUP(A46,特工配置转化!A:Z,21,0)*10000</f>
        <v>628824</v>
      </c>
      <c r="AA46" s="62">
        <f>VLOOKUP(A46,特工配置转化!A:Z,22,0)*10000</f>
        <v>222965.00000000003</v>
      </c>
      <c r="AB46" s="62">
        <f>VLOOKUP(A46,特工配置转化!A:Z,23,0)*10000</f>
        <v>531801</v>
      </c>
      <c r="AC46" s="62">
        <f>VLOOKUP(A46,特工配置转化!A:Z,24,0)*10000</f>
        <v>323528</v>
      </c>
      <c r="AD46" s="62">
        <v>0</v>
      </c>
      <c r="AE46"/>
      <c r="AF46"/>
      <c r="AG46"/>
      <c r="AH46"/>
      <c r="AI46"/>
    </row>
    <row r="47" spans="1:40" s="16" customFormat="1" x14ac:dyDescent="0.2">
      <c r="A47" s="3">
        <v>1001</v>
      </c>
      <c r="B47" s="3"/>
      <c r="C47" s="3" t="s">
        <v>1403</v>
      </c>
      <c r="D47" s="3">
        <v>2</v>
      </c>
      <c r="E47" s="3">
        <v>3</v>
      </c>
      <c r="F47" s="3">
        <v>100101</v>
      </c>
      <c r="G47" s="3">
        <v>1</v>
      </c>
      <c r="H47" s="3">
        <v>4</v>
      </c>
      <c r="I47" s="3">
        <v>2</v>
      </c>
      <c r="J47" s="66">
        <v>3</v>
      </c>
      <c r="K47" s="67" t="s">
        <v>915</v>
      </c>
      <c r="L47" s="3" t="s">
        <v>69</v>
      </c>
      <c r="M47" s="3"/>
      <c r="N47" s="3">
        <v>100105</v>
      </c>
      <c r="O47" s="3">
        <v>0</v>
      </c>
      <c r="P47" s="3">
        <v>0</v>
      </c>
      <c r="Q47" s="3">
        <v>0</v>
      </c>
      <c r="R47" s="3">
        <v>0</v>
      </c>
      <c r="S47" s="62">
        <f>VLOOKUP(A47,特工配置转化!A:Z,25,0)</f>
        <v>505</v>
      </c>
      <c r="T47" s="62">
        <f>VLOOKUP(A47,特工配置转化!A:Z,26,0)*10000</f>
        <v>500</v>
      </c>
      <c r="U47" s="3">
        <v>5000</v>
      </c>
      <c r="V47" s="3">
        <v>0</v>
      </c>
      <c r="W47" s="3">
        <v>0</v>
      </c>
      <c r="X47" s="3">
        <v>0</v>
      </c>
      <c r="Y47" s="3">
        <v>0</v>
      </c>
      <c r="Z47" s="62">
        <f>VLOOKUP(A47,特工配置转化!A:Z,21,0)*10000</f>
        <v>655637</v>
      </c>
      <c r="AA47" s="62">
        <f>VLOOKUP(A47,特工配置转化!A:Z,22,0)*10000</f>
        <v>216065</v>
      </c>
      <c r="AB47" s="62">
        <f>VLOOKUP(A47,特工配置转化!A:Z,23,0)*10000</f>
        <v>533434</v>
      </c>
      <c r="AC47" s="62">
        <f>VLOOKUP(A47,特工配置转化!A:Z,24,0)*10000</f>
        <v>332237</v>
      </c>
      <c r="AD47" s="62">
        <v>0</v>
      </c>
      <c r="AE47"/>
      <c r="AF47"/>
      <c r="AG47"/>
      <c r="AH47"/>
      <c r="AI47"/>
      <c r="AJ47"/>
      <c r="AK47"/>
      <c r="AL47"/>
      <c r="AM47"/>
      <c r="AN47"/>
    </row>
    <row r="48" spans="1:40" s="1" customFormat="1" x14ac:dyDescent="0.2">
      <c r="A48" s="3">
        <v>1011</v>
      </c>
      <c r="B48" s="3"/>
      <c r="C48" s="62" t="s">
        <v>1422</v>
      </c>
      <c r="D48" s="3">
        <v>2</v>
      </c>
      <c r="E48" s="3">
        <v>2</v>
      </c>
      <c r="F48" s="3">
        <v>101101</v>
      </c>
      <c r="G48" s="3">
        <v>4</v>
      </c>
      <c r="H48" s="3">
        <v>6</v>
      </c>
      <c r="I48" s="3">
        <v>4</v>
      </c>
      <c r="J48" s="66">
        <v>3</v>
      </c>
      <c r="K48" s="67" t="s">
        <v>1797</v>
      </c>
      <c r="L48" s="62" t="s">
        <v>1331</v>
      </c>
      <c r="M48" s="3"/>
      <c r="N48" s="3">
        <v>101105</v>
      </c>
      <c r="O48" s="3">
        <v>0</v>
      </c>
      <c r="P48" s="3">
        <v>0</v>
      </c>
      <c r="Q48" s="3">
        <v>0</v>
      </c>
      <c r="R48" s="3">
        <v>0</v>
      </c>
      <c r="S48" s="62">
        <f>VLOOKUP(A48,特工配置转化!A:Z,25,0)</f>
        <v>510</v>
      </c>
      <c r="T48" s="62">
        <f>VLOOKUP(A48,特工配置转化!A:Z,26,0)*10000</f>
        <v>500</v>
      </c>
      <c r="U48" s="3">
        <v>5000</v>
      </c>
      <c r="V48" s="3">
        <v>0</v>
      </c>
      <c r="W48" s="3">
        <v>0</v>
      </c>
      <c r="X48" s="3">
        <v>0</v>
      </c>
      <c r="Y48" s="3">
        <v>0</v>
      </c>
      <c r="Z48" s="62">
        <f>VLOOKUP(A48,特工配置转化!A:Z,21,0)*10000</f>
        <v>648648</v>
      </c>
      <c r="AA48" s="62">
        <f>VLOOKUP(A48,特工配置转化!A:Z,22,0)*10000</f>
        <v>215911</v>
      </c>
      <c r="AB48" s="62">
        <f>VLOOKUP(A48,特工配置转化!A:Z,23,0)*10000</f>
        <v>331914</v>
      </c>
      <c r="AC48" s="62">
        <f>VLOOKUP(A48,特工配置转化!A:Z,24,0)*10000</f>
        <v>541598</v>
      </c>
      <c r="AD48" s="62">
        <v>0</v>
      </c>
    </row>
    <row r="49" spans="1:35" s="1" customFormat="1" x14ac:dyDescent="0.2">
      <c r="A49" s="3">
        <v>1047</v>
      </c>
      <c r="B49" s="3"/>
      <c r="C49" s="3" t="s">
        <v>1404</v>
      </c>
      <c r="D49" s="3">
        <v>2</v>
      </c>
      <c r="E49" s="66">
        <v>1</v>
      </c>
      <c r="F49" s="3">
        <v>101</v>
      </c>
      <c r="G49" s="66">
        <v>1</v>
      </c>
      <c r="H49" s="3">
        <v>3</v>
      </c>
      <c r="I49" s="3">
        <v>2</v>
      </c>
      <c r="J49" s="66">
        <v>3</v>
      </c>
      <c r="K49" s="67" t="s">
        <v>903</v>
      </c>
      <c r="L49" s="62" t="s">
        <v>872</v>
      </c>
      <c r="M49" s="3"/>
      <c r="N49" s="3">
        <v>104705</v>
      </c>
      <c r="O49" s="3">
        <v>0</v>
      </c>
      <c r="P49" s="3">
        <v>0</v>
      </c>
      <c r="Q49" s="3">
        <v>0</v>
      </c>
      <c r="R49" s="3">
        <v>0</v>
      </c>
      <c r="S49" s="62">
        <f>VLOOKUP(A49,特工配置转化!A:Z,25,0)</f>
        <v>482</v>
      </c>
      <c r="T49" s="62">
        <f>VLOOKUP(A49,特工配置转化!A:Z,26,0)*10000</f>
        <v>500</v>
      </c>
      <c r="U49" s="3">
        <v>5000</v>
      </c>
      <c r="V49" s="3">
        <v>0</v>
      </c>
      <c r="W49" s="3">
        <v>0</v>
      </c>
      <c r="X49" s="3">
        <v>0</v>
      </c>
      <c r="Y49" s="3">
        <v>0</v>
      </c>
      <c r="Z49" s="62">
        <f>VLOOKUP(A49,特工配置转化!A:Z,21,0)*10000</f>
        <v>625632</v>
      </c>
      <c r="AA49" s="62">
        <f>VLOOKUP(A49,特工配置转化!A:Z,22,0)*10000</f>
        <v>225637</v>
      </c>
      <c r="AB49" s="62">
        <f>VLOOKUP(A49,特工配置转化!A:Z,23,0)*10000</f>
        <v>527990</v>
      </c>
      <c r="AC49" s="62">
        <f>VLOOKUP(A49,特工配置转化!A:Z,24,0)*10000</f>
        <v>316109</v>
      </c>
      <c r="AD49" s="62">
        <v>0</v>
      </c>
      <c r="AE49"/>
      <c r="AF49"/>
      <c r="AG49"/>
      <c r="AH49"/>
      <c r="AI49"/>
    </row>
    <row r="50" spans="1:35" s="1" customFormat="1" x14ac:dyDescent="0.2">
      <c r="A50" s="3">
        <v>1005</v>
      </c>
      <c r="B50" s="3"/>
      <c r="C50" s="3" t="s">
        <v>1656</v>
      </c>
      <c r="D50" s="3">
        <v>2</v>
      </c>
      <c r="E50" s="66">
        <v>3</v>
      </c>
      <c r="F50" s="3">
        <v>100501</v>
      </c>
      <c r="G50" s="66">
        <v>4</v>
      </c>
      <c r="H50" s="3">
        <v>1</v>
      </c>
      <c r="I50" s="3">
        <v>5</v>
      </c>
      <c r="J50" s="66">
        <v>3</v>
      </c>
      <c r="K50" s="67" t="s">
        <v>903</v>
      </c>
      <c r="L50" s="62" t="s">
        <v>884</v>
      </c>
      <c r="M50" s="3"/>
      <c r="N50" s="3">
        <v>100505</v>
      </c>
      <c r="O50" s="3">
        <v>0</v>
      </c>
      <c r="P50" s="3">
        <v>0</v>
      </c>
      <c r="Q50" s="3">
        <v>0</v>
      </c>
      <c r="R50" s="3">
        <v>0</v>
      </c>
      <c r="S50" s="62">
        <f>VLOOKUP(A50,特工配置转化!A:Z,25,0)</f>
        <v>485</v>
      </c>
      <c r="T50" s="62">
        <f>VLOOKUP(A50,特工配置转化!A:Z,26,0)*10000</f>
        <v>500</v>
      </c>
      <c r="U50" s="3">
        <v>5000</v>
      </c>
      <c r="V50" s="3">
        <v>0</v>
      </c>
      <c r="W50" s="3">
        <v>0</v>
      </c>
      <c r="X50" s="3">
        <v>0</v>
      </c>
      <c r="Y50" s="3">
        <v>0</v>
      </c>
      <c r="Z50" s="62">
        <f>VLOOKUP(A50,特工配置转化!A:Z,21,0)*10000</f>
        <v>651924.00000000012</v>
      </c>
      <c r="AA50" s="62">
        <f>VLOOKUP(A50,特工配置转化!A:Z,22,0)*10000</f>
        <v>221309</v>
      </c>
      <c r="AB50" s="62">
        <f>VLOOKUP(A50,特工配置转化!A:Z,23,0)*10000</f>
        <v>316109</v>
      </c>
      <c r="AC50" s="62">
        <f>VLOOKUP(A50,特工配置转化!A:Z,24,0)*10000</f>
        <v>524997</v>
      </c>
      <c r="AD50" s="62">
        <v>0</v>
      </c>
      <c r="AE50"/>
      <c r="AF50"/>
      <c r="AG50"/>
      <c r="AH50"/>
      <c r="AI50"/>
    </row>
    <row r="51" spans="1:35" s="1" customFormat="1" x14ac:dyDescent="0.2">
      <c r="A51" s="3">
        <v>1031</v>
      </c>
      <c r="B51" s="3"/>
      <c r="C51" s="62" t="s">
        <v>1540</v>
      </c>
      <c r="D51" s="3">
        <v>1</v>
      </c>
      <c r="E51" s="3">
        <v>2</v>
      </c>
      <c r="F51" s="3">
        <v>103101</v>
      </c>
      <c r="G51" s="3">
        <v>4</v>
      </c>
      <c r="H51" s="3">
        <v>4</v>
      </c>
      <c r="I51" s="3">
        <v>2</v>
      </c>
      <c r="J51" s="66">
        <v>3</v>
      </c>
      <c r="K51" s="67" t="s">
        <v>910</v>
      </c>
      <c r="L51" s="62" t="s">
        <v>885</v>
      </c>
      <c r="M51" s="3"/>
      <c r="N51" s="3">
        <v>103105</v>
      </c>
      <c r="O51" s="3">
        <v>0</v>
      </c>
      <c r="P51" s="3">
        <v>0</v>
      </c>
      <c r="Q51" s="3">
        <v>0</v>
      </c>
      <c r="R51" s="3">
        <v>0</v>
      </c>
      <c r="S51" s="62">
        <f>VLOOKUP(A51,特工配置转化!A:Z,25,0)</f>
        <v>480</v>
      </c>
      <c r="T51" s="62">
        <f>VLOOKUP(A51,特工配置转化!A:Z,26,0)*10000</f>
        <v>500</v>
      </c>
      <c r="U51" s="3">
        <v>5000</v>
      </c>
      <c r="V51" s="3">
        <v>0</v>
      </c>
      <c r="W51" s="3">
        <v>0</v>
      </c>
      <c r="X51" s="3">
        <v>0</v>
      </c>
      <c r="Y51" s="3">
        <v>0</v>
      </c>
      <c r="Z51" s="62">
        <f>VLOOKUP(A51,特工配置转化!A:Z,21,0)*10000</f>
        <v>633906</v>
      </c>
      <c r="AA51" s="62">
        <f>VLOOKUP(A51,特工配置转化!A:Z,22,0)*10000</f>
        <v>221870</v>
      </c>
      <c r="AB51" s="62">
        <f>VLOOKUP(A51,特工配置转化!A:Z,23,0)*10000</f>
        <v>322721</v>
      </c>
      <c r="AC51" s="62">
        <f>VLOOKUP(A51,特工配置转化!A:Z,24,0)*10000</f>
        <v>533434</v>
      </c>
      <c r="AD51" s="62">
        <v>0</v>
      </c>
      <c r="AE51"/>
      <c r="AF51"/>
      <c r="AG51"/>
      <c r="AH51"/>
      <c r="AI51"/>
    </row>
    <row r="52" spans="1:35" s="1" customFormat="1" x14ac:dyDescent="0.2">
      <c r="A52" s="3">
        <v>1028</v>
      </c>
      <c r="B52" s="3"/>
      <c r="C52" s="3" t="s">
        <v>1405</v>
      </c>
      <c r="D52" s="3">
        <v>1</v>
      </c>
      <c r="E52" s="66">
        <v>5</v>
      </c>
      <c r="F52" s="3">
        <v>101</v>
      </c>
      <c r="G52" s="66">
        <v>4</v>
      </c>
      <c r="H52" s="3">
        <v>1</v>
      </c>
      <c r="I52" s="3">
        <v>5</v>
      </c>
      <c r="J52" s="66">
        <v>3</v>
      </c>
      <c r="K52" s="67" t="s">
        <v>911</v>
      </c>
      <c r="L52" s="3" t="s">
        <v>85</v>
      </c>
      <c r="M52" s="3"/>
      <c r="N52" s="3">
        <v>102805</v>
      </c>
      <c r="O52" s="3">
        <v>0</v>
      </c>
      <c r="P52" s="3">
        <v>0</v>
      </c>
      <c r="Q52" s="3">
        <v>0</v>
      </c>
      <c r="R52" s="3">
        <v>0</v>
      </c>
      <c r="S52" s="62">
        <f>VLOOKUP(A52,特工配置转化!A:Z,25,0)</f>
        <v>490</v>
      </c>
      <c r="T52" s="62">
        <f>VLOOKUP(A52,特工配置转化!A:Z,26,0)*10000</f>
        <v>500</v>
      </c>
      <c r="U52" s="3">
        <v>5000</v>
      </c>
      <c r="V52" s="3">
        <v>0</v>
      </c>
      <c r="W52" s="3">
        <v>0</v>
      </c>
      <c r="X52" s="3">
        <v>0</v>
      </c>
      <c r="Y52" s="3">
        <v>0</v>
      </c>
      <c r="Z52" s="62">
        <f>VLOOKUP(A52,特工配置转化!A:Z,21,0)*10000</f>
        <v>648648</v>
      </c>
      <c r="AA52" s="62">
        <f>VLOOKUP(A52,特工配置转化!A:Z,22,0)*10000</f>
        <v>219625</v>
      </c>
      <c r="AB52" s="62">
        <f>VLOOKUP(A52,特工配置转化!A:Z,23,0)*10000</f>
        <v>319334</v>
      </c>
      <c r="AC52" s="62">
        <f>VLOOKUP(A52,特工配置转化!A:Z,24,0)*10000</f>
        <v>534250</v>
      </c>
      <c r="AD52" s="62">
        <v>0</v>
      </c>
      <c r="AE52"/>
      <c r="AF52"/>
      <c r="AG52"/>
      <c r="AH52"/>
      <c r="AI52"/>
    </row>
    <row r="53" spans="1:35" s="1" customFormat="1" x14ac:dyDescent="0.2">
      <c r="A53" s="3">
        <v>1054</v>
      </c>
      <c r="B53" s="3"/>
      <c r="C53" s="3" t="s">
        <v>1406</v>
      </c>
      <c r="D53" s="3">
        <v>1</v>
      </c>
      <c r="E53" s="66">
        <v>1</v>
      </c>
      <c r="F53" s="3">
        <v>101</v>
      </c>
      <c r="G53" s="66">
        <v>1</v>
      </c>
      <c r="H53" s="3">
        <v>4</v>
      </c>
      <c r="I53" s="3">
        <v>5</v>
      </c>
      <c r="J53" s="66">
        <v>3</v>
      </c>
      <c r="K53" s="67" t="s">
        <v>916</v>
      </c>
      <c r="L53" s="3" t="s">
        <v>86</v>
      </c>
      <c r="M53" s="3"/>
      <c r="N53" s="3">
        <v>105405</v>
      </c>
      <c r="O53" s="3">
        <v>0</v>
      </c>
      <c r="P53" s="3">
        <v>0</v>
      </c>
      <c r="Q53" s="3">
        <v>0</v>
      </c>
      <c r="R53" s="3">
        <v>0</v>
      </c>
      <c r="S53" s="62">
        <f>VLOOKUP(A53,特工配置转化!A:Z,25,0)</f>
        <v>485</v>
      </c>
      <c r="T53" s="62">
        <f>VLOOKUP(A53,特工配置转化!A:Z,26,0)*10000</f>
        <v>500</v>
      </c>
      <c r="U53" s="3">
        <v>5000</v>
      </c>
      <c r="V53" s="3">
        <v>0</v>
      </c>
      <c r="W53" s="3">
        <v>0</v>
      </c>
      <c r="X53" s="3">
        <v>0</v>
      </c>
      <c r="Y53" s="3">
        <v>0</v>
      </c>
      <c r="Z53" s="62">
        <f>VLOOKUP(A53,特工配置转化!A:Z,21,0)*10000</f>
        <v>647976</v>
      </c>
      <c r="AA53" s="62">
        <f>VLOOKUP(A53,特工配置转化!A:Z,22,0)*10000</f>
        <v>215737</v>
      </c>
      <c r="AB53" s="62">
        <f>VLOOKUP(A53,特工配置转化!A:Z,23,0)*10000</f>
        <v>538877</v>
      </c>
      <c r="AC53" s="62">
        <f>VLOOKUP(A53,特工配置转化!A:Z,24,0)*10000</f>
        <v>329011</v>
      </c>
      <c r="AD53" s="62">
        <v>0</v>
      </c>
      <c r="AE53"/>
      <c r="AF53"/>
      <c r="AG53"/>
      <c r="AH53"/>
      <c r="AI53"/>
    </row>
    <row r="54" spans="1:35" s="1" customFormat="1" x14ac:dyDescent="0.2">
      <c r="A54" s="3">
        <v>1019</v>
      </c>
      <c r="B54" s="3"/>
      <c r="C54" s="62" t="s">
        <v>1634</v>
      </c>
      <c r="D54" s="3">
        <v>2</v>
      </c>
      <c r="E54" s="3">
        <v>3</v>
      </c>
      <c r="F54" s="62">
        <v>101901</v>
      </c>
      <c r="G54" s="3">
        <v>4</v>
      </c>
      <c r="H54" s="3">
        <v>3</v>
      </c>
      <c r="I54" s="3">
        <v>2</v>
      </c>
      <c r="J54" s="66">
        <v>3</v>
      </c>
      <c r="K54" s="67" t="s">
        <v>917</v>
      </c>
      <c r="L54" s="3" t="s">
        <v>87</v>
      </c>
      <c r="M54" s="3"/>
      <c r="N54" s="3">
        <v>101905</v>
      </c>
      <c r="O54" s="3">
        <v>0</v>
      </c>
      <c r="P54" s="3">
        <v>0</v>
      </c>
      <c r="Q54" s="3">
        <v>0</v>
      </c>
      <c r="R54" s="3">
        <v>0</v>
      </c>
      <c r="S54" s="62">
        <f>VLOOKUP(A54,特工配置转化!A:Z,25,0)</f>
        <v>517</v>
      </c>
      <c r="T54" s="62">
        <f>VLOOKUP(A54,特工配置转化!A:Z,26,0)*10000</f>
        <v>500</v>
      </c>
      <c r="U54" s="3">
        <v>5000</v>
      </c>
      <c r="V54" s="3">
        <v>0</v>
      </c>
      <c r="W54" s="3">
        <v>0</v>
      </c>
      <c r="X54" s="3">
        <v>0</v>
      </c>
      <c r="Y54" s="3">
        <v>0</v>
      </c>
      <c r="Z54" s="62">
        <f>VLOOKUP(A54,特工配置转化!A:Z,21,0)*10000</f>
        <v>642096</v>
      </c>
      <c r="AA54" s="62">
        <f>VLOOKUP(A54,特工配置转化!A:Z,22,0)*10000</f>
        <v>216559</v>
      </c>
      <c r="AB54" s="62">
        <f>VLOOKUP(A54,特工配置转化!A:Z,23,0)*10000</f>
        <v>332237</v>
      </c>
      <c r="AC54" s="62">
        <f>VLOOKUP(A54,特工配置转化!A:Z,24,0)*10000</f>
        <v>544320</v>
      </c>
      <c r="AD54" s="62">
        <v>0</v>
      </c>
      <c r="AE54"/>
      <c r="AF54"/>
      <c r="AG54"/>
      <c r="AH54"/>
      <c r="AI54"/>
    </row>
    <row r="55" spans="1:35" s="8" customFormat="1" x14ac:dyDescent="0.2">
      <c r="A55" s="62">
        <v>1006</v>
      </c>
      <c r="B55" s="62"/>
      <c r="C55" s="62" t="s">
        <v>1423</v>
      </c>
      <c r="D55" s="62">
        <v>2</v>
      </c>
      <c r="E55" s="3">
        <v>1</v>
      </c>
      <c r="F55" s="62">
        <v>100601</v>
      </c>
      <c r="G55" s="62">
        <v>4</v>
      </c>
      <c r="H55" s="62">
        <v>6</v>
      </c>
      <c r="I55" s="62">
        <v>5</v>
      </c>
      <c r="J55" s="67">
        <v>3</v>
      </c>
      <c r="K55" s="67" t="s">
        <v>910</v>
      </c>
      <c r="L55" s="62" t="s">
        <v>89</v>
      </c>
      <c r="M55" s="62"/>
      <c r="N55" s="62">
        <v>100605</v>
      </c>
      <c r="O55" s="62">
        <v>0</v>
      </c>
      <c r="P55" s="62">
        <v>0</v>
      </c>
      <c r="Q55" s="62">
        <v>0</v>
      </c>
      <c r="R55" s="62">
        <v>0</v>
      </c>
      <c r="S55" s="62">
        <f>VLOOKUP(A55,特工配置转化!A:Z,25,0)</f>
        <v>500</v>
      </c>
      <c r="T55" s="62">
        <f>VLOOKUP(A55,特工配置转化!A:Z,26,0)*10000</f>
        <v>500</v>
      </c>
      <c r="U55" s="3">
        <v>5000</v>
      </c>
      <c r="V55" s="3">
        <v>0</v>
      </c>
      <c r="W55" s="3">
        <v>0</v>
      </c>
      <c r="X55" s="3">
        <v>0</v>
      </c>
      <c r="Y55" s="3">
        <v>0</v>
      </c>
      <c r="Z55" s="62">
        <f>VLOOKUP(A55,特工配置转化!A:Z,21,0)*10000</f>
        <v>648648</v>
      </c>
      <c r="AA55" s="62">
        <f>VLOOKUP(A55,特工配置转化!A:Z,22,0)*10000</f>
        <v>218826</v>
      </c>
      <c r="AB55" s="62">
        <f>VLOOKUP(A55,特工配置转化!A:Z,23,0)*10000</f>
        <v>323205</v>
      </c>
      <c r="AC55" s="62">
        <f>VLOOKUP(A55,特工配置转化!A:Z,24,0)*10000</f>
        <v>534522</v>
      </c>
      <c r="AD55" s="62">
        <v>0</v>
      </c>
    </row>
    <row r="56" spans="1:35" s="1" customFormat="1" x14ac:dyDescent="0.2">
      <c r="A56" s="3">
        <v>1024</v>
      </c>
      <c r="B56" s="3"/>
      <c r="C56" s="3" t="s">
        <v>1407</v>
      </c>
      <c r="D56" s="3">
        <v>2</v>
      </c>
      <c r="E56" s="3">
        <v>3</v>
      </c>
      <c r="F56" s="3">
        <v>101</v>
      </c>
      <c r="G56" s="3">
        <v>2</v>
      </c>
      <c r="H56" s="3">
        <v>1</v>
      </c>
      <c r="I56" s="3">
        <v>2</v>
      </c>
      <c r="J56" s="66">
        <v>4</v>
      </c>
      <c r="K56" s="67" t="s">
        <v>919</v>
      </c>
      <c r="L56" s="62" t="s">
        <v>887</v>
      </c>
      <c r="M56" s="3"/>
      <c r="N56" s="3">
        <v>102405</v>
      </c>
      <c r="O56" s="3">
        <v>0</v>
      </c>
      <c r="P56" s="3">
        <v>0</v>
      </c>
      <c r="Q56" s="3">
        <v>0</v>
      </c>
      <c r="R56" s="3">
        <v>0</v>
      </c>
      <c r="S56" s="62">
        <f>VLOOKUP(A56,特工配置转化!A:Z,25,0)</f>
        <v>443</v>
      </c>
      <c r="T56" s="62">
        <f>VLOOKUP(A56,特工配置转化!A:Z,26,0)*10000</f>
        <v>0</v>
      </c>
      <c r="U56" s="3">
        <v>5000</v>
      </c>
      <c r="V56" s="3">
        <v>0</v>
      </c>
      <c r="W56" s="3">
        <v>0</v>
      </c>
      <c r="X56" s="3">
        <v>0</v>
      </c>
      <c r="Y56" s="3">
        <v>0</v>
      </c>
      <c r="Z56" s="62">
        <f>VLOOKUP(A56,特工配置转化!A:Z,21,0)*10000</f>
        <v>1081474</v>
      </c>
      <c r="AA56" s="62">
        <f>VLOOKUP(A56,特工配置转化!A:Z,22,0)*10000</f>
        <v>132855</v>
      </c>
      <c r="AB56" s="62">
        <f>VLOOKUP(A56,特工配置转化!A:Z,23,0)*10000</f>
        <v>734877.99999999988</v>
      </c>
      <c r="AC56" s="62">
        <f>VLOOKUP(A56,特工配置转化!A:Z,24,0)*10000</f>
        <v>409194.00000000006</v>
      </c>
      <c r="AD56" s="62">
        <v>0</v>
      </c>
      <c r="AE56"/>
      <c r="AF56"/>
      <c r="AG56"/>
      <c r="AH56"/>
      <c r="AI56"/>
    </row>
    <row r="57" spans="1:35" s="1" customFormat="1" x14ac:dyDescent="0.2">
      <c r="A57" s="3">
        <v>1027</v>
      </c>
      <c r="B57" s="3"/>
      <c r="C57" s="3" t="s">
        <v>1408</v>
      </c>
      <c r="D57" s="3">
        <v>2</v>
      </c>
      <c r="E57" s="3">
        <v>2</v>
      </c>
      <c r="F57" s="3">
        <v>101</v>
      </c>
      <c r="G57" s="3">
        <v>3</v>
      </c>
      <c r="H57" s="3">
        <v>4</v>
      </c>
      <c r="I57" s="3">
        <v>2</v>
      </c>
      <c r="J57" s="66">
        <v>4</v>
      </c>
      <c r="K57" s="67" t="s">
        <v>1796</v>
      </c>
      <c r="L57" s="62" t="s">
        <v>888</v>
      </c>
      <c r="M57" s="3"/>
      <c r="N57" s="3">
        <v>102705</v>
      </c>
      <c r="O57" s="3">
        <v>0</v>
      </c>
      <c r="P57" s="3">
        <v>0</v>
      </c>
      <c r="Q57" s="3">
        <v>0</v>
      </c>
      <c r="R57" s="3">
        <v>0</v>
      </c>
      <c r="S57" s="62">
        <f>VLOOKUP(A57,特工配置转化!A:Z,25,0)</f>
        <v>459</v>
      </c>
      <c r="T57" s="62">
        <f>VLOOKUP(A57,特工配置转化!A:Z,26,0)*10000</f>
        <v>0</v>
      </c>
      <c r="U57" s="3">
        <v>5000</v>
      </c>
      <c r="V57" s="3">
        <v>0</v>
      </c>
      <c r="W57" s="3">
        <v>0</v>
      </c>
      <c r="X57" s="3">
        <v>0</v>
      </c>
      <c r="Y57" s="3">
        <v>0</v>
      </c>
      <c r="Z57" s="62">
        <f>VLOOKUP(A57,特工配置转化!A:Z,21,0)*10000</f>
        <v>928070</v>
      </c>
      <c r="AA57" s="62">
        <f>VLOOKUP(A57,特工配置转化!A:Z,22,0)*10000</f>
        <v>169398.00000000003</v>
      </c>
      <c r="AB57" s="62">
        <f>VLOOKUP(A57,特工配置转化!A:Z,23,0)*10000</f>
        <v>441418.00000000006</v>
      </c>
      <c r="AC57" s="62">
        <f>VLOOKUP(A57,特工配置转化!A:Z,24,0)*10000</f>
        <v>658816.00000000012</v>
      </c>
      <c r="AD57" s="62">
        <v>0</v>
      </c>
      <c r="AE57"/>
      <c r="AF57"/>
      <c r="AG57"/>
      <c r="AH57"/>
      <c r="AI57"/>
    </row>
    <row r="58" spans="1:35" s="1" customFormat="1" x14ac:dyDescent="0.2">
      <c r="A58" s="3">
        <v>1003</v>
      </c>
      <c r="B58" s="3"/>
      <c r="C58" s="3" t="s">
        <v>1409</v>
      </c>
      <c r="D58" s="3">
        <v>1</v>
      </c>
      <c r="E58" s="3">
        <v>2</v>
      </c>
      <c r="F58" s="3">
        <v>101</v>
      </c>
      <c r="G58" s="3">
        <v>5</v>
      </c>
      <c r="H58" s="3">
        <v>1</v>
      </c>
      <c r="I58" s="3">
        <v>2</v>
      </c>
      <c r="J58" s="66">
        <v>4</v>
      </c>
      <c r="K58" s="67" t="s">
        <v>918</v>
      </c>
      <c r="L58" s="127" t="s">
        <v>69</v>
      </c>
      <c r="M58" s="127"/>
      <c r="N58" s="127">
        <v>102705</v>
      </c>
      <c r="O58" s="3">
        <v>0</v>
      </c>
      <c r="P58" s="3">
        <v>0</v>
      </c>
      <c r="Q58" s="3">
        <v>0</v>
      </c>
      <c r="R58" s="3">
        <v>0</v>
      </c>
      <c r="S58" s="62">
        <f>VLOOKUP(A58,特工配置转化!A:Z,25,0)</f>
        <v>574</v>
      </c>
      <c r="T58" s="62">
        <f>VLOOKUP(A58,特工配置转化!A:Z,26,0)*10000</f>
        <v>0</v>
      </c>
      <c r="U58" s="3">
        <v>5000</v>
      </c>
      <c r="V58" s="3">
        <v>0</v>
      </c>
      <c r="W58" s="3">
        <v>0</v>
      </c>
      <c r="X58" s="3">
        <v>0</v>
      </c>
      <c r="Y58" s="3">
        <v>0</v>
      </c>
      <c r="Z58" s="62">
        <f>VLOOKUP(A58,特工配置转化!A:Z,21,0)*10000</f>
        <v>950667</v>
      </c>
      <c r="AA58" s="62">
        <f>VLOOKUP(A58,特工配置转化!A:Z,22,0)*10000</f>
        <v>177180</v>
      </c>
      <c r="AB58" s="62">
        <f>VLOOKUP(A58,特工配置转化!A:Z,23,0)*10000</f>
        <v>375768</v>
      </c>
      <c r="AC58" s="62">
        <f>VLOOKUP(A58,特工配置转化!A:Z,24,0)*10000</f>
        <v>659699</v>
      </c>
      <c r="AD58" s="62">
        <v>0</v>
      </c>
      <c r="AE58"/>
      <c r="AF58"/>
      <c r="AG58"/>
      <c r="AH58"/>
      <c r="AI58"/>
    </row>
    <row r="59" spans="1:35" s="1" customFormat="1" x14ac:dyDescent="0.2">
      <c r="A59" s="3">
        <v>1023</v>
      </c>
      <c r="B59" s="3"/>
      <c r="C59" s="3" t="s">
        <v>1410</v>
      </c>
      <c r="D59" s="3">
        <v>2</v>
      </c>
      <c r="E59" s="3">
        <v>1</v>
      </c>
      <c r="F59" s="3">
        <v>101</v>
      </c>
      <c r="G59" s="3">
        <v>5</v>
      </c>
      <c r="H59" s="3">
        <v>2</v>
      </c>
      <c r="I59" s="3">
        <v>5</v>
      </c>
      <c r="J59" s="66">
        <v>4</v>
      </c>
      <c r="K59" s="67" t="s">
        <v>920</v>
      </c>
      <c r="L59" s="62" t="s">
        <v>889</v>
      </c>
      <c r="M59" s="3"/>
      <c r="N59" s="3">
        <v>102305</v>
      </c>
      <c r="O59" s="3">
        <v>0</v>
      </c>
      <c r="P59" s="3">
        <v>0</v>
      </c>
      <c r="Q59" s="3">
        <v>0</v>
      </c>
      <c r="R59" s="3">
        <v>0</v>
      </c>
      <c r="S59" s="62">
        <f>VLOOKUP(A59,特工配置转化!A:Z,25,0)</f>
        <v>583</v>
      </c>
      <c r="T59" s="62">
        <f>VLOOKUP(A59,特工配置转化!A:Z,26,0)*10000</f>
        <v>0</v>
      </c>
      <c r="U59" s="3">
        <v>5000</v>
      </c>
      <c r="V59" s="3">
        <v>0</v>
      </c>
      <c r="W59" s="3">
        <v>0</v>
      </c>
      <c r="X59" s="3">
        <v>0</v>
      </c>
      <c r="Y59" s="3">
        <v>0</v>
      </c>
      <c r="Z59" s="62">
        <f>VLOOKUP(A59,特工配置转化!A:Z,21,0)*10000</f>
        <v>937278</v>
      </c>
      <c r="AA59" s="62">
        <f>VLOOKUP(A59,特工配置转化!A:Z,22,0)*10000</f>
        <v>174575</v>
      </c>
      <c r="AB59" s="62">
        <f>VLOOKUP(A59,特工配置转化!A:Z,23,0)*10000</f>
        <v>680231</v>
      </c>
      <c r="AC59" s="62">
        <f>VLOOKUP(A59,特工配置转化!A:Z,24,0)*10000</f>
        <v>382709</v>
      </c>
      <c r="AD59" s="62">
        <v>0</v>
      </c>
      <c r="AE59"/>
      <c r="AF59"/>
      <c r="AG59"/>
      <c r="AH59"/>
      <c r="AI59"/>
    </row>
    <row r="60" spans="1:35" s="1" customFormat="1" x14ac:dyDescent="0.2">
      <c r="A60" s="3">
        <v>1039</v>
      </c>
      <c r="B60" s="3"/>
      <c r="C60" s="3" t="s">
        <v>1411</v>
      </c>
      <c r="D60" s="3">
        <v>1</v>
      </c>
      <c r="E60" s="3">
        <v>1</v>
      </c>
      <c r="F60" s="3">
        <v>101</v>
      </c>
      <c r="G60" s="3">
        <v>1</v>
      </c>
      <c r="H60" s="3">
        <v>1</v>
      </c>
      <c r="I60" s="3">
        <v>5</v>
      </c>
      <c r="J60" s="66">
        <v>4</v>
      </c>
      <c r="K60" s="67" t="s">
        <v>909</v>
      </c>
      <c r="L60" s="62" t="s">
        <v>890</v>
      </c>
      <c r="M60" s="3"/>
      <c r="N60" s="3">
        <v>103905</v>
      </c>
      <c r="O60" s="3">
        <v>0</v>
      </c>
      <c r="P60" s="3">
        <v>0</v>
      </c>
      <c r="Q60" s="3">
        <v>0</v>
      </c>
      <c r="R60" s="3">
        <v>0</v>
      </c>
      <c r="S60" s="62">
        <f>VLOOKUP(A60,特工配置转化!A:Z,25,0)</f>
        <v>505</v>
      </c>
      <c r="T60" s="62">
        <f>VLOOKUP(A60,特工配置转化!A:Z,26,0)*10000</f>
        <v>500</v>
      </c>
      <c r="U60" s="3">
        <v>5000</v>
      </c>
      <c r="V60" s="3">
        <v>0</v>
      </c>
      <c r="W60" s="3">
        <v>0</v>
      </c>
      <c r="X60" s="3">
        <v>0</v>
      </c>
      <c r="Y60" s="3">
        <v>0</v>
      </c>
      <c r="Z60" s="62">
        <f>VLOOKUP(A60,特工配置转化!A:Z,21,0)*10000</f>
        <v>706250</v>
      </c>
      <c r="AA60" s="62">
        <f>VLOOKUP(A60,特工配置转化!A:Z,22,0)*10000</f>
        <v>241077</v>
      </c>
      <c r="AB60" s="62">
        <f>VLOOKUP(A60,特工配置转化!A:Z,23,0)*10000</f>
        <v>583996</v>
      </c>
      <c r="AC60" s="62">
        <f>VLOOKUP(A60,特工配置转化!A:Z,24,0)*10000</f>
        <v>351016</v>
      </c>
      <c r="AD60" s="62">
        <v>0</v>
      </c>
      <c r="AE60"/>
      <c r="AF60"/>
      <c r="AG60"/>
      <c r="AH60"/>
      <c r="AI60"/>
    </row>
    <row r="61" spans="1:35" s="1" customFormat="1" x14ac:dyDescent="0.2">
      <c r="A61" s="3">
        <v>1051</v>
      </c>
      <c r="B61" s="3"/>
      <c r="C61" s="62" t="s">
        <v>1658</v>
      </c>
      <c r="D61" s="3">
        <v>2</v>
      </c>
      <c r="E61" s="3">
        <v>3</v>
      </c>
      <c r="F61" s="3">
        <v>105101</v>
      </c>
      <c r="G61" s="3">
        <v>1</v>
      </c>
      <c r="H61" s="3">
        <v>5</v>
      </c>
      <c r="I61" s="3">
        <v>2</v>
      </c>
      <c r="J61" s="66">
        <v>4</v>
      </c>
      <c r="K61" s="67" t="s">
        <v>903</v>
      </c>
      <c r="L61" s="62" t="s">
        <v>891</v>
      </c>
      <c r="M61" s="3"/>
      <c r="N61" s="3">
        <v>105105</v>
      </c>
      <c r="O61" s="3">
        <v>0</v>
      </c>
      <c r="P61" s="3">
        <v>0</v>
      </c>
      <c r="Q61" s="3">
        <v>0</v>
      </c>
      <c r="R61" s="3">
        <v>0</v>
      </c>
      <c r="S61" s="62">
        <f>VLOOKUP(A61,特工配置转化!A:Z,25,0)</f>
        <v>485</v>
      </c>
      <c r="T61" s="62">
        <f>VLOOKUP(A61,特工配置转化!A:Z,26,0)*10000</f>
        <v>500</v>
      </c>
      <c r="U61" s="3">
        <v>5000</v>
      </c>
      <c r="V61" s="3">
        <v>0</v>
      </c>
      <c r="W61" s="3">
        <v>0</v>
      </c>
      <c r="X61" s="3">
        <v>0</v>
      </c>
      <c r="Y61" s="3">
        <v>0</v>
      </c>
      <c r="Z61" s="62">
        <f>VLOOKUP(A61,特工配置转化!A:Z,21,0)*10000</f>
        <v>715686</v>
      </c>
      <c r="AA61" s="62">
        <f>VLOOKUP(A61,特工配置转化!A:Z,22,0)*10000</f>
        <v>237384.99999999997</v>
      </c>
      <c r="AB61" s="62">
        <f>VLOOKUP(A61,特工配置转化!A:Z,23,0)*10000</f>
        <v>591147</v>
      </c>
      <c r="AC61" s="62">
        <f>VLOOKUP(A61,特工配置转化!A:Z,24,0)*10000</f>
        <v>354194.00000000006</v>
      </c>
      <c r="AD61" s="62">
        <v>0</v>
      </c>
      <c r="AE61"/>
      <c r="AF61"/>
      <c r="AG61"/>
      <c r="AH61"/>
      <c r="AI61"/>
    </row>
    <row r="62" spans="1:35" s="1" customFormat="1" x14ac:dyDescent="0.2">
      <c r="A62" s="3">
        <v>1021</v>
      </c>
      <c r="B62" s="3"/>
      <c r="C62" s="62" t="s">
        <v>1747</v>
      </c>
      <c r="D62" s="3">
        <v>2</v>
      </c>
      <c r="E62" s="3">
        <v>2</v>
      </c>
      <c r="F62" s="3">
        <v>102101</v>
      </c>
      <c r="G62" s="3">
        <v>1</v>
      </c>
      <c r="H62" s="3">
        <v>3</v>
      </c>
      <c r="I62" s="3">
        <v>2</v>
      </c>
      <c r="J62" s="66">
        <v>4</v>
      </c>
      <c r="K62" s="67" t="s">
        <v>903</v>
      </c>
      <c r="L62" s="62" t="s">
        <v>892</v>
      </c>
      <c r="M62" s="3"/>
      <c r="N62" s="3">
        <v>102105</v>
      </c>
      <c r="O62" s="3">
        <v>0</v>
      </c>
      <c r="P62" s="3">
        <v>0</v>
      </c>
      <c r="Q62" s="3">
        <v>0</v>
      </c>
      <c r="R62" s="3">
        <v>0</v>
      </c>
      <c r="S62" s="62">
        <f>VLOOKUP(A62,特工配置转化!A:Z,25,0)</f>
        <v>480</v>
      </c>
      <c r="T62" s="62">
        <f>VLOOKUP(A62,特工配置转化!A:Z,26,0)*10000</f>
        <v>500</v>
      </c>
      <c r="U62" s="3">
        <v>5000</v>
      </c>
      <c r="V62" s="3">
        <v>0</v>
      </c>
      <c r="W62" s="3">
        <v>0</v>
      </c>
      <c r="X62" s="3">
        <v>0</v>
      </c>
      <c r="Y62" s="3">
        <v>0</v>
      </c>
      <c r="Z62" s="62">
        <f>VLOOKUP(A62,特工配置转化!A:Z,21,0)*10000</f>
        <v>663966.00000000012</v>
      </c>
      <c r="AA62" s="62">
        <f>VLOOKUP(A62,特工配置转化!A:Z,22,0)*10000</f>
        <v>250453</v>
      </c>
      <c r="AB62" s="62">
        <f>VLOOKUP(A62,特工配置转化!A:Z,23,0)*10000</f>
        <v>583996</v>
      </c>
      <c r="AC62" s="62">
        <f>VLOOKUP(A62,特工配置转化!A:Z,24,0)*10000</f>
        <v>342540</v>
      </c>
      <c r="AD62" s="62">
        <v>0</v>
      </c>
      <c r="AE62"/>
      <c r="AF62"/>
      <c r="AG62"/>
      <c r="AH62"/>
      <c r="AI62"/>
    </row>
    <row r="63" spans="1:35" s="1" customFormat="1" x14ac:dyDescent="0.2">
      <c r="A63" s="3">
        <v>1020</v>
      </c>
      <c r="B63" s="3"/>
      <c r="C63" s="3" t="s">
        <v>1412</v>
      </c>
      <c r="D63" s="3">
        <v>2</v>
      </c>
      <c r="E63" s="3">
        <v>3</v>
      </c>
      <c r="F63" s="3">
        <v>101</v>
      </c>
      <c r="G63" s="3">
        <v>4</v>
      </c>
      <c r="H63" s="3">
        <v>3</v>
      </c>
      <c r="I63" s="3">
        <v>4</v>
      </c>
      <c r="J63" s="66">
        <v>4</v>
      </c>
      <c r="K63" s="67" t="s">
        <v>917</v>
      </c>
      <c r="L63" s="62" t="s">
        <v>893</v>
      </c>
      <c r="M63" s="3"/>
      <c r="N63" s="3">
        <v>102005</v>
      </c>
      <c r="O63" s="3">
        <v>0</v>
      </c>
      <c r="P63" s="3">
        <v>0</v>
      </c>
      <c r="Q63" s="3">
        <v>0</v>
      </c>
      <c r="R63" s="3">
        <v>0</v>
      </c>
      <c r="S63" s="62">
        <f>VLOOKUP(A63,特工配置转化!A:Z,25,0)</f>
        <v>485</v>
      </c>
      <c r="T63" s="62">
        <f>VLOOKUP(A63,特工配置转化!A:Z,26,0)*10000</f>
        <v>500</v>
      </c>
      <c r="U63" s="3">
        <v>5000</v>
      </c>
      <c r="V63" s="3">
        <v>0</v>
      </c>
      <c r="W63" s="3">
        <v>0</v>
      </c>
      <c r="X63" s="3">
        <v>0</v>
      </c>
      <c r="Y63" s="3">
        <v>0</v>
      </c>
      <c r="Z63" s="62">
        <f>VLOOKUP(A63,特工配置转化!A:Z,21,0)*10000</f>
        <v>714076</v>
      </c>
      <c r="AA63" s="62">
        <f>VLOOKUP(A63,特工配置转化!A:Z,22,0)*10000</f>
        <v>238126</v>
      </c>
      <c r="AB63" s="62">
        <f>VLOOKUP(A63,特工配置转化!A:Z,23,0)*10000</f>
        <v>353134</v>
      </c>
      <c r="AC63" s="62">
        <f>VLOOKUP(A63,特工配置转化!A:Z,24,0)*10000</f>
        <v>589955</v>
      </c>
      <c r="AD63" s="62">
        <v>0</v>
      </c>
      <c r="AE63"/>
      <c r="AF63"/>
      <c r="AG63"/>
      <c r="AH63"/>
      <c r="AI63"/>
    </row>
    <row r="64" spans="1:35" s="1" customFormat="1" x14ac:dyDescent="0.2">
      <c r="A64" s="3">
        <v>1045</v>
      </c>
      <c r="B64" s="3"/>
      <c r="C64" s="62" t="s">
        <v>1413</v>
      </c>
      <c r="D64" s="3">
        <v>1</v>
      </c>
      <c r="E64" s="3">
        <v>1</v>
      </c>
      <c r="F64" s="3">
        <v>101</v>
      </c>
      <c r="G64" s="3">
        <v>4</v>
      </c>
      <c r="H64" s="3">
        <v>4</v>
      </c>
      <c r="I64" s="3">
        <v>2</v>
      </c>
      <c r="J64" s="66">
        <v>4</v>
      </c>
      <c r="K64" s="67" t="s">
        <v>910</v>
      </c>
      <c r="L64" s="62" t="s">
        <v>894</v>
      </c>
      <c r="M64" s="3"/>
      <c r="N64" s="3">
        <v>104505</v>
      </c>
      <c r="O64" s="3">
        <v>0</v>
      </c>
      <c r="P64" s="3">
        <v>0</v>
      </c>
      <c r="Q64" s="3">
        <v>0</v>
      </c>
      <c r="R64" s="3">
        <v>0</v>
      </c>
      <c r="S64" s="62">
        <f>VLOOKUP(A64,特工配置转化!A:Z,25,0)</f>
        <v>485</v>
      </c>
      <c r="T64" s="62">
        <f>VLOOKUP(A64,特工配置转化!A:Z,26,0)*10000</f>
        <v>500</v>
      </c>
      <c r="U64" s="3">
        <v>5000</v>
      </c>
      <c r="V64" s="3">
        <v>0</v>
      </c>
      <c r="W64" s="3">
        <v>0</v>
      </c>
      <c r="X64" s="3">
        <v>0</v>
      </c>
      <c r="Y64" s="3">
        <v>0</v>
      </c>
      <c r="Z64" s="62">
        <f>VLOOKUP(A64,特工配置转化!A:Z,21,0)*10000</f>
        <v>724477</v>
      </c>
      <c r="AA64" s="62">
        <f>VLOOKUP(A64,特工配置转化!A:Z,22,0)*10000</f>
        <v>238386</v>
      </c>
      <c r="AB64" s="62">
        <f>VLOOKUP(A64,特工配置转化!A:Z,23,0)*10000</f>
        <v>347308</v>
      </c>
      <c r="AC64" s="62">
        <f>VLOOKUP(A64,特工配置转化!A:Z,24,0)*10000</f>
        <v>583996</v>
      </c>
      <c r="AD64" s="62">
        <v>0</v>
      </c>
      <c r="AE64"/>
      <c r="AF64"/>
      <c r="AG64"/>
      <c r="AH64"/>
      <c r="AI64"/>
    </row>
    <row r="65" spans="1:40" s="1" customFormat="1" ht="15" thickBot="1" x14ac:dyDescent="0.25">
      <c r="A65" s="3">
        <v>1017</v>
      </c>
      <c r="B65" s="3"/>
      <c r="C65" s="3" t="s">
        <v>1414</v>
      </c>
      <c r="D65" s="3">
        <v>2</v>
      </c>
      <c r="E65" s="3">
        <v>2</v>
      </c>
      <c r="F65" s="3">
        <v>101</v>
      </c>
      <c r="G65" s="3">
        <v>4</v>
      </c>
      <c r="H65" s="3">
        <v>1</v>
      </c>
      <c r="I65" s="3">
        <v>2</v>
      </c>
      <c r="J65" s="66">
        <v>4</v>
      </c>
      <c r="K65" s="67" t="s">
        <v>903</v>
      </c>
      <c r="L65" s="62" t="s">
        <v>895</v>
      </c>
      <c r="M65" s="3"/>
      <c r="N65" s="3">
        <v>101705</v>
      </c>
      <c r="O65" s="3">
        <v>0</v>
      </c>
      <c r="P65" s="3">
        <v>0</v>
      </c>
      <c r="Q65" s="3">
        <v>0</v>
      </c>
      <c r="R65" s="3">
        <v>0</v>
      </c>
      <c r="S65" s="62">
        <f>VLOOKUP(A65,特工配置转化!A:Z,25,0)</f>
        <v>480</v>
      </c>
      <c r="T65" s="62">
        <f>VLOOKUP(A65,特工配置转化!A:Z,26,0)*10000</f>
        <v>500</v>
      </c>
      <c r="U65" s="3">
        <v>5000</v>
      </c>
      <c r="V65" s="3">
        <v>0</v>
      </c>
      <c r="W65" s="3">
        <v>0</v>
      </c>
      <c r="X65" s="3">
        <v>0</v>
      </c>
      <c r="Y65" s="3">
        <v>0</v>
      </c>
      <c r="Z65" s="62">
        <f>VLOOKUP(A65,特工配置转化!A:Z,21,0)*10000</f>
        <v>712283</v>
      </c>
      <c r="AA65" s="62">
        <f>VLOOKUP(A65,特工配置转化!A:Z,22,0)*10000</f>
        <v>240418.99999999997</v>
      </c>
      <c r="AB65" s="62">
        <f>VLOOKUP(A65,特工配置转化!A:Z,23,0)*10000</f>
        <v>348367</v>
      </c>
      <c r="AC65" s="62">
        <f>VLOOKUP(A65,特工配置转化!A:Z,24,0)*10000</f>
        <v>583996</v>
      </c>
      <c r="AD65" s="62">
        <v>0</v>
      </c>
      <c r="AE65"/>
      <c r="AF65"/>
      <c r="AG65"/>
      <c r="AH65"/>
      <c r="AI65"/>
    </row>
    <row r="66" spans="1:40" s="119" customFormat="1" x14ac:dyDescent="0.2">
      <c r="A66" s="114">
        <v>1</v>
      </c>
      <c r="B66" s="114"/>
      <c r="C66" s="115" t="s">
        <v>938</v>
      </c>
      <c r="D66" s="115">
        <v>1</v>
      </c>
      <c r="E66" s="114">
        <v>3</v>
      </c>
      <c r="F66" s="62">
        <v>100101</v>
      </c>
      <c r="G66" s="115">
        <v>2</v>
      </c>
      <c r="H66" s="115">
        <v>1</v>
      </c>
      <c r="I66" s="115">
        <v>2</v>
      </c>
      <c r="J66" s="118">
        <v>2</v>
      </c>
      <c r="K66" s="116" t="s">
        <v>74</v>
      </c>
      <c r="L66" s="115" t="s">
        <v>72</v>
      </c>
      <c r="M66" s="115"/>
      <c r="N66" s="115">
        <v>100805</v>
      </c>
      <c r="O66" s="114">
        <v>0</v>
      </c>
      <c r="P66" s="114">
        <v>0</v>
      </c>
      <c r="Q66" s="114">
        <v>0</v>
      </c>
      <c r="R66" s="114">
        <v>0</v>
      </c>
      <c r="S66" s="115">
        <v>480</v>
      </c>
      <c r="T66" s="115">
        <v>1500</v>
      </c>
      <c r="U66" s="114">
        <v>5000</v>
      </c>
      <c r="V66" s="114">
        <v>0</v>
      </c>
      <c r="W66" s="114">
        <v>0</v>
      </c>
      <c r="X66" s="114">
        <v>0</v>
      </c>
      <c r="Y66" s="114">
        <v>0</v>
      </c>
      <c r="Z66" s="115">
        <v>712283</v>
      </c>
      <c r="AA66" s="115">
        <v>241103.99999999997</v>
      </c>
      <c r="AB66" s="115">
        <v>348367</v>
      </c>
      <c r="AC66" s="115">
        <v>583996</v>
      </c>
      <c r="AD66" s="115">
        <v>0</v>
      </c>
      <c r="AE66" s="117"/>
      <c r="AF66" s="117"/>
      <c r="AG66" s="117"/>
      <c r="AH66" s="117"/>
      <c r="AI66" s="117"/>
      <c r="AK66" s="120"/>
      <c r="AL66" s="120"/>
      <c r="AM66" s="120"/>
      <c r="AN66" s="120"/>
    </row>
    <row r="67" spans="1:40" s="120" customFormat="1" x14ac:dyDescent="0.2">
      <c r="A67" s="114">
        <v>2</v>
      </c>
      <c r="B67" s="114"/>
      <c r="C67" s="115" t="s">
        <v>938</v>
      </c>
      <c r="D67" s="115">
        <v>2</v>
      </c>
      <c r="E67" s="114">
        <v>3</v>
      </c>
      <c r="F67" s="62">
        <v>100101</v>
      </c>
      <c r="G67" s="115">
        <v>1</v>
      </c>
      <c r="H67" s="115">
        <v>1</v>
      </c>
      <c r="I67" s="115">
        <v>2</v>
      </c>
      <c r="J67" s="118">
        <v>2</v>
      </c>
      <c r="K67" s="118" t="s">
        <v>75</v>
      </c>
      <c r="L67" s="115" t="s">
        <v>76</v>
      </c>
      <c r="M67" s="115"/>
      <c r="N67" s="115">
        <v>100905</v>
      </c>
      <c r="O67" s="114">
        <v>0</v>
      </c>
      <c r="P67" s="114">
        <v>0</v>
      </c>
      <c r="Q67" s="114">
        <v>0</v>
      </c>
      <c r="R67" s="114">
        <v>0</v>
      </c>
      <c r="S67" s="115">
        <v>480</v>
      </c>
      <c r="T67" s="115">
        <v>1500</v>
      </c>
      <c r="U67" s="114">
        <v>5000</v>
      </c>
      <c r="V67" s="114">
        <v>0</v>
      </c>
      <c r="W67" s="114">
        <v>0</v>
      </c>
      <c r="X67" s="114">
        <v>0</v>
      </c>
      <c r="Y67" s="114">
        <v>0</v>
      </c>
      <c r="Z67" s="115">
        <v>712283</v>
      </c>
      <c r="AA67" s="115">
        <v>241103.99999999997</v>
      </c>
      <c r="AB67" s="115">
        <v>348367</v>
      </c>
      <c r="AC67" s="115">
        <v>583996</v>
      </c>
      <c r="AD67" s="115">
        <v>0</v>
      </c>
      <c r="AE67" s="117"/>
      <c r="AF67" s="117"/>
      <c r="AG67" s="117"/>
      <c r="AH67" s="117"/>
      <c r="AI67" s="117"/>
      <c r="AJ67" s="117"/>
    </row>
    <row r="68" spans="1:40" s="120" customFormat="1" x14ac:dyDescent="0.2">
      <c r="A68" s="114">
        <v>3</v>
      </c>
      <c r="B68" s="114"/>
      <c r="C68" s="115" t="s">
        <v>938</v>
      </c>
      <c r="D68" s="115">
        <v>2</v>
      </c>
      <c r="E68" s="114">
        <v>1</v>
      </c>
      <c r="F68" s="62">
        <v>100101</v>
      </c>
      <c r="G68" s="115">
        <v>4</v>
      </c>
      <c r="H68" s="115">
        <v>1</v>
      </c>
      <c r="I68" s="115">
        <v>2</v>
      </c>
      <c r="J68" s="118">
        <v>3</v>
      </c>
      <c r="K68" s="118" t="s">
        <v>88</v>
      </c>
      <c r="L68" s="115" t="s">
        <v>89</v>
      </c>
      <c r="M68" s="115"/>
      <c r="N68" s="115">
        <v>100605</v>
      </c>
      <c r="O68" s="114">
        <v>0</v>
      </c>
      <c r="P68" s="114">
        <v>0</v>
      </c>
      <c r="Q68" s="114">
        <v>0</v>
      </c>
      <c r="R68" s="114">
        <v>0</v>
      </c>
      <c r="S68" s="115">
        <v>480</v>
      </c>
      <c r="T68" s="115">
        <v>1500</v>
      </c>
      <c r="U68" s="114">
        <v>5000</v>
      </c>
      <c r="V68" s="114">
        <v>0</v>
      </c>
      <c r="W68" s="114">
        <v>0</v>
      </c>
      <c r="X68" s="114">
        <v>0</v>
      </c>
      <c r="Y68" s="114">
        <v>0</v>
      </c>
      <c r="Z68" s="115">
        <v>712283</v>
      </c>
      <c r="AA68" s="115">
        <v>241103.99999999997</v>
      </c>
      <c r="AB68" s="115">
        <v>348367</v>
      </c>
      <c r="AC68" s="115">
        <v>583996</v>
      </c>
      <c r="AD68" s="115">
        <v>0</v>
      </c>
      <c r="AE68" s="117"/>
      <c r="AF68" s="117"/>
      <c r="AG68" s="117"/>
      <c r="AH68" s="117"/>
      <c r="AI68" s="117"/>
      <c r="AJ68" s="117"/>
    </row>
    <row r="69" spans="1:40" s="121" customFormat="1" ht="15" thickBot="1" x14ac:dyDescent="0.25">
      <c r="A69" s="114">
        <v>4</v>
      </c>
      <c r="B69" s="114"/>
      <c r="C69" s="115" t="s">
        <v>938</v>
      </c>
      <c r="D69" s="114">
        <v>2</v>
      </c>
      <c r="E69" s="114">
        <v>3</v>
      </c>
      <c r="F69" s="3">
        <v>100101</v>
      </c>
      <c r="G69" s="114">
        <v>5</v>
      </c>
      <c r="H69" s="114">
        <v>1</v>
      </c>
      <c r="I69" s="114">
        <v>5</v>
      </c>
      <c r="J69" s="116">
        <v>3</v>
      </c>
      <c r="K69" s="116" t="s">
        <v>74</v>
      </c>
      <c r="L69" s="114" t="s">
        <v>83</v>
      </c>
      <c r="M69" s="114"/>
      <c r="N69" s="114">
        <v>102605</v>
      </c>
      <c r="O69" s="114">
        <v>0</v>
      </c>
      <c r="P69" s="114">
        <v>0</v>
      </c>
      <c r="Q69" s="114">
        <v>0</v>
      </c>
      <c r="R69" s="114">
        <v>0</v>
      </c>
      <c r="S69" s="115">
        <v>480</v>
      </c>
      <c r="T69" s="115">
        <v>1500</v>
      </c>
      <c r="U69" s="114">
        <v>5000</v>
      </c>
      <c r="V69" s="114">
        <v>0</v>
      </c>
      <c r="W69" s="114">
        <v>0</v>
      </c>
      <c r="X69" s="114">
        <v>0</v>
      </c>
      <c r="Y69" s="114">
        <v>0</v>
      </c>
      <c r="Z69" s="115">
        <v>712283</v>
      </c>
      <c r="AA69" s="115">
        <v>241103.99999999997</v>
      </c>
      <c r="AB69" s="115">
        <v>348367</v>
      </c>
      <c r="AC69" s="115">
        <v>583996</v>
      </c>
      <c r="AD69" s="115">
        <v>0</v>
      </c>
      <c r="AE69" s="117"/>
      <c r="AF69" s="117"/>
      <c r="AG69" s="117"/>
      <c r="AH69" s="117"/>
      <c r="AI69" s="117"/>
      <c r="AJ69" s="117"/>
      <c r="AK69" s="120"/>
      <c r="AL69" s="120"/>
      <c r="AM69" s="120"/>
      <c r="AN69" s="120"/>
    </row>
    <row r="70" spans="1:40" s="120" customFormat="1" x14ac:dyDescent="0.2">
      <c r="A70" s="114">
        <v>5</v>
      </c>
      <c r="B70" s="114"/>
      <c r="C70" s="115" t="s">
        <v>938</v>
      </c>
      <c r="D70" s="114">
        <v>2</v>
      </c>
      <c r="E70" s="114">
        <v>2</v>
      </c>
      <c r="F70" s="3">
        <v>100101</v>
      </c>
      <c r="G70" s="114">
        <v>3</v>
      </c>
      <c r="H70" s="114">
        <v>1</v>
      </c>
      <c r="I70" s="114">
        <v>5</v>
      </c>
      <c r="J70" s="116">
        <v>3</v>
      </c>
      <c r="K70" s="116" t="s">
        <v>74</v>
      </c>
      <c r="L70" s="114" t="s">
        <v>78</v>
      </c>
      <c r="M70" s="114"/>
      <c r="N70" s="114">
        <v>102505</v>
      </c>
      <c r="O70" s="114">
        <v>0</v>
      </c>
      <c r="P70" s="114">
        <v>0</v>
      </c>
      <c r="Q70" s="114">
        <v>0</v>
      </c>
      <c r="R70" s="114">
        <v>0</v>
      </c>
      <c r="S70" s="115">
        <v>480</v>
      </c>
      <c r="T70" s="115">
        <v>1500</v>
      </c>
      <c r="U70" s="114">
        <v>5000</v>
      </c>
      <c r="V70" s="114">
        <v>0</v>
      </c>
      <c r="W70" s="114">
        <v>0</v>
      </c>
      <c r="X70" s="114">
        <v>0</v>
      </c>
      <c r="Y70" s="114">
        <v>0</v>
      </c>
      <c r="Z70" s="115">
        <v>712283</v>
      </c>
      <c r="AA70" s="115">
        <v>241103.99999999997</v>
      </c>
      <c r="AB70" s="115">
        <v>348367</v>
      </c>
      <c r="AC70" s="115">
        <v>583996</v>
      </c>
      <c r="AD70" s="115">
        <v>0</v>
      </c>
      <c r="AE70" s="117"/>
      <c r="AF70" s="117"/>
      <c r="AG70" s="117"/>
      <c r="AH70" s="117"/>
      <c r="AI70" s="117"/>
      <c r="AJ70" s="117"/>
    </row>
    <row r="71" spans="1:40" s="120" customFormat="1" x14ac:dyDescent="0.2">
      <c r="A71" s="114">
        <v>6</v>
      </c>
      <c r="B71" s="114"/>
      <c r="C71" s="122" t="s">
        <v>90</v>
      </c>
      <c r="D71" s="114">
        <v>1</v>
      </c>
      <c r="E71" s="114">
        <v>1</v>
      </c>
      <c r="F71" s="3">
        <v>101</v>
      </c>
      <c r="G71" s="114">
        <v>2</v>
      </c>
      <c r="H71" s="114">
        <v>5</v>
      </c>
      <c r="I71" s="114">
        <v>1</v>
      </c>
      <c r="J71" s="116">
        <v>3</v>
      </c>
      <c r="K71" s="116" t="s">
        <v>74</v>
      </c>
      <c r="L71" s="115" t="s">
        <v>1361</v>
      </c>
      <c r="M71" s="114"/>
      <c r="N71" s="114"/>
      <c r="O71" s="114">
        <v>0</v>
      </c>
      <c r="P71" s="114">
        <v>0</v>
      </c>
      <c r="Q71" s="114">
        <v>0</v>
      </c>
      <c r="R71" s="114">
        <v>0</v>
      </c>
      <c r="S71" s="115">
        <v>480</v>
      </c>
      <c r="T71" s="115">
        <v>1500</v>
      </c>
      <c r="U71" s="114">
        <v>5000</v>
      </c>
      <c r="V71" s="114">
        <v>0</v>
      </c>
      <c r="W71" s="114">
        <v>0</v>
      </c>
      <c r="X71" s="114">
        <v>0</v>
      </c>
      <c r="Y71" s="114">
        <v>0</v>
      </c>
      <c r="Z71" s="115">
        <v>712283</v>
      </c>
      <c r="AA71" s="115">
        <v>241103.99999999997</v>
      </c>
      <c r="AB71" s="115">
        <v>348367</v>
      </c>
      <c r="AC71" s="115">
        <v>583996</v>
      </c>
      <c r="AD71" s="115">
        <v>0</v>
      </c>
      <c r="AE71" s="117"/>
      <c r="AF71" s="117"/>
      <c r="AG71" s="117"/>
      <c r="AH71" s="117"/>
      <c r="AI71" s="117"/>
      <c r="AJ71" s="117"/>
    </row>
    <row r="72" spans="1:40" s="120" customFormat="1" x14ac:dyDescent="0.2">
      <c r="A72" s="114">
        <v>7</v>
      </c>
      <c r="B72" s="114"/>
      <c r="C72" s="122" t="s">
        <v>91</v>
      </c>
      <c r="D72" s="114">
        <v>1</v>
      </c>
      <c r="E72" s="114">
        <v>2</v>
      </c>
      <c r="F72" s="3">
        <v>101</v>
      </c>
      <c r="G72" s="114">
        <v>4</v>
      </c>
      <c r="H72" s="114">
        <v>5</v>
      </c>
      <c r="I72" s="114">
        <v>1</v>
      </c>
      <c r="J72" s="116">
        <v>3</v>
      </c>
      <c r="K72" s="116" t="s">
        <v>74</v>
      </c>
      <c r="L72" s="115" t="s">
        <v>1361</v>
      </c>
      <c r="M72" s="114"/>
      <c r="N72" s="114"/>
      <c r="O72" s="114">
        <v>0</v>
      </c>
      <c r="P72" s="114">
        <v>0</v>
      </c>
      <c r="Q72" s="114">
        <v>0</v>
      </c>
      <c r="R72" s="114">
        <v>0</v>
      </c>
      <c r="S72" s="115">
        <v>480</v>
      </c>
      <c r="T72" s="115">
        <v>1500</v>
      </c>
      <c r="U72" s="114">
        <v>5000</v>
      </c>
      <c r="V72" s="114">
        <v>0</v>
      </c>
      <c r="W72" s="114">
        <v>0</v>
      </c>
      <c r="X72" s="114">
        <v>0</v>
      </c>
      <c r="Y72" s="114">
        <v>0</v>
      </c>
      <c r="Z72" s="115">
        <v>712283</v>
      </c>
      <c r="AA72" s="115">
        <v>241103.99999999997</v>
      </c>
      <c r="AB72" s="115">
        <v>348367</v>
      </c>
      <c r="AC72" s="115">
        <v>583996</v>
      </c>
      <c r="AD72" s="115">
        <v>0</v>
      </c>
      <c r="AE72" s="117"/>
      <c r="AF72" s="117"/>
      <c r="AG72" s="117"/>
      <c r="AH72" s="117"/>
      <c r="AI72" s="117"/>
      <c r="AJ72" s="117"/>
    </row>
    <row r="73" spans="1:40" s="120" customFormat="1" ht="15" thickBot="1" x14ac:dyDescent="0.25">
      <c r="A73" s="114">
        <v>8</v>
      </c>
      <c r="B73" s="114"/>
      <c r="C73" s="122" t="s">
        <v>92</v>
      </c>
      <c r="D73" s="114">
        <v>1</v>
      </c>
      <c r="E73" s="114">
        <v>3</v>
      </c>
      <c r="F73" s="3">
        <v>101</v>
      </c>
      <c r="G73" s="114">
        <v>6</v>
      </c>
      <c r="H73" s="114">
        <v>5</v>
      </c>
      <c r="I73" s="114">
        <v>1</v>
      </c>
      <c r="J73" s="116">
        <v>3</v>
      </c>
      <c r="K73" s="116" t="s">
        <v>74</v>
      </c>
      <c r="L73" s="115" t="s">
        <v>1361</v>
      </c>
      <c r="M73" s="114"/>
      <c r="N73" s="114"/>
      <c r="O73" s="114">
        <v>0</v>
      </c>
      <c r="P73" s="114">
        <v>0</v>
      </c>
      <c r="Q73" s="114">
        <v>0</v>
      </c>
      <c r="R73" s="114">
        <v>0</v>
      </c>
      <c r="S73" s="115">
        <v>480</v>
      </c>
      <c r="T73" s="115">
        <v>1500</v>
      </c>
      <c r="U73" s="114">
        <v>5000</v>
      </c>
      <c r="V73" s="114">
        <v>0</v>
      </c>
      <c r="W73" s="114">
        <v>0</v>
      </c>
      <c r="X73" s="114">
        <v>0</v>
      </c>
      <c r="Y73" s="114">
        <v>0</v>
      </c>
      <c r="Z73" s="115">
        <v>712283</v>
      </c>
      <c r="AA73" s="115">
        <v>241103.99999999997</v>
      </c>
      <c r="AB73" s="115">
        <v>348367</v>
      </c>
      <c r="AC73" s="115">
        <v>583996</v>
      </c>
      <c r="AD73" s="115">
        <v>0</v>
      </c>
      <c r="AE73" s="117"/>
      <c r="AF73" s="117"/>
      <c r="AG73" s="117"/>
      <c r="AH73" s="117"/>
      <c r="AI73" s="117"/>
      <c r="AJ73" s="117"/>
    </row>
    <row r="74" spans="1:40" s="119" customFormat="1" x14ac:dyDescent="0.2">
      <c r="A74" s="114">
        <v>9</v>
      </c>
      <c r="B74" s="114"/>
      <c r="C74" s="123" t="s">
        <v>940</v>
      </c>
      <c r="D74" s="114">
        <v>1</v>
      </c>
      <c r="E74" s="114">
        <v>3</v>
      </c>
      <c r="F74" s="3">
        <v>101</v>
      </c>
      <c r="G74" s="114">
        <v>6</v>
      </c>
      <c r="H74" s="114">
        <v>5</v>
      </c>
      <c r="I74" s="114">
        <v>1</v>
      </c>
      <c r="J74" s="116">
        <v>3</v>
      </c>
      <c r="K74" s="116" t="s">
        <v>74</v>
      </c>
      <c r="L74" s="115" t="s">
        <v>1361</v>
      </c>
      <c r="M74" s="114"/>
      <c r="N74" s="114"/>
      <c r="O74" s="114">
        <v>0</v>
      </c>
      <c r="P74" s="114">
        <v>0</v>
      </c>
      <c r="Q74" s="114">
        <v>0</v>
      </c>
      <c r="R74" s="114">
        <v>0</v>
      </c>
      <c r="S74" s="115">
        <v>480</v>
      </c>
      <c r="T74" s="115">
        <v>1500</v>
      </c>
      <c r="U74" s="114">
        <v>5000</v>
      </c>
      <c r="V74" s="114">
        <v>0</v>
      </c>
      <c r="W74" s="114">
        <v>0</v>
      </c>
      <c r="X74" s="114">
        <v>0</v>
      </c>
      <c r="Y74" s="114">
        <v>0</v>
      </c>
      <c r="Z74" s="115">
        <v>712283</v>
      </c>
      <c r="AA74" s="115">
        <v>241103.99999999997</v>
      </c>
      <c r="AB74" s="115">
        <v>348367</v>
      </c>
      <c r="AC74" s="115">
        <v>583996</v>
      </c>
      <c r="AD74" s="115">
        <v>0</v>
      </c>
      <c r="AE74" s="117"/>
      <c r="AF74" s="117"/>
      <c r="AG74" s="117"/>
      <c r="AH74" s="117"/>
      <c r="AI74" s="117"/>
      <c r="AJ74" s="117"/>
      <c r="AK74" s="120"/>
      <c r="AL74" s="120"/>
      <c r="AM74" s="120"/>
      <c r="AN74" s="120"/>
    </row>
    <row r="75" spans="1:40" s="120" customFormat="1" x14ac:dyDescent="0.2">
      <c r="A75" s="114">
        <v>10</v>
      </c>
      <c r="B75" s="114"/>
      <c r="C75" s="122" t="s">
        <v>93</v>
      </c>
      <c r="D75" s="114">
        <v>1</v>
      </c>
      <c r="E75" s="114">
        <v>2</v>
      </c>
      <c r="F75" s="3">
        <v>100101</v>
      </c>
      <c r="G75" s="114">
        <v>3</v>
      </c>
      <c r="H75" s="114">
        <v>5</v>
      </c>
      <c r="I75" s="114">
        <v>1</v>
      </c>
      <c r="J75" s="116">
        <v>3</v>
      </c>
      <c r="K75" s="116" t="s">
        <v>74</v>
      </c>
      <c r="L75" s="115" t="s">
        <v>1361</v>
      </c>
      <c r="M75" s="114"/>
      <c r="N75" s="114"/>
      <c r="O75" s="114">
        <v>0</v>
      </c>
      <c r="P75" s="114">
        <v>0</v>
      </c>
      <c r="Q75" s="114">
        <v>0</v>
      </c>
      <c r="R75" s="114">
        <v>0</v>
      </c>
      <c r="S75" s="115">
        <v>480</v>
      </c>
      <c r="T75" s="115">
        <v>1500</v>
      </c>
      <c r="U75" s="114">
        <v>5000</v>
      </c>
      <c r="V75" s="114">
        <v>0</v>
      </c>
      <c r="W75" s="114">
        <v>0</v>
      </c>
      <c r="X75" s="114">
        <v>0</v>
      </c>
      <c r="Y75" s="114">
        <v>0</v>
      </c>
      <c r="Z75" s="115">
        <v>712283</v>
      </c>
      <c r="AA75" s="115">
        <v>241103.99999999997</v>
      </c>
      <c r="AB75" s="115">
        <v>348367</v>
      </c>
      <c r="AC75" s="115">
        <v>583996</v>
      </c>
      <c r="AD75" s="115">
        <v>0</v>
      </c>
      <c r="AE75" s="117"/>
      <c r="AF75" s="117"/>
      <c r="AG75" s="117"/>
      <c r="AH75" s="117"/>
      <c r="AI75" s="117"/>
      <c r="AJ75" s="117"/>
    </row>
    <row r="76" spans="1:40" s="120" customFormat="1" x14ac:dyDescent="0.2">
      <c r="A76" s="114">
        <v>11</v>
      </c>
      <c r="B76" s="114"/>
      <c r="C76" s="122" t="s">
        <v>94</v>
      </c>
      <c r="D76" s="114">
        <v>1</v>
      </c>
      <c r="E76" s="114">
        <v>3</v>
      </c>
      <c r="F76" s="3">
        <v>100101</v>
      </c>
      <c r="G76" s="114">
        <v>5</v>
      </c>
      <c r="H76" s="114">
        <v>5</v>
      </c>
      <c r="I76" s="114">
        <v>1</v>
      </c>
      <c r="J76" s="116">
        <v>3</v>
      </c>
      <c r="K76" s="116" t="s">
        <v>74</v>
      </c>
      <c r="L76" s="115" t="s">
        <v>1361</v>
      </c>
      <c r="M76" s="114"/>
      <c r="N76" s="114"/>
      <c r="O76" s="114">
        <v>0</v>
      </c>
      <c r="P76" s="114">
        <v>0</v>
      </c>
      <c r="Q76" s="114">
        <v>0</v>
      </c>
      <c r="R76" s="114">
        <v>0</v>
      </c>
      <c r="S76" s="115">
        <v>480</v>
      </c>
      <c r="T76" s="115">
        <v>1500</v>
      </c>
      <c r="U76" s="114">
        <v>5000</v>
      </c>
      <c r="V76" s="114">
        <v>0</v>
      </c>
      <c r="W76" s="114">
        <v>0</v>
      </c>
      <c r="X76" s="114">
        <v>0</v>
      </c>
      <c r="Y76" s="114">
        <v>0</v>
      </c>
      <c r="Z76" s="115">
        <v>712283</v>
      </c>
      <c r="AA76" s="115">
        <v>241103.99999999997</v>
      </c>
      <c r="AB76" s="115">
        <v>348367</v>
      </c>
      <c r="AC76" s="115">
        <v>583996</v>
      </c>
      <c r="AD76" s="115">
        <v>0</v>
      </c>
      <c r="AE76" s="117"/>
      <c r="AF76" s="117"/>
      <c r="AG76" s="117"/>
      <c r="AH76" s="117"/>
      <c r="AI76" s="117"/>
      <c r="AJ76" s="117"/>
    </row>
    <row r="77" spans="1:40" s="121" customFormat="1" ht="15" thickBot="1" x14ac:dyDescent="0.25">
      <c r="A77" s="114">
        <v>12</v>
      </c>
      <c r="B77" s="114"/>
      <c r="C77" s="122" t="s">
        <v>95</v>
      </c>
      <c r="D77" s="114">
        <v>1</v>
      </c>
      <c r="E77" s="114">
        <v>1</v>
      </c>
      <c r="F77" s="3">
        <v>100101</v>
      </c>
      <c r="G77" s="114">
        <v>6</v>
      </c>
      <c r="H77" s="114">
        <v>5</v>
      </c>
      <c r="I77" s="114">
        <v>1</v>
      </c>
      <c r="J77" s="116">
        <v>3</v>
      </c>
      <c r="K77" s="116" t="s">
        <v>74</v>
      </c>
      <c r="L77" s="115" t="s">
        <v>1361</v>
      </c>
      <c r="M77" s="114"/>
      <c r="N77" s="114"/>
      <c r="O77" s="114">
        <v>0</v>
      </c>
      <c r="P77" s="114">
        <v>0</v>
      </c>
      <c r="Q77" s="114">
        <v>0</v>
      </c>
      <c r="R77" s="114">
        <v>0</v>
      </c>
      <c r="S77" s="115">
        <v>480</v>
      </c>
      <c r="T77" s="115">
        <v>1500</v>
      </c>
      <c r="U77" s="114">
        <v>5000</v>
      </c>
      <c r="V77" s="114">
        <v>0</v>
      </c>
      <c r="W77" s="114">
        <v>0</v>
      </c>
      <c r="X77" s="114">
        <v>0</v>
      </c>
      <c r="Y77" s="114">
        <v>0</v>
      </c>
      <c r="Z77" s="115">
        <v>712283</v>
      </c>
      <c r="AA77" s="115">
        <v>241103.99999999997</v>
      </c>
      <c r="AB77" s="115">
        <v>348367</v>
      </c>
      <c r="AC77" s="115">
        <v>583996</v>
      </c>
      <c r="AD77" s="115">
        <v>0</v>
      </c>
      <c r="AE77" s="117"/>
      <c r="AF77" s="117"/>
      <c r="AG77" s="117"/>
      <c r="AH77" s="117"/>
      <c r="AI77" s="117"/>
      <c r="AJ77" s="117"/>
      <c r="AK77" s="120"/>
      <c r="AL77" s="120"/>
      <c r="AM77" s="120"/>
      <c r="AN77" s="120"/>
    </row>
    <row r="78" spans="1:40" s="117" customFormat="1" x14ac:dyDescent="0.2">
      <c r="A78" s="114">
        <v>13</v>
      </c>
      <c r="B78" s="114"/>
      <c r="C78" s="122" t="s">
        <v>96</v>
      </c>
      <c r="D78" s="114">
        <v>1</v>
      </c>
      <c r="E78" s="114">
        <v>2</v>
      </c>
      <c r="F78" s="3">
        <v>100101</v>
      </c>
      <c r="G78" s="114">
        <v>2</v>
      </c>
      <c r="H78" s="113">
        <v>5</v>
      </c>
      <c r="I78" s="113">
        <v>1</v>
      </c>
      <c r="J78" s="116">
        <v>3</v>
      </c>
      <c r="K78" s="116" t="s">
        <v>74</v>
      </c>
      <c r="L78" s="115" t="s">
        <v>1361</v>
      </c>
      <c r="M78" s="114"/>
      <c r="N78" s="114"/>
      <c r="O78" s="114">
        <v>0</v>
      </c>
      <c r="P78" s="114">
        <v>0</v>
      </c>
      <c r="Q78" s="114">
        <v>0</v>
      </c>
      <c r="R78" s="114">
        <v>0</v>
      </c>
      <c r="S78" s="115">
        <v>480</v>
      </c>
      <c r="T78" s="115">
        <v>1500</v>
      </c>
      <c r="U78" s="114">
        <v>5000</v>
      </c>
      <c r="V78" s="114">
        <v>0</v>
      </c>
      <c r="W78" s="114">
        <v>0</v>
      </c>
      <c r="X78" s="114">
        <v>0</v>
      </c>
      <c r="Y78" s="114">
        <v>0</v>
      </c>
      <c r="Z78" s="115">
        <v>712283</v>
      </c>
      <c r="AA78" s="115">
        <v>241103.99999999997</v>
      </c>
      <c r="AB78" s="115">
        <v>348367</v>
      </c>
      <c r="AC78" s="115">
        <v>583996</v>
      </c>
      <c r="AD78" s="115">
        <v>0</v>
      </c>
      <c r="AK78" s="120"/>
      <c r="AL78" s="120"/>
      <c r="AM78" s="120"/>
      <c r="AN78" s="120"/>
    </row>
    <row r="79" spans="1:40" s="120" customFormat="1" x14ac:dyDescent="0.2">
      <c r="A79" s="114">
        <v>14</v>
      </c>
      <c r="B79" s="114"/>
      <c r="C79" s="122" t="s">
        <v>97</v>
      </c>
      <c r="D79" s="114">
        <v>1</v>
      </c>
      <c r="E79" s="114">
        <v>3</v>
      </c>
      <c r="F79" s="3">
        <v>100101</v>
      </c>
      <c r="G79" s="114">
        <v>3</v>
      </c>
      <c r="H79" s="114">
        <v>5</v>
      </c>
      <c r="I79" s="114">
        <v>1</v>
      </c>
      <c r="J79" s="116">
        <v>3</v>
      </c>
      <c r="K79" s="116" t="s">
        <v>74</v>
      </c>
      <c r="L79" s="115" t="s">
        <v>1361</v>
      </c>
      <c r="M79" s="114"/>
      <c r="N79" s="114"/>
      <c r="O79" s="114">
        <v>0</v>
      </c>
      <c r="P79" s="114">
        <v>0</v>
      </c>
      <c r="Q79" s="114">
        <v>0</v>
      </c>
      <c r="R79" s="114">
        <v>0</v>
      </c>
      <c r="S79" s="115">
        <v>480</v>
      </c>
      <c r="T79" s="115">
        <v>1500</v>
      </c>
      <c r="U79" s="114">
        <v>5000</v>
      </c>
      <c r="V79" s="114">
        <v>0</v>
      </c>
      <c r="W79" s="114">
        <v>0</v>
      </c>
      <c r="X79" s="114">
        <v>0</v>
      </c>
      <c r="Y79" s="114">
        <v>0</v>
      </c>
      <c r="Z79" s="115">
        <v>712283</v>
      </c>
      <c r="AA79" s="115">
        <v>241103.99999999997</v>
      </c>
      <c r="AB79" s="115">
        <v>348367</v>
      </c>
      <c r="AC79" s="115">
        <v>583996</v>
      </c>
      <c r="AD79" s="115">
        <v>0</v>
      </c>
      <c r="AE79" s="117"/>
      <c r="AF79" s="117"/>
      <c r="AG79" s="117"/>
      <c r="AH79" s="117"/>
      <c r="AI79" s="117"/>
      <c r="AJ79" s="117"/>
    </row>
    <row r="80" spans="1:40" s="124" customFormat="1" x14ac:dyDescent="0.2">
      <c r="A80" s="115">
        <v>15</v>
      </c>
      <c r="B80" s="115"/>
      <c r="C80" s="115" t="s">
        <v>938</v>
      </c>
      <c r="D80" s="115">
        <v>1</v>
      </c>
      <c r="E80" s="114">
        <v>1</v>
      </c>
      <c r="F80" s="3">
        <v>100101</v>
      </c>
      <c r="G80" s="115">
        <v>1</v>
      </c>
      <c r="H80" s="115">
        <v>1</v>
      </c>
      <c r="I80" s="115">
        <v>2</v>
      </c>
      <c r="J80" s="118">
        <v>2</v>
      </c>
      <c r="K80" s="118" t="s">
        <v>71</v>
      </c>
      <c r="L80" s="115" t="s">
        <v>1361</v>
      </c>
      <c r="M80" s="115"/>
      <c r="N80" s="115"/>
      <c r="O80" s="115">
        <v>0</v>
      </c>
      <c r="P80" s="115">
        <v>0</v>
      </c>
      <c r="Q80" s="115">
        <v>0</v>
      </c>
      <c r="R80" s="115">
        <v>0</v>
      </c>
      <c r="S80" s="115">
        <v>480</v>
      </c>
      <c r="T80" s="115">
        <v>1500</v>
      </c>
      <c r="U80" s="114">
        <v>5000</v>
      </c>
      <c r="V80" s="114">
        <v>0</v>
      </c>
      <c r="W80" s="114">
        <v>0</v>
      </c>
      <c r="X80" s="114">
        <v>0</v>
      </c>
      <c r="Y80" s="114">
        <v>0</v>
      </c>
      <c r="Z80" s="115">
        <v>712283</v>
      </c>
      <c r="AA80" s="115">
        <v>241103.99999999997</v>
      </c>
      <c r="AB80" s="115">
        <v>348367</v>
      </c>
      <c r="AC80" s="115">
        <v>583996</v>
      </c>
      <c r="AD80" s="115">
        <v>0</v>
      </c>
    </row>
    <row r="81" spans="1:41" s="124" customFormat="1" x14ac:dyDescent="0.2">
      <c r="A81" s="115">
        <v>16</v>
      </c>
      <c r="B81" s="115"/>
      <c r="C81" s="115" t="s">
        <v>98</v>
      </c>
      <c r="D81" s="115">
        <v>2</v>
      </c>
      <c r="E81" s="114">
        <v>2</v>
      </c>
      <c r="F81" s="62">
        <v>101001</v>
      </c>
      <c r="G81" s="115">
        <v>2</v>
      </c>
      <c r="H81" s="115">
        <v>1</v>
      </c>
      <c r="I81" s="115">
        <v>2</v>
      </c>
      <c r="J81" s="118">
        <v>2</v>
      </c>
      <c r="K81" s="118" t="s">
        <v>88</v>
      </c>
      <c r="L81" s="115" t="s">
        <v>1361</v>
      </c>
      <c r="M81" s="115"/>
      <c r="N81" s="115"/>
      <c r="O81" s="115">
        <v>0</v>
      </c>
      <c r="P81" s="115">
        <v>0</v>
      </c>
      <c r="Q81" s="115">
        <v>0</v>
      </c>
      <c r="R81" s="115">
        <v>0</v>
      </c>
      <c r="S81" s="115">
        <v>480</v>
      </c>
      <c r="T81" s="115">
        <v>1500</v>
      </c>
      <c r="U81" s="114">
        <v>5000</v>
      </c>
      <c r="V81" s="114">
        <v>0</v>
      </c>
      <c r="W81" s="114">
        <v>0</v>
      </c>
      <c r="X81" s="114">
        <v>0</v>
      </c>
      <c r="Y81" s="114">
        <v>0</v>
      </c>
      <c r="Z81" s="115">
        <v>712283</v>
      </c>
      <c r="AA81" s="115">
        <v>241103.99999999997</v>
      </c>
      <c r="AB81" s="115">
        <v>348367</v>
      </c>
      <c r="AC81" s="115">
        <v>583996</v>
      </c>
      <c r="AD81" s="115">
        <v>0</v>
      </c>
    </row>
    <row r="82" spans="1:41" s="124" customFormat="1" x14ac:dyDescent="0.2">
      <c r="A82" s="115">
        <v>17</v>
      </c>
      <c r="B82" s="115"/>
      <c r="C82" s="115" t="s">
        <v>98</v>
      </c>
      <c r="D82" s="115">
        <v>2</v>
      </c>
      <c r="E82" s="114">
        <v>3</v>
      </c>
      <c r="F82" s="62">
        <v>101001</v>
      </c>
      <c r="G82" s="115">
        <v>2</v>
      </c>
      <c r="H82" s="115">
        <v>1</v>
      </c>
      <c r="I82" s="115">
        <v>2</v>
      </c>
      <c r="J82" s="118">
        <v>2</v>
      </c>
      <c r="K82" s="118" t="s">
        <v>88</v>
      </c>
      <c r="L82" s="115" t="s">
        <v>1361</v>
      </c>
      <c r="M82" s="115"/>
      <c r="N82" s="115"/>
      <c r="O82" s="115">
        <v>0</v>
      </c>
      <c r="P82" s="115">
        <v>0</v>
      </c>
      <c r="Q82" s="115">
        <v>0</v>
      </c>
      <c r="R82" s="115">
        <v>0</v>
      </c>
      <c r="S82" s="115">
        <v>480</v>
      </c>
      <c r="T82" s="115">
        <v>1500</v>
      </c>
      <c r="U82" s="114">
        <v>5000</v>
      </c>
      <c r="V82" s="114">
        <v>0</v>
      </c>
      <c r="W82" s="114">
        <v>0</v>
      </c>
      <c r="X82" s="114">
        <v>0</v>
      </c>
      <c r="Y82" s="114">
        <v>0</v>
      </c>
      <c r="Z82" s="115">
        <v>712283</v>
      </c>
      <c r="AA82" s="115">
        <v>241103.99999999997</v>
      </c>
      <c r="AB82" s="115">
        <v>348367</v>
      </c>
      <c r="AC82" s="115">
        <v>583996</v>
      </c>
      <c r="AD82" s="115">
        <v>0</v>
      </c>
    </row>
    <row r="83" spans="1:41" s="125" customFormat="1" ht="15" thickBot="1" x14ac:dyDescent="0.25">
      <c r="A83" s="114">
        <v>101</v>
      </c>
      <c r="B83" s="114"/>
      <c r="C83" s="114" t="s">
        <v>99</v>
      </c>
      <c r="D83" s="114">
        <v>2</v>
      </c>
      <c r="E83" s="114">
        <v>3</v>
      </c>
      <c r="F83" s="3">
        <v>100101</v>
      </c>
      <c r="G83" s="114">
        <v>4</v>
      </c>
      <c r="H83" s="113"/>
      <c r="I83" s="113"/>
      <c r="J83" s="116">
        <v>1</v>
      </c>
      <c r="K83" s="116" t="s">
        <v>100</v>
      </c>
      <c r="L83" s="115" t="s">
        <v>1361</v>
      </c>
      <c r="M83" s="114"/>
      <c r="N83" s="114"/>
      <c r="O83" s="114">
        <v>0</v>
      </c>
      <c r="P83" s="114">
        <v>0</v>
      </c>
      <c r="Q83" s="114">
        <v>0</v>
      </c>
      <c r="R83" s="114">
        <v>0</v>
      </c>
      <c r="S83" s="115">
        <v>480</v>
      </c>
      <c r="T83" s="115">
        <v>1500</v>
      </c>
      <c r="U83" s="114">
        <v>5000</v>
      </c>
      <c r="V83" s="114">
        <v>0</v>
      </c>
      <c r="W83" s="114">
        <v>0</v>
      </c>
      <c r="X83" s="114">
        <v>0</v>
      </c>
      <c r="Y83" s="114">
        <v>0</v>
      </c>
      <c r="Z83" s="115">
        <v>712283</v>
      </c>
      <c r="AA83" s="115">
        <v>241103.99999999997</v>
      </c>
      <c r="AB83" s="115">
        <v>348367</v>
      </c>
      <c r="AC83" s="115">
        <v>583996</v>
      </c>
      <c r="AD83" s="115">
        <v>0</v>
      </c>
      <c r="AE83" s="117"/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spans="1:41" s="124" customFormat="1" x14ac:dyDescent="0.2">
      <c r="A84" s="115">
        <v>2002</v>
      </c>
      <c r="B84" s="115"/>
      <c r="C84" s="115" t="s">
        <v>101</v>
      </c>
      <c r="D84" s="115">
        <v>2</v>
      </c>
      <c r="E84" s="114">
        <v>1</v>
      </c>
      <c r="F84" s="3">
        <v>100101</v>
      </c>
      <c r="G84" s="115">
        <v>2</v>
      </c>
      <c r="H84" s="115">
        <v>1</v>
      </c>
      <c r="I84" s="115">
        <v>2</v>
      </c>
      <c r="J84" s="118">
        <v>2</v>
      </c>
      <c r="K84" s="118" t="s">
        <v>88</v>
      </c>
      <c r="L84" s="122" t="s">
        <v>102</v>
      </c>
      <c r="M84" s="115"/>
      <c r="N84" s="115"/>
      <c r="O84" s="115">
        <v>0</v>
      </c>
      <c r="P84" s="115">
        <v>0</v>
      </c>
      <c r="Q84" s="115">
        <v>0</v>
      </c>
      <c r="R84" s="115">
        <v>0</v>
      </c>
      <c r="S84" s="115">
        <v>480</v>
      </c>
      <c r="T84" s="115">
        <v>1500</v>
      </c>
      <c r="U84" s="114">
        <v>5000</v>
      </c>
      <c r="V84" s="114">
        <v>0</v>
      </c>
      <c r="W84" s="114">
        <v>0</v>
      </c>
      <c r="X84" s="114">
        <v>0</v>
      </c>
      <c r="Y84" s="114">
        <v>0</v>
      </c>
      <c r="Z84" s="115">
        <v>712283</v>
      </c>
      <c r="AA84" s="115">
        <v>241103.99999999997</v>
      </c>
      <c r="AB84" s="115">
        <v>348367</v>
      </c>
      <c r="AC84" s="115">
        <v>583996</v>
      </c>
      <c r="AD84" s="115">
        <v>0</v>
      </c>
    </row>
    <row r="85" spans="1:41" s="124" customFormat="1" x14ac:dyDescent="0.2">
      <c r="A85" s="115">
        <v>2008</v>
      </c>
      <c r="B85" s="115"/>
      <c r="C85" s="115" t="s">
        <v>101</v>
      </c>
      <c r="D85" s="115">
        <v>2</v>
      </c>
      <c r="E85" s="114">
        <v>2</v>
      </c>
      <c r="F85" s="3">
        <v>100101</v>
      </c>
      <c r="G85" s="115">
        <v>2</v>
      </c>
      <c r="H85" s="115">
        <v>1</v>
      </c>
      <c r="I85" s="115">
        <v>2</v>
      </c>
      <c r="J85" s="118">
        <v>2</v>
      </c>
      <c r="K85" s="118" t="s">
        <v>88</v>
      </c>
      <c r="L85" s="113" t="s">
        <v>103</v>
      </c>
      <c r="M85" s="115"/>
      <c r="N85" s="115"/>
      <c r="O85" s="115">
        <v>0</v>
      </c>
      <c r="P85" s="115">
        <v>0</v>
      </c>
      <c r="Q85" s="115">
        <v>0</v>
      </c>
      <c r="R85" s="115">
        <v>0</v>
      </c>
      <c r="S85" s="115">
        <v>480</v>
      </c>
      <c r="T85" s="115">
        <v>1500</v>
      </c>
      <c r="U85" s="114">
        <v>5000</v>
      </c>
      <c r="V85" s="114">
        <v>0</v>
      </c>
      <c r="W85" s="114">
        <v>0</v>
      </c>
      <c r="X85" s="114">
        <v>0</v>
      </c>
      <c r="Y85" s="114">
        <v>0</v>
      </c>
      <c r="Z85" s="115">
        <v>712283</v>
      </c>
      <c r="AA85" s="115">
        <v>241103.99999999997</v>
      </c>
      <c r="AB85" s="115">
        <v>348367</v>
      </c>
      <c r="AC85" s="115">
        <v>583996</v>
      </c>
      <c r="AD85" s="115">
        <v>0</v>
      </c>
    </row>
    <row r="86" spans="1:41" s="124" customFormat="1" x14ac:dyDescent="0.2">
      <c r="A86" s="115">
        <v>2011</v>
      </c>
      <c r="B86" s="115"/>
      <c r="C86" s="115" t="s">
        <v>101</v>
      </c>
      <c r="D86" s="115">
        <v>2</v>
      </c>
      <c r="E86" s="114">
        <v>1</v>
      </c>
      <c r="F86" s="3">
        <v>100101</v>
      </c>
      <c r="G86" s="115">
        <v>2</v>
      </c>
      <c r="H86" s="115">
        <v>1</v>
      </c>
      <c r="I86" s="115">
        <v>2</v>
      </c>
      <c r="J86" s="118">
        <v>2</v>
      </c>
      <c r="K86" s="118" t="s">
        <v>88</v>
      </c>
      <c r="L86" s="113" t="s">
        <v>104</v>
      </c>
      <c r="M86" s="115"/>
      <c r="N86" s="115"/>
      <c r="O86" s="115">
        <v>0</v>
      </c>
      <c r="P86" s="115">
        <v>0</v>
      </c>
      <c r="Q86" s="115">
        <v>0</v>
      </c>
      <c r="R86" s="115">
        <v>0</v>
      </c>
      <c r="S86" s="115">
        <v>480</v>
      </c>
      <c r="T86" s="115">
        <v>1500</v>
      </c>
      <c r="U86" s="114">
        <v>5000</v>
      </c>
      <c r="V86" s="114">
        <v>0</v>
      </c>
      <c r="W86" s="114">
        <v>0</v>
      </c>
      <c r="X86" s="114">
        <v>0</v>
      </c>
      <c r="Y86" s="114">
        <v>0</v>
      </c>
      <c r="Z86" s="115">
        <v>712283</v>
      </c>
      <c r="AA86" s="115">
        <v>241103.99999999997</v>
      </c>
      <c r="AB86" s="115">
        <v>348367</v>
      </c>
      <c r="AC86" s="115">
        <v>583996</v>
      </c>
      <c r="AD86" s="115">
        <v>0</v>
      </c>
    </row>
    <row r="87" spans="1:41" s="124" customFormat="1" x14ac:dyDescent="0.2">
      <c r="A87" s="115">
        <v>2013</v>
      </c>
      <c r="B87" s="115"/>
      <c r="C87" s="115" t="s">
        <v>101</v>
      </c>
      <c r="D87" s="115">
        <v>2</v>
      </c>
      <c r="E87" s="114">
        <v>2</v>
      </c>
      <c r="F87" s="3">
        <v>100101</v>
      </c>
      <c r="G87" s="115">
        <v>2</v>
      </c>
      <c r="H87" s="115">
        <v>1</v>
      </c>
      <c r="I87" s="115">
        <v>2</v>
      </c>
      <c r="J87" s="118">
        <v>2</v>
      </c>
      <c r="K87" s="118" t="s">
        <v>88</v>
      </c>
      <c r="L87" s="122" t="s">
        <v>105</v>
      </c>
      <c r="M87" s="115"/>
      <c r="N87" s="115"/>
      <c r="O87" s="115">
        <v>0</v>
      </c>
      <c r="P87" s="115">
        <v>0</v>
      </c>
      <c r="Q87" s="115">
        <v>0</v>
      </c>
      <c r="R87" s="115">
        <v>0</v>
      </c>
      <c r="S87" s="115">
        <v>480</v>
      </c>
      <c r="T87" s="115">
        <v>1500</v>
      </c>
      <c r="U87" s="114">
        <v>5000</v>
      </c>
      <c r="V87" s="114">
        <v>0</v>
      </c>
      <c r="W87" s="114">
        <v>0</v>
      </c>
      <c r="X87" s="114">
        <v>0</v>
      </c>
      <c r="Y87" s="114">
        <v>0</v>
      </c>
      <c r="Z87" s="115">
        <v>712283</v>
      </c>
      <c r="AA87" s="115">
        <v>241103.99999999997</v>
      </c>
      <c r="AB87" s="115">
        <v>348367</v>
      </c>
      <c r="AC87" s="115">
        <v>583996</v>
      </c>
      <c r="AD87" s="115">
        <v>0</v>
      </c>
    </row>
    <row r="88" spans="1:41" s="117" customFormat="1" x14ac:dyDescent="0.2">
      <c r="A88" s="114">
        <v>2014</v>
      </c>
      <c r="B88" s="114"/>
      <c r="C88" s="115" t="s">
        <v>106</v>
      </c>
      <c r="D88" s="115">
        <v>2</v>
      </c>
      <c r="E88" s="114">
        <v>2</v>
      </c>
      <c r="F88" s="3">
        <v>100101</v>
      </c>
      <c r="G88" s="115">
        <v>2</v>
      </c>
      <c r="H88" s="115">
        <v>1</v>
      </c>
      <c r="I88" s="115">
        <v>2</v>
      </c>
      <c r="J88" s="118">
        <v>2</v>
      </c>
      <c r="K88" s="118" t="s">
        <v>88</v>
      </c>
      <c r="L88" s="113" t="s">
        <v>107</v>
      </c>
      <c r="M88" s="115"/>
      <c r="N88" s="115"/>
      <c r="O88" s="115">
        <v>0</v>
      </c>
      <c r="P88" s="115">
        <v>0</v>
      </c>
      <c r="Q88" s="115">
        <v>0</v>
      </c>
      <c r="R88" s="115">
        <v>0</v>
      </c>
      <c r="S88" s="115">
        <v>480</v>
      </c>
      <c r="T88" s="115">
        <v>1500</v>
      </c>
      <c r="U88" s="114">
        <v>5000</v>
      </c>
      <c r="V88" s="114">
        <v>0</v>
      </c>
      <c r="W88" s="114">
        <v>0</v>
      </c>
      <c r="X88" s="114">
        <v>0</v>
      </c>
      <c r="Y88" s="114">
        <v>0</v>
      </c>
      <c r="Z88" s="115">
        <v>712283</v>
      </c>
      <c r="AA88" s="115">
        <v>241103.99999999997</v>
      </c>
      <c r="AB88" s="115">
        <v>348367</v>
      </c>
      <c r="AC88" s="115">
        <v>583996</v>
      </c>
      <c r="AD88" s="115">
        <v>0</v>
      </c>
    </row>
    <row r="89" spans="1:41" s="117" customFormat="1" x14ac:dyDescent="0.2">
      <c r="A89" s="114">
        <v>2015</v>
      </c>
      <c r="B89" s="114"/>
      <c r="C89" s="115" t="s">
        <v>1360</v>
      </c>
      <c r="D89" s="114">
        <v>2</v>
      </c>
      <c r="E89" s="114">
        <v>2</v>
      </c>
      <c r="F89" s="3">
        <v>102501</v>
      </c>
      <c r="G89" s="114">
        <v>3</v>
      </c>
      <c r="H89" s="114">
        <v>1</v>
      </c>
      <c r="I89" s="114">
        <v>5</v>
      </c>
      <c r="J89" s="116">
        <v>3</v>
      </c>
      <c r="K89" s="118" t="s">
        <v>907</v>
      </c>
      <c r="L89" s="115" t="s">
        <v>1361</v>
      </c>
      <c r="M89" s="114"/>
      <c r="N89" s="114"/>
      <c r="O89" s="114">
        <v>0</v>
      </c>
      <c r="P89" s="114">
        <v>0</v>
      </c>
      <c r="Q89" s="114">
        <v>0</v>
      </c>
      <c r="R89" s="114">
        <v>0</v>
      </c>
      <c r="S89" s="115">
        <v>480</v>
      </c>
      <c r="T89" s="115">
        <v>1500</v>
      </c>
      <c r="U89" s="114">
        <v>5000</v>
      </c>
      <c r="V89" s="114">
        <v>0</v>
      </c>
      <c r="W89" s="114">
        <v>0</v>
      </c>
      <c r="X89" s="114">
        <v>0</v>
      </c>
      <c r="Y89" s="114">
        <v>0</v>
      </c>
      <c r="Z89" s="115">
        <v>712283</v>
      </c>
      <c r="AA89" s="115">
        <v>241103.99999999997</v>
      </c>
      <c r="AB89" s="115">
        <v>348367</v>
      </c>
      <c r="AC89" s="115">
        <v>583996</v>
      </c>
      <c r="AD89" s="115">
        <v>0</v>
      </c>
    </row>
    <row r="90" spans="1:41" s="117" customFormat="1" x14ac:dyDescent="0.2">
      <c r="A90" s="114">
        <v>2016</v>
      </c>
      <c r="B90" s="114"/>
      <c r="C90" s="115" t="s">
        <v>1864</v>
      </c>
      <c r="D90" s="114">
        <v>2</v>
      </c>
      <c r="E90" s="114">
        <v>2</v>
      </c>
      <c r="F90" s="3">
        <v>101</v>
      </c>
      <c r="G90" s="114">
        <v>3</v>
      </c>
      <c r="H90" s="114">
        <v>1</v>
      </c>
      <c r="I90" s="114">
        <v>5</v>
      </c>
      <c r="J90" s="116">
        <v>3</v>
      </c>
      <c r="K90" s="118" t="s">
        <v>1865</v>
      </c>
      <c r="L90" s="115" t="s">
        <v>1866</v>
      </c>
      <c r="M90" s="114"/>
      <c r="N90" s="114"/>
      <c r="O90" s="114">
        <v>0</v>
      </c>
      <c r="P90" s="114">
        <v>0</v>
      </c>
      <c r="Q90" s="114">
        <v>0</v>
      </c>
      <c r="R90" s="114">
        <v>0</v>
      </c>
      <c r="S90" s="115">
        <v>480</v>
      </c>
      <c r="T90" s="115">
        <v>1500</v>
      </c>
      <c r="U90" s="114">
        <v>5000</v>
      </c>
      <c r="V90" s="114">
        <v>0</v>
      </c>
      <c r="W90" s="114">
        <v>0</v>
      </c>
      <c r="X90" s="114">
        <v>0</v>
      </c>
      <c r="Y90" s="114">
        <v>0</v>
      </c>
      <c r="Z90" s="115">
        <v>712283</v>
      </c>
      <c r="AA90" s="115">
        <v>241103.99999999997</v>
      </c>
      <c r="AB90" s="115">
        <v>348367</v>
      </c>
      <c r="AC90" s="115">
        <v>583996</v>
      </c>
      <c r="AD90" s="115">
        <v>0</v>
      </c>
    </row>
  </sheetData>
  <autoFilter ref="A5:AO88" xr:uid="{00000000-0001-0000-0200-000000000000}"/>
  <phoneticPr fontId="13" type="noConversion"/>
  <conditionalFormatting sqref="A6:B12 A14:B17 A19:B22 A43:B46 A49:B53 A56:B65 A25:B41">
    <cfRule type="duplicateValues" dxfId="310" priority="364"/>
  </conditionalFormatting>
  <conditionalFormatting sqref="A24:B24">
    <cfRule type="duplicateValues" dxfId="309" priority="22"/>
  </conditionalFormatting>
  <conditionalFormatting sqref="A48:B48">
    <cfRule type="duplicateValues" dxfId="308" priority="19"/>
  </conditionalFormatting>
  <conditionalFormatting sqref="A54:B54 A42:B42">
    <cfRule type="duplicateValues" dxfId="307" priority="23"/>
  </conditionalFormatting>
  <conditionalFormatting sqref="A80:B80">
    <cfRule type="duplicateValues" dxfId="306" priority="33"/>
  </conditionalFormatting>
  <conditionalFormatting sqref="A81:B81">
    <cfRule type="duplicateValues" dxfId="305" priority="32"/>
  </conditionalFormatting>
  <conditionalFormatting sqref="A82:B82">
    <cfRule type="duplicateValues" dxfId="304" priority="31"/>
  </conditionalFormatting>
  <conditionalFormatting sqref="A84:B84">
    <cfRule type="duplicateValues" dxfId="303" priority="28"/>
  </conditionalFormatting>
  <conditionalFormatting sqref="A85:B85">
    <cfRule type="duplicateValues" dxfId="302" priority="27"/>
  </conditionalFormatting>
  <conditionalFormatting sqref="A86:B86">
    <cfRule type="duplicateValues" dxfId="301" priority="26"/>
  </conditionalFormatting>
  <conditionalFormatting sqref="A87:B87">
    <cfRule type="duplicateValues" dxfId="300" priority="25"/>
  </conditionalFormatting>
  <conditionalFormatting sqref="A101:B1048576 A55:B55 A93:B93 A1:A5 A18:B18 A47:B47 A23:B23 A13:B13 A83:B83 A66:B79 A88:B91">
    <cfRule type="duplicateValues" dxfId="299" priority="164"/>
  </conditionalFormatting>
  <conditionalFormatting sqref="A101:B1048576 A93:B93 A6:B91 A1:A5">
    <cfRule type="duplicateValues" dxfId="298" priority="374"/>
  </conditionalFormatting>
  <conditionalFormatting sqref="F8">
    <cfRule type="duplicateValues" dxfId="297" priority="11"/>
    <cfRule type="duplicateValues" dxfId="296" priority="12"/>
  </conditionalFormatting>
  <conditionalFormatting sqref="F21">
    <cfRule type="duplicateValues" dxfId="295" priority="3"/>
    <cfRule type="duplicateValues" dxfId="294" priority="4"/>
  </conditionalFormatting>
  <conditionalFormatting sqref="F34">
    <cfRule type="duplicateValues" dxfId="293" priority="9"/>
    <cfRule type="duplicateValues" dxfId="292" priority="10"/>
  </conditionalFormatting>
  <conditionalFormatting sqref="F39">
    <cfRule type="duplicateValues" dxfId="291" priority="5"/>
    <cfRule type="duplicateValues" dxfId="290" priority="6"/>
  </conditionalFormatting>
  <conditionalFormatting sqref="F54">
    <cfRule type="duplicateValues" dxfId="289" priority="13"/>
  </conditionalFormatting>
  <conditionalFormatting sqref="F55">
    <cfRule type="duplicateValues" dxfId="288" priority="16"/>
  </conditionalFormatting>
  <conditionalFormatting sqref="F62">
    <cfRule type="duplicateValues" dxfId="287" priority="7"/>
    <cfRule type="duplicateValues" dxfId="286" priority="8"/>
  </conditionalFormatting>
  <conditionalFormatting sqref="F68">
    <cfRule type="duplicateValues" dxfId="285" priority="17"/>
  </conditionalFormatting>
  <conditionalFormatting sqref="A6:B1048576 A1:A5">
    <cfRule type="duplicateValues" dxfId="28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69"/>
  <sheetViews>
    <sheetView zoomScaleNormal="100"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C11" sqref="C11"/>
    </sheetView>
  </sheetViews>
  <sheetFormatPr defaultColWidth="9" defaultRowHeight="14.25" x14ac:dyDescent="0.2"/>
  <cols>
    <col min="1" max="1" width="10.625" customWidth="1"/>
    <col min="2" max="2" width="4.625" customWidth="1"/>
    <col min="3" max="3" width="9.875" customWidth="1"/>
    <col min="4" max="4" width="11.375" customWidth="1"/>
    <col min="5" max="5" width="4.625" customWidth="1"/>
    <col min="6" max="6" width="4.875" customWidth="1"/>
    <col min="7" max="7" width="7.875" customWidth="1"/>
    <col min="8" max="8" width="5.125" style="1" customWidth="1"/>
    <col min="9" max="9" width="4.625" customWidth="1"/>
    <col min="10" max="11" width="4.875" customWidth="1"/>
    <col min="12" max="12" width="46.625" customWidth="1"/>
    <col min="13" max="13" width="8.75" customWidth="1"/>
    <col min="14" max="14" width="4.875" customWidth="1"/>
    <col min="15" max="15" width="14.875" customWidth="1"/>
    <col min="16" max="16" width="6.75" customWidth="1"/>
    <col min="17" max="17" width="5" customWidth="1"/>
    <col min="18" max="18" width="4.625" style="155" customWidth="1"/>
    <col min="19" max="19" width="5.125" customWidth="1"/>
    <col min="20" max="20" width="4.625" style="155" customWidth="1"/>
    <col min="21" max="22" width="4.625" style="10" customWidth="1"/>
    <col min="23" max="23" width="4.625" style="156" customWidth="1"/>
    <col min="24" max="24" width="8.375" style="1" customWidth="1"/>
    <col min="25" max="25" width="9.25" style="1" customWidth="1"/>
    <col min="26" max="26" width="7.125" style="11" customWidth="1"/>
    <col min="27" max="32" width="4.875" style="10" customWidth="1"/>
    <col min="33" max="33" width="5.75" style="10" customWidth="1"/>
    <col min="34" max="34" width="4.875" style="10" customWidth="1"/>
    <col min="35" max="35" width="6.375" style="10" customWidth="1"/>
    <col min="36" max="38" width="7.25" customWidth="1"/>
    <col min="39" max="39" width="7.25" hidden="1" customWidth="1"/>
    <col min="40" max="40" width="7.25" customWidth="1"/>
    <col min="41" max="41" width="5.125" customWidth="1"/>
    <col min="42" max="42" width="4.75" customWidth="1"/>
    <col min="43" max="43" width="5.625" customWidth="1"/>
    <col min="44" max="44" width="4.75" customWidth="1"/>
    <col min="45" max="45" width="6.5" customWidth="1"/>
    <col min="46" max="46" width="4.75" customWidth="1"/>
  </cols>
  <sheetData>
    <row r="1" spans="1:47" x14ac:dyDescent="0.2">
      <c r="A1" s="110" t="s">
        <v>3</v>
      </c>
      <c r="B1" s="110" t="s">
        <v>1986</v>
      </c>
      <c r="C1" s="28" t="s">
        <v>4</v>
      </c>
      <c r="D1" s="132"/>
      <c r="E1" s="28"/>
      <c r="F1" s="29" t="s">
        <v>5</v>
      </c>
      <c r="G1" s="29" t="s">
        <v>6</v>
      </c>
      <c r="H1" s="29" t="s">
        <v>108</v>
      </c>
      <c r="I1" s="28"/>
      <c r="J1" s="29"/>
      <c r="K1" s="128" t="s">
        <v>729</v>
      </c>
      <c r="L1" s="110" t="s">
        <v>10</v>
      </c>
      <c r="M1" s="110" t="s">
        <v>1358</v>
      </c>
      <c r="N1" s="28"/>
      <c r="O1" s="28"/>
      <c r="P1" s="19"/>
      <c r="Q1" s="19"/>
      <c r="R1" s="133"/>
      <c r="S1" s="19"/>
      <c r="T1" s="133"/>
      <c r="U1" s="45"/>
      <c r="V1" s="36" t="s">
        <v>111</v>
      </c>
      <c r="W1" s="29"/>
      <c r="X1" s="45"/>
      <c r="Y1" s="19"/>
      <c r="Z1" s="21"/>
      <c r="AA1" s="19"/>
      <c r="AB1" s="19"/>
      <c r="AC1" s="19"/>
      <c r="AD1" s="19"/>
      <c r="AE1" s="19"/>
      <c r="AF1" s="19"/>
      <c r="AG1" s="19"/>
      <c r="AH1" s="19"/>
      <c r="AI1" s="19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18"/>
    </row>
    <row r="2" spans="1:47" x14ac:dyDescent="0.2">
      <c r="A2" s="110" t="s">
        <v>23</v>
      </c>
      <c r="B2" s="110" t="s">
        <v>1984</v>
      </c>
      <c r="C2" s="28" t="s">
        <v>24</v>
      </c>
      <c r="D2" s="132"/>
      <c r="E2" s="28"/>
      <c r="F2" s="29" t="s">
        <v>23</v>
      </c>
      <c r="G2" s="29" t="s">
        <v>23</v>
      </c>
      <c r="H2" s="29" t="s">
        <v>23</v>
      </c>
      <c r="I2" s="28"/>
      <c r="J2" s="29"/>
      <c r="K2" s="128" t="s">
        <v>730</v>
      </c>
      <c r="L2" s="28" t="s">
        <v>25</v>
      </c>
      <c r="M2" s="110" t="s">
        <v>1359</v>
      </c>
      <c r="N2" s="28"/>
      <c r="O2" s="28"/>
      <c r="P2" s="19"/>
      <c r="Q2" s="19"/>
      <c r="R2" s="133"/>
      <c r="S2" s="19"/>
      <c r="T2" s="133"/>
      <c r="U2" s="45"/>
      <c r="V2" s="36" t="s">
        <v>730</v>
      </c>
      <c r="W2" s="29"/>
      <c r="X2" s="45"/>
      <c r="Y2" s="19"/>
      <c r="Z2" s="21"/>
      <c r="AA2" s="19"/>
      <c r="AB2" s="19"/>
      <c r="AC2" s="19"/>
      <c r="AD2" s="19"/>
      <c r="AE2" s="19"/>
      <c r="AF2" s="19"/>
      <c r="AG2" s="19"/>
      <c r="AH2" s="19"/>
      <c r="AI2" s="19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18"/>
    </row>
    <row r="3" spans="1:47" x14ac:dyDescent="0.2">
      <c r="A3" s="28" t="s">
        <v>26</v>
      </c>
      <c r="B3" s="28" t="s">
        <v>29</v>
      </c>
      <c r="C3" s="28" t="s">
        <v>27</v>
      </c>
      <c r="D3" s="132" t="s">
        <v>30</v>
      </c>
      <c r="E3" s="28" t="s">
        <v>28</v>
      </c>
      <c r="F3" s="29" t="s">
        <v>29</v>
      </c>
      <c r="G3" s="29" t="s">
        <v>30</v>
      </c>
      <c r="H3" s="29" t="s">
        <v>30</v>
      </c>
      <c r="I3" s="28" t="s">
        <v>28</v>
      </c>
      <c r="J3" s="29" t="s">
        <v>28</v>
      </c>
      <c r="K3" s="128" t="s">
        <v>731</v>
      </c>
      <c r="L3" s="28" t="s">
        <v>31</v>
      </c>
      <c r="M3" s="28" t="s">
        <v>30</v>
      </c>
      <c r="N3" s="28" t="s">
        <v>26</v>
      </c>
      <c r="O3" s="110" t="s">
        <v>1383</v>
      </c>
      <c r="P3" s="19" t="s">
        <v>30</v>
      </c>
      <c r="Q3" s="19" t="s">
        <v>30</v>
      </c>
      <c r="R3" s="133" t="s">
        <v>30</v>
      </c>
      <c r="S3" s="19" t="s">
        <v>30</v>
      </c>
      <c r="T3" s="133" t="s">
        <v>30</v>
      </c>
      <c r="U3" s="19" t="s">
        <v>30</v>
      </c>
      <c r="V3" s="36" t="s">
        <v>26</v>
      </c>
      <c r="W3" s="28" t="s">
        <v>30</v>
      </c>
      <c r="X3" s="19" t="s">
        <v>30</v>
      </c>
      <c r="Y3" s="19" t="s">
        <v>30</v>
      </c>
      <c r="Z3" s="21" t="s">
        <v>30</v>
      </c>
      <c r="AA3" s="19" t="s">
        <v>30</v>
      </c>
      <c r="AB3" s="19" t="s">
        <v>30</v>
      </c>
      <c r="AC3" s="19" t="s">
        <v>30</v>
      </c>
      <c r="AD3" s="19" t="s">
        <v>30</v>
      </c>
      <c r="AE3" s="19" t="s">
        <v>30</v>
      </c>
      <c r="AF3" s="19" t="s">
        <v>30</v>
      </c>
      <c r="AG3" s="19" t="s">
        <v>30</v>
      </c>
      <c r="AH3" s="19" t="s">
        <v>30</v>
      </c>
      <c r="AI3" s="19" t="s">
        <v>30</v>
      </c>
      <c r="AJ3" s="28" t="s">
        <v>26</v>
      </c>
      <c r="AK3" s="28" t="s">
        <v>26</v>
      </c>
      <c r="AL3" s="28" t="s">
        <v>26</v>
      </c>
      <c r="AM3" s="28" t="s">
        <v>26</v>
      </c>
      <c r="AN3" s="28" t="s">
        <v>26</v>
      </c>
      <c r="AO3" s="28" t="s">
        <v>26</v>
      </c>
      <c r="AP3" s="28" t="s">
        <v>26</v>
      </c>
      <c r="AQ3" s="28" t="s">
        <v>26</v>
      </c>
      <c r="AR3" s="28" t="s">
        <v>26</v>
      </c>
      <c r="AS3" s="28" t="s">
        <v>26</v>
      </c>
      <c r="AT3" s="28" t="s">
        <v>26</v>
      </c>
      <c r="AU3" s="18" t="s">
        <v>32</v>
      </c>
    </row>
    <row r="4" spans="1:47" x14ac:dyDescent="0.2">
      <c r="A4" s="28"/>
      <c r="B4" s="28" t="s">
        <v>1986</v>
      </c>
      <c r="C4" s="28" t="s">
        <v>4</v>
      </c>
      <c r="D4" s="132"/>
      <c r="E4" s="28" t="s">
        <v>33</v>
      </c>
      <c r="F4" s="29" t="s">
        <v>5</v>
      </c>
      <c r="G4" s="29"/>
      <c r="H4" s="29"/>
      <c r="I4" s="28" t="s">
        <v>34</v>
      </c>
      <c r="J4" s="29" t="s">
        <v>35</v>
      </c>
      <c r="K4" s="29"/>
      <c r="L4" s="28" t="s">
        <v>10</v>
      </c>
      <c r="M4" s="28" t="s">
        <v>37</v>
      </c>
      <c r="N4" s="28" t="s">
        <v>109</v>
      </c>
      <c r="O4" s="28" t="s">
        <v>110</v>
      </c>
      <c r="P4" s="19"/>
      <c r="Q4" s="19"/>
      <c r="R4" s="133"/>
      <c r="S4" s="19"/>
      <c r="T4" s="133"/>
      <c r="U4" s="45"/>
      <c r="V4" s="36" t="s">
        <v>111</v>
      </c>
      <c r="W4" s="29"/>
      <c r="X4" s="45"/>
      <c r="Y4" s="19"/>
      <c r="Z4" s="21"/>
      <c r="AA4" s="19"/>
      <c r="AB4" s="19"/>
      <c r="AC4" s="19"/>
      <c r="AD4" s="19"/>
      <c r="AE4" s="19"/>
      <c r="AF4" s="19"/>
      <c r="AG4" s="19"/>
      <c r="AH4" s="19"/>
      <c r="AI4" s="19"/>
      <c r="AJ4" s="28" t="s">
        <v>112</v>
      </c>
      <c r="AK4" s="28" t="s">
        <v>113</v>
      </c>
      <c r="AL4" s="28" t="s">
        <v>114</v>
      </c>
      <c r="AM4" s="28" t="s">
        <v>115</v>
      </c>
      <c r="AN4" s="28" t="s">
        <v>116</v>
      </c>
      <c r="AO4" s="28" t="s">
        <v>117</v>
      </c>
      <c r="AP4" s="28" t="s">
        <v>38</v>
      </c>
      <c r="AQ4" s="110" t="s">
        <v>1627</v>
      </c>
      <c r="AR4" s="28" t="s">
        <v>118</v>
      </c>
      <c r="AS4" s="28" t="s">
        <v>119</v>
      </c>
      <c r="AT4" s="28" t="s">
        <v>120</v>
      </c>
      <c r="AU4" s="18" t="s">
        <v>981</v>
      </c>
    </row>
    <row r="5" spans="1:47" s="9" customFormat="1" ht="29.25" customHeight="1" x14ac:dyDescent="0.2">
      <c r="A5" s="134" t="s">
        <v>43</v>
      </c>
      <c r="B5" s="134" t="s">
        <v>1985</v>
      </c>
      <c r="C5" s="134" t="s">
        <v>44</v>
      </c>
      <c r="D5" s="135" t="s">
        <v>1011</v>
      </c>
      <c r="E5" s="112" t="s">
        <v>45</v>
      </c>
      <c r="F5" s="112" t="s">
        <v>46</v>
      </c>
      <c r="G5" s="134" t="s">
        <v>1</v>
      </c>
      <c r="H5" s="112" t="s">
        <v>47</v>
      </c>
      <c r="I5" s="112" t="s">
        <v>48</v>
      </c>
      <c r="J5" s="112" t="s">
        <v>121</v>
      </c>
      <c r="K5" s="136" t="s">
        <v>732</v>
      </c>
      <c r="L5" s="112" t="s">
        <v>2</v>
      </c>
      <c r="M5" s="154" t="s">
        <v>52</v>
      </c>
      <c r="N5" s="112" t="s">
        <v>122</v>
      </c>
      <c r="O5" s="111" t="s">
        <v>123</v>
      </c>
      <c r="P5" s="139" t="s">
        <v>1612</v>
      </c>
      <c r="Q5" s="20" t="s">
        <v>124</v>
      </c>
      <c r="R5" s="137" t="s">
        <v>1610</v>
      </c>
      <c r="S5" s="20" t="s">
        <v>125</v>
      </c>
      <c r="T5" s="137" t="s">
        <v>1611</v>
      </c>
      <c r="U5" s="139" t="s">
        <v>1365</v>
      </c>
      <c r="V5" s="139" t="s">
        <v>1979</v>
      </c>
      <c r="W5" s="138" t="s">
        <v>1978</v>
      </c>
      <c r="X5" s="22" t="s">
        <v>0</v>
      </c>
      <c r="Y5" s="22" t="s">
        <v>126</v>
      </c>
      <c r="Z5" s="23" t="s">
        <v>127</v>
      </c>
      <c r="AA5" s="20" t="s">
        <v>128</v>
      </c>
      <c r="AB5" s="20" t="s">
        <v>129</v>
      </c>
      <c r="AC5" s="20" t="s">
        <v>130</v>
      </c>
      <c r="AD5" s="20" t="s">
        <v>131</v>
      </c>
      <c r="AE5" s="20" t="s">
        <v>132</v>
      </c>
      <c r="AF5" s="20" t="s">
        <v>133</v>
      </c>
      <c r="AG5" s="20" t="s">
        <v>134</v>
      </c>
      <c r="AH5" s="20" t="s">
        <v>135</v>
      </c>
      <c r="AI5" s="20" t="s">
        <v>136</v>
      </c>
      <c r="AJ5" s="112" t="s">
        <v>137</v>
      </c>
      <c r="AK5" s="112" t="s">
        <v>138</v>
      </c>
      <c r="AL5" s="112" t="s">
        <v>139</v>
      </c>
      <c r="AM5" s="112" t="s">
        <v>140</v>
      </c>
      <c r="AN5" s="112" t="s">
        <v>141</v>
      </c>
      <c r="AO5" s="112" t="s">
        <v>142</v>
      </c>
      <c r="AP5" s="111" t="s">
        <v>143</v>
      </c>
      <c r="AQ5" s="112" t="s">
        <v>144</v>
      </c>
      <c r="AR5" s="112" t="s">
        <v>145</v>
      </c>
      <c r="AS5" s="112" t="s">
        <v>146</v>
      </c>
      <c r="AT5" s="112" t="s">
        <v>147</v>
      </c>
      <c r="AU5" s="18" t="s">
        <v>982</v>
      </c>
    </row>
    <row r="6" spans="1:47" x14ac:dyDescent="0.2">
      <c r="A6" s="3">
        <v>10001</v>
      </c>
      <c r="B6" s="3"/>
      <c r="C6" s="2" t="s">
        <v>182</v>
      </c>
      <c r="D6" s="69" t="s">
        <v>1031</v>
      </c>
      <c r="E6" s="2"/>
      <c r="F6" s="3">
        <v>3</v>
      </c>
      <c r="G6" s="3">
        <v>301</v>
      </c>
      <c r="H6" s="3">
        <v>6</v>
      </c>
      <c r="I6" s="3">
        <v>5</v>
      </c>
      <c r="J6" s="3">
        <v>1</v>
      </c>
      <c r="K6" s="3"/>
      <c r="L6" s="65" t="s">
        <v>183</v>
      </c>
      <c r="M6" s="2"/>
      <c r="N6" s="2">
        <v>1</v>
      </c>
      <c r="O6" s="2"/>
      <c r="P6" s="3" t="s">
        <v>1615</v>
      </c>
      <c r="Q6" s="95">
        <f t="shared" ref="Q6:Q69" si="0">R6</f>
        <v>5.7709803921568623</v>
      </c>
      <c r="R6" s="157">
        <f>IF(P6=模板计算相关数据!$AB$24,VLOOKUP(X6,模板计算相关数据!$P$47:$T$50,2,0),VLOOKUP(X6,模板计算相关数据!$P$4:$U$7,3,0))*VLOOKUP(Y6,模板计算相关数据!$P$22:$X$30,8,0)</f>
        <v>5.7709803921568623</v>
      </c>
      <c r="S6" s="62">
        <f t="shared" ref="S6:S69" si="1">T6</f>
        <v>6.4077918749198997</v>
      </c>
      <c r="T6" s="157">
        <f>IF(P6=模板计算相关数据!$AB$24,VLOOKUP(X6,模板计算相关数据!$P$47:$T$50,5,0),VLOOKUP(X6,模板计算相关数据!$P$4:$U$7,6,0))*VLOOKUP(Y6,模板计算相关数据!$P$22:$X$30,9,0)</f>
        <v>6.4077918749198997</v>
      </c>
      <c r="U6" s="95">
        <v>2</v>
      </c>
      <c r="V6" s="95">
        <f>W6</f>
        <v>1</v>
      </c>
      <c r="W6" s="3">
        <f>VLOOKUP(U6,模板计算相关数据!A:N,2,0)</f>
        <v>1</v>
      </c>
      <c r="X6" s="3" t="s">
        <v>151</v>
      </c>
      <c r="Y6" s="3" t="s">
        <v>159</v>
      </c>
      <c r="Z6" s="99">
        <v>1</v>
      </c>
      <c r="AA6" s="95">
        <v>0.9</v>
      </c>
      <c r="AB6" s="95">
        <v>1</v>
      </c>
      <c r="AC6" s="95">
        <v>1</v>
      </c>
      <c r="AD6" s="95">
        <v>0</v>
      </c>
      <c r="AE6" s="95">
        <v>0</v>
      </c>
      <c r="AF6" s="95">
        <v>0</v>
      </c>
      <c r="AG6" s="95">
        <v>0</v>
      </c>
      <c r="AH6" s="95">
        <v>0</v>
      </c>
      <c r="AI6" s="95">
        <v>0</v>
      </c>
      <c r="AJ6" s="3">
        <f>INT(VLOOKUP(U6,模板计算相关数据!A:N,4,0)*VLOOKUP(U6,模板计算相关数据!A:N,14,0)*(1+MAX(0,(VLOOKUP(U6,模板计算相关数据!A:N,7,0)-AQ6))*VLOOKUP(U6,模板计算相关数据!A:N,8,0))*(1-(AL6+AM6)*0.5/((AL6+AM6)*0.5+(VLOOKUP(U6,模板计算相关数据!A:N,2,0)+模板计算相关数据!$AC$27)*模板计算相关数据!$AC$28))*Q6*Z6)</f>
        <v>474</v>
      </c>
      <c r="AK6" s="3">
        <f>INT(VLOOKUP(U6,模板计算相关数据!A:N,3,0)/模板计算相关数据!$W$35/(1+MAX(0,(AO6/10000-VLOOKUP(U6,模板计算相关数据!A:N,9,0)))*AP6/10000)/(1-VLOOKUP(U6,模板计算相关数据!A:N,5,0)/(VLOOKUP(U6,模板计算相关数据!A:N,5,0)+(VLOOKUP(U6,模板计算相关数据!A:N,2,0)+模板计算相关数据!$AC$27)*模板计算相关数据!$AC$28))/S6*AA6)</f>
        <v>78</v>
      </c>
      <c r="AL6" s="3">
        <f>INT(VLOOKUP(U6,模板计算相关数据!A:N,5,0)*VLOOKUP(X6,模板计算相关数据!$P$4:$T$7,4,0)*VLOOKUP(Y6,模板计算相关数据!$P$22:$U$30,4,0)*AB6)</f>
        <v>264</v>
      </c>
      <c r="AM6" s="3">
        <f>INT(VLOOKUP(U6,模板计算相关数据!A:N,6,0)*VLOOKUP(X6,模板计算相关数据!$P$4:$T$7,4,0)*VLOOKUP(Y6,模板计算相关数据!$P$22:$U$30,5,0)*AC6)</f>
        <v>145</v>
      </c>
      <c r="AN6" s="3">
        <f>VLOOKUP(U6,模板计算相关数据!A:N,10,0)*0.5*VLOOKUP(Y6,模板计算相关数据!$P$22:$U$30,6,0)+AD6</f>
        <v>275</v>
      </c>
      <c r="AO6" s="3">
        <f>VLOOKUP(INT(VLOOKUP(U6,模板计算相关数据!A:N,2,0)/30)+1,模板计算相关数据!$O$35:$U$40,3,0)+AE6</f>
        <v>0</v>
      </c>
      <c r="AP6" s="3">
        <f>VLOOKUP(INT(VLOOKUP(U6,模板计算相关数据!A:N,2,0)/30)+1,模板计算相关数据!$O$35:$U$40,4,0)+AF6</f>
        <v>5000</v>
      </c>
      <c r="AQ6" s="3">
        <f>VLOOKUP(INT(VLOOKUP(U6,模板计算相关数据!A:N,2,0)/30)+1,模板计算相关数据!$O$35:$U$40,5,0)+AG6</f>
        <v>0</v>
      </c>
      <c r="AR6" s="3">
        <f>VLOOKUP(INT(VLOOKUP(U6,模板计算相关数据!A:N,2,0)/30)+1,模板计算相关数据!$O$35:$U$40,6,0)+AH6</f>
        <v>0</v>
      </c>
      <c r="AS6" s="3">
        <f>VLOOKUP(INT(VLOOKUP(U6,模板计算相关数据!A:N,2,0)/30)+1,模板计算相关数据!$O$35:$U$40,7,0)+AI6</f>
        <v>0</v>
      </c>
      <c r="AT6" s="3">
        <f>VLOOKUP(INT(VLOOKUP(U6,模板计算相关数据!A:N,2,0)/30)+1,模板计算相关数据!$O$35:$V$40,8,0)</f>
        <v>0</v>
      </c>
      <c r="AU6" s="2"/>
    </row>
    <row r="7" spans="1:47" x14ac:dyDescent="0.2">
      <c r="A7" s="3">
        <v>10002</v>
      </c>
      <c r="B7" s="3"/>
      <c r="C7" s="2" t="s">
        <v>184</v>
      </c>
      <c r="D7" s="69" t="s">
        <v>1031</v>
      </c>
      <c r="E7" s="2"/>
      <c r="F7" s="3">
        <v>1</v>
      </c>
      <c r="G7" s="3">
        <v>301</v>
      </c>
      <c r="H7" s="3">
        <v>6</v>
      </c>
      <c r="I7" s="3">
        <v>5</v>
      </c>
      <c r="J7" s="3">
        <v>1</v>
      </c>
      <c r="K7" s="3"/>
      <c r="L7" s="2" t="s">
        <v>185</v>
      </c>
      <c r="M7" s="2"/>
      <c r="N7" s="2">
        <v>1</v>
      </c>
      <c r="O7" s="2"/>
      <c r="P7" s="3" t="s">
        <v>1615</v>
      </c>
      <c r="Q7" s="95">
        <f t="shared" si="0"/>
        <v>5.7709803921568623</v>
      </c>
      <c r="R7" s="133">
        <f>IF(P7=模板计算相关数据!$AB$24,VLOOKUP(X7,模板计算相关数据!$P$47:$T$50,2,0),VLOOKUP(X7,模板计算相关数据!$P$4:$U$7,3,0))*VLOOKUP(Y7,模板计算相关数据!$P$22:$X$30,8,0)</f>
        <v>5.7709803921568623</v>
      </c>
      <c r="S7" s="62">
        <f t="shared" si="1"/>
        <v>6.4077918749198997</v>
      </c>
      <c r="T7" s="133">
        <f>IF(P7=模板计算相关数据!$AB$24,VLOOKUP(X7,模板计算相关数据!$P$47:$T$50,5,0),VLOOKUP(X7,模板计算相关数据!$P$4:$U$7,6,0))*VLOOKUP(Y7,模板计算相关数据!$P$22:$X$30,9,0)</f>
        <v>6.4077918749198997</v>
      </c>
      <c r="U7" s="95">
        <v>2</v>
      </c>
      <c r="V7" s="95">
        <f t="shared" ref="V7:V70" si="2">W7</f>
        <v>1</v>
      </c>
      <c r="W7" s="29">
        <f>VLOOKUP(U7,模板计算相关数据!A:N,2,0)</f>
        <v>1</v>
      </c>
      <c r="X7" s="3" t="s">
        <v>151</v>
      </c>
      <c r="Y7" s="3" t="s">
        <v>159</v>
      </c>
      <c r="Z7" s="99">
        <v>1</v>
      </c>
      <c r="AA7" s="95">
        <v>0.9</v>
      </c>
      <c r="AB7" s="95">
        <v>1</v>
      </c>
      <c r="AC7" s="95">
        <v>1</v>
      </c>
      <c r="AD7" s="95">
        <v>0</v>
      </c>
      <c r="AE7" s="95">
        <v>0</v>
      </c>
      <c r="AF7" s="95">
        <v>0</v>
      </c>
      <c r="AG7" s="95">
        <v>0</v>
      </c>
      <c r="AH7" s="95">
        <v>0</v>
      </c>
      <c r="AI7" s="95">
        <v>0</v>
      </c>
      <c r="AJ7" s="3">
        <f>INT(VLOOKUP(U7,模板计算相关数据!A:N,4,0)*VLOOKUP(U7,模板计算相关数据!A:N,14,0)*(1+MAX(0,(VLOOKUP(U7,模板计算相关数据!A:N,7,0)-AQ7))*VLOOKUP(U7,模板计算相关数据!A:N,8,0))*(1-(AL7+AM7)*0.5/((AL7+AM7)*0.5+(VLOOKUP(U7,模板计算相关数据!A:N,2,0)+模板计算相关数据!$AC$27)*模板计算相关数据!$AC$28))*Q7*Z7)</f>
        <v>474</v>
      </c>
      <c r="AK7" s="3">
        <f>INT(VLOOKUP(U7,模板计算相关数据!A:N,3,0)/模板计算相关数据!$W$35/(1+MAX(0,(AO7/10000-VLOOKUP(U7,模板计算相关数据!A:N,9,0)))*AP7/10000)/(1-VLOOKUP(U7,模板计算相关数据!A:N,5,0)/(VLOOKUP(U7,模板计算相关数据!A:N,5,0)+(VLOOKUP(U7,模板计算相关数据!A:N,2,0)+模板计算相关数据!$AC$27)*模板计算相关数据!$AC$28))/S7*AA7)</f>
        <v>78</v>
      </c>
      <c r="AL7" s="3">
        <f>INT(VLOOKUP(U7,模板计算相关数据!A:N,5,0)*VLOOKUP(X7,模板计算相关数据!$P$4:$T$7,4,0)*VLOOKUP(Y7,模板计算相关数据!$P$22:$U$30,4,0)*AB7)</f>
        <v>264</v>
      </c>
      <c r="AM7" s="3">
        <f>INT(VLOOKUP(U7,模板计算相关数据!A:N,6,0)*VLOOKUP(X7,模板计算相关数据!$P$4:$T$7,4,0)*VLOOKUP(Y7,模板计算相关数据!$P$22:$U$30,5,0)*AC7)</f>
        <v>145</v>
      </c>
      <c r="AN7" s="3">
        <f>VLOOKUP(U7,模板计算相关数据!A:N,10,0)*0.5*VLOOKUP(Y7,模板计算相关数据!$P$22:$U$30,6,0)+AD7</f>
        <v>275</v>
      </c>
      <c r="AO7" s="3">
        <f>VLOOKUP(INT(VLOOKUP(U7,模板计算相关数据!A:N,2,0)/30)+1,模板计算相关数据!$O$35:$U$40,3,0)+AE7</f>
        <v>0</v>
      </c>
      <c r="AP7" s="3">
        <f>VLOOKUP(INT(VLOOKUP(U7,模板计算相关数据!A:N,2,0)/30)+1,模板计算相关数据!$O$35:$U$40,4,0)+AF7</f>
        <v>5000</v>
      </c>
      <c r="AQ7" s="3">
        <f>VLOOKUP(INT(VLOOKUP(U7,模板计算相关数据!A:N,2,0)/30)+1,模板计算相关数据!$O$35:$U$40,5,0)+AG7</f>
        <v>0</v>
      </c>
      <c r="AR7" s="3">
        <f>VLOOKUP(INT(VLOOKUP(U7,模板计算相关数据!A:N,2,0)/30)+1,模板计算相关数据!$O$35:$U$40,6,0)+AH7</f>
        <v>0</v>
      </c>
      <c r="AS7" s="3">
        <f>VLOOKUP(INT(VLOOKUP(U7,模板计算相关数据!A:N,2,0)/30)+1,模板计算相关数据!$O$35:$U$40,7,0)+AI7</f>
        <v>0</v>
      </c>
      <c r="AT7" s="3">
        <f>VLOOKUP(INT(VLOOKUP(U7,模板计算相关数据!A:N,2,0)/30)+1,模板计算相关数据!$O$35:$V$40,8,0)</f>
        <v>0</v>
      </c>
      <c r="AU7" s="2"/>
    </row>
    <row r="8" spans="1:47" x14ac:dyDescent="0.2">
      <c r="A8" s="3">
        <v>10003</v>
      </c>
      <c r="B8" s="3"/>
      <c r="C8" s="2" t="s">
        <v>186</v>
      </c>
      <c r="D8" s="69" t="s">
        <v>1031</v>
      </c>
      <c r="E8" s="2"/>
      <c r="F8" s="3">
        <v>2</v>
      </c>
      <c r="G8" s="3">
        <v>301</v>
      </c>
      <c r="H8" s="3">
        <v>4</v>
      </c>
      <c r="I8" s="3">
        <v>5</v>
      </c>
      <c r="J8" s="3">
        <v>1</v>
      </c>
      <c r="K8" s="3"/>
      <c r="L8" s="2" t="s">
        <v>187</v>
      </c>
      <c r="M8" s="2"/>
      <c r="N8" s="2">
        <v>1</v>
      </c>
      <c r="O8" s="2"/>
      <c r="P8" s="3" t="s">
        <v>1615</v>
      </c>
      <c r="Q8" s="95">
        <f t="shared" si="0"/>
        <v>4.4674509803921572</v>
      </c>
      <c r="R8" s="133">
        <f>IF(P8=模板计算相关数据!$AB$24,VLOOKUP(X8,模板计算相关数据!$P$47:$T$50,2,0),VLOOKUP(X8,模板计算相关数据!$P$4:$U$7,3,0))*VLOOKUP(Y8,模板计算相关数据!$P$22:$X$30,8,0)</f>
        <v>4.4674509803921572</v>
      </c>
      <c r="S8" s="62">
        <f t="shared" si="1"/>
        <v>5.4739930589768004</v>
      </c>
      <c r="T8" s="133">
        <f>IF(P8=模板计算相关数据!$AB$24,VLOOKUP(X8,模板计算相关数据!$P$47:$T$50,5,0),VLOOKUP(X8,模板计算相关数据!$P$4:$U$7,6,0))*VLOOKUP(Y8,模板计算相关数据!$P$22:$X$30,9,0)</f>
        <v>5.4739930589768004</v>
      </c>
      <c r="U8" s="95">
        <v>2</v>
      </c>
      <c r="V8" s="95">
        <f t="shared" si="2"/>
        <v>1</v>
      </c>
      <c r="W8" s="29">
        <f>VLOOKUP(U8,模板计算相关数据!A:N,2,0)</f>
        <v>1</v>
      </c>
      <c r="X8" s="3" t="s">
        <v>151</v>
      </c>
      <c r="Y8" s="3" t="s">
        <v>162</v>
      </c>
      <c r="Z8" s="99">
        <v>1</v>
      </c>
      <c r="AA8" s="95">
        <v>0.9</v>
      </c>
      <c r="AB8" s="95">
        <v>1</v>
      </c>
      <c r="AC8" s="95">
        <v>1</v>
      </c>
      <c r="AD8" s="95">
        <v>0</v>
      </c>
      <c r="AE8" s="95">
        <v>0</v>
      </c>
      <c r="AF8" s="95">
        <v>0</v>
      </c>
      <c r="AG8" s="95">
        <v>0</v>
      </c>
      <c r="AH8" s="95">
        <v>0</v>
      </c>
      <c r="AI8" s="95">
        <v>0</v>
      </c>
      <c r="AJ8" s="3">
        <f>INT(VLOOKUP(U8,模板计算相关数据!A:N,4,0)*VLOOKUP(U8,模板计算相关数据!A:N,14,0)*(1+MAX(0,(VLOOKUP(U8,模板计算相关数据!A:N,7,0)-AQ8))*VLOOKUP(U8,模板计算相关数据!A:N,8,0))*(1-(AL8+AM8)*0.5/((AL8+AM8)*0.5+(VLOOKUP(U8,模板计算相关数据!A:N,2,0)+模板计算相关数据!$AC$27)*模板计算相关数据!$AC$28))*Q8*Z8)</f>
        <v>378</v>
      </c>
      <c r="AK8" s="3">
        <f>INT(VLOOKUP(U8,模板计算相关数据!A:N,3,0)/模板计算相关数据!$W$35/(1+MAX(0,(AO8/10000-VLOOKUP(U8,模板计算相关数据!A:N,9,0)))*AP8/10000)/(1-VLOOKUP(U8,模板计算相关数据!A:N,5,0)/(VLOOKUP(U8,模板计算相关数据!A:N,5,0)+(VLOOKUP(U8,模板计算相关数据!A:N,2,0)+模板计算相关数据!$AC$27)*模板计算相关数据!$AC$28))/S8*AA8)</f>
        <v>91</v>
      </c>
      <c r="AL8" s="3">
        <f>INT(VLOOKUP(U8,模板计算相关数据!A:N,5,0)*VLOOKUP(X8,模板计算相关数据!$P$4:$T$7,4,0)*VLOOKUP(Y8,模板计算相关数据!$P$22:$U$30,4,0)*AB8)</f>
        <v>136</v>
      </c>
      <c r="AM8" s="3">
        <f>INT(VLOOKUP(U8,模板计算相关数据!A:N,6,0)*VLOOKUP(X8,模板计算相关数据!$P$4:$T$7,4,0)*VLOOKUP(Y8,模板计算相关数据!$P$22:$U$30,5,0)*AC8)</f>
        <v>230</v>
      </c>
      <c r="AN8" s="3">
        <f>VLOOKUP(U8,模板计算相关数据!A:N,10,0)*0.5*VLOOKUP(Y8,模板计算相关数据!$P$22:$U$30,6,0)+AD8</f>
        <v>250</v>
      </c>
      <c r="AO8" s="3">
        <f>VLOOKUP(INT(VLOOKUP(U8,模板计算相关数据!A:N,2,0)/30)+1,模板计算相关数据!$O$35:$U$40,3,0)+AE8</f>
        <v>0</v>
      </c>
      <c r="AP8" s="3">
        <f>VLOOKUP(INT(VLOOKUP(U8,模板计算相关数据!A:N,2,0)/30)+1,模板计算相关数据!$O$35:$U$40,4,0)+AF8</f>
        <v>5000</v>
      </c>
      <c r="AQ8" s="3">
        <f>VLOOKUP(INT(VLOOKUP(U8,模板计算相关数据!A:N,2,0)/30)+1,模板计算相关数据!$O$35:$U$40,5,0)+AG8</f>
        <v>0</v>
      </c>
      <c r="AR8" s="3">
        <f>VLOOKUP(INT(VLOOKUP(U8,模板计算相关数据!A:N,2,0)/30)+1,模板计算相关数据!$O$35:$U$40,6,0)+AH8</f>
        <v>0</v>
      </c>
      <c r="AS8" s="3">
        <f>VLOOKUP(INT(VLOOKUP(U8,模板计算相关数据!A:N,2,0)/30)+1,模板计算相关数据!$O$35:$U$40,7,0)+AI8</f>
        <v>0</v>
      </c>
      <c r="AT8" s="3">
        <f>VLOOKUP(INT(VLOOKUP(U8,模板计算相关数据!A:N,2,0)/30)+1,模板计算相关数据!$O$35:$V$40,8,0)</f>
        <v>0</v>
      </c>
      <c r="AU8" s="2"/>
    </row>
    <row r="9" spans="1:47" x14ac:dyDescent="0.2">
      <c r="A9" s="3">
        <v>201</v>
      </c>
      <c r="B9" s="3"/>
      <c r="C9" s="2" t="s">
        <v>188</v>
      </c>
      <c r="D9" s="69" t="s">
        <v>1031</v>
      </c>
      <c r="E9" s="2"/>
      <c r="F9" s="2">
        <v>1</v>
      </c>
      <c r="G9" s="2">
        <v>301</v>
      </c>
      <c r="H9" s="3">
        <v>5</v>
      </c>
      <c r="I9" s="3">
        <v>5</v>
      </c>
      <c r="J9" s="3">
        <v>1</v>
      </c>
      <c r="K9" s="3"/>
      <c r="L9" s="2" t="s">
        <v>189</v>
      </c>
      <c r="M9" s="2"/>
      <c r="N9" s="2">
        <v>1</v>
      </c>
      <c r="O9" s="2"/>
      <c r="P9" s="3" t="s">
        <v>1615</v>
      </c>
      <c r="Q9" s="95">
        <f t="shared" si="0"/>
        <v>5.7709803921568623</v>
      </c>
      <c r="R9" s="133">
        <f>IF(P9=模板计算相关数据!$AB$24,VLOOKUP(X9,模板计算相关数据!$P$47:$T$50,2,0),VLOOKUP(X9,模板计算相关数据!$P$4:$U$7,3,0))*VLOOKUP(Y9,模板计算相关数据!$P$22:$X$30,8,0)</f>
        <v>5.7709803921568623</v>
      </c>
      <c r="S9" s="62">
        <f t="shared" si="1"/>
        <v>6.4077918749198997</v>
      </c>
      <c r="T9" s="133">
        <f>IF(P9=模板计算相关数据!$AB$24,VLOOKUP(X9,模板计算相关数据!$P$47:$T$50,5,0),VLOOKUP(X9,模板计算相关数据!$P$4:$U$7,6,0))*VLOOKUP(Y9,模板计算相关数据!$P$22:$X$30,9,0)</f>
        <v>6.4077918749198997</v>
      </c>
      <c r="U9" s="95">
        <v>2</v>
      </c>
      <c r="V9" s="95">
        <f t="shared" si="2"/>
        <v>1</v>
      </c>
      <c r="W9" s="29">
        <f>VLOOKUP(U9,模板计算相关数据!A:N,2,0)</f>
        <v>1</v>
      </c>
      <c r="X9" s="3" t="s">
        <v>151</v>
      </c>
      <c r="Y9" s="3" t="s">
        <v>159</v>
      </c>
      <c r="Z9" s="100">
        <v>1</v>
      </c>
      <c r="AA9" s="2">
        <v>0.02</v>
      </c>
      <c r="AB9" s="2">
        <v>1</v>
      </c>
      <c r="AC9" s="2">
        <v>1</v>
      </c>
      <c r="AD9" s="2">
        <v>1</v>
      </c>
      <c r="AE9" s="95">
        <v>0</v>
      </c>
      <c r="AF9" s="95">
        <v>0</v>
      </c>
      <c r="AG9" s="95">
        <v>0</v>
      </c>
      <c r="AH9" s="95">
        <v>0</v>
      </c>
      <c r="AI9" s="95">
        <v>0</v>
      </c>
      <c r="AJ9" s="3">
        <f>INT(VLOOKUP(U9,模板计算相关数据!A:N,4,0)*VLOOKUP(U9,模板计算相关数据!A:N,14,0)*(1+MAX(0,(VLOOKUP(U9,模板计算相关数据!A:N,7,0)-AQ9))*VLOOKUP(U9,模板计算相关数据!A:N,8,0))*(1-(AL9+AM9)*0.5/((AL9+AM9)*0.5+(VLOOKUP(U9,模板计算相关数据!A:N,2,0)+模板计算相关数据!$AC$27)*模板计算相关数据!$AC$28))*Q9*Z9)</f>
        <v>474</v>
      </c>
      <c r="AK9" s="3">
        <f>INT(VLOOKUP(U9,模板计算相关数据!A:N,3,0)/模板计算相关数据!$W$35/(1+MAX(0,(AO9/10000-VLOOKUP(U9,模板计算相关数据!A:N,9,0)))*AP9/10000)/(1-VLOOKUP(U9,模板计算相关数据!A:N,5,0)/(VLOOKUP(U9,模板计算相关数据!A:N,5,0)+(VLOOKUP(U9,模板计算相关数据!A:N,2,0)+模板计算相关数据!$AC$27)*模板计算相关数据!$AC$28))/S9*AA9)</f>
        <v>1</v>
      </c>
      <c r="AL9" s="3">
        <f>INT(VLOOKUP(U9,模板计算相关数据!A:N,5,0)*VLOOKUP(X9,模板计算相关数据!$P$4:$T$7,4,0)*VLOOKUP(Y9,模板计算相关数据!$P$22:$U$30,4,0)*AB9)</f>
        <v>264</v>
      </c>
      <c r="AM9" s="3">
        <f>INT(VLOOKUP(U9,模板计算相关数据!A:N,6,0)*VLOOKUP(X9,模板计算相关数据!$P$4:$T$7,4,0)*VLOOKUP(Y9,模板计算相关数据!$P$22:$U$30,5,0)*AC9)</f>
        <v>145</v>
      </c>
      <c r="AN9" s="3">
        <f>VLOOKUP(U9,模板计算相关数据!A:N,10,0)*0.5*VLOOKUP(Y9,模板计算相关数据!$P$22:$U$30,6,0)+AD9</f>
        <v>276</v>
      </c>
      <c r="AO9" s="3">
        <f>VLOOKUP(INT(VLOOKUP(U9,模板计算相关数据!A:N,2,0)/30)+1,模板计算相关数据!$O$35:$U$40,3,0)+AE9</f>
        <v>0</v>
      </c>
      <c r="AP9" s="3">
        <f>VLOOKUP(INT(VLOOKUP(U9,模板计算相关数据!A:N,2,0)/30)+1,模板计算相关数据!$O$35:$U$40,4,0)+AF9</f>
        <v>5000</v>
      </c>
      <c r="AQ9" s="3">
        <f>VLOOKUP(INT(VLOOKUP(U9,模板计算相关数据!A:N,2,0)/30)+1,模板计算相关数据!$O$35:$U$40,5,0)+AG9</f>
        <v>0</v>
      </c>
      <c r="AR9" s="3">
        <f>VLOOKUP(INT(VLOOKUP(U9,模板计算相关数据!A:N,2,0)/30)+1,模板计算相关数据!$O$35:$U$40,6,0)+AH9</f>
        <v>0</v>
      </c>
      <c r="AS9" s="3">
        <f>VLOOKUP(INT(VLOOKUP(U9,模板计算相关数据!A:N,2,0)/30)+1,模板计算相关数据!$O$35:$U$40,7,0)+AI9</f>
        <v>0</v>
      </c>
      <c r="AT9" s="3">
        <f>VLOOKUP(INT(VLOOKUP(U9,模板计算相关数据!A:N,2,0)/30)+1,模板计算相关数据!$O$35:$V$40,8,0)</f>
        <v>0</v>
      </c>
      <c r="AU9" s="2"/>
    </row>
    <row r="10" spans="1:47" x14ac:dyDescent="0.2">
      <c r="A10" s="3">
        <v>202</v>
      </c>
      <c r="B10" s="3"/>
      <c r="C10" s="2" t="s">
        <v>190</v>
      </c>
      <c r="D10" s="69" t="s">
        <v>1031</v>
      </c>
      <c r="E10" s="2"/>
      <c r="F10" s="2">
        <v>1</v>
      </c>
      <c r="G10" s="2">
        <v>301</v>
      </c>
      <c r="H10" s="3">
        <v>3</v>
      </c>
      <c r="I10" s="3">
        <v>5</v>
      </c>
      <c r="J10" s="3">
        <v>1</v>
      </c>
      <c r="K10" s="3"/>
      <c r="L10" s="2" t="s">
        <v>102</v>
      </c>
      <c r="M10" s="2"/>
      <c r="N10" s="2">
        <v>1</v>
      </c>
      <c r="O10" s="2"/>
      <c r="P10" s="3" t="s">
        <v>1615</v>
      </c>
      <c r="Q10" s="95">
        <f t="shared" si="0"/>
        <v>5.6000000000000014</v>
      </c>
      <c r="R10" s="133">
        <f>IF(P10=模板计算相关数据!$AB$24,VLOOKUP(X10,模板计算相关数据!$P$47:$T$50,2,0),VLOOKUP(X10,模板计算相关数据!$P$4:$U$7,3,0))*VLOOKUP(Y10,模板计算相关数据!$P$22:$X$30,8,0)</f>
        <v>5.6000000000000014</v>
      </c>
      <c r="S10" s="62">
        <f t="shared" si="1"/>
        <v>6.6693344004268367</v>
      </c>
      <c r="T10" s="133">
        <f>IF(P10=模板计算相关数据!$AB$24,VLOOKUP(X10,模板计算相关数据!$P$47:$T$50,5,0),VLOOKUP(X10,模板计算相关数据!$P$4:$U$7,6,0))*VLOOKUP(Y10,模板计算相关数据!$P$22:$X$30,9,0)</f>
        <v>6.6693344004268367</v>
      </c>
      <c r="U10" s="95">
        <v>2</v>
      </c>
      <c r="V10" s="95">
        <f t="shared" si="2"/>
        <v>1</v>
      </c>
      <c r="W10" s="29">
        <f>VLOOKUP(U10,模板计算相关数据!A:N,2,0)</f>
        <v>1</v>
      </c>
      <c r="X10" s="3" t="s">
        <v>151</v>
      </c>
      <c r="Y10" s="3" t="s">
        <v>255</v>
      </c>
      <c r="Z10" s="100">
        <v>1</v>
      </c>
      <c r="AA10" s="2">
        <v>0.02</v>
      </c>
      <c r="AB10" s="2">
        <v>1</v>
      </c>
      <c r="AC10" s="2">
        <v>1</v>
      </c>
      <c r="AD10" s="2">
        <v>1</v>
      </c>
      <c r="AE10" s="95">
        <v>0</v>
      </c>
      <c r="AF10" s="95">
        <v>0</v>
      </c>
      <c r="AG10" s="95">
        <v>0</v>
      </c>
      <c r="AH10" s="95">
        <v>0</v>
      </c>
      <c r="AI10" s="95">
        <v>0</v>
      </c>
      <c r="AJ10" s="3">
        <f>INT(VLOOKUP(U10,模板计算相关数据!A:N,4,0)*VLOOKUP(U10,模板计算相关数据!A:N,14,0)*(1+MAX(0,(VLOOKUP(U10,模板计算相关数据!A:N,7,0)-AQ10))*VLOOKUP(U10,模板计算相关数据!A:N,8,0))*(1-(AL10+AM10)*0.5/((AL10+AM10)*0.5+(VLOOKUP(U10,模板计算相关数据!A:N,2,0)+模板计算相关数据!$AC$27)*模板计算相关数据!$AC$28))*Q10*Z10)</f>
        <v>454</v>
      </c>
      <c r="AK10" s="3">
        <f>INT(VLOOKUP(U10,模板计算相关数据!A:N,3,0)/模板计算相关数据!$W$35/(1+MAX(0,(AO10/10000-VLOOKUP(U10,模板计算相关数据!A:N,9,0)))*AP10/10000)/(1-VLOOKUP(U10,模板计算相关数据!A:N,5,0)/(VLOOKUP(U10,模板计算相关数据!A:N,5,0)+(VLOOKUP(U10,模板计算相关数据!A:N,2,0)+模板计算相关数据!$AC$27)*模板计算相关数据!$AC$28))/S10*AA10)</f>
        <v>1</v>
      </c>
      <c r="AL10" s="3">
        <f>INT(VLOOKUP(U10,模板计算相关数据!A:N,5,0)*VLOOKUP(X10,模板计算相关数据!$P$4:$T$7,4,0)*VLOOKUP(Y10,模板计算相关数据!$P$22:$U$30,4,0)*AB10)</f>
        <v>149</v>
      </c>
      <c r="AM10" s="3">
        <f>INT(VLOOKUP(U10,模板计算相关数据!A:N,6,0)*VLOOKUP(X10,模板计算相关数据!$P$4:$T$7,4,0)*VLOOKUP(Y10,模板计算相关数据!$P$22:$U$30,5,0)*AC10)</f>
        <v>277</v>
      </c>
      <c r="AN10" s="3">
        <f>VLOOKUP(U10,模板计算相关数据!A:N,10,0)*0.5*VLOOKUP(Y10,模板计算相关数据!$P$22:$U$30,6,0)+AD10</f>
        <v>226</v>
      </c>
      <c r="AO10" s="3">
        <f>VLOOKUP(INT(VLOOKUP(U10,模板计算相关数据!A:N,2,0)/30)+1,模板计算相关数据!$O$35:$U$40,3,0)+AE10</f>
        <v>0</v>
      </c>
      <c r="AP10" s="3">
        <f>VLOOKUP(INT(VLOOKUP(U10,模板计算相关数据!A:N,2,0)/30)+1,模板计算相关数据!$O$35:$U$40,4,0)+AF10</f>
        <v>5000</v>
      </c>
      <c r="AQ10" s="3">
        <f>VLOOKUP(INT(VLOOKUP(U10,模板计算相关数据!A:N,2,0)/30)+1,模板计算相关数据!$O$35:$U$40,5,0)+AG10</f>
        <v>0</v>
      </c>
      <c r="AR10" s="3">
        <f>VLOOKUP(INT(VLOOKUP(U10,模板计算相关数据!A:N,2,0)/30)+1,模板计算相关数据!$O$35:$U$40,6,0)+AH10</f>
        <v>0</v>
      </c>
      <c r="AS10" s="3">
        <f>VLOOKUP(INT(VLOOKUP(U10,模板计算相关数据!A:N,2,0)/30)+1,模板计算相关数据!$O$35:$U$40,7,0)+AI10</f>
        <v>0</v>
      </c>
      <c r="AT10" s="3">
        <f>VLOOKUP(INT(VLOOKUP(U10,模板计算相关数据!A:N,2,0)/30)+1,模板计算相关数据!$O$35:$V$40,8,0)</f>
        <v>0</v>
      </c>
      <c r="AU10" s="2"/>
    </row>
    <row r="11" spans="1:47" x14ac:dyDescent="0.2">
      <c r="A11" s="3">
        <v>203</v>
      </c>
      <c r="B11" s="3"/>
      <c r="C11" s="2" t="s">
        <v>191</v>
      </c>
      <c r="D11" s="69" t="s">
        <v>1031</v>
      </c>
      <c r="E11" s="2"/>
      <c r="F11" s="2">
        <v>1</v>
      </c>
      <c r="G11" s="2">
        <v>301</v>
      </c>
      <c r="H11" s="3">
        <v>4</v>
      </c>
      <c r="I11" s="2">
        <v>5</v>
      </c>
      <c r="J11" s="3">
        <v>1</v>
      </c>
      <c r="K11" s="3"/>
      <c r="L11" s="2" t="s">
        <v>192</v>
      </c>
      <c r="M11" s="2"/>
      <c r="N11" s="2">
        <v>1</v>
      </c>
      <c r="O11" s="2"/>
      <c r="P11" s="3" t="s">
        <v>1615</v>
      </c>
      <c r="Q11" s="95">
        <f t="shared" si="0"/>
        <v>4.4674509803921572</v>
      </c>
      <c r="R11" s="133">
        <f>IF(P11=模板计算相关数据!$AB$24,VLOOKUP(X11,模板计算相关数据!$P$47:$T$50,2,0),VLOOKUP(X11,模板计算相关数据!$P$4:$U$7,3,0))*VLOOKUP(Y11,模板计算相关数据!$P$22:$X$30,8,0)</f>
        <v>4.4674509803921572</v>
      </c>
      <c r="S11" s="62">
        <f t="shared" si="1"/>
        <v>5.4739930589768004</v>
      </c>
      <c r="T11" s="133">
        <f>IF(P11=模板计算相关数据!$AB$24,VLOOKUP(X11,模板计算相关数据!$P$47:$T$50,5,0),VLOOKUP(X11,模板计算相关数据!$P$4:$U$7,6,0))*VLOOKUP(Y11,模板计算相关数据!$P$22:$X$30,9,0)</f>
        <v>5.4739930589768004</v>
      </c>
      <c r="U11" s="95">
        <v>2</v>
      </c>
      <c r="V11" s="95">
        <f t="shared" si="2"/>
        <v>1</v>
      </c>
      <c r="W11" s="29">
        <f>VLOOKUP(U11,模板计算相关数据!A:N,2,0)</f>
        <v>1</v>
      </c>
      <c r="X11" s="3" t="s">
        <v>151</v>
      </c>
      <c r="Y11" s="3" t="s">
        <v>162</v>
      </c>
      <c r="Z11" s="100">
        <v>1</v>
      </c>
      <c r="AA11" s="2">
        <v>0.02</v>
      </c>
      <c r="AB11" s="2">
        <v>1</v>
      </c>
      <c r="AC11" s="2">
        <v>1</v>
      </c>
      <c r="AD11" s="2">
        <v>1</v>
      </c>
      <c r="AE11" s="95">
        <v>0</v>
      </c>
      <c r="AF11" s="95">
        <v>0</v>
      </c>
      <c r="AG11" s="95">
        <v>0</v>
      </c>
      <c r="AH11" s="95">
        <v>0</v>
      </c>
      <c r="AI11" s="95">
        <v>0</v>
      </c>
      <c r="AJ11" s="3">
        <f>INT(VLOOKUP(U11,模板计算相关数据!A:N,4,0)*VLOOKUP(U11,模板计算相关数据!A:N,14,0)*(1+MAX(0,(VLOOKUP(U11,模板计算相关数据!A:N,7,0)-AQ11))*VLOOKUP(U11,模板计算相关数据!A:N,8,0))*(1-(AL11+AM11)*0.5/((AL11+AM11)*0.5+(VLOOKUP(U11,模板计算相关数据!A:N,2,0)+模板计算相关数据!$AC$27)*模板计算相关数据!$AC$28))*Q11*Z11)</f>
        <v>378</v>
      </c>
      <c r="AK11" s="3">
        <f>INT(VLOOKUP(U11,模板计算相关数据!A:N,3,0)/模板计算相关数据!$W$35/(1+MAX(0,(AO11/10000-VLOOKUP(U11,模板计算相关数据!A:N,9,0)))*AP11/10000)/(1-VLOOKUP(U11,模板计算相关数据!A:N,5,0)/(VLOOKUP(U11,模板计算相关数据!A:N,5,0)+(VLOOKUP(U11,模板计算相关数据!A:N,2,0)+模板计算相关数据!$AC$27)*模板计算相关数据!$AC$28))/S11*AA11)</f>
        <v>2</v>
      </c>
      <c r="AL11" s="3">
        <f>INT(VLOOKUP(U11,模板计算相关数据!A:N,5,0)*VLOOKUP(X11,模板计算相关数据!$P$4:$T$7,4,0)*VLOOKUP(Y11,模板计算相关数据!$P$22:$U$30,4,0)*AB11)</f>
        <v>136</v>
      </c>
      <c r="AM11" s="3">
        <f>INT(VLOOKUP(U11,模板计算相关数据!A:N,6,0)*VLOOKUP(X11,模板计算相关数据!$P$4:$T$7,4,0)*VLOOKUP(Y11,模板计算相关数据!$P$22:$U$30,5,0)*AC11)</f>
        <v>230</v>
      </c>
      <c r="AN11" s="3">
        <f>VLOOKUP(U11,模板计算相关数据!A:N,10,0)*0.5*VLOOKUP(Y11,模板计算相关数据!$P$22:$U$30,6,0)+AD11</f>
        <v>251</v>
      </c>
      <c r="AO11" s="3">
        <f>VLOOKUP(INT(VLOOKUP(U11,模板计算相关数据!A:N,2,0)/30)+1,模板计算相关数据!$O$35:$U$40,3,0)+AE11</f>
        <v>0</v>
      </c>
      <c r="AP11" s="3">
        <f>VLOOKUP(INT(VLOOKUP(U11,模板计算相关数据!A:N,2,0)/30)+1,模板计算相关数据!$O$35:$U$40,4,0)+AF11</f>
        <v>5000</v>
      </c>
      <c r="AQ11" s="3">
        <f>VLOOKUP(INT(VLOOKUP(U11,模板计算相关数据!A:N,2,0)/30)+1,模板计算相关数据!$O$35:$U$40,5,0)+AG11</f>
        <v>0</v>
      </c>
      <c r="AR11" s="3">
        <f>VLOOKUP(INT(VLOOKUP(U11,模板计算相关数据!A:N,2,0)/30)+1,模板计算相关数据!$O$35:$U$40,6,0)+AH11</f>
        <v>0</v>
      </c>
      <c r="AS11" s="3">
        <f>VLOOKUP(INT(VLOOKUP(U11,模板计算相关数据!A:N,2,0)/30)+1,模板计算相关数据!$O$35:$U$40,7,0)+AI11</f>
        <v>0</v>
      </c>
      <c r="AT11" s="3">
        <f>VLOOKUP(INT(VLOOKUP(U11,模板计算相关数据!A:N,2,0)/30)+1,模板计算相关数据!$O$35:$V$40,8,0)</f>
        <v>0</v>
      </c>
      <c r="AU11" s="2"/>
    </row>
    <row r="12" spans="1:47" x14ac:dyDescent="0.2">
      <c r="A12" s="3">
        <v>204</v>
      </c>
      <c r="B12" s="3"/>
      <c r="C12" s="2" t="s">
        <v>193</v>
      </c>
      <c r="D12" s="69" t="s">
        <v>1031</v>
      </c>
      <c r="E12" s="2"/>
      <c r="F12" s="2">
        <v>1</v>
      </c>
      <c r="G12" s="2">
        <v>301</v>
      </c>
      <c r="H12" s="3">
        <v>5</v>
      </c>
      <c r="I12" s="2">
        <v>5</v>
      </c>
      <c r="J12" s="3">
        <v>1</v>
      </c>
      <c r="K12" s="3"/>
      <c r="L12" s="2" t="s">
        <v>194</v>
      </c>
      <c r="M12" s="2"/>
      <c r="N12" s="2">
        <v>1</v>
      </c>
      <c r="O12" s="2"/>
      <c r="P12" s="3" t="s">
        <v>1615</v>
      </c>
      <c r="Q12" s="95">
        <f t="shared" si="0"/>
        <v>5.7709803921568623</v>
      </c>
      <c r="R12" s="133">
        <f>IF(P12=模板计算相关数据!$AB$24,VLOOKUP(X12,模板计算相关数据!$P$47:$T$50,2,0),VLOOKUP(X12,模板计算相关数据!$P$4:$U$7,3,0))*VLOOKUP(Y12,模板计算相关数据!$P$22:$X$30,8,0)</f>
        <v>5.7709803921568623</v>
      </c>
      <c r="S12" s="62">
        <f t="shared" si="1"/>
        <v>6.4077918749198997</v>
      </c>
      <c r="T12" s="133">
        <f>IF(P12=模板计算相关数据!$AB$24,VLOOKUP(X12,模板计算相关数据!$P$47:$T$50,5,0),VLOOKUP(X12,模板计算相关数据!$P$4:$U$7,6,0))*VLOOKUP(Y12,模板计算相关数据!$P$22:$X$30,9,0)</f>
        <v>6.4077918749198997</v>
      </c>
      <c r="U12" s="95">
        <v>2</v>
      </c>
      <c r="V12" s="95">
        <f t="shared" si="2"/>
        <v>1</v>
      </c>
      <c r="W12" s="29">
        <f>VLOOKUP(U12,模板计算相关数据!A:N,2,0)</f>
        <v>1</v>
      </c>
      <c r="X12" s="3" t="s">
        <v>151</v>
      </c>
      <c r="Y12" s="3" t="s">
        <v>159</v>
      </c>
      <c r="Z12" s="100">
        <v>1</v>
      </c>
      <c r="AA12" s="2">
        <v>0.02</v>
      </c>
      <c r="AB12" s="2">
        <v>1</v>
      </c>
      <c r="AC12" s="2">
        <v>1</v>
      </c>
      <c r="AD12" s="2">
        <v>1</v>
      </c>
      <c r="AE12" s="95">
        <v>0</v>
      </c>
      <c r="AF12" s="95">
        <v>0</v>
      </c>
      <c r="AG12" s="95">
        <v>0</v>
      </c>
      <c r="AH12" s="95">
        <v>0</v>
      </c>
      <c r="AI12" s="95">
        <v>0</v>
      </c>
      <c r="AJ12" s="3">
        <f>INT(VLOOKUP(U12,模板计算相关数据!A:N,4,0)*VLOOKUP(U12,模板计算相关数据!A:N,14,0)*(1+MAX(0,(VLOOKUP(U12,模板计算相关数据!A:N,7,0)-AQ12))*VLOOKUP(U12,模板计算相关数据!A:N,8,0))*(1-(AL12+AM12)*0.5/((AL12+AM12)*0.5+(VLOOKUP(U12,模板计算相关数据!A:N,2,0)+模板计算相关数据!$AC$27)*模板计算相关数据!$AC$28))*Q12*Z12)</f>
        <v>474</v>
      </c>
      <c r="AK12" s="3">
        <f>INT(VLOOKUP(U12,模板计算相关数据!A:N,3,0)/模板计算相关数据!$W$35/(1+MAX(0,(AO12/10000-VLOOKUP(U12,模板计算相关数据!A:N,9,0)))*AP12/10000)/(1-VLOOKUP(U12,模板计算相关数据!A:N,5,0)/(VLOOKUP(U12,模板计算相关数据!A:N,5,0)+(VLOOKUP(U12,模板计算相关数据!A:N,2,0)+模板计算相关数据!$AC$27)*模板计算相关数据!$AC$28))/S12*AA12)</f>
        <v>1</v>
      </c>
      <c r="AL12" s="3">
        <f>INT(VLOOKUP(U12,模板计算相关数据!A:N,5,0)*VLOOKUP(X12,模板计算相关数据!$P$4:$T$7,4,0)*VLOOKUP(Y12,模板计算相关数据!$P$22:$U$30,4,0)*AB12)</f>
        <v>264</v>
      </c>
      <c r="AM12" s="3">
        <f>INT(VLOOKUP(U12,模板计算相关数据!A:N,6,0)*VLOOKUP(X12,模板计算相关数据!$P$4:$T$7,4,0)*VLOOKUP(Y12,模板计算相关数据!$P$22:$U$30,5,0)*AC12)</f>
        <v>145</v>
      </c>
      <c r="AN12" s="3">
        <f>VLOOKUP(U12,模板计算相关数据!A:N,10,0)*0.5*VLOOKUP(Y12,模板计算相关数据!$P$22:$U$30,6,0)+AD12</f>
        <v>276</v>
      </c>
      <c r="AO12" s="3">
        <f>VLOOKUP(INT(VLOOKUP(U12,模板计算相关数据!A:N,2,0)/30)+1,模板计算相关数据!$O$35:$U$40,3,0)+AE12</f>
        <v>0</v>
      </c>
      <c r="AP12" s="3">
        <f>VLOOKUP(INT(VLOOKUP(U12,模板计算相关数据!A:N,2,0)/30)+1,模板计算相关数据!$O$35:$U$40,4,0)+AF12</f>
        <v>5000</v>
      </c>
      <c r="AQ12" s="3">
        <f>VLOOKUP(INT(VLOOKUP(U12,模板计算相关数据!A:N,2,0)/30)+1,模板计算相关数据!$O$35:$U$40,5,0)+AG12</f>
        <v>0</v>
      </c>
      <c r="AR12" s="3">
        <f>VLOOKUP(INT(VLOOKUP(U12,模板计算相关数据!A:N,2,0)/30)+1,模板计算相关数据!$O$35:$U$40,6,0)+AH12</f>
        <v>0</v>
      </c>
      <c r="AS12" s="3">
        <f>VLOOKUP(INT(VLOOKUP(U12,模板计算相关数据!A:N,2,0)/30)+1,模板计算相关数据!$O$35:$U$40,7,0)+AI12</f>
        <v>0</v>
      </c>
      <c r="AT12" s="3">
        <f>VLOOKUP(INT(VLOOKUP(U12,模板计算相关数据!A:N,2,0)/30)+1,模板计算相关数据!$O$35:$V$40,8,0)</f>
        <v>0</v>
      </c>
      <c r="AU12" s="2"/>
    </row>
    <row r="13" spans="1:47" x14ac:dyDescent="0.2">
      <c r="A13" s="3">
        <v>205</v>
      </c>
      <c r="B13" s="3"/>
      <c r="C13" s="2" t="s">
        <v>195</v>
      </c>
      <c r="D13" s="69" t="s">
        <v>1031</v>
      </c>
      <c r="E13" s="2"/>
      <c r="F13" s="2">
        <v>1</v>
      </c>
      <c r="G13" s="2">
        <v>301</v>
      </c>
      <c r="H13" s="3">
        <v>6</v>
      </c>
      <c r="I13" s="2">
        <v>5</v>
      </c>
      <c r="J13" s="3">
        <v>1</v>
      </c>
      <c r="K13" s="3"/>
      <c r="L13" s="2" t="s">
        <v>196</v>
      </c>
      <c r="M13" s="2"/>
      <c r="N13" s="2">
        <v>1</v>
      </c>
      <c r="O13" s="2"/>
      <c r="P13" s="3" t="s">
        <v>1615</v>
      </c>
      <c r="Q13" s="95">
        <f t="shared" si="0"/>
        <v>5.7709803921568623</v>
      </c>
      <c r="R13" s="133">
        <f>IF(P13=模板计算相关数据!$AB$24,VLOOKUP(X13,模板计算相关数据!$P$47:$T$50,2,0),VLOOKUP(X13,模板计算相关数据!$P$4:$U$7,3,0))*VLOOKUP(Y13,模板计算相关数据!$P$22:$X$30,8,0)</f>
        <v>5.7709803921568623</v>
      </c>
      <c r="S13" s="62">
        <f t="shared" si="1"/>
        <v>6.4077918749198997</v>
      </c>
      <c r="T13" s="133">
        <f>IF(P13=模板计算相关数据!$AB$24,VLOOKUP(X13,模板计算相关数据!$P$47:$T$50,5,0),VLOOKUP(X13,模板计算相关数据!$P$4:$U$7,6,0))*VLOOKUP(Y13,模板计算相关数据!$P$22:$X$30,9,0)</f>
        <v>6.4077918749198997</v>
      </c>
      <c r="U13" s="95">
        <v>2</v>
      </c>
      <c r="V13" s="95">
        <f t="shared" si="2"/>
        <v>1</v>
      </c>
      <c r="W13" s="29">
        <f>VLOOKUP(U13,模板计算相关数据!A:N,2,0)</f>
        <v>1</v>
      </c>
      <c r="X13" s="3" t="s">
        <v>151</v>
      </c>
      <c r="Y13" s="3" t="s">
        <v>159</v>
      </c>
      <c r="Z13" s="100">
        <v>1</v>
      </c>
      <c r="AA13" s="2">
        <v>0.02</v>
      </c>
      <c r="AB13" s="2">
        <v>1</v>
      </c>
      <c r="AC13" s="2">
        <v>1</v>
      </c>
      <c r="AD13" s="2">
        <v>1</v>
      </c>
      <c r="AE13" s="95">
        <v>0</v>
      </c>
      <c r="AF13" s="95">
        <v>0</v>
      </c>
      <c r="AG13" s="95">
        <v>0</v>
      </c>
      <c r="AH13" s="95">
        <v>0</v>
      </c>
      <c r="AI13" s="95">
        <v>0</v>
      </c>
      <c r="AJ13" s="3">
        <f>INT(VLOOKUP(U13,模板计算相关数据!A:N,4,0)*VLOOKUP(U13,模板计算相关数据!A:N,14,0)*(1+MAX(0,(VLOOKUP(U13,模板计算相关数据!A:N,7,0)-AQ13))*VLOOKUP(U13,模板计算相关数据!A:N,8,0))*(1-(AL13+AM13)*0.5/((AL13+AM13)*0.5+(VLOOKUP(U13,模板计算相关数据!A:N,2,0)+模板计算相关数据!$AC$27)*模板计算相关数据!$AC$28))*Q13*Z13)</f>
        <v>474</v>
      </c>
      <c r="AK13" s="3">
        <f>INT(VLOOKUP(U13,模板计算相关数据!A:N,3,0)/模板计算相关数据!$W$35/(1+MAX(0,(AO13/10000-VLOOKUP(U13,模板计算相关数据!A:N,9,0)))*AP13/10000)/(1-VLOOKUP(U13,模板计算相关数据!A:N,5,0)/(VLOOKUP(U13,模板计算相关数据!A:N,5,0)+(VLOOKUP(U13,模板计算相关数据!A:N,2,0)+模板计算相关数据!$AC$27)*模板计算相关数据!$AC$28))/S13*AA13)</f>
        <v>1</v>
      </c>
      <c r="AL13" s="3">
        <f>INT(VLOOKUP(U13,模板计算相关数据!A:N,5,0)*VLOOKUP(X13,模板计算相关数据!$P$4:$T$7,4,0)*VLOOKUP(Y13,模板计算相关数据!$P$22:$U$30,4,0)*AB13)</f>
        <v>264</v>
      </c>
      <c r="AM13" s="3">
        <f>INT(VLOOKUP(U13,模板计算相关数据!A:N,6,0)*VLOOKUP(X13,模板计算相关数据!$P$4:$T$7,4,0)*VLOOKUP(Y13,模板计算相关数据!$P$22:$U$30,5,0)*AC13)</f>
        <v>145</v>
      </c>
      <c r="AN13" s="3">
        <f>VLOOKUP(U13,模板计算相关数据!A:N,10,0)*0.5*VLOOKUP(Y13,模板计算相关数据!$P$22:$U$30,6,0)+AD13</f>
        <v>276</v>
      </c>
      <c r="AO13" s="3">
        <f>VLOOKUP(INT(VLOOKUP(U13,模板计算相关数据!A:N,2,0)/30)+1,模板计算相关数据!$O$35:$U$40,3,0)+AE13</f>
        <v>0</v>
      </c>
      <c r="AP13" s="3">
        <f>VLOOKUP(INT(VLOOKUP(U13,模板计算相关数据!A:N,2,0)/30)+1,模板计算相关数据!$O$35:$U$40,4,0)+AF13</f>
        <v>5000</v>
      </c>
      <c r="AQ13" s="3">
        <f>VLOOKUP(INT(VLOOKUP(U13,模板计算相关数据!A:N,2,0)/30)+1,模板计算相关数据!$O$35:$U$40,5,0)+AG13</f>
        <v>0</v>
      </c>
      <c r="AR13" s="3">
        <f>VLOOKUP(INT(VLOOKUP(U13,模板计算相关数据!A:N,2,0)/30)+1,模板计算相关数据!$O$35:$U$40,6,0)+AH13</f>
        <v>0</v>
      </c>
      <c r="AS13" s="3">
        <f>VLOOKUP(INT(VLOOKUP(U13,模板计算相关数据!A:N,2,0)/30)+1,模板计算相关数据!$O$35:$U$40,7,0)+AI13</f>
        <v>0</v>
      </c>
      <c r="AT13" s="3">
        <f>VLOOKUP(INT(VLOOKUP(U13,模板计算相关数据!A:N,2,0)/30)+1,模板计算相关数据!$O$35:$V$40,8,0)</f>
        <v>0</v>
      </c>
      <c r="AU13" s="2"/>
    </row>
    <row r="14" spans="1:47" x14ac:dyDescent="0.2">
      <c r="A14" s="3">
        <v>206</v>
      </c>
      <c r="B14" s="3"/>
      <c r="C14" s="2" t="s">
        <v>197</v>
      </c>
      <c r="D14" s="69" t="s">
        <v>1031</v>
      </c>
      <c r="E14" s="2"/>
      <c r="F14" s="2">
        <v>1</v>
      </c>
      <c r="G14" s="2">
        <v>301</v>
      </c>
      <c r="H14" s="3">
        <v>1</v>
      </c>
      <c r="I14" s="2">
        <v>5</v>
      </c>
      <c r="J14" s="3">
        <v>1</v>
      </c>
      <c r="K14" s="3"/>
      <c r="L14" s="2" t="s">
        <v>198</v>
      </c>
      <c r="M14" s="2"/>
      <c r="N14" s="2">
        <v>1</v>
      </c>
      <c r="O14" s="2"/>
      <c r="P14" s="3" t="s">
        <v>1615</v>
      </c>
      <c r="Q14" s="95">
        <f t="shared" si="0"/>
        <v>4.417254901960785</v>
      </c>
      <c r="R14" s="133">
        <f>IF(P14=模板计算相关数据!$AB$24,VLOOKUP(X14,模板计算相关数据!$P$47:$T$50,2,0),VLOOKUP(X14,模板计算相关数据!$P$4:$U$7,3,0))*VLOOKUP(Y14,模板计算相关数据!$P$22:$X$30,8,0)</f>
        <v>4.417254901960785</v>
      </c>
      <c r="S14" s="62">
        <f t="shared" si="1"/>
        <v>5.4285280003474252</v>
      </c>
      <c r="T14" s="133">
        <f>IF(P14=模板计算相关数据!$AB$24,VLOOKUP(X14,模板计算相关数据!$P$47:$T$50,5,0),VLOOKUP(X14,模板计算相关数据!$P$4:$U$7,6,0))*VLOOKUP(Y14,模板计算相关数据!$P$22:$X$30,9,0)</f>
        <v>5.4285280003474252</v>
      </c>
      <c r="U14" s="95">
        <v>2</v>
      </c>
      <c r="V14" s="95">
        <f t="shared" si="2"/>
        <v>1</v>
      </c>
      <c r="W14" s="29">
        <f>VLOOKUP(U14,模板计算相关数据!A:N,2,0)</f>
        <v>1</v>
      </c>
      <c r="X14" s="3" t="s">
        <v>151</v>
      </c>
      <c r="Y14" s="3" t="s">
        <v>152</v>
      </c>
      <c r="Z14" s="100">
        <v>1</v>
      </c>
      <c r="AA14" s="2">
        <v>0.02</v>
      </c>
      <c r="AB14" s="2">
        <v>1</v>
      </c>
      <c r="AC14" s="2">
        <v>1</v>
      </c>
      <c r="AD14" s="2">
        <v>1</v>
      </c>
      <c r="AE14" s="95">
        <v>0</v>
      </c>
      <c r="AF14" s="95">
        <v>0</v>
      </c>
      <c r="AG14" s="95">
        <v>0</v>
      </c>
      <c r="AH14" s="95">
        <v>0</v>
      </c>
      <c r="AI14" s="95">
        <v>0</v>
      </c>
      <c r="AJ14" s="3">
        <f>INT(VLOOKUP(U14,模板计算相关数据!A:N,4,0)*VLOOKUP(U14,模板计算相关数据!A:N,14,0)*(1+MAX(0,(VLOOKUP(U14,模板计算相关数据!A:N,7,0)-AQ14))*VLOOKUP(U14,模板计算相关数据!A:N,8,0))*(1-(AL14+AM14)*0.5/((AL14+AM14)*0.5+(VLOOKUP(U14,模板计算相关数据!A:N,2,0)+模板计算相关数据!$AC$27)*模板计算相关数据!$AC$28))*Q14*Z14)</f>
        <v>374</v>
      </c>
      <c r="AK14" s="3">
        <f>INT(VLOOKUP(U14,模板计算相关数据!A:N,3,0)/模板计算相关数据!$W$35/(1+MAX(0,(AO14/10000-VLOOKUP(U14,模板计算相关数据!A:N,9,0)))*AP14/10000)/(1-VLOOKUP(U14,模板计算相关数据!A:N,5,0)/(VLOOKUP(U14,模板计算相关数据!A:N,5,0)+(VLOOKUP(U14,模板计算相关数据!A:N,2,0)+模板计算相关数据!$AC$27)*模板计算相关数据!$AC$28))/S14*AA14)</f>
        <v>2</v>
      </c>
      <c r="AL14" s="3">
        <f>INT(VLOOKUP(U14,模板计算相关数据!A:N,5,0)*VLOOKUP(X14,模板计算相关数据!$P$4:$T$7,4,0)*VLOOKUP(Y14,模板计算相关数据!$P$22:$U$30,4,0)*AB14)</f>
        <v>230</v>
      </c>
      <c r="AM14" s="3">
        <f>INT(VLOOKUP(U14,模板计算相关数据!A:N,6,0)*VLOOKUP(X14,模板计算相关数据!$P$4:$T$7,4,0)*VLOOKUP(Y14,模板计算相关数据!$P$22:$U$30,5,0)*AC14)</f>
        <v>136</v>
      </c>
      <c r="AN14" s="3">
        <f>VLOOKUP(U14,模板计算相关数据!A:N,10,0)*0.5*VLOOKUP(Y14,模板计算相关数据!$P$22:$U$30,6,0)+AD14</f>
        <v>251</v>
      </c>
      <c r="AO14" s="3">
        <f>VLOOKUP(INT(VLOOKUP(U14,模板计算相关数据!A:N,2,0)/30)+1,模板计算相关数据!$O$35:$U$40,3,0)+AE14</f>
        <v>0</v>
      </c>
      <c r="AP14" s="3">
        <f>VLOOKUP(INT(VLOOKUP(U14,模板计算相关数据!A:N,2,0)/30)+1,模板计算相关数据!$O$35:$U$40,4,0)+AF14</f>
        <v>5000</v>
      </c>
      <c r="AQ14" s="3">
        <f>VLOOKUP(INT(VLOOKUP(U14,模板计算相关数据!A:N,2,0)/30)+1,模板计算相关数据!$O$35:$U$40,5,0)+AG14</f>
        <v>0</v>
      </c>
      <c r="AR14" s="3">
        <f>VLOOKUP(INT(VLOOKUP(U14,模板计算相关数据!A:N,2,0)/30)+1,模板计算相关数据!$O$35:$U$40,6,0)+AH14</f>
        <v>0</v>
      </c>
      <c r="AS14" s="3">
        <f>VLOOKUP(INT(VLOOKUP(U14,模板计算相关数据!A:N,2,0)/30)+1,模板计算相关数据!$O$35:$U$40,7,0)+AI14</f>
        <v>0</v>
      </c>
      <c r="AT14" s="3">
        <f>VLOOKUP(INT(VLOOKUP(U14,模板计算相关数据!A:N,2,0)/30)+1,模板计算相关数据!$O$35:$V$40,8,0)</f>
        <v>0</v>
      </c>
      <c r="AU14" s="2"/>
    </row>
    <row r="15" spans="1:47" x14ac:dyDescent="0.2">
      <c r="A15" s="3">
        <v>207</v>
      </c>
      <c r="B15" s="3"/>
      <c r="C15" s="2" t="s">
        <v>199</v>
      </c>
      <c r="D15" s="69" t="s">
        <v>1031</v>
      </c>
      <c r="E15" s="2"/>
      <c r="F15" s="2">
        <v>1</v>
      </c>
      <c r="G15" s="2">
        <v>301</v>
      </c>
      <c r="H15" s="3">
        <v>2</v>
      </c>
      <c r="I15" s="2">
        <v>5</v>
      </c>
      <c r="J15" s="3">
        <v>1</v>
      </c>
      <c r="K15" s="3"/>
      <c r="L15" s="2" t="s">
        <v>200</v>
      </c>
      <c r="M15" s="2"/>
      <c r="N15" s="2">
        <v>1</v>
      </c>
      <c r="O15" s="2"/>
      <c r="P15" s="3" t="s">
        <v>1615</v>
      </c>
      <c r="Q15" s="95">
        <f t="shared" si="0"/>
        <v>6.9411764705882364</v>
      </c>
      <c r="R15" s="133">
        <f>IF(P15=模板计算相关数据!$AB$24,VLOOKUP(X15,模板计算相关数据!$P$47:$T$50,2,0),VLOOKUP(X15,模板计算相关数据!$P$4:$U$7,3,0))*VLOOKUP(Y15,模板计算相关数据!$P$22:$X$30,8,0)</f>
        <v>6.9411764705882364</v>
      </c>
      <c r="S15" s="62">
        <f t="shared" si="1"/>
        <v>8.2943498888557112</v>
      </c>
      <c r="T15" s="133">
        <f>IF(P15=模板计算相关数据!$AB$24,VLOOKUP(X15,模板计算相关数据!$P$47:$T$50,5,0),VLOOKUP(X15,模板计算相关数据!$P$4:$U$7,6,0))*VLOOKUP(Y15,模板计算相关数据!$P$22:$X$30,9,0)</f>
        <v>8.2943498888557112</v>
      </c>
      <c r="U15" s="95">
        <v>2</v>
      </c>
      <c r="V15" s="95">
        <f t="shared" si="2"/>
        <v>1</v>
      </c>
      <c r="W15" s="29">
        <f>VLOOKUP(U15,模板计算相关数据!A:N,2,0)</f>
        <v>1</v>
      </c>
      <c r="X15" s="3" t="s">
        <v>151</v>
      </c>
      <c r="Y15" s="3" t="s">
        <v>155</v>
      </c>
      <c r="Z15" s="100">
        <v>1</v>
      </c>
      <c r="AA15" s="2">
        <v>0.02</v>
      </c>
      <c r="AB15" s="2">
        <v>1</v>
      </c>
      <c r="AC15" s="2">
        <v>1</v>
      </c>
      <c r="AD15" s="2">
        <v>1</v>
      </c>
      <c r="AE15" s="95">
        <v>0</v>
      </c>
      <c r="AF15" s="95">
        <v>0</v>
      </c>
      <c r="AG15" s="95">
        <v>0</v>
      </c>
      <c r="AH15" s="95">
        <v>0</v>
      </c>
      <c r="AI15" s="95">
        <v>0</v>
      </c>
      <c r="AJ15" s="3">
        <f>INT(VLOOKUP(U15,模板计算相关数据!A:N,4,0)*VLOOKUP(U15,模板计算相关数据!A:N,14,0)*(1+MAX(0,(VLOOKUP(U15,模板计算相关数据!A:N,7,0)-AQ15))*VLOOKUP(U15,模板计算相关数据!A:N,8,0))*(1-(AL15+AM15)*0.5/((AL15+AM15)*0.5+(VLOOKUP(U15,模板计算相关数据!A:N,2,0)+模板计算相关数据!$AC$27)*模板计算相关数据!$AC$28))*Q15*Z15)</f>
        <v>561</v>
      </c>
      <c r="AK15" s="3">
        <f>INT(VLOOKUP(U15,模板计算相关数据!A:N,3,0)/模板计算相关数据!$W$35/(1+MAX(0,(AO15/10000-VLOOKUP(U15,模板计算相关数据!A:N,9,0)))*AP15/10000)/(1-VLOOKUP(U15,模板计算相关数据!A:N,5,0)/(VLOOKUP(U15,模板计算相关数据!A:N,5,0)+(VLOOKUP(U15,模板计算相关数据!A:N,2,0)+模板计算相关数据!$AC$27)*模板计算相关数据!$AC$28))/S15*AA15)</f>
        <v>1</v>
      </c>
      <c r="AL15" s="3">
        <f>INT(VLOOKUP(U15,模板计算相关数据!A:N,5,0)*VLOOKUP(X15,模板计算相关数据!$P$4:$T$7,4,0)*VLOOKUP(Y15,模板计算相关数据!$P$22:$U$30,4,0)*AB15)</f>
        <v>277</v>
      </c>
      <c r="AM15" s="3">
        <f>INT(VLOOKUP(U15,模板计算相关数据!A:N,6,0)*VLOOKUP(X15,模板计算相关数据!$P$4:$T$7,4,0)*VLOOKUP(Y15,模板计算相关数据!$P$22:$U$30,5,0)*AC15)</f>
        <v>153</v>
      </c>
      <c r="AN15" s="3">
        <f>VLOOKUP(U15,模板计算相关数据!A:N,10,0)*0.5*VLOOKUP(Y15,模板计算相关数据!$P$22:$U$30,6,0)+AD15</f>
        <v>226</v>
      </c>
      <c r="AO15" s="3">
        <f>VLOOKUP(INT(VLOOKUP(U15,模板计算相关数据!A:N,2,0)/30)+1,模板计算相关数据!$O$35:$U$40,3,0)+AE15</f>
        <v>0</v>
      </c>
      <c r="AP15" s="3">
        <f>VLOOKUP(INT(VLOOKUP(U15,模板计算相关数据!A:N,2,0)/30)+1,模板计算相关数据!$O$35:$U$40,4,0)+AF15</f>
        <v>5000</v>
      </c>
      <c r="AQ15" s="3">
        <f>VLOOKUP(INT(VLOOKUP(U15,模板计算相关数据!A:N,2,0)/30)+1,模板计算相关数据!$O$35:$U$40,5,0)+AG15</f>
        <v>0</v>
      </c>
      <c r="AR15" s="3">
        <f>VLOOKUP(INT(VLOOKUP(U15,模板计算相关数据!A:N,2,0)/30)+1,模板计算相关数据!$O$35:$U$40,6,0)+AH15</f>
        <v>0</v>
      </c>
      <c r="AS15" s="3">
        <f>VLOOKUP(INT(VLOOKUP(U15,模板计算相关数据!A:N,2,0)/30)+1,模板计算相关数据!$O$35:$U$40,7,0)+AI15</f>
        <v>0</v>
      </c>
      <c r="AT15" s="3">
        <f>VLOOKUP(INT(VLOOKUP(U15,模板计算相关数据!A:N,2,0)/30)+1,模板计算相关数据!$O$35:$V$40,8,0)</f>
        <v>0</v>
      </c>
      <c r="AU15" s="2"/>
    </row>
    <row r="16" spans="1:47" x14ac:dyDescent="0.2">
      <c r="A16" s="3">
        <v>208</v>
      </c>
      <c r="B16" s="3"/>
      <c r="C16" s="2" t="s">
        <v>201</v>
      </c>
      <c r="D16" s="69" t="s">
        <v>1031</v>
      </c>
      <c r="E16" s="2"/>
      <c r="F16" s="2">
        <v>2</v>
      </c>
      <c r="G16" s="2">
        <v>301</v>
      </c>
      <c r="H16" s="3">
        <v>3</v>
      </c>
      <c r="I16" s="2">
        <v>5</v>
      </c>
      <c r="J16" s="3">
        <v>1</v>
      </c>
      <c r="K16" s="3"/>
      <c r="L16" s="2" t="s">
        <v>103</v>
      </c>
      <c r="M16" s="2"/>
      <c r="N16" s="2">
        <v>1</v>
      </c>
      <c r="O16" s="2"/>
      <c r="P16" s="3" t="s">
        <v>1615</v>
      </c>
      <c r="Q16" s="95">
        <f t="shared" si="0"/>
        <v>5.6000000000000014</v>
      </c>
      <c r="R16" s="133">
        <f>IF(P16=模板计算相关数据!$AB$24,VLOOKUP(X16,模板计算相关数据!$P$47:$T$50,2,0),VLOOKUP(X16,模板计算相关数据!$P$4:$U$7,3,0))*VLOOKUP(Y16,模板计算相关数据!$P$22:$X$30,8,0)</f>
        <v>5.6000000000000014</v>
      </c>
      <c r="S16" s="62">
        <f t="shared" si="1"/>
        <v>6.6693344004268367</v>
      </c>
      <c r="T16" s="133">
        <f>IF(P16=模板计算相关数据!$AB$24,VLOOKUP(X16,模板计算相关数据!$P$47:$T$50,5,0),VLOOKUP(X16,模板计算相关数据!$P$4:$U$7,6,0))*VLOOKUP(Y16,模板计算相关数据!$P$22:$X$30,9,0)</f>
        <v>6.6693344004268367</v>
      </c>
      <c r="U16" s="95">
        <v>2</v>
      </c>
      <c r="V16" s="95">
        <f t="shared" si="2"/>
        <v>1</v>
      </c>
      <c r="W16" s="29">
        <f>VLOOKUP(U16,模板计算相关数据!A:N,2,0)</f>
        <v>1</v>
      </c>
      <c r="X16" s="3" t="s">
        <v>151</v>
      </c>
      <c r="Y16" s="3" t="s">
        <v>255</v>
      </c>
      <c r="Z16" s="100">
        <v>1</v>
      </c>
      <c r="AA16" s="2">
        <v>0.02</v>
      </c>
      <c r="AB16" s="2">
        <v>1</v>
      </c>
      <c r="AC16" s="2">
        <v>1</v>
      </c>
      <c r="AD16" s="2">
        <v>1</v>
      </c>
      <c r="AE16" s="95">
        <v>0</v>
      </c>
      <c r="AF16" s="95">
        <v>0</v>
      </c>
      <c r="AG16" s="95">
        <v>0</v>
      </c>
      <c r="AH16" s="95">
        <v>0</v>
      </c>
      <c r="AI16" s="95">
        <v>0</v>
      </c>
      <c r="AJ16" s="3">
        <f>INT(VLOOKUP(U16,模板计算相关数据!A:N,4,0)*VLOOKUP(U16,模板计算相关数据!A:N,14,0)*(1+MAX(0,(VLOOKUP(U16,模板计算相关数据!A:N,7,0)-AQ16))*VLOOKUP(U16,模板计算相关数据!A:N,8,0))*(1-(AL16+AM16)*0.5/((AL16+AM16)*0.5+(VLOOKUP(U16,模板计算相关数据!A:N,2,0)+模板计算相关数据!$AC$27)*模板计算相关数据!$AC$28))*Q16*Z16)</f>
        <v>454</v>
      </c>
      <c r="AK16" s="3">
        <f>INT(VLOOKUP(U16,模板计算相关数据!A:N,3,0)/模板计算相关数据!$W$35/(1+MAX(0,(AO16/10000-VLOOKUP(U16,模板计算相关数据!A:N,9,0)))*AP16/10000)/(1-VLOOKUP(U16,模板计算相关数据!A:N,5,0)/(VLOOKUP(U16,模板计算相关数据!A:N,5,0)+(VLOOKUP(U16,模板计算相关数据!A:N,2,0)+模板计算相关数据!$AC$27)*模板计算相关数据!$AC$28))/S16*AA16)</f>
        <v>1</v>
      </c>
      <c r="AL16" s="3">
        <f>INT(VLOOKUP(U16,模板计算相关数据!A:N,5,0)*VLOOKUP(X16,模板计算相关数据!$P$4:$T$7,4,0)*VLOOKUP(Y16,模板计算相关数据!$P$22:$U$30,4,0)*AB16)</f>
        <v>149</v>
      </c>
      <c r="AM16" s="3">
        <f>INT(VLOOKUP(U16,模板计算相关数据!A:N,6,0)*VLOOKUP(X16,模板计算相关数据!$P$4:$T$7,4,0)*VLOOKUP(Y16,模板计算相关数据!$P$22:$U$30,5,0)*AC16)</f>
        <v>277</v>
      </c>
      <c r="AN16" s="3">
        <f>VLOOKUP(U16,模板计算相关数据!A:N,10,0)*0.5*VLOOKUP(Y16,模板计算相关数据!$P$22:$U$30,6,0)+AD16</f>
        <v>226</v>
      </c>
      <c r="AO16" s="3">
        <f>VLOOKUP(INT(VLOOKUP(U16,模板计算相关数据!A:N,2,0)/30)+1,模板计算相关数据!$O$35:$U$40,3,0)+AE16</f>
        <v>0</v>
      </c>
      <c r="AP16" s="3">
        <f>VLOOKUP(INT(VLOOKUP(U16,模板计算相关数据!A:N,2,0)/30)+1,模板计算相关数据!$O$35:$U$40,4,0)+AF16</f>
        <v>5000</v>
      </c>
      <c r="AQ16" s="3">
        <f>VLOOKUP(INT(VLOOKUP(U16,模板计算相关数据!A:N,2,0)/30)+1,模板计算相关数据!$O$35:$U$40,5,0)+AG16</f>
        <v>0</v>
      </c>
      <c r="AR16" s="3">
        <f>VLOOKUP(INT(VLOOKUP(U16,模板计算相关数据!A:N,2,0)/30)+1,模板计算相关数据!$O$35:$U$40,6,0)+AH16</f>
        <v>0</v>
      </c>
      <c r="AS16" s="3">
        <f>VLOOKUP(INT(VLOOKUP(U16,模板计算相关数据!A:N,2,0)/30)+1,模板计算相关数据!$O$35:$U$40,7,0)+AI16</f>
        <v>0</v>
      </c>
      <c r="AT16" s="3">
        <f>VLOOKUP(INT(VLOOKUP(U16,模板计算相关数据!A:N,2,0)/30)+1,模板计算相关数据!$O$35:$V$40,8,0)</f>
        <v>0</v>
      </c>
      <c r="AU16" s="2"/>
    </row>
    <row r="17" spans="1:47" x14ac:dyDescent="0.2">
      <c r="A17" s="3">
        <v>209</v>
      </c>
      <c r="B17" s="3"/>
      <c r="C17" s="2" t="s">
        <v>202</v>
      </c>
      <c r="D17" s="69" t="s">
        <v>1031</v>
      </c>
      <c r="E17" s="2"/>
      <c r="F17" s="2">
        <v>1</v>
      </c>
      <c r="G17" s="2">
        <v>301</v>
      </c>
      <c r="H17" s="3">
        <v>4</v>
      </c>
      <c r="I17" s="2">
        <v>5</v>
      </c>
      <c r="J17" s="3">
        <v>1</v>
      </c>
      <c r="K17" s="3"/>
      <c r="L17" s="2" t="s">
        <v>203</v>
      </c>
      <c r="M17" s="2"/>
      <c r="N17" s="2">
        <v>1</v>
      </c>
      <c r="O17" s="2"/>
      <c r="P17" s="3" t="s">
        <v>1615</v>
      </c>
      <c r="Q17" s="95">
        <f t="shared" si="0"/>
        <v>4.4674509803921572</v>
      </c>
      <c r="R17" s="133">
        <f>IF(P17=模板计算相关数据!$AB$24,VLOOKUP(X17,模板计算相关数据!$P$47:$T$50,2,0),VLOOKUP(X17,模板计算相关数据!$P$4:$U$7,3,0))*VLOOKUP(Y17,模板计算相关数据!$P$22:$X$30,8,0)</f>
        <v>4.4674509803921572</v>
      </c>
      <c r="S17" s="62">
        <f t="shared" si="1"/>
        <v>5.4739930589768004</v>
      </c>
      <c r="T17" s="133">
        <f>IF(P17=模板计算相关数据!$AB$24,VLOOKUP(X17,模板计算相关数据!$P$47:$T$50,5,0),VLOOKUP(X17,模板计算相关数据!$P$4:$U$7,6,0))*VLOOKUP(Y17,模板计算相关数据!$P$22:$X$30,9,0)</f>
        <v>5.4739930589768004</v>
      </c>
      <c r="U17" s="95">
        <v>2</v>
      </c>
      <c r="V17" s="95">
        <f t="shared" si="2"/>
        <v>1</v>
      </c>
      <c r="W17" s="29">
        <f>VLOOKUP(U17,模板计算相关数据!A:N,2,0)</f>
        <v>1</v>
      </c>
      <c r="X17" s="3" t="s">
        <v>151</v>
      </c>
      <c r="Y17" s="3" t="s">
        <v>162</v>
      </c>
      <c r="Z17" s="100">
        <v>1</v>
      </c>
      <c r="AA17" s="2">
        <v>0.02</v>
      </c>
      <c r="AB17" s="2">
        <v>1</v>
      </c>
      <c r="AC17" s="2">
        <v>1</v>
      </c>
      <c r="AD17" s="2">
        <v>1</v>
      </c>
      <c r="AE17" s="95">
        <v>0</v>
      </c>
      <c r="AF17" s="95">
        <v>0</v>
      </c>
      <c r="AG17" s="95">
        <v>0</v>
      </c>
      <c r="AH17" s="95">
        <v>0</v>
      </c>
      <c r="AI17" s="95">
        <v>0</v>
      </c>
      <c r="AJ17" s="3">
        <f>INT(VLOOKUP(U17,模板计算相关数据!A:N,4,0)*VLOOKUP(U17,模板计算相关数据!A:N,14,0)*(1+MAX(0,(VLOOKUP(U17,模板计算相关数据!A:N,7,0)-AQ17))*VLOOKUP(U17,模板计算相关数据!A:N,8,0))*(1-(AL17+AM17)*0.5/((AL17+AM17)*0.5+(VLOOKUP(U17,模板计算相关数据!A:N,2,0)+模板计算相关数据!$AC$27)*模板计算相关数据!$AC$28))*Q17*Z17)</f>
        <v>378</v>
      </c>
      <c r="AK17" s="3">
        <f>INT(VLOOKUP(U17,模板计算相关数据!A:N,3,0)/模板计算相关数据!$W$35/(1+MAX(0,(AO17/10000-VLOOKUP(U17,模板计算相关数据!A:N,9,0)))*AP17/10000)/(1-VLOOKUP(U17,模板计算相关数据!A:N,5,0)/(VLOOKUP(U17,模板计算相关数据!A:N,5,0)+(VLOOKUP(U17,模板计算相关数据!A:N,2,0)+模板计算相关数据!$AC$27)*模板计算相关数据!$AC$28))/S17*AA17)</f>
        <v>2</v>
      </c>
      <c r="AL17" s="3">
        <f>INT(VLOOKUP(U17,模板计算相关数据!A:N,5,0)*VLOOKUP(X17,模板计算相关数据!$P$4:$T$7,4,0)*VLOOKUP(Y17,模板计算相关数据!$P$22:$U$30,4,0)*AB17)</f>
        <v>136</v>
      </c>
      <c r="AM17" s="3">
        <f>INT(VLOOKUP(U17,模板计算相关数据!A:N,6,0)*VLOOKUP(X17,模板计算相关数据!$P$4:$T$7,4,0)*VLOOKUP(Y17,模板计算相关数据!$P$22:$U$30,5,0)*AC17)</f>
        <v>230</v>
      </c>
      <c r="AN17" s="3">
        <f>VLOOKUP(U17,模板计算相关数据!A:N,10,0)*0.5*VLOOKUP(Y17,模板计算相关数据!$P$22:$U$30,6,0)+AD17</f>
        <v>251</v>
      </c>
      <c r="AO17" s="3">
        <f>VLOOKUP(INT(VLOOKUP(U17,模板计算相关数据!A:N,2,0)/30)+1,模板计算相关数据!$O$35:$U$40,3,0)+AE17</f>
        <v>0</v>
      </c>
      <c r="AP17" s="3">
        <f>VLOOKUP(INT(VLOOKUP(U17,模板计算相关数据!A:N,2,0)/30)+1,模板计算相关数据!$O$35:$U$40,4,0)+AF17</f>
        <v>5000</v>
      </c>
      <c r="AQ17" s="3">
        <f>VLOOKUP(INT(VLOOKUP(U17,模板计算相关数据!A:N,2,0)/30)+1,模板计算相关数据!$O$35:$U$40,5,0)+AG17</f>
        <v>0</v>
      </c>
      <c r="AR17" s="3">
        <f>VLOOKUP(INT(VLOOKUP(U17,模板计算相关数据!A:N,2,0)/30)+1,模板计算相关数据!$O$35:$U$40,6,0)+AH17</f>
        <v>0</v>
      </c>
      <c r="AS17" s="3">
        <f>VLOOKUP(INT(VLOOKUP(U17,模板计算相关数据!A:N,2,0)/30)+1,模板计算相关数据!$O$35:$U$40,7,0)+AI17</f>
        <v>0</v>
      </c>
      <c r="AT17" s="3">
        <f>VLOOKUP(INT(VLOOKUP(U17,模板计算相关数据!A:N,2,0)/30)+1,模板计算相关数据!$O$35:$V$40,8,0)</f>
        <v>0</v>
      </c>
      <c r="AU17" s="2"/>
    </row>
    <row r="18" spans="1:47" x14ac:dyDescent="0.2">
      <c r="A18" s="3">
        <v>210</v>
      </c>
      <c r="B18" s="3"/>
      <c r="C18" s="2" t="s">
        <v>204</v>
      </c>
      <c r="D18" s="69" t="s">
        <v>1031</v>
      </c>
      <c r="E18" s="2"/>
      <c r="F18" s="2">
        <v>1</v>
      </c>
      <c r="G18" s="2">
        <v>301</v>
      </c>
      <c r="H18" s="3">
        <v>5</v>
      </c>
      <c r="I18" s="2">
        <v>5</v>
      </c>
      <c r="J18" s="3">
        <v>1</v>
      </c>
      <c r="K18" s="3"/>
      <c r="L18" s="2" t="s">
        <v>205</v>
      </c>
      <c r="M18" s="2"/>
      <c r="N18" s="2">
        <v>1</v>
      </c>
      <c r="O18" s="2"/>
      <c r="P18" s="3" t="s">
        <v>1615</v>
      </c>
      <c r="Q18" s="95">
        <f t="shared" si="0"/>
        <v>5.7709803921568623</v>
      </c>
      <c r="R18" s="133">
        <f>IF(P18=模板计算相关数据!$AB$24,VLOOKUP(X18,模板计算相关数据!$P$47:$T$50,2,0),VLOOKUP(X18,模板计算相关数据!$P$4:$U$7,3,0))*VLOOKUP(Y18,模板计算相关数据!$P$22:$X$30,8,0)</f>
        <v>5.7709803921568623</v>
      </c>
      <c r="S18" s="62">
        <f t="shared" si="1"/>
        <v>6.4077918749198997</v>
      </c>
      <c r="T18" s="133">
        <f>IF(P18=模板计算相关数据!$AB$24,VLOOKUP(X18,模板计算相关数据!$P$47:$T$50,5,0),VLOOKUP(X18,模板计算相关数据!$P$4:$U$7,6,0))*VLOOKUP(Y18,模板计算相关数据!$P$22:$X$30,9,0)</f>
        <v>6.4077918749198997</v>
      </c>
      <c r="U18" s="95">
        <v>2</v>
      </c>
      <c r="V18" s="95">
        <f t="shared" si="2"/>
        <v>1</v>
      </c>
      <c r="W18" s="29">
        <f>VLOOKUP(U18,模板计算相关数据!A:N,2,0)</f>
        <v>1</v>
      </c>
      <c r="X18" s="3" t="s">
        <v>151</v>
      </c>
      <c r="Y18" s="3" t="s">
        <v>159</v>
      </c>
      <c r="Z18" s="100">
        <v>1</v>
      </c>
      <c r="AA18" s="2">
        <v>0.02</v>
      </c>
      <c r="AB18" s="2">
        <v>1</v>
      </c>
      <c r="AC18" s="2">
        <v>1</v>
      </c>
      <c r="AD18" s="2">
        <v>1</v>
      </c>
      <c r="AE18" s="95">
        <v>0</v>
      </c>
      <c r="AF18" s="95">
        <v>0</v>
      </c>
      <c r="AG18" s="95">
        <v>0</v>
      </c>
      <c r="AH18" s="95">
        <v>0</v>
      </c>
      <c r="AI18" s="95">
        <v>0</v>
      </c>
      <c r="AJ18" s="3">
        <f>INT(VLOOKUP(U18,模板计算相关数据!A:N,4,0)*VLOOKUP(U18,模板计算相关数据!A:N,14,0)*(1+MAX(0,(VLOOKUP(U18,模板计算相关数据!A:N,7,0)-AQ18))*VLOOKUP(U18,模板计算相关数据!A:N,8,0))*(1-(AL18+AM18)*0.5/((AL18+AM18)*0.5+(VLOOKUP(U18,模板计算相关数据!A:N,2,0)+模板计算相关数据!$AC$27)*模板计算相关数据!$AC$28))*Q18*Z18)</f>
        <v>474</v>
      </c>
      <c r="AK18" s="3">
        <f>INT(VLOOKUP(U18,模板计算相关数据!A:N,3,0)/模板计算相关数据!$W$35/(1+MAX(0,(AO18/10000-VLOOKUP(U18,模板计算相关数据!A:N,9,0)))*AP18/10000)/(1-VLOOKUP(U18,模板计算相关数据!A:N,5,0)/(VLOOKUP(U18,模板计算相关数据!A:N,5,0)+(VLOOKUP(U18,模板计算相关数据!A:N,2,0)+模板计算相关数据!$AC$27)*模板计算相关数据!$AC$28))/S18*AA18)</f>
        <v>1</v>
      </c>
      <c r="AL18" s="3">
        <f>INT(VLOOKUP(U18,模板计算相关数据!A:N,5,0)*VLOOKUP(X18,模板计算相关数据!$P$4:$T$7,4,0)*VLOOKUP(Y18,模板计算相关数据!$P$22:$U$30,4,0)*AB18)</f>
        <v>264</v>
      </c>
      <c r="AM18" s="3">
        <f>INT(VLOOKUP(U18,模板计算相关数据!A:N,6,0)*VLOOKUP(X18,模板计算相关数据!$P$4:$T$7,4,0)*VLOOKUP(Y18,模板计算相关数据!$P$22:$U$30,5,0)*AC18)</f>
        <v>145</v>
      </c>
      <c r="AN18" s="3">
        <f>VLOOKUP(U18,模板计算相关数据!A:N,10,0)*0.5*VLOOKUP(Y18,模板计算相关数据!$P$22:$U$30,6,0)+AD18</f>
        <v>276</v>
      </c>
      <c r="AO18" s="3">
        <f>VLOOKUP(INT(VLOOKUP(U18,模板计算相关数据!A:N,2,0)/30)+1,模板计算相关数据!$O$35:$U$40,3,0)+AE18</f>
        <v>0</v>
      </c>
      <c r="AP18" s="3">
        <f>VLOOKUP(INT(VLOOKUP(U18,模板计算相关数据!A:N,2,0)/30)+1,模板计算相关数据!$O$35:$U$40,4,0)+AF18</f>
        <v>5000</v>
      </c>
      <c r="AQ18" s="3">
        <f>VLOOKUP(INT(VLOOKUP(U18,模板计算相关数据!A:N,2,0)/30)+1,模板计算相关数据!$O$35:$U$40,5,0)+AG18</f>
        <v>0</v>
      </c>
      <c r="AR18" s="3">
        <f>VLOOKUP(INT(VLOOKUP(U18,模板计算相关数据!A:N,2,0)/30)+1,模板计算相关数据!$O$35:$U$40,6,0)+AH18</f>
        <v>0</v>
      </c>
      <c r="AS18" s="3">
        <f>VLOOKUP(INT(VLOOKUP(U18,模板计算相关数据!A:N,2,0)/30)+1,模板计算相关数据!$O$35:$U$40,7,0)+AI18</f>
        <v>0</v>
      </c>
      <c r="AT18" s="3">
        <f>VLOOKUP(INT(VLOOKUP(U18,模板计算相关数据!A:N,2,0)/30)+1,模板计算相关数据!$O$35:$V$40,8,0)</f>
        <v>0</v>
      </c>
      <c r="AU18" s="2"/>
    </row>
    <row r="19" spans="1:47" x14ac:dyDescent="0.2">
      <c r="A19" s="3">
        <v>211</v>
      </c>
      <c r="B19" s="3"/>
      <c r="C19" s="2" t="s">
        <v>206</v>
      </c>
      <c r="D19" s="69" t="s">
        <v>1031</v>
      </c>
      <c r="E19" s="2"/>
      <c r="F19" s="2">
        <v>1</v>
      </c>
      <c r="G19" s="2">
        <v>301</v>
      </c>
      <c r="H19" s="3">
        <v>6</v>
      </c>
      <c r="I19" s="2">
        <v>5</v>
      </c>
      <c r="J19" s="3">
        <v>1</v>
      </c>
      <c r="K19" s="3"/>
      <c r="L19" s="2" t="s">
        <v>104</v>
      </c>
      <c r="M19" s="2"/>
      <c r="N19" s="2">
        <v>1</v>
      </c>
      <c r="O19" s="2"/>
      <c r="P19" s="3" t="s">
        <v>1615</v>
      </c>
      <c r="Q19" s="95">
        <f t="shared" si="0"/>
        <v>5.7709803921568623</v>
      </c>
      <c r="R19" s="133">
        <f>IF(P19=模板计算相关数据!$AB$24,VLOOKUP(X19,模板计算相关数据!$P$47:$T$50,2,0),VLOOKUP(X19,模板计算相关数据!$P$4:$U$7,3,0))*VLOOKUP(Y19,模板计算相关数据!$P$22:$X$30,8,0)</f>
        <v>5.7709803921568623</v>
      </c>
      <c r="S19" s="62">
        <f t="shared" si="1"/>
        <v>6.4077918749198997</v>
      </c>
      <c r="T19" s="133">
        <f>IF(P19=模板计算相关数据!$AB$24,VLOOKUP(X19,模板计算相关数据!$P$47:$T$50,5,0),VLOOKUP(X19,模板计算相关数据!$P$4:$U$7,6,0))*VLOOKUP(Y19,模板计算相关数据!$P$22:$X$30,9,0)</f>
        <v>6.4077918749198997</v>
      </c>
      <c r="U19" s="95">
        <v>2</v>
      </c>
      <c r="V19" s="95">
        <f t="shared" si="2"/>
        <v>1</v>
      </c>
      <c r="W19" s="29">
        <f>VLOOKUP(U19,模板计算相关数据!A:N,2,0)</f>
        <v>1</v>
      </c>
      <c r="X19" s="3" t="s">
        <v>151</v>
      </c>
      <c r="Y19" s="3" t="s">
        <v>159</v>
      </c>
      <c r="Z19" s="100">
        <v>1</v>
      </c>
      <c r="AA19" s="2">
        <v>0.02</v>
      </c>
      <c r="AB19" s="2">
        <v>1</v>
      </c>
      <c r="AC19" s="2">
        <v>1</v>
      </c>
      <c r="AD19" s="2">
        <v>1</v>
      </c>
      <c r="AE19" s="95">
        <v>0</v>
      </c>
      <c r="AF19" s="95">
        <v>0</v>
      </c>
      <c r="AG19" s="95">
        <v>0</v>
      </c>
      <c r="AH19" s="95">
        <v>0</v>
      </c>
      <c r="AI19" s="95">
        <v>0</v>
      </c>
      <c r="AJ19" s="3">
        <f>INT(VLOOKUP(U19,模板计算相关数据!A:N,4,0)*VLOOKUP(U19,模板计算相关数据!A:N,14,0)*(1+MAX(0,(VLOOKUP(U19,模板计算相关数据!A:N,7,0)-AQ19))*VLOOKUP(U19,模板计算相关数据!A:N,8,0))*(1-(AL19+AM19)*0.5/((AL19+AM19)*0.5+(VLOOKUP(U19,模板计算相关数据!A:N,2,0)+模板计算相关数据!$AC$27)*模板计算相关数据!$AC$28))*Q19*Z19)</f>
        <v>474</v>
      </c>
      <c r="AK19" s="3">
        <f>INT(VLOOKUP(U19,模板计算相关数据!A:N,3,0)/模板计算相关数据!$W$35/(1+MAX(0,(AO19/10000-VLOOKUP(U19,模板计算相关数据!A:N,9,0)))*AP19/10000)/(1-VLOOKUP(U19,模板计算相关数据!A:N,5,0)/(VLOOKUP(U19,模板计算相关数据!A:N,5,0)+(VLOOKUP(U19,模板计算相关数据!A:N,2,0)+模板计算相关数据!$AC$27)*模板计算相关数据!$AC$28))/S19*AA19)</f>
        <v>1</v>
      </c>
      <c r="AL19" s="3">
        <f>INT(VLOOKUP(U19,模板计算相关数据!A:N,5,0)*VLOOKUP(X19,模板计算相关数据!$P$4:$T$7,4,0)*VLOOKUP(Y19,模板计算相关数据!$P$22:$U$30,4,0)*AB19)</f>
        <v>264</v>
      </c>
      <c r="AM19" s="3">
        <f>INT(VLOOKUP(U19,模板计算相关数据!A:N,6,0)*VLOOKUP(X19,模板计算相关数据!$P$4:$T$7,4,0)*VLOOKUP(Y19,模板计算相关数据!$P$22:$U$30,5,0)*AC19)</f>
        <v>145</v>
      </c>
      <c r="AN19" s="3">
        <f>VLOOKUP(U19,模板计算相关数据!A:N,10,0)*0.5*VLOOKUP(Y19,模板计算相关数据!$P$22:$U$30,6,0)+AD19</f>
        <v>276</v>
      </c>
      <c r="AO19" s="3">
        <f>VLOOKUP(INT(VLOOKUP(U19,模板计算相关数据!A:N,2,0)/30)+1,模板计算相关数据!$O$35:$U$40,3,0)+AE19</f>
        <v>0</v>
      </c>
      <c r="AP19" s="3">
        <f>VLOOKUP(INT(VLOOKUP(U19,模板计算相关数据!A:N,2,0)/30)+1,模板计算相关数据!$O$35:$U$40,4,0)+AF19</f>
        <v>5000</v>
      </c>
      <c r="AQ19" s="3">
        <f>VLOOKUP(INT(VLOOKUP(U19,模板计算相关数据!A:N,2,0)/30)+1,模板计算相关数据!$O$35:$U$40,5,0)+AG19</f>
        <v>0</v>
      </c>
      <c r="AR19" s="3">
        <f>VLOOKUP(INT(VLOOKUP(U19,模板计算相关数据!A:N,2,0)/30)+1,模板计算相关数据!$O$35:$U$40,6,0)+AH19</f>
        <v>0</v>
      </c>
      <c r="AS19" s="3">
        <f>VLOOKUP(INT(VLOOKUP(U19,模板计算相关数据!A:N,2,0)/30)+1,模板计算相关数据!$O$35:$U$40,7,0)+AI19</f>
        <v>0</v>
      </c>
      <c r="AT19" s="3">
        <f>VLOOKUP(INT(VLOOKUP(U19,模板计算相关数据!A:N,2,0)/30)+1,模板计算相关数据!$O$35:$V$40,8,0)</f>
        <v>0</v>
      </c>
      <c r="AU19" s="2"/>
    </row>
    <row r="20" spans="1:47" x14ac:dyDescent="0.2">
      <c r="A20" s="3">
        <v>212</v>
      </c>
      <c r="B20" s="3"/>
      <c r="C20" s="2" t="s">
        <v>207</v>
      </c>
      <c r="D20" s="69" t="s">
        <v>1031</v>
      </c>
      <c r="E20" s="2"/>
      <c r="F20" s="2">
        <v>1</v>
      </c>
      <c r="G20" s="2">
        <v>301</v>
      </c>
      <c r="H20" s="3">
        <v>1</v>
      </c>
      <c r="I20" s="2">
        <v>5</v>
      </c>
      <c r="J20" s="3">
        <v>1</v>
      </c>
      <c r="K20" s="3"/>
      <c r="L20" s="2" t="s">
        <v>208</v>
      </c>
      <c r="M20" s="2"/>
      <c r="N20" s="2">
        <v>1</v>
      </c>
      <c r="O20" s="2"/>
      <c r="P20" s="3" t="s">
        <v>1615</v>
      </c>
      <c r="Q20" s="95">
        <f t="shared" si="0"/>
        <v>4.417254901960785</v>
      </c>
      <c r="R20" s="133">
        <f>IF(P20=模板计算相关数据!$AB$24,VLOOKUP(X20,模板计算相关数据!$P$47:$T$50,2,0),VLOOKUP(X20,模板计算相关数据!$P$4:$U$7,3,0))*VLOOKUP(Y20,模板计算相关数据!$P$22:$X$30,8,0)</f>
        <v>4.417254901960785</v>
      </c>
      <c r="S20" s="62">
        <f t="shared" si="1"/>
        <v>5.4285280003474252</v>
      </c>
      <c r="T20" s="133">
        <f>IF(P20=模板计算相关数据!$AB$24,VLOOKUP(X20,模板计算相关数据!$P$47:$T$50,5,0),VLOOKUP(X20,模板计算相关数据!$P$4:$U$7,6,0))*VLOOKUP(Y20,模板计算相关数据!$P$22:$X$30,9,0)</f>
        <v>5.4285280003474252</v>
      </c>
      <c r="U20" s="95">
        <v>2</v>
      </c>
      <c r="V20" s="95">
        <f t="shared" si="2"/>
        <v>1</v>
      </c>
      <c r="W20" s="29">
        <f>VLOOKUP(U20,模板计算相关数据!A:N,2,0)</f>
        <v>1</v>
      </c>
      <c r="X20" s="3" t="s">
        <v>151</v>
      </c>
      <c r="Y20" s="3" t="s">
        <v>152</v>
      </c>
      <c r="Z20" s="100">
        <v>0.8</v>
      </c>
      <c r="AA20" s="2">
        <v>0.02</v>
      </c>
      <c r="AB20" s="2">
        <v>1</v>
      </c>
      <c r="AC20" s="2">
        <v>1</v>
      </c>
      <c r="AD20" s="2">
        <v>1</v>
      </c>
      <c r="AE20" s="95">
        <v>0</v>
      </c>
      <c r="AF20" s="95">
        <v>0</v>
      </c>
      <c r="AG20" s="95">
        <v>0</v>
      </c>
      <c r="AH20" s="95">
        <v>0</v>
      </c>
      <c r="AI20" s="95">
        <v>0</v>
      </c>
      <c r="AJ20" s="3">
        <f>INT(VLOOKUP(U20,模板计算相关数据!A:N,4,0)*VLOOKUP(U20,模板计算相关数据!A:N,14,0)*(1+MAX(0,(VLOOKUP(U20,模板计算相关数据!A:N,7,0)-AQ20))*VLOOKUP(U20,模板计算相关数据!A:N,8,0))*(1-(AL20+AM20)*0.5/((AL20+AM20)*0.5+(VLOOKUP(U20,模板计算相关数据!A:N,2,0)+模板计算相关数据!$AC$27)*模板计算相关数据!$AC$28))*Q20*Z20)</f>
        <v>299</v>
      </c>
      <c r="AK20" s="3">
        <f>INT(VLOOKUP(U20,模板计算相关数据!A:N,3,0)/模板计算相关数据!$W$35/(1+MAX(0,(AO20/10000-VLOOKUP(U20,模板计算相关数据!A:N,9,0)))*AP20/10000)/(1-VLOOKUP(U20,模板计算相关数据!A:N,5,0)/(VLOOKUP(U20,模板计算相关数据!A:N,5,0)+(VLOOKUP(U20,模板计算相关数据!A:N,2,0)+模板计算相关数据!$AC$27)*模板计算相关数据!$AC$28))/S20*AA20)</f>
        <v>2</v>
      </c>
      <c r="AL20" s="3">
        <f>INT(VLOOKUP(U20,模板计算相关数据!A:N,5,0)*VLOOKUP(X20,模板计算相关数据!$P$4:$T$7,4,0)*VLOOKUP(Y20,模板计算相关数据!$P$22:$U$30,4,0)*AB20)</f>
        <v>230</v>
      </c>
      <c r="AM20" s="3">
        <f>INT(VLOOKUP(U20,模板计算相关数据!A:N,6,0)*VLOOKUP(X20,模板计算相关数据!$P$4:$T$7,4,0)*VLOOKUP(Y20,模板计算相关数据!$P$22:$U$30,5,0)*AC20)</f>
        <v>136</v>
      </c>
      <c r="AN20" s="3">
        <f>VLOOKUP(U20,模板计算相关数据!A:N,10,0)*0.5*VLOOKUP(Y20,模板计算相关数据!$P$22:$U$30,6,0)+AD20</f>
        <v>251</v>
      </c>
      <c r="AO20" s="3">
        <f>VLOOKUP(INT(VLOOKUP(U20,模板计算相关数据!A:N,2,0)/30)+1,模板计算相关数据!$O$35:$U$40,3,0)+AE20</f>
        <v>0</v>
      </c>
      <c r="AP20" s="3">
        <f>VLOOKUP(INT(VLOOKUP(U20,模板计算相关数据!A:N,2,0)/30)+1,模板计算相关数据!$O$35:$U$40,4,0)+AF20</f>
        <v>5000</v>
      </c>
      <c r="AQ20" s="3">
        <f>VLOOKUP(INT(VLOOKUP(U20,模板计算相关数据!A:N,2,0)/30)+1,模板计算相关数据!$O$35:$U$40,5,0)+AG20</f>
        <v>0</v>
      </c>
      <c r="AR20" s="3">
        <f>VLOOKUP(INT(VLOOKUP(U20,模板计算相关数据!A:N,2,0)/30)+1,模板计算相关数据!$O$35:$U$40,6,0)+AH20</f>
        <v>0</v>
      </c>
      <c r="AS20" s="3">
        <f>VLOOKUP(INT(VLOOKUP(U20,模板计算相关数据!A:N,2,0)/30)+1,模板计算相关数据!$O$35:$U$40,7,0)+AI20</f>
        <v>0</v>
      </c>
      <c r="AT20" s="3">
        <f>VLOOKUP(INT(VLOOKUP(U20,模板计算相关数据!A:N,2,0)/30)+1,模板计算相关数据!$O$35:$V$40,8,0)</f>
        <v>0</v>
      </c>
      <c r="AU20" s="2"/>
    </row>
    <row r="21" spans="1:47" x14ac:dyDescent="0.2">
      <c r="A21" s="3">
        <v>213</v>
      </c>
      <c r="B21" s="3"/>
      <c r="C21" s="2" t="s">
        <v>209</v>
      </c>
      <c r="D21" s="69" t="s">
        <v>1031</v>
      </c>
      <c r="E21" s="2"/>
      <c r="F21" s="2">
        <v>2</v>
      </c>
      <c r="G21" s="2">
        <v>301</v>
      </c>
      <c r="H21" s="3">
        <v>2</v>
      </c>
      <c r="I21" s="2">
        <v>5</v>
      </c>
      <c r="J21" s="3">
        <v>1</v>
      </c>
      <c r="K21" s="3"/>
      <c r="L21" s="2" t="s">
        <v>105</v>
      </c>
      <c r="M21" s="2"/>
      <c r="N21" s="2">
        <v>1</v>
      </c>
      <c r="O21" s="2"/>
      <c r="P21" s="3" t="s">
        <v>1615</v>
      </c>
      <c r="Q21" s="95">
        <f t="shared" si="0"/>
        <v>6.9411764705882364</v>
      </c>
      <c r="R21" s="133">
        <f>IF(P21=模板计算相关数据!$AB$24,VLOOKUP(X21,模板计算相关数据!$P$47:$T$50,2,0),VLOOKUP(X21,模板计算相关数据!$P$4:$U$7,3,0))*VLOOKUP(Y21,模板计算相关数据!$P$22:$X$30,8,0)</f>
        <v>6.9411764705882364</v>
      </c>
      <c r="S21" s="62">
        <f t="shared" si="1"/>
        <v>8.2943498888557112</v>
      </c>
      <c r="T21" s="133">
        <f>IF(P21=模板计算相关数据!$AB$24,VLOOKUP(X21,模板计算相关数据!$P$47:$T$50,5,0),VLOOKUP(X21,模板计算相关数据!$P$4:$U$7,6,0))*VLOOKUP(Y21,模板计算相关数据!$P$22:$X$30,9,0)</f>
        <v>8.2943498888557112</v>
      </c>
      <c r="U21" s="95">
        <v>2</v>
      </c>
      <c r="V21" s="95">
        <f t="shared" si="2"/>
        <v>1</v>
      </c>
      <c r="W21" s="29">
        <f>VLOOKUP(U21,模板计算相关数据!A:N,2,0)</f>
        <v>1</v>
      </c>
      <c r="X21" s="3" t="s">
        <v>151</v>
      </c>
      <c r="Y21" s="3" t="s">
        <v>155</v>
      </c>
      <c r="Z21" s="100">
        <v>1</v>
      </c>
      <c r="AA21" s="2">
        <v>0.02</v>
      </c>
      <c r="AB21" s="2">
        <v>1</v>
      </c>
      <c r="AC21" s="2">
        <v>1</v>
      </c>
      <c r="AD21" s="2">
        <v>1</v>
      </c>
      <c r="AE21" s="95">
        <v>0</v>
      </c>
      <c r="AF21" s="95">
        <v>0</v>
      </c>
      <c r="AG21" s="95">
        <v>0</v>
      </c>
      <c r="AH21" s="95">
        <v>0</v>
      </c>
      <c r="AI21" s="95">
        <v>0</v>
      </c>
      <c r="AJ21" s="3">
        <f>INT(VLOOKUP(U21,模板计算相关数据!A:N,4,0)*VLOOKUP(U21,模板计算相关数据!A:N,14,0)*(1+MAX(0,(VLOOKUP(U21,模板计算相关数据!A:N,7,0)-AQ21))*VLOOKUP(U21,模板计算相关数据!A:N,8,0))*(1-(AL21+AM21)*0.5/((AL21+AM21)*0.5+(VLOOKUP(U21,模板计算相关数据!A:N,2,0)+模板计算相关数据!$AC$27)*模板计算相关数据!$AC$28))*Q21*Z21)</f>
        <v>561</v>
      </c>
      <c r="AK21" s="3">
        <f>INT(VLOOKUP(U21,模板计算相关数据!A:N,3,0)/模板计算相关数据!$W$35/(1+MAX(0,(AO21/10000-VLOOKUP(U21,模板计算相关数据!A:N,9,0)))*AP21/10000)/(1-VLOOKUP(U21,模板计算相关数据!A:N,5,0)/(VLOOKUP(U21,模板计算相关数据!A:N,5,0)+(VLOOKUP(U21,模板计算相关数据!A:N,2,0)+模板计算相关数据!$AC$27)*模板计算相关数据!$AC$28))/S21*AA21)</f>
        <v>1</v>
      </c>
      <c r="AL21" s="3">
        <f>INT(VLOOKUP(U21,模板计算相关数据!A:N,5,0)*VLOOKUP(X21,模板计算相关数据!$P$4:$T$7,4,0)*VLOOKUP(Y21,模板计算相关数据!$P$22:$U$30,4,0)*AB21)</f>
        <v>277</v>
      </c>
      <c r="AM21" s="3">
        <f>INT(VLOOKUP(U21,模板计算相关数据!A:N,6,0)*VLOOKUP(X21,模板计算相关数据!$P$4:$T$7,4,0)*VLOOKUP(Y21,模板计算相关数据!$P$22:$U$30,5,0)*AC21)</f>
        <v>153</v>
      </c>
      <c r="AN21" s="3">
        <f>VLOOKUP(U21,模板计算相关数据!A:N,10,0)*0.5*VLOOKUP(Y21,模板计算相关数据!$P$22:$U$30,6,0)+AD21</f>
        <v>226</v>
      </c>
      <c r="AO21" s="3">
        <f>VLOOKUP(INT(VLOOKUP(U21,模板计算相关数据!A:N,2,0)/30)+1,模板计算相关数据!$O$35:$U$40,3,0)+AE21</f>
        <v>0</v>
      </c>
      <c r="AP21" s="3">
        <f>VLOOKUP(INT(VLOOKUP(U21,模板计算相关数据!A:N,2,0)/30)+1,模板计算相关数据!$O$35:$U$40,4,0)+AF21</f>
        <v>5000</v>
      </c>
      <c r="AQ21" s="3">
        <f>VLOOKUP(INT(VLOOKUP(U21,模板计算相关数据!A:N,2,0)/30)+1,模板计算相关数据!$O$35:$U$40,5,0)+AG21</f>
        <v>0</v>
      </c>
      <c r="AR21" s="3">
        <f>VLOOKUP(INT(VLOOKUP(U21,模板计算相关数据!A:N,2,0)/30)+1,模板计算相关数据!$O$35:$U$40,6,0)+AH21</f>
        <v>0</v>
      </c>
      <c r="AS21" s="3">
        <f>VLOOKUP(INT(VLOOKUP(U21,模板计算相关数据!A:N,2,0)/30)+1,模板计算相关数据!$O$35:$U$40,7,0)+AI21</f>
        <v>0</v>
      </c>
      <c r="AT21" s="3">
        <f>VLOOKUP(INT(VLOOKUP(U21,模板计算相关数据!A:N,2,0)/30)+1,模板计算相关数据!$O$35:$V$40,8,0)</f>
        <v>0</v>
      </c>
      <c r="AU21" s="2"/>
    </row>
    <row r="22" spans="1:47" x14ac:dyDescent="0.2">
      <c r="A22" s="3">
        <v>214</v>
      </c>
      <c r="B22" s="3"/>
      <c r="C22" s="2" t="s">
        <v>210</v>
      </c>
      <c r="D22" s="69" t="s">
        <v>1031</v>
      </c>
      <c r="E22" s="2"/>
      <c r="F22" s="2">
        <v>1</v>
      </c>
      <c r="G22" s="2">
        <v>301</v>
      </c>
      <c r="H22" s="3">
        <v>3</v>
      </c>
      <c r="I22" s="2">
        <v>5</v>
      </c>
      <c r="J22" s="3">
        <v>1</v>
      </c>
      <c r="K22" s="3"/>
      <c r="L22" s="2" t="s">
        <v>211</v>
      </c>
      <c r="M22" s="2"/>
      <c r="N22" s="2">
        <v>1</v>
      </c>
      <c r="O22" s="2"/>
      <c r="P22" s="3" t="s">
        <v>1615</v>
      </c>
      <c r="Q22" s="95">
        <f t="shared" si="0"/>
        <v>5.6000000000000014</v>
      </c>
      <c r="R22" s="133">
        <f>IF(P22=模板计算相关数据!$AB$24,VLOOKUP(X22,模板计算相关数据!$P$47:$T$50,2,0),VLOOKUP(X22,模板计算相关数据!$P$4:$U$7,3,0))*VLOOKUP(Y22,模板计算相关数据!$P$22:$X$30,8,0)</f>
        <v>5.6000000000000014</v>
      </c>
      <c r="S22" s="62">
        <f t="shared" si="1"/>
        <v>6.6693344004268367</v>
      </c>
      <c r="T22" s="133">
        <f>IF(P22=模板计算相关数据!$AB$24,VLOOKUP(X22,模板计算相关数据!$P$47:$T$50,5,0),VLOOKUP(X22,模板计算相关数据!$P$4:$U$7,6,0))*VLOOKUP(Y22,模板计算相关数据!$P$22:$X$30,9,0)</f>
        <v>6.6693344004268367</v>
      </c>
      <c r="U22" s="95">
        <v>2</v>
      </c>
      <c r="V22" s="95">
        <f t="shared" si="2"/>
        <v>1</v>
      </c>
      <c r="W22" s="29">
        <f>VLOOKUP(U22,模板计算相关数据!A:N,2,0)</f>
        <v>1</v>
      </c>
      <c r="X22" s="3" t="s">
        <v>151</v>
      </c>
      <c r="Y22" s="3" t="s">
        <v>255</v>
      </c>
      <c r="Z22" s="100">
        <v>1</v>
      </c>
      <c r="AA22" s="2">
        <v>0.02</v>
      </c>
      <c r="AB22" s="2">
        <v>1</v>
      </c>
      <c r="AC22" s="2">
        <v>1</v>
      </c>
      <c r="AD22" s="2">
        <v>1</v>
      </c>
      <c r="AE22" s="95">
        <v>0</v>
      </c>
      <c r="AF22" s="95">
        <v>0</v>
      </c>
      <c r="AG22" s="95">
        <v>0</v>
      </c>
      <c r="AH22" s="95">
        <v>0</v>
      </c>
      <c r="AI22" s="95">
        <v>0</v>
      </c>
      <c r="AJ22" s="3">
        <f>INT(VLOOKUP(U22,模板计算相关数据!A:N,4,0)*VLOOKUP(U22,模板计算相关数据!A:N,14,0)*(1+MAX(0,(VLOOKUP(U22,模板计算相关数据!A:N,7,0)-AQ22))*VLOOKUP(U22,模板计算相关数据!A:N,8,0))*(1-(AL22+AM22)*0.5/((AL22+AM22)*0.5+(VLOOKUP(U22,模板计算相关数据!A:N,2,0)+模板计算相关数据!$AC$27)*模板计算相关数据!$AC$28))*Q22*Z22)</f>
        <v>454</v>
      </c>
      <c r="AK22" s="3">
        <f>INT(VLOOKUP(U22,模板计算相关数据!A:N,3,0)/模板计算相关数据!$W$35/(1+MAX(0,(AO22/10000-VLOOKUP(U22,模板计算相关数据!A:N,9,0)))*AP22/10000)/(1-VLOOKUP(U22,模板计算相关数据!A:N,5,0)/(VLOOKUP(U22,模板计算相关数据!A:N,5,0)+(VLOOKUP(U22,模板计算相关数据!A:N,2,0)+模板计算相关数据!$AC$27)*模板计算相关数据!$AC$28))/S22*AA22)</f>
        <v>1</v>
      </c>
      <c r="AL22" s="3">
        <f>INT(VLOOKUP(U22,模板计算相关数据!A:N,5,0)*VLOOKUP(X22,模板计算相关数据!$P$4:$T$7,4,0)*VLOOKUP(Y22,模板计算相关数据!$P$22:$U$30,4,0)*AB22)</f>
        <v>149</v>
      </c>
      <c r="AM22" s="3">
        <f>INT(VLOOKUP(U22,模板计算相关数据!A:N,6,0)*VLOOKUP(X22,模板计算相关数据!$P$4:$T$7,4,0)*VLOOKUP(Y22,模板计算相关数据!$P$22:$U$30,5,0)*AC22)</f>
        <v>277</v>
      </c>
      <c r="AN22" s="3">
        <f>VLOOKUP(U22,模板计算相关数据!A:N,10,0)*0.5*VLOOKUP(Y22,模板计算相关数据!$P$22:$U$30,6,0)+AD22</f>
        <v>226</v>
      </c>
      <c r="AO22" s="3">
        <f>VLOOKUP(INT(VLOOKUP(U22,模板计算相关数据!A:N,2,0)/30)+1,模板计算相关数据!$O$35:$U$40,3,0)+AE22</f>
        <v>0</v>
      </c>
      <c r="AP22" s="3">
        <f>VLOOKUP(INT(VLOOKUP(U22,模板计算相关数据!A:N,2,0)/30)+1,模板计算相关数据!$O$35:$U$40,4,0)+AF22</f>
        <v>5000</v>
      </c>
      <c r="AQ22" s="3">
        <f>VLOOKUP(INT(VLOOKUP(U22,模板计算相关数据!A:N,2,0)/30)+1,模板计算相关数据!$O$35:$U$40,5,0)+AG22</f>
        <v>0</v>
      </c>
      <c r="AR22" s="3">
        <f>VLOOKUP(INT(VLOOKUP(U22,模板计算相关数据!A:N,2,0)/30)+1,模板计算相关数据!$O$35:$U$40,6,0)+AH22</f>
        <v>0</v>
      </c>
      <c r="AS22" s="3">
        <f>VLOOKUP(INT(VLOOKUP(U22,模板计算相关数据!A:N,2,0)/30)+1,模板计算相关数据!$O$35:$U$40,7,0)+AI22</f>
        <v>0</v>
      </c>
      <c r="AT22" s="3">
        <f>VLOOKUP(INT(VLOOKUP(U22,模板计算相关数据!A:N,2,0)/30)+1,模板计算相关数据!$O$35:$V$40,8,0)</f>
        <v>0</v>
      </c>
      <c r="AU22" s="2"/>
    </row>
    <row r="23" spans="1:47" x14ac:dyDescent="0.2">
      <c r="A23" s="3">
        <v>215</v>
      </c>
      <c r="B23" s="3"/>
      <c r="C23" s="2" t="s">
        <v>212</v>
      </c>
      <c r="D23" s="69" t="s">
        <v>1031</v>
      </c>
      <c r="E23" s="2"/>
      <c r="F23" s="2">
        <v>1</v>
      </c>
      <c r="G23" s="2">
        <v>301</v>
      </c>
      <c r="H23" s="3">
        <v>4</v>
      </c>
      <c r="I23" s="2">
        <v>5</v>
      </c>
      <c r="J23" s="3">
        <v>1</v>
      </c>
      <c r="K23" s="3"/>
      <c r="L23" s="2" t="s">
        <v>213</v>
      </c>
      <c r="M23" s="2"/>
      <c r="N23" s="2">
        <v>1</v>
      </c>
      <c r="O23" s="2"/>
      <c r="P23" s="3" t="s">
        <v>1615</v>
      </c>
      <c r="Q23" s="95">
        <f t="shared" si="0"/>
        <v>4.4674509803921572</v>
      </c>
      <c r="R23" s="133">
        <f>IF(P23=模板计算相关数据!$AB$24,VLOOKUP(X23,模板计算相关数据!$P$47:$T$50,2,0),VLOOKUP(X23,模板计算相关数据!$P$4:$U$7,3,0))*VLOOKUP(Y23,模板计算相关数据!$P$22:$X$30,8,0)</f>
        <v>4.4674509803921572</v>
      </c>
      <c r="S23" s="62">
        <f t="shared" si="1"/>
        <v>5.4739930589768004</v>
      </c>
      <c r="T23" s="133">
        <f>IF(P23=模板计算相关数据!$AB$24,VLOOKUP(X23,模板计算相关数据!$P$47:$T$50,5,0),VLOOKUP(X23,模板计算相关数据!$P$4:$U$7,6,0))*VLOOKUP(Y23,模板计算相关数据!$P$22:$X$30,9,0)</f>
        <v>5.4739930589768004</v>
      </c>
      <c r="U23" s="95">
        <v>2</v>
      </c>
      <c r="V23" s="95">
        <f t="shared" si="2"/>
        <v>1</v>
      </c>
      <c r="W23" s="29">
        <f>VLOOKUP(U23,模板计算相关数据!A:N,2,0)</f>
        <v>1</v>
      </c>
      <c r="X23" s="3" t="s">
        <v>151</v>
      </c>
      <c r="Y23" s="3" t="s">
        <v>162</v>
      </c>
      <c r="Z23" s="100">
        <v>1</v>
      </c>
      <c r="AA23" s="2">
        <v>0.02</v>
      </c>
      <c r="AB23" s="2">
        <v>1</v>
      </c>
      <c r="AC23" s="2">
        <v>1</v>
      </c>
      <c r="AD23" s="2">
        <v>1</v>
      </c>
      <c r="AE23" s="95">
        <v>0</v>
      </c>
      <c r="AF23" s="95">
        <v>0</v>
      </c>
      <c r="AG23" s="95">
        <v>0</v>
      </c>
      <c r="AH23" s="95">
        <v>0</v>
      </c>
      <c r="AI23" s="95">
        <v>0</v>
      </c>
      <c r="AJ23" s="3">
        <f>INT(VLOOKUP(U23,模板计算相关数据!A:N,4,0)*VLOOKUP(U23,模板计算相关数据!A:N,14,0)*(1+MAX(0,(VLOOKUP(U23,模板计算相关数据!A:N,7,0)-AQ23))*VLOOKUP(U23,模板计算相关数据!A:N,8,0))*(1-(AL23+AM23)*0.5/((AL23+AM23)*0.5+(VLOOKUP(U23,模板计算相关数据!A:N,2,0)+模板计算相关数据!$AC$27)*模板计算相关数据!$AC$28))*Q23*Z23)</f>
        <v>378</v>
      </c>
      <c r="AK23" s="3">
        <f>INT(VLOOKUP(U23,模板计算相关数据!A:N,3,0)/模板计算相关数据!$W$35/(1+MAX(0,(AO23/10000-VLOOKUP(U23,模板计算相关数据!A:N,9,0)))*AP23/10000)/(1-VLOOKUP(U23,模板计算相关数据!A:N,5,0)/(VLOOKUP(U23,模板计算相关数据!A:N,5,0)+(VLOOKUP(U23,模板计算相关数据!A:N,2,0)+模板计算相关数据!$AC$27)*模板计算相关数据!$AC$28))/S23*AA23)</f>
        <v>2</v>
      </c>
      <c r="AL23" s="3">
        <f>INT(VLOOKUP(U23,模板计算相关数据!A:N,5,0)*VLOOKUP(X23,模板计算相关数据!$P$4:$T$7,4,0)*VLOOKUP(Y23,模板计算相关数据!$P$22:$U$30,4,0)*AB23)</f>
        <v>136</v>
      </c>
      <c r="AM23" s="3">
        <f>INT(VLOOKUP(U23,模板计算相关数据!A:N,6,0)*VLOOKUP(X23,模板计算相关数据!$P$4:$T$7,4,0)*VLOOKUP(Y23,模板计算相关数据!$P$22:$U$30,5,0)*AC23)</f>
        <v>230</v>
      </c>
      <c r="AN23" s="3">
        <f>VLOOKUP(U23,模板计算相关数据!A:N,10,0)*0.5*VLOOKUP(Y23,模板计算相关数据!$P$22:$U$30,6,0)+AD23</f>
        <v>251</v>
      </c>
      <c r="AO23" s="3">
        <f>VLOOKUP(INT(VLOOKUP(U23,模板计算相关数据!A:N,2,0)/30)+1,模板计算相关数据!$O$35:$U$40,3,0)+AE23</f>
        <v>0</v>
      </c>
      <c r="AP23" s="3">
        <f>VLOOKUP(INT(VLOOKUP(U23,模板计算相关数据!A:N,2,0)/30)+1,模板计算相关数据!$O$35:$U$40,4,0)+AF23</f>
        <v>5000</v>
      </c>
      <c r="AQ23" s="3">
        <f>VLOOKUP(INT(VLOOKUP(U23,模板计算相关数据!A:N,2,0)/30)+1,模板计算相关数据!$O$35:$U$40,5,0)+AG23</f>
        <v>0</v>
      </c>
      <c r="AR23" s="3">
        <f>VLOOKUP(INT(VLOOKUP(U23,模板计算相关数据!A:N,2,0)/30)+1,模板计算相关数据!$O$35:$U$40,6,0)+AH23</f>
        <v>0</v>
      </c>
      <c r="AS23" s="3">
        <f>VLOOKUP(INT(VLOOKUP(U23,模板计算相关数据!A:N,2,0)/30)+1,模板计算相关数据!$O$35:$U$40,7,0)+AI23</f>
        <v>0</v>
      </c>
      <c r="AT23" s="3">
        <f>VLOOKUP(INT(VLOOKUP(U23,模板计算相关数据!A:N,2,0)/30)+1,模板计算相关数据!$O$35:$V$40,8,0)</f>
        <v>0</v>
      </c>
      <c r="AU23" s="2"/>
    </row>
    <row r="24" spans="1:47" x14ac:dyDescent="0.2">
      <c r="A24" s="3">
        <v>216</v>
      </c>
      <c r="B24" s="3"/>
      <c r="C24" s="2" t="s">
        <v>214</v>
      </c>
      <c r="D24" s="69" t="s">
        <v>1031</v>
      </c>
      <c r="E24" s="2"/>
      <c r="F24" s="2">
        <v>1</v>
      </c>
      <c r="G24" s="2">
        <v>301</v>
      </c>
      <c r="H24" s="3">
        <v>5</v>
      </c>
      <c r="I24" s="2">
        <v>5</v>
      </c>
      <c r="J24" s="3">
        <v>1</v>
      </c>
      <c r="K24" s="3"/>
      <c r="L24" s="2" t="s">
        <v>215</v>
      </c>
      <c r="M24" s="2"/>
      <c r="N24" s="2">
        <v>1</v>
      </c>
      <c r="O24" s="2"/>
      <c r="P24" s="3" t="s">
        <v>1615</v>
      </c>
      <c r="Q24" s="95">
        <f t="shared" si="0"/>
        <v>5.7709803921568623</v>
      </c>
      <c r="R24" s="133">
        <f>IF(P24=模板计算相关数据!$AB$24,VLOOKUP(X24,模板计算相关数据!$P$47:$T$50,2,0),VLOOKUP(X24,模板计算相关数据!$P$4:$U$7,3,0))*VLOOKUP(Y24,模板计算相关数据!$P$22:$X$30,8,0)</f>
        <v>5.7709803921568623</v>
      </c>
      <c r="S24" s="62">
        <f t="shared" si="1"/>
        <v>6.4077918749198997</v>
      </c>
      <c r="T24" s="133">
        <f>IF(P24=模板计算相关数据!$AB$24,VLOOKUP(X24,模板计算相关数据!$P$47:$T$50,5,0),VLOOKUP(X24,模板计算相关数据!$P$4:$U$7,6,0))*VLOOKUP(Y24,模板计算相关数据!$P$22:$X$30,9,0)</f>
        <v>6.4077918749198997</v>
      </c>
      <c r="U24" s="95">
        <v>2</v>
      </c>
      <c r="V24" s="95">
        <f t="shared" si="2"/>
        <v>1</v>
      </c>
      <c r="W24" s="29">
        <f>VLOOKUP(U24,模板计算相关数据!A:N,2,0)</f>
        <v>1</v>
      </c>
      <c r="X24" s="3" t="s">
        <v>151</v>
      </c>
      <c r="Y24" s="3" t="s">
        <v>159</v>
      </c>
      <c r="Z24" s="100">
        <v>1</v>
      </c>
      <c r="AA24" s="2">
        <v>0.02</v>
      </c>
      <c r="AB24" s="2">
        <v>1</v>
      </c>
      <c r="AC24" s="2">
        <v>1</v>
      </c>
      <c r="AD24" s="2">
        <v>1</v>
      </c>
      <c r="AE24" s="95">
        <v>0</v>
      </c>
      <c r="AF24" s="95">
        <v>0</v>
      </c>
      <c r="AG24" s="95">
        <v>0</v>
      </c>
      <c r="AH24" s="95">
        <v>0</v>
      </c>
      <c r="AI24" s="95">
        <v>0</v>
      </c>
      <c r="AJ24" s="3">
        <f>INT(VLOOKUP(U24,模板计算相关数据!A:N,4,0)*VLOOKUP(U24,模板计算相关数据!A:N,14,0)*(1+MAX(0,(VLOOKUP(U24,模板计算相关数据!A:N,7,0)-AQ24))*VLOOKUP(U24,模板计算相关数据!A:N,8,0))*(1-(AL24+AM24)*0.5/((AL24+AM24)*0.5+(VLOOKUP(U24,模板计算相关数据!A:N,2,0)+模板计算相关数据!$AC$27)*模板计算相关数据!$AC$28))*Q24*Z24)</f>
        <v>474</v>
      </c>
      <c r="AK24" s="3">
        <f>INT(VLOOKUP(U24,模板计算相关数据!A:N,3,0)/模板计算相关数据!$W$35/(1+MAX(0,(AO24/10000-VLOOKUP(U24,模板计算相关数据!A:N,9,0)))*AP24/10000)/(1-VLOOKUP(U24,模板计算相关数据!A:N,5,0)/(VLOOKUP(U24,模板计算相关数据!A:N,5,0)+(VLOOKUP(U24,模板计算相关数据!A:N,2,0)+模板计算相关数据!$AC$27)*模板计算相关数据!$AC$28))/S24*AA24)</f>
        <v>1</v>
      </c>
      <c r="AL24" s="3">
        <f>INT(VLOOKUP(U24,模板计算相关数据!A:N,5,0)*VLOOKUP(X24,模板计算相关数据!$P$4:$T$7,4,0)*VLOOKUP(Y24,模板计算相关数据!$P$22:$U$30,4,0)*AB24)</f>
        <v>264</v>
      </c>
      <c r="AM24" s="3">
        <f>INT(VLOOKUP(U24,模板计算相关数据!A:N,6,0)*VLOOKUP(X24,模板计算相关数据!$P$4:$T$7,4,0)*VLOOKUP(Y24,模板计算相关数据!$P$22:$U$30,5,0)*AC24)</f>
        <v>145</v>
      </c>
      <c r="AN24" s="3">
        <f>VLOOKUP(U24,模板计算相关数据!A:N,10,0)*0.5*VLOOKUP(Y24,模板计算相关数据!$P$22:$U$30,6,0)+AD24</f>
        <v>276</v>
      </c>
      <c r="AO24" s="3">
        <f>VLOOKUP(INT(VLOOKUP(U24,模板计算相关数据!A:N,2,0)/30)+1,模板计算相关数据!$O$35:$U$40,3,0)+AE24</f>
        <v>0</v>
      </c>
      <c r="AP24" s="3">
        <f>VLOOKUP(INT(VLOOKUP(U24,模板计算相关数据!A:N,2,0)/30)+1,模板计算相关数据!$O$35:$U$40,4,0)+AF24</f>
        <v>5000</v>
      </c>
      <c r="AQ24" s="3">
        <f>VLOOKUP(INT(VLOOKUP(U24,模板计算相关数据!A:N,2,0)/30)+1,模板计算相关数据!$O$35:$U$40,5,0)+AG24</f>
        <v>0</v>
      </c>
      <c r="AR24" s="3">
        <f>VLOOKUP(INT(VLOOKUP(U24,模板计算相关数据!A:N,2,0)/30)+1,模板计算相关数据!$O$35:$U$40,6,0)+AH24</f>
        <v>0</v>
      </c>
      <c r="AS24" s="3">
        <f>VLOOKUP(INT(VLOOKUP(U24,模板计算相关数据!A:N,2,0)/30)+1,模板计算相关数据!$O$35:$U$40,7,0)+AI24</f>
        <v>0</v>
      </c>
      <c r="AT24" s="3">
        <f>VLOOKUP(INT(VLOOKUP(U24,模板计算相关数据!A:N,2,0)/30)+1,模板计算相关数据!$O$35:$V$40,8,0)</f>
        <v>0</v>
      </c>
      <c r="AU24" s="2"/>
    </row>
    <row r="25" spans="1:47" x14ac:dyDescent="0.2">
      <c r="A25" s="3">
        <v>217</v>
      </c>
      <c r="B25" s="3"/>
      <c r="C25" s="2" t="s">
        <v>216</v>
      </c>
      <c r="D25" s="69" t="s">
        <v>1031</v>
      </c>
      <c r="E25" s="2"/>
      <c r="F25" s="2">
        <v>1</v>
      </c>
      <c r="G25" s="2">
        <v>301</v>
      </c>
      <c r="H25" s="3">
        <v>6</v>
      </c>
      <c r="I25" s="2">
        <v>5</v>
      </c>
      <c r="J25" s="3">
        <v>1</v>
      </c>
      <c r="K25" s="3"/>
      <c r="L25" s="2" t="s">
        <v>217</v>
      </c>
      <c r="M25" s="2"/>
      <c r="N25" s="2">
        <v>1</v>
      </c>
      <c r="O25" s="2"/>
      <c r="P25" s="3" t="s">
        <v>1615</v>
      </c>
      <c r="Q25" s="95">
        <f t="shared" si="0"/>
        <v>5.7709803921568623</v>
      </c>
      <c r="R25" s="133">
        <f>IF(P25=模板计算相关数据!$AB$24,VLOOKUP(X25,模板计算相关数据!$P$47:$T$50,2,0),VLOOKUP(X25,模板计算相关数据!$P$4:$U$7,3,0))*VLOOKUP(Y25,模板计算相关数据!$P$22:$X$30,8,0)</f>
        <v>5.7709803921568623</v>
      </c>
      <c r="S25" s="62">
        <f t="shared" si="1"/>
        <v>6.4077918749198997</v>
      </c>
      <c r="T25" s="133">
        <f>IF(P25=模板计算相关数据!$AB$24,VLOOKUP(X25,模板计算相关数据!$P$47:$T$50,5,0),VLOOKUP(X25,模板计算相关数据!$P$4:$U$7,6,0))*VLOOKUP(Y25,模板计算相关数据!$P$22:$X$30,9,0)</f>
        <v>6.4077918749198997</v>
      </c>
      <c r="U25" s="95">
        <v>2</v>
      </c>
      <c r="V25" s="95">
        <f t="shared" si="2"/>
        <v>1</v>
      </c>
      <c r="W25" s="29">
        <f>VLOOKUP(U25,模板计算相关数据!A:N,2,0)</f>
        <v>1</v>
      </c>
      <c r="X25" s="3" t="s">
        <v>151</v>
      </c>
      <c r="Y25" s="3" t="s">
        <v>159</v>
      </c>
      <c r="Z25" s="100">
        <v>1</v>
      </c>
      <c r="AA25" s="2">
        <v>0.02</v>
      </c>
      <c r="AB25" s="2">
        <v>1</v>
      </c>
      <c r="AC25" s="2">
        <v>1</v>
      </c>
      <c r="AD25" s="2">
        <v>1</v>
      </c>
      <c r="AE25" s="95">
        <v>0</v>
      </c>
      <c r="AF25" s="95">
        <v>0</v>
      </c>
      <c r="AG25" s="95">
        <v>0</v>
      </c>
      <c r="AH25" s="95">
        <v>0</v>
      </c>
      <c r="AI25" s="95">
        <v>0</v>
      </c>
      <c r="AJ25" s="3">
        <f>INT(VLOOKUP(U25,模板计算相关数据!A:N,4,0)*VLOOKUP(U25,模板计算相关数据!A:N,14,0)*(1+MAX(0,(VLOOKUP(U25,模板计算相关数据!A:N,7,0)-AQ25))*VLOOKUP(U25,模板计算相关数据!A:N,8,0))*(1-(AL25+AM25)*0.5/((AL25+AM25)*0.5+(VLOOKUP(U25,模板计算相关数据!A:N,2,0)+模板计算相关数据!$AC$27)*模板计算相关数据!$AC$28))*Q25*Z25)</f>
        <v>474</v>
      </c>
      <c r="AK25" s="3">
        <f>INT(VLOOKUP(U25,模板计算相关数据!A:N,3,0)/模板计算相关数据!$W$35/(1+MAX(0,(AO25/10000-VLOOKUP(U25,模板计算相关数据!A:N,9,0)))*AP25/10000)/(1-VLOOKUP(U25,模板计算相关数据!A:N,5,0)/(VLOOKUP(U25,模板计算相关数据!A:N,5,0)+(VLOOKUP(U25,模板计算相关数据!A:N,2,0)+模板计算相关数据!$AC$27)*模板计算相关数据!$AC$28))/S25*AA25)</f>
        <v>1</v>
      </c>
      <c r="AL25" s="3">
        <f>INT(VLOOKUP(U25,模板计算相关数据!A:N,5,0)*VLOOKUP(X25,模板计算相关数据!$P$4:$T$7,4,0)*VLOOKUP(Y25,模板计算相关数据!$P$22:$U$30,4,0)*AB25)</f>
        <v>264</v>
      </c>
      <c r="AM25" s="3">
        <f>INT(VLOOKUP(U25,模板计算相关数据!A:N,6,0)*VLOOKUP(X25,模板计算相关数据!$P$4:$T$7,4,0)*VLOOKUP(Y25,模板计算相关数据!$P$22:$U$30,5,0)*AC25)</f>
        <v>145</v>
      </c>
      <c r="AN25" s="3">
        <f>VLOOKUP(U25,模板计算相关数据!A:N,10,0)*0.5*VLOOKUP(Y25,模板计算相关数据!$P$22:$U$30,6,0)+AD25</f>
        <v>276</v>
      </c>
      <c r="AO25" s="3">
        <f>VLOOKUP(INT(VLOOKUP(U25,模板计算相关数据!A:N,2,0)/30)+1,模板计算相关数据!$O$35:$U$40,3,0)+AE25</f>
        <v>0</v>
      </c>
      <c r="AP25" s="3">
        <f>VLOOKUP(INT(VLOOKUP(U25,模板计算相关数据!A:N,2,0)/30)+1,模板计算相关数据!$O$35:$U$40,4,0)+AF25</f>
        <v>5000</v>
      </c>
      <c r="AQ25" s="3">
        <f>VLOOKUP(INT(VLOOKUP(U25,模板计算相关数据!A:N,2,0)/30)+1,模板计算相关数据!$O$35:$U$40,5,0)+AG25</f>
        <v>0</v>
      </c>
      <c r="AR25" s="3">
        <f>VLOOKUP(INT(VLOOKUP(U25,模板计算相关数据!A:N,2,0)/30)+1,模板计算相关数据!$O$35:$U$40,6,0)+AH25</f>
        <v>0</v>
      </c>
      <c r="AS25" s="3">
        <f>VLOOKUP(INT(VLOOKUP(U25,模板计算相关数据!A:N,2,0)/30)+1,模板计算相关数据!$O$35:$U$40,7,0)+AI25</f>
        <v>0</v>
      </c>
      <c r="AT25" s="3">
        <f>VLOOKUP(INT(VLOOKUP(U25,模板计算相关数据!A:N,2,0)/30)+1,模板计算相关数据!$O$35:$V$40,8,0)</f>
        <v>0</v>
      </c>
      <c r="AU25" s="2"/>
    </row>
    <row r="26" spans="1:47" x14ac:dyDescent="0.2">
      <c r="A26" s="3">
        <v>218</v>
      </c>
      <c r="B26" s="3"/>
      <c r="C26" s="2" t="s">
        <v>218</v>
      </c>
      <c r="D26" s="69" t="s">
        <v>1031</v>
      </c>
      <c r="E26" s="2"/>
      <c r="F26" s="2">
        <v>1</v>
      </c>
      <c r="G26" s="2">
        <v>301</v>
      </c>
      <c r="H26" s="3">
        <v>1</v>
      </c>
      <c r="I26" s="2">
        <v>5</v>
      </c>
      <c r="J26" s="3">
        <v>1</v>
      </c>
      <c r="K26" s="3"/>
      <c r="L26" s="2" t="s">
        <v>219</v>
      </c>
      <c r="M26" s="2"/>
      <c r="N26" s="2">
        <v>1</v>
      </c>
      <c r="O26" s="2"/>
      <c r="P26" s="3" t="s">
        <v>1615</v>
      </c>
      <c r="Q26" s="95">
        <f t="shared" si="0"/>
        <v>4.417254901960785</v>
      </c>
      <c r="R26" s="133">
        <f>IF(P26=模板计算相关数据!$AB$24,VLOOKUP(X26,模板计算相关数据!$P$47:$T$50,2,0),VLOOKUP(X26,模板计算相关数据!$P$4:$U$7,3,0))*VLOOKUP(Y26,模板计算相关数据!$P$22:$X$30,8,0)</f>
        <v>4.417254901960785</v>
      </c>
      <c r="S26" s="62">
        <f t="shared" si="1"/>
        <v>5.4285280003474252</v>
      </c>
      <c r="T26" s="133">
        <f>IF(P26=模板计算相关数据!$AB$24,VLOOKUP(X26,模板计算相关数据!$P$47:$T$50,5,0),VLOOKUP(X26,模板计算相关数据!$P$4:$U$7,6,0))*VLOOKUP(Y26,模板计算相关数据!$P$22:$X$30,9,0)</f>
        <v>5.4285280003474252</v>
      </c>
      <c r="U26" s="95">
        <v>2</v>
      </c>
      <c r="V26" s="95">
        <f t="shared" si="2"/>
        <v>1</v>
      </c>
      <c r="W26" s="29">
        <f>VLOOKUP(U26,模板计算相关数据!A:N,2,0)</f>
        <v>1</v>
      </c>
      <c r="X26" s="3" t="s">
        <v>151</v>
      </c>
      <c r="Y26" s="3" t="s">
        <v>152</v>
      </c>
      <c r="Z26" s="100">
        <v>1</v>
      </c>
      <c r="AA26" s="2">
        <v>0.02</v>
      </c>
      <c r="AB26" s="2">
        <v>1</v>
      </c>
      <c r="AC26" s="2">
        <v>1</v>
      </c>
      <c r="AD26" s="2">
        <v>1</v>
      </c>
      <c r="AE26" s="95">
        <v>0</v>
      </c>
      <c r="AF26" s="95">
        <v>0</v>
      </c>
      <c r="AG26" s="95">
        <v>0</v>
      </c>
      <c r="AH26" s="95">
        <v>0</v>
      </c>
      <c r="AI26" s="95">
        <v>0</v>
      </c>
      <c r="AJ26" s="3">
        <f>INT(VLOOKUP(U26,模板计算相关数据!A:N,4,0)*VLOOKUP(U26,模板计算相关数据!A:N,14,0)*(1+MAX(0,(VLOOKUP(U26,模板计算相关数据!A:N,7,0)-AQ26))*VLOOKUP(U26,模板计算相关数据!A:N,8,0))*(1-(AL26+AM26)*0.5/((AL26+AM26)*0.5+(VLOOKUP(U26,模板计算相关数据!A:N,2,0)+模板计算相关数据!$AC$27)*模板计算相关数据!$AC$28))*Q26*Z26)</f>
        <v>374</v>
      </c>
      <c r="AK26" s="3">
        <f>INT(VLOOKUP(U26,模板计算相关数据!A:N,3,0)/模板计算相关数据!$W$35/(1+MAX(0,(AO26/10000-VLOOKUP(U26,模板计算相关数据!A:N,9,0)))*AP26/10000)/(1-VLOOKUP(U26,模板计算相关数据!A:N,5,0)/(VLOOKUP(U26,模板计算相关数据!A:N,5,0)+(VLOOKUP(U26,模板计算相关数据!A:N,2,0)+模板计算相关数据!$AC$27)*模板计算相关数据!$AC$28))/S26*AA26)</f>
        <v>2</v>
      </c>
      <c r="AL26" s="3">
        <f>INT(VLOOKUP(U26,模板计算相关数据!A:N,5,0)*VLOOKUP(X26,模板计算相关数据!$P$4:$T$7,4,0)*VLOOKUP(Y26,模板计算相关数据!$P$22:$U$30,4,0)*AB26)</f>
        <v>230</v>
      </c>
      <c r="AM26" s="3">
        <f>INT(VLOOKUP(U26,模板计算相关数据!A:N,6,0)*VLOOKUP(X26,模板计算相关数据!$P$4:$T$7,4,0)*VLOOKUP(Y26,模板计算相关数据!$P$22:$U$30,5,0)*AC26)</f>
        <v>136</v>
      </c>
      <c r="AN26" s="3">
        <f>VLOOKUP(U26,模板计算相关数据!A:N,10,0)*0.5*VLOOKUP(Y26,模板计算相关数据!$P$22:$U$30,6,0)+AD26</f>
        <v>251</v>
      </c>
      <c r="AO26" s="3">
        <f>VLOOKUP(INT(VLOOKUP(U26,模板计算相关数据!A:N,2,0)/30)+1,模板计算相关数据!$O$35:$U$40,3,0)+AE26</f>
        <v>0</v>
      </c>
      <c r="AP26" s="3">
        <f>VLOOKUP(INT(VLOOKUP(U26,模板计算相关数据!A:N,2,0)/30)+1,模板计算相关数据!$O$35:$U$40,4,0)+AF26</f>
        <v>5000</v>
      </c>
      <c r="AQ26" s="3">
        <f>VLOOKUP(INT(VLOOKUP(U26,模板计算相关数据!A:N,2,0)/30)+1,模板计算相关数据!$O$35:$U$40,5,0)+AG26</f>
        <v>0</v>
      </c>
      <c r="AR26" s="3">
        <f>VLOOKUP(INT(VLOOKUP(U26,模板计算相关数据!A:N,2,0)/30)+1,模板计算相关数据!$O$35:$U$40,6,0)+AH26</f>
        <v>0</v>
      </c>
      <c r="AS26" s="3">
        <f>VLOOKUP(INT(VLOOKUP(U26,模板计算相关数据!A:N,2,0)/30)+1,模板计算相关数据!$O$35:$U$40,7,0)+AI26</f>
        <v>0</v>
      </c>
      <c r="AT26" s="3">
        <f>VLOOKUP(INT(VLOOKUP(U26,模板计算相关数据!A:N,2,0)/30)+1,模板计算相关数据!$O$35:$V$40,8,0)</f>
        <v>0</v>
      </c>
      <c r="AU26" s="2"/>
    </row>
    <row r="27" spans="1:47" x14ac:dyDescent="0.2">
      <c r="A27" s="3">
        <v>219</v>
      </c>
      <c r="B27" s="3"/>
      <c r="C27" s="2" t="s">
        <v>220</v>
      </c>
      <c r="D27" s="69" t="s">
        <v>1031</v>
      </c>
      <c r="E27" s="2"/>
      <c r="F27" s="3">
        <v>1</v>
      </c>
      <c r="G27" s="3">
        <v>301</v>
      </c>
      <c r="H27" s="3">
        <v>5</v>
      </c>
      <c r="I27" s="2">
        <v>5</v>
      </c>
      <c r="J27" s="3">
        <v>1</v>
      </c>
      <c r="K27" s="3"/>
      <c r="L27" s="2" t="s">
        <v>221</v>
      </c>
      <c r="M27" s="2"/>
      <c r="N27" s="2">
        <v>1</v>
      </c>
      <c r="O27" s="2"/>
      <c r="P27" s="3" t="s">
        <v>1615</v>
      </c>
      <c r="Q27" s="95">
        <f t="shared" si="0"/>
        <v>5.7709803921568623</v>
      </c>
      <c r="R27" s="133">
        <f>IF(P27=模板计算相关数据!$AB$24,VLOOKUP(X27,模板计算相关数据!$P$47:$T$50,2,0),VLOOKUP(X27,模板计算相关数据!$P$4:$U$7,3,0))*VLOOKUP(Y27,模板计算相关数据!$P$22:$X$30,8,0)</f>
        <v>5.7709803921568623</v>
      </c>
      <c r="S27" s="62">
        <f t="shared" si="1"/>
        <v>6.4077918749198997</v>
      </c>
      <c r="T27" s="133">
        <f>IF(P27=模板计算相关数据!$AB$24,VLOOKUP(X27,模板计算相关数据!$P$47:$T$50,5,0),VLOOKUP(X27,模板计算相关数据!$P$4:$U$7,6,0))*VLOOKUP(Y27,模板计算相关数据!$P$22:$X$30,9,0)</f>
        <v>6.4077918749198997</v>
      </c>
      <c r="U27" s="95">
        <v>2</v>
      </c>
      <c r="V27" s="95">
        <f t="shared" si="2"/>
        <v>1</v>
      </c>
      <c r="W27" s="29">
        <f>VLOOKUP(U27,模板计算相关数据!A:N,2,0)</f>
        <v>1</v>
      </c>
      <c r="X27" s="3" t="s">
        <v>151</v>
      </c>
      <c r="Y27" s="3" t="s">
        <v>159</v>
      </c>
      <c r="Z27" s="100">
        <v>1</v>
      </c>
      <c r="AA27" s="2">
        <v>0.02</v>
      </c>
      <c r="AB27" s="2">
        <v>1</v>
      </c>
      <c r="AC27" s="2">
        <v>1</v>
      </c>
      <c r="AD27" s="2">
        <v>1</v>
      </c>
      <c r="AE27" s="95">
        <v>0</v>
      </c>
      <c r="AF27" s="95">
        <v>0</v>
      </c>
      <c r="AG27" s="95">
        <v>0</v>
      </c>
      <c r="AH27" s="95">
        <v>0</v>
      </c>
      <c r="AI27" s="95">
        <v>0</v>
      </c>
      <c r="AJ27" s="3">
        <f>INT(VLOOKUP(U27,模板计算相关数据!A:N,4,0)*VLOOKUP(U27,模板计算相关数据!A:N,14,0)*(1+MAX(0,(VLOOKUP(U27,模板计算相关数据!A:N,7,0)-AQ27))*VLOOKUP(U27,模板计算相关数据!A:N,8,0))*(1-(AL27+AM27)*0.5/((AL27+AM27)*0.5+(VLOOKUP(U27,模板计算相关数据!A:N,2,0)+模板计算相关数据!$AC$27)*模板计算相关数据!$AC$28))*Q27*Z27)</f>
        <v>474</v>
      </c>
      <c r="AK27" s="3">
        <f>INT(VLOOKUP(U27,模板计算相关数据!A:N,3,0)/模板计算相关数据!$W$35/(1+MAX(0,(AO27/10000-VLOOKUP(U27,模板计算相关数据!A:N,9,0)))*AP27/10000)/(1-VLOOKUP(U27,模板计算相关数据!A:N,5,0)/(VLOOKUP(U27,模板计算相关数据!A:N,5,0)+(VLOOKUP(U27,模板计算相关数据!A:N,2,0)+模板计算相关数据!$AC$27)*模板计算相关数据!$AC$28))/S27*AA27)</f>
        <v>1</v>
      </c>
      <c r="AL27" s="3">
        <f>INT(VLOOKUP(U27,模板计算相关数据!A:N,5,0)*VLOOKUP(X27,模板计算相关数据!$P$4:$T$7,4,0)*VLOOKUP(Y27,模板计算相关数据!$P$22:$U$30,4,0)*AB27)</f>
        <v>264</v>
      </c>
      <c r="AM27" s="3">
        <f>INT(VLOOKUP(U27,模板计算相关数据!A:N,6,0)*VLOOKUP(X27,模板计算相关数据!$P$4:$T$7,4,0)*VLOOKUP(Y27,模板计算相关数据!$P$22:$U$30,5,0)*AC27)</f>
        <v>145</v>
      </c>
      <c r="AN27" s="3">
        <f>VLOOKUP(U27,模板计算相关数据!A:N,10,0)*0.5*VLOOKUP(Y27,模板计算相关数据!$P$22:$U$30,6,0)+AD27</f>
        <v>276</v>
      </c>
      <c r="AO27" s="3">
        <f>VLOOKUP(INT(VLOOKUP(U27,模板计算相关数据!A:N,2,0)/30)+1,模板计算相关数据!$O$35:$U$40,3,0)+AE27</f>
        <v>0</v>
      </c>
      <c r="AP27" s="3">
        <f>VLOOKUP(INT(VLOOKUP(U27,模板计算相关数据!A:N,2,0)/30)+1,模板计算相关数据!$O$35:$U$40,4,0)+AF27</f>
        <v>5000</v>
      </c>
      <c r="AQ27" s="3">
        <f>VLOOKUP(INT(VLOOKUP(U27,模板计算相关数据!A:N,2,0)/30)+1,模板计算相关数据!$O$35:$U$40,5,0)+AG27</f>
        <v>0</v>
      </c>
      <c r="AR27" s="3">
        <f>VLOOKUP(INT(VLOOKUP(U27,模板计算相关数据!A:N,2,0)/30)+1,模板计算相关数据!$O$35:$U$40,6,0)+AH27</f>
        <v>0</v>
      </c>
      <c r="AS27" s="3">
        <f>VLOOKUP(INT(VLOOKUP(U27,模板计算相关数据!A:N,2,0)/30)+1,模板计算相关数据!$O$35:$U$40,7,0)+AI27</f>
        <v>0</v>
      </c>
      <c r="AT27" s="3">
        <f>VLOOKUP(INT(VLOOKUP(U27,模板计算相关数据!A:N,2,0)/30)+1,模板计算相关数据!$O$35:$V$40,8,0)</f>
        <v>0</v>
      </c>
      <c r="AU27" s="2"/>
    </row>
    <row r="28" spans="1:47" x14ac:dyDescent="0.2">
      <c r="A28" s="3">
        <v>220</v>
      </c>
      <c r="B28" s="3"/>
      <c r="C28" s="69" t="s">
        <v>719</v>
      </c>
      <c r="D28" s="69" t="s">
        <v>1031</v>
      </c>
      <c r="E28" s="2"/>
      <c r="F28" s="3">
        <v>1</v>
      </c>
      <c r="G28" s="3">
        <v>101</v>
      </c>
      <c r="H28" s="3">
        <v>1</v>
      </c>
      <c r="I28" s="2">
        <v>5</v>
      </c>
      <c r="J28" s="3">
        <v>1</v>
      </c>
      <c r="K28" s="3"/>
      <c r="L28" s="69" t="s">
        <v>723</v>
      </c>
      <c r="M28" s="2"/>
      <c r="N28" s="2">
        <v>1</v>
      </c>
      <c r="O28" s="2"/>
      <c r="P28" s="3" t="s">
        <v>1615</v>
      </c>
      <c r="Q28" s="95">
        <f t="shared" si="0"/>
        <v>4.417254901960785</v>
      </c>
      <c r="R28" s="133">
        <f>IF(P28=模板计算相关数据!$AB$24,VLOOKUP(X28,模板计算相关数据!$P$47:$T$50,2,0),VLOOKUP(X28,模板计算相关数据!$P$4:$U$7,3,0))*VLOOKUP(Y28,模板计算相关数据!$P$22:$X$30,8,0)</f>
        <v>4.417254901960785</v>
      </c>
      <c r="S28" s="62">
        <f t="shared" si="1"/>
        <v>5.4285280003474252</v>
      </c>
      <c r="T28" s="133">
        <f>IF(P28=模板计算相关数据!$AB$24,VLOOKUP(X28,模板计算相关数据!$P$47:$T$50,5,0),VLOOKUP(X28,模板计算相关数据!$P$4:$U$7,6,0))*VLOOKUP(Y28,模板计算相关数据!$P$22:$X$30,9,0)</f>
        <v>5.4285280003474252</v>
      </c>
      <c r="U28" s="95">
        <v>2</v>
      </c>
      <c r="V28" s="95">
        <f t="shared" si="2"/>
        <v>1</v>
      </c>
      <c r="W28" s="29">
        <f>VLOOKUP(U28,模板计算相关数据!A:N,2,0)</f>
        <v>1</v>
      </c>
      <c r="X28" s="3" t="s">
        <v>151</v>
      </c>
      <c r="Y28" s="3" t="s">
        <v>152</v>
      </c>
      <c r="Z28" s="100">
        <v>1</v>
      </c>
      <c r="AA28" s="2">
        <v>0.02</v>
      </c>
      <c r="AB28" s="2">
        <v>1</v>
      </c>
      <c r="AC28" s="2">
        <v>1</v>
      </c>
      <c r="AD28" s="2">
        <v>1</v>
      </c>
      <c r="AE28" s="95">
        <v>0</v>
      </c>
      <c r="AF28" s="95">
        <v>0</v>
      </c>
      <c r="AG28" s="95">
        <v>0</v>
      </c>
      <c r="AH28" s="95">
        <v>0</v>
      </c>
      <c r="AI28" s="95">
        <v>0</v>
      </c>
      <c r="AJ28" s="3">
        <f>INT(VLOOKUP(U28,模板计算相关数据!A:N,4,0)*VLOOKUP(U28,模板计算相关数据!A:N,14,0)*(1+MAX(0,(VLOOKUP(U28,模板计算相关数据!A:N,7,0)-AQ28))*VLOOKUP(U28,模板计算相关数据!A:N,8,0))*(1-(AL28+AM28)*0.5/((AL28+AM28)*0.5+(VLOOKUP(U28,模板计算相关数据!A:N,2,0)+模板计算相关数据!$AC$27)*模板计算相关数据!$AC$28))*Q28*Z28)</f>
        <v>374</v>
      </c>
      <c r="AK28" s="3">
        <f>INT(VLOOKUP(U28,模板计算相关数据!A:N,3,0)/模板计算相关数据!$W$35/(1+MAX(0,(AO28/10000-VLOOKUP(U28,模板计算相关数据!A:N,9,0)))*AP28/10000)/(1-VLOOKUP(U28,模板计算相关数据!A:N,5,0)/(VLOOKUP(U28,模板计算相关数据!A:N,5,0)+(VLOOKUP(U28,模板计算相关数据!A:N,2,0)+模板计算相关数据!$AC$27)*模板计算相关数据!$AC$28))/S28*AA28)</f>
        <v>2</v>
      </c>
      <c r="AL28" s="3">
        <f>INT(VLOOKUP(U28,模板计算相关数据!A:N,5,0)*VLOOKUP(X28,模板计算相关数据!$P$4:$T$7,4,0)*VLOOKUP(Y28,模板计算相关数据!$P$22:$U$30,4,0)*AB28)</f>
        <v>230</v>
      </c>
      <c r="AM28" s="3">
        <f>INT(VLOOKUP(U28,模板计算相关数据!A:N,6,0)*VLOOKUP(X28,模板计算相关数据!$P$4:$T$7,4,0)*VLOOKUP(Y28,模板计算相关数据!$P$22:$U$30,5,0)*AC28)</f>
        <v>136</v>
      </c>
      <c r="AN28" s="3">
        <f>VLOOKUP(U28,模板计算相关数据!A:N,10,0)*0.5*VLOOKUP(Y28,模板计算相关数据!$P$22:$U$30,6,0)+AD28</f>
        <v>251</v>
      </c>
      <c r="AO28" s="3">
        <f>VLOOKUP(INT(VLOOKUP(U28,模板计算相关数据!A:N,2,0)/30)+1,模板计算相关数据!$O$35:$U$40,3,0)+AE28</f>
        <v>0</v>
      </c>
      <c r="AP28" s="3">
        <f>VLOOKUP(INT(VLOOKUP(U28,模板计算相关数据!A:N,2,0)/30)+1,模板计算相关数据!$O$35:$U$40,4,0)+AF28</f>
        <v>5000</v>
      </c>
      <c r="AQ28" s="3">
        <f>VLOOKUP(INT(VLOOKUP(U28,模板计算相关数据!A:N,2,0)/30)+1,模板计算相关数据!$O$35:$U$40,5,0)+AG28</f>
        <v>0</v>
      </c>
      <c r="AR28" s="3">
        <f>VLOOKUP(INT(VLOOKUP(U28,模板计算相关数据!A:N,2,0)/30)+1,模板计算相关数据!$O$35:$U$40,6,0)+AH28</f>
        <v>0</v>
      </c>
      <c r="AS28" s="3">
        <f>VLOOKUP(INT(VLOOKUP(U28,模板计算相关数据!A:N,2,0)/30)+1,模板计算相关数据!$O$35:$U$40,7,0)+AI28</f>
        <v>0</v>
      </c>
      <c r="AT28" s="3">
        <f>VLOOKUP(INT(VLOOKUP(U28,模板计算相关数据!A:N,2,0)/30)+1,模板计算相关数据!$O$35:$V$40,8,0)</f>
        <v>0</v>
      </c>
      <c r="AU28" s="2"/>
    </row>
    <row r="29" spans="1:47" x14ac:dyDescent="0.2">
      <c r="A29" s="3">
        <v>221</v>
      </c>
      <c r="B29" s="3"/>
      <c r="C29" s="69" t="s">
        <v>720</v>
      </c>
      <c r="D29" s="69" t="s">
        <v>1031</v>
      </c>
      <c r="E29" s="2"/>
      <c r="F29" s="3">
        <v>1</v>
      </c>
      <c r="G29" s="3">
        <v>101</v>
      </c>
      <c r="H29" s="3">
        <v>1</v>
      </c>
      <c r="I29" s="2">
        <v>5</v>
      </c>
      <c r="J29" s="3">
        <v>1</v>
      </c>
      <c r="K29" s="3"/>
      <c r="L29" s="69" t="s">
        <v>724</v>
      </c>
      <c r="M29" s="2"/>
      <c r="N29" s="2">
        <v>1</v>
      </c>
      <c r="O29" s="2"/>
      <c r="P29" s="3" t="s">
        <v>1615</v>
      </c>
      <c r="Q29" s="95">
        <f t="shared" si="0"/>
        <v>4.417254901960785</v>
      </c>
      <c r="R29" s="133">
        <f>IF(P29=模板计算相关数据!$AB$24,VLOOKUP(X29,模板计算相关数据!$P$47:$T$50,2,0),VLOOKUP(X29,模板计算相关数据!$P$4:$U$7,3,0))*VLOOKUP(Y29,模板计算相关数据!$P$22:$X$30,8,0)</f>
        <v>4.417254901960785</v>
      </c>
      <c r="S29" s="62">
        <f t="shared" si="1"/>
        <v>5.4285280003474252</v>
      </c>
      <c r="T29" s="133">
        <f>IF(P29=模板计算相关数据!$AB$24,VLOOKUP(X29,模板计算相关数据!$P$47:$T$50,5,0),VLOOKUP(X29,模板计算相关数据!$P$4:$U$7,6,0))*VLOOKUP(Y29,模板计算相关数据!$P$22:$X$30,9,0)</f>
        <v>5.4285280003474252</v>
      </c>
      <c r="U29" s="95">
        <v>2</v>
      </c>
      <c r="V29" s="95">
        <f t="shared" si="2"/>
        <v>1</v>
      </c>
      <c r="W29" s="29">
        <f>VLOOKUP(U29,模板计算相关数据!A:N,2,0)</f>
        <v>1</v>
      </c>
      <c r="X29" s="3" t="s">
        <v>151</v>
      </c>
      <c r="Y29" s="3" t="s">
        <v>152</v>
      </c>
      <c r="Z29" s="100">
        <v>1</v>
      </c>
      <c r="AA29" s="2">
        <v>0.02</v>
      </c>
      <c r="AB29" s="2">
        <v>1</v>
      </c>
      <c r="AC29" s="2">
        <v>1</v>
      </c>
      <c r="AD29" s="2">
        <v>1</v>
      </c>
      <c r="AE29" s="95">
        <v>0</v>
      </c>
      <c r="AF29" s="95">
        <v>0</v>
      </c>
      <c r="AG29" s="95">
        <v>0</v>
      </c>
      <c r="AH29" s="95">
        <v>0</v>
      </c>
      <c r="AI29" s="95">
        <v>0</v>
      </c>
      <c r="AJ29" s="3">
        <f>INT(VLOOKUP(U29,模板计算相关数据!A:N,4,0)*VLOOKUP(U29,模板计算相关数据!A:N,14,0)*(1+MAX(0,(VLOOKUP(U29,模板计算相关数据!A:N,7,0)-AQ29))*VLOOKUP(U29,模板计算相关数据!A:N,8,0))*(1-(AL29+AM29)*0.5/((AL29+AM29)*0.5+(VLOOKUP(U29,模板计算相关数据!A:N,2,0)+模板计算相关数据!$AC$27)*模板计算相关数据!$AC$28))*Q29*Z29)</f>
        <v>374</v>
      </c>
      <c r="AK29" s="3">
        <f>INT(VLOOKUP(U29,模板计算相关数据!A:N,3,0)/模板计算相关数据!$W$35/(1+MAX(0,(AO29/10000-VLOOKUP(U29,模板计算相关数据!A:N,9,0)))*AP29/10000)/(1-VLOOKUP(U29,模板计算相关数据!A:N,5,0)/(VLOOKUP(U29,模板计算相关数据!A:N,5,0)+(VLOOKUP(U29,模板计算相关数据!A:N,2,0)+模板计算相关数据!$AC$27)*模板计算相关数据!$AC$28))/S29*AA29)</f>
        <v>2</v>
      </c>
      <c r="AL29" s="3">
        <f>INT(VLOOKUP(U29,模板计算相关数据!A:N,5,0)*VLOOKUP(X29,模板计算相关数据!$P$4:$T$7,4,0)*VLOOKUP(Y29,模板计算相关数据!$P$22:$U$30,4,0)*AB29)</f>
        <v>230</v>
      </c>
      <c r="AM29" s="3">
        <f>INT(VLOOKUP(U29,模板计算相关数据!A:N,6,0)*VLOOKUP(X29,模板计算相关数据!$P$4:$T$7,4,0)*VLOOKUP(Y29,模板计算相关数据!$P$22:$U$30,5,0)*AC29)</f>
        <v>136</v>
      </c>
      <c r="AN29" s="3">
        <f>VLOOKUP(U29,模板计算相关数据!A:N,10,0)*0.5*VLOOKUP(Y29,模板计算相关数据!$P$22:$U$30,6,0)+AD29</f>
        <v>251</v>
      </c>
      <c r="AO29" s="3">
        <f>VLOOKUP(INT(VLOOKUP(U29,模板计算相关数据!A:N,2,0)/30)+1,模板计算相关数据!$O$35:$U$40,3,0)+AE29</f>
        <v>0</v>
      </c>
      <c r="AP29" s="3">
        <f>VLOOKUP(INT(VLOOKUP(U29,模板计算相关数据!A:N,2,0)/30)+1,模板计算相关数据!$O$35:$U$40,4,0)+AF29</f>
        <v>5000</v>
      </c>
      <c r="AQ29" s="3">
        <f>VLOOKUP(INT(VLOOKUP(U29,模板计算相关数据!A:N,2,0)/30)+1,模板计算相关数据!$O$35:$U$40,5,0)+AG29</f>
        <v>0</v>
      </c>
      <c r="AR29" s="3">
        <f>VLOOKUP(INT(VLOOKUP(U29,模板计算相关数据!A:N,2,0)/30)+1,模板计算相关数据!$O$35:$U$40,6,0)+AH29</f>
        <v>0</v>
      </c>
      <c r="AS29" s="3">
        <f>VLOOKUP(INT(VLOOKUP(U29,模板计算相关数据!A:N,2,0)/30)+1,模板计算相关数据!$O$35:$U$40,7,0)+AI29</f>
        <v>0</v>
      </c>
      <c r="AT29" s="3">
        <f>VLOOKUP(INT(VLOOKUP(U29,模板计算相关数据!A:N,2,0)/30)+1,模板计算相关数据!$O$35:$V$40,8,0)</f>
        <v>0</v>
      </c>
      <c r="AU29" s="2"/>
    </row>
    <row r="30" spans="1:47" x14ac:dyDescent="0.2">
      <c r="A30" s="3">
        <v>222</v>
      </c>
      <c r="B30" s="3"/>
      <c r="C30" s="69" t="s">
        <v>721</v>
      </c>
      <c r="D30" s="69" t="s">
        <v>1031</v>
      </c>
      <c r="E30" s="2"/>
      <c r="F30" s="3">
        <v>1</v>
      </c>
      <c r="G30" s="3">
        <v>101</v>
      </c>
      <c r="H30" s="3">
        <v>1</v>
      </c>
      <c r="I30" s="2">
        <v>5</v>
      </c>
      <c r="J30" s="3">
        <v>1</v>
      </c>
      <c r="K30" s="3"/>
      <c r="L30" s="69" t="s">
        <v>725</v>
      </c>
      <c r="M30" s="2"/>
      <c r="N30" s="2">
        <v>1</v>
      </c>
      <c r="O30" s="2"/>
      <c r="P30" s="3" t="s">
        <v>1615</v>
      </c>
      <c r="Q30" s="95">
        <f t="shared" si="0"/>
        <v>4.417254901960785</v>
      </c>
      <c r="R30" s="133">
        <f>IF(P30=模板计算相关数据!$AB$24,VLOOKUP(X30,模板计算相关数据!$P$47:$T$50,2,0),VLOOKUP(X30,模板计算相关数据!$P$4:$U$7,3,0))*VLOOKUP(Y30,模板计算相关数据!$P$22:$X$30,8,0)</f>
        <v>4.417254901960785</v>
      </c>
      <c r="S30" s="62">
        <f t="shared" si="1"/>
        <v>5.4285280003474252</v>
      </c>
      <c r="T30" s="133">
        <f>IF(P30=模板计算相关数据!$AB$24,VLOOKUP(X30,模板计算相关数据!$P$47:$T$50,5,0),VLOOKUP(X30,模板计算相关数据!$P$4:$U$7,6,0))*VLOOKUP(Y30,模板计算相关数据!$P$22:$X$30,9,0)</f>
        <v>5.4285280003474252</v>
      </c>
      <c r="U30" s="95">
        <v>2</v>
      </c>
      <c r="V30" s="95">
        <f t="shared" si="2"/>
        <v>1</v>
      </c>
      <c r="W30" s="29">
        <f>VLOOKUP(U30,模板计算相关数据!A:N,2,0)</f>
        <v>1</v>
      </c>
      <c r="X30" s="3" t="s">
        <v>151</v>
      </c>
      <c r="Y30" s="3" t="s">
        <v>152</v>
      </c>
      <c r="Z30" s="100">
        <v>1</v>
      </c>
      <c r="AA30" s="2">
        <v>0.02</v>
      </c>
      <c r="AB30" s="2">
        <v>1</v>
      </c>
      <c r="AC30" s="2">
        <v>1</v>
      </c>
      <c r="AD30" s="2">
        <v>1</v>
      </c>
      <c r="AE30" s="95">
        <v>0</v>
      </c>
      <c r="AF30" s="95">
        <v>0</v>
      </c>
      <c r="AG30" s="95">
        <v>0</v>
      </c>
      <c r="AH30" s="95">
        <v>0</v>
      </c>
      <c r="AI30" s="95">
        <v>0</v>
      </c>
      <c r="AJ30" s="3">
        <f>INT(VLOOKUP(U30,模板计算相关数据!A:N,4,0)*VLOOKUP(U30,模板计算相关数据!A:N,14,0)*(1+MAX(0,(VLOOKUP(U30,模板计算相关数据!A:N,7,0)-AQ30))*VLOOKUP(U30,模板计算相关数据!A:N,8,0))*(1-(AL30+AM30)*0.5/((AL30+AM30)*0.5+(VLOOKUP(U30,模板计算相关数据!A:N,2,0)+模板计算相关数据!$AC$27)*模板计算相关数据!$AC$28))*Q30*Z30)</f>
        <v>374</v>
      </c>
      <c r="AK30" s="3">
        <f>INT(VLOOKUP(U30,模板计算相关数据!A:N,3,0)/模板计算相关数据!$W$35/(1+MAX(0,(AO30/10000-VLOOKUP(U30,模板计算相关数据!A:N,9,0)))*AP30/10000)/(1-VLOOKUP(U30,模板计算相关数据!A:N,5,0)/(VLOOKUP(U30,模板计算相关数据!A:N,5,0)+(VLOOKUP(U30,模板计算相关数据!A:N,2,0)+模板计算相关数据!$AC$27)*模板计算相关数据!$AC$28))/S30*AA30)</f>
        <v>2</v>
      </c>
      <c r="AL30" s="3">
        <f>INT(VLOOKUP(U30,模板计算相关数据!A:N,5,0)*VLOOKUP(X30,模板计算相关数据!$P$4:$T$7,4,0)*VLOOKUP(Y30,模板计算相关数据!$P$22:$U$30,4,0)*AB30)</f>
        <v>230</v>
      </c>
      <c r="AM30" s="3">
        <f>INT(VLOOKUP(U30,模板计算相关数据!A:N,6,0)*VLOOKUP(X30,模板计算相关数据!$P$4:$T$7,4,0)*VLOOKUP(Y30,模板计算相关数据!$P$22:$U$30,5,0)*AC30)</f>
        <v>136</v>
      </c>
      <c r="AN30" s="3">
        <f>VLOOKUP(U30,模板计算相关数据!A:N,10,0)*0.5*VLOOKUP(Y30,模板计算相关数据!$P$22:$U$30,6,0)+AD30</f>
        <v>251</v>
      </c>
      <c r="AO30" s="3">
        <f>VLOOKUP(INT(VLOOKUP(U30,模板计算相关数据!A:N,2,0)/30)+1,模板计算相关数据!$O$35:$U$40,3,0)+AE30</f>
        <v>0</v>
      </c>
      <c r="AP30" s="3">
        <f>VLOOKUP(INT(VLOOKUP(U30,模板计算相关数据!A:N,2,0)/30)+1,模板计算相关数据!$O$35:$U$40,4,0)+AF30</f>
        <v>5000</v>
      </c>
      <c r="AQ30" s="3">
        <f>VLOOKUP(INT(VLOOKUP(U30,模板计算相关数据!A:N,2,0)/30)+1,模板计算相关数据!$O$35:$U$40,5,0)+AG30</f>
        <v>0</v>
      </c>
      <c r="AR30" s="3">
        <f>VLOOKUP(INT(VLOOKUP(U30,模板计算相关数据!A:N,2,0)/30)+1,模板计算相关数据!$O$35:$U$40,6,0)+AH30</f>
        <v>0</v>
      </c>
      <c r="AS30" s="3">
        <f>VLOOKUP(INT(VLOOKUP(U30,模板计算相关数据!A:N,2,0)/30)+1,模板计算相关数据!$O$35:$U$40,7,0)+AI30</f>
        <v>0</v>
      </c>
      <c r="AT30" s="3">
        <f>VLOOKUP(INT(VLOOKUP(U30,模板计算相关数据!A:N,2,0)/30)+1,模板计算相关数据!$O$35:$V$40,8,0)</f>
        <v>0</v>
      </c>
      <c r="AU30" s="2"/>
    </row>
    <row r="31" spans="1:47" x14ac:dyDescent="0.2">
      <c r="A31" s="3">
        <v>223</v>
      </c>
      <c r="B31" s="3"/>
      <c r="C31" s="69" t="s">
        <v>722</v>
      </c>
      <c r="D31" s="69" t="s">
        <v>1031</v>
      </c>
      <c r="E31" s="2"/>
      <c r="F31" s="3">
        <v>1</v>
      </c>
      <c r="G31" s="3">
        <v>101</v>
      </c>
      <c r="H31" s="3">
        <v>1</v>
      </c>
      <c r="I31" s="2">
        <v>5</v>
      </c>
      <c r="J31" s="3">
        <v>1</v>
      </c>
      <c r="K31" s="3"/>
      <c r="L31" s="69" t="s">
        <v>726</v>
      </c>
      <c r="M31" s="2"/>
      <c r="N31" s="2">
        <v>1</v>
      </c>
      <c r="O31" s="2"/>
      <c r="P31" s="3" t="s">
        <v>1615</v>
      </c>
      <c r="Q31" s="95">
        <f t="shared" si="0"/>
        <v>4.417254901960785</v>
      </c>
      <c r="R31" s="133">
        <f>IF(P31=模板计算相关数据!$AB$24,VLOOKUP(X31,模板计算相关数据!$P$47:$T$50,2,0),VLOOKUP(X31,模板计算相关数据!$P$4:$U$7,3,0))*VLOOKUP(Y31,模板计算相关数据!$P$22:$X$30,8,0)</f>
        <v>4.417254901960785</v>
      </c>
      <c r="S31" s="62">
        <f t="shared" si="1"/>
        <v>5.4285280003474252</v>
      </c>
      <c r="T31" s="133">
        <f>IF(P31=模板计算相关数据!$AB$24,VLOOKUP(X31,模板计算相关数据!$P$47:$T$50,5,0),VLOOKUP(X31,模板计算相关数据!$P$4:$U$7,6,0))*VLOOKUP(Y31,模板计算相关数据!$P$22:$X$30,9,0)</f>
        <v>5.4285280003474252</v>
      </c>
      <c r="U31" s="95">
        <v>2</v>
      </c>
      <c r="V31" s="95">
        <f t="shared" si="2"/>
        <v>1</v>
      </c>
      <c r="W31" s="29">
        <f>VLOOKUP(U31,模板计算相关数据!A:N,2,0)</f>
        <v>1</v>
      </c>
      <c r="X31" s="3" t="s">
        <v>151</v>
      </c>
      <c r="Y31" s="3" t="s">
        <v>152</v>
      </c>
      <c r="Z31" s="100">
        <v>1</v>
      </c>
      <c r="AA31" s="2">
        <v>0.02</v>
      </c>
      <c r="AB31" s="2">
        <v>1</v>
      </c>
      <c r="AC31" s="2">
        <v>1</v>
      </c>
      <c r="AD31" s="2">
        <v>1</v>
      </c>
      <c r="AE31" s="95">
        <v>0</v>
      </c>
      <c r="AF31" s="95">
        <v>0</v>
      </c>
      <c r="AG31" s="95">
        <v>0</v>
      </c>
      <c r="AH31" s="95">
        <v>0</v>
      </c>
      <c r="AI31" s="95">
        <v>0</v>
      </c>
      <c r="AJ31" s="3">
        <f>INT(VLOOKUP(U31,模板计算相关数据!A:N,4,0)*VLOOKUP(U31,模板计算相关数据!A:N,14,0)*(1+MAX(0,(VLOOKUP(U31,模板计算相关数据!A:N,7,0)-AQ31))*VLOOKUP(U31,模板计算相关数据!A:N,8,0))*(1-(AL31+AM31)*0.5/((AL31+AM31)*0.5+(VLOOKUP(U31,模板计算相关数据!A:N,2,0)+模板计算相关数据!$AC$27)*模板计算相关数据!$AC$28))*Q31*Z31)</f>
        <v>374</v>
      </c>
      <c r="AK31" s="3">
        <f>INT(VLOOKUP(U31,模板计算相关数据!A:N,3,0)/模板计算相关数据!$W$35/(1+MAX(0,(AO31/10000-VLOOKUP(U31,模板计算相关数据!A:N,9,0)))*AP31/10000)/(1-VLOOKUP(U31,模板计算相关数据!A:N,5,0)/(VLOOKUP(U31,模板计算相关数据!A:N,5,0)+(VLOOKUP(U31,模板计算相关数据!A:N,2,0)+模板计算相关数据!$AC$27)*模板计算相关数据!$AC$28))/S31*AA31)</f>
        <v>2</v>
      </c>
      <c r="AL31" s="3">
        <f>INT(VLOOKUP(U31,模板计算相关数据!A:N,5,0)*VLOOKUP(X31,模板计算相关数据!$P$4:$T$7,4,0)*VLOOKUP(Y31,模板计算相关数据!$P$22:$U$30,4,0)*AB31)</f>
        <v>230</v>
      </c>
      <c r="AM31" s="3">
        <f>INT(VLOOKUP(U31,模板计算相关数据!A:N,6,0)*VLOOKUP(X31,模板计算相关数据!$P$4:$T$7,4,0)*VLOOKUP(Y31,模板计算相关数据!$P$22:$U$30,5,0)*AC31)</f>
        <v>136</v>
      </c>
      <c r="AN31" s="3">
        <f>VLOOKUP(U31,模板计算相关数据!A:N,10,0)*0.5*VLOOKUP(Y31,模板计算相关数据!$P$22:$U$30,6,0)+AD31</f>
        <v>251</v>
      </c>
      <c r="AO31" s="3">
        <f>VLOOKUP(INT(VLOOKUP(U31,模板计算相关数据!A:N,2,0)/30)+1,模板计算相关数据!$O$35:$U$40,3,0)+AE31</f>
        <v>0</v>
      </c>
      <c r="AP31" s="3">
        <f>VLOOKUP(INT(VLOOKUP(U31,模板计算相关数据!A:N,2,0)/30)+1,模板计算相关数据!$O$35:$U$40,4,0)+AF31</f>
        <v>5000</v>
      </c>
      <c r="AQ31" s="3">
        <f>VLOOKUP(INT(VLOOKUP(U31,模板计算相关数据!A:N,2,0)/30)+1,模板计算相关数据!$O$35:$U$40,5,0)+AG31</f>
        <v>0</v>
      </c>
      <c r="AR31" s="3">
        <f>VLOOKUP(INT(VLOOKUP(U31,模板计算相关数据!A:N,2,0)/30)+1,模板计算相关数据!$O$35:$U$40,6,0)+AH31</f>
        <v>0</v>
      </c>
      <c r="AS31" s="3">
        <f>VLOOKUP(INT(VLOOKUP(U31,模板计算相关数据!A:N,2,0)/30)+1,模板计算相关数据!$O$35:$U$40,7,0)+AI31</f>
        <v>0</v>
      </c>
      <c r="AT31" s="3">
        <f>VLOOKUP(INT(VLOOKUP(U31,模板计算相关数据!A:N,2,0)/30)+1,模板计算相关数据!$O$35:$V$40,8,0)</f>
        <v>0</v>
      </c>
      <c r="AU31" s="2"/>
    </row>
    <row r="32" spans="1:47" x14ac:dyDescent="0.2">
      <c r="A32" s="3">
        <v>224</v>
      </c>
      <c r="B32" s="3"/>
      <c r="C32" s="69" t="s">
        <v>727</v>
      </c>
      <c r="D32" s="69" t="s">
        <v>1031</v>
      </c>
      <c r="E32" s="2"/>
      <c r="F32" s="3">
        <v>1</v>
      </c>
      <c r="G32" s="3">
        <v>101</v>
      </c>
      <c r="H32" s="3">
        <v>1</v>
      </c>
      <c r="I32" s="2">
        <v>5</v>
      </c>
      <c r="J32" s="3">
        <v>1</v>
      </c>
      <c r="K32" s="3"/>
      <c r="L32" s="69" t="s">
        <v>728</v>
      </c>
      <c r="M32" s="2"/>
      <c r="N32" s="2">
        <v>1</v>
      </c>
      <c r="O32" s="2"/>
      <c r="P32" s="3" t="s">
        <v>1615</v>
      </c>
      <c r="Q32" s="95">
        <f t="shared" si="0"/>
        <v>4.417254901960785</v>
      </c>
      <c r="R32" s="133">
        <f>IF(P32=模板计算相关数据!$AB$24,VLOOKUP(X32,模板计算相关数据!$P$47:$T$50,2,0),VLOOKUP(X32,模板计算相关数据!$P$4:$U$7,3,0))*VLOOKUP(Y32,模板计算相关数据!$P$22:$X$30,8,0)</f>
        <v>4.417254901960785</v>
      </c>
      <c r="S32" s="62">
        <f t="shared" si="1"/>
        <v>5.4285280003474252</v>
      </c>
      <c r="T32" s="133">
        <f>IF(P32=模板计算相关数据!$AB$24,VLOOKUP(X32,模板计算相关数据!$P$47:$T$50,5,0),VLOOKUP(X32,模板计算相关数据!$P$4:$U$7,6,0))*VLOOKUP(Y32,模板计算相关数据!$P$22:$X$30,9,0)</f>
        <v>5.4285280003474252</v>
      </c>
      <c r="U32" s="95">
        <v>2</v>
      </c>
      <c r="V32" s="95">
        <f t="shared" si="2"/>
        <v>1</v>
      </c>
      <c r="W32" s="29">
        <f>VLOOKUP(U32,模板计算相关数据!A:N,2,0)</f>
        <v>1</v>
      </c>
      <c r="X32" s="3" t="s">
        <v>151</v>
      </c>
      <c r="Y32" s="3" t="s">
        <v>152</v>
      </c>
      <c r="Z32" s="100">
        <v>1</v>
      </c>
      <c r="AA32" s="2">
        <v>0.02</v>
      </c>
      <c r="AB32" s="2">
        <v>1</v>
      </c>
      <c r="AC32" s="2">
        <v>1</v>
      </c>
      <c r="AD32" s="2">
        <v>1</v>
      </c>
      <c r="AE32" s="95">
        <v>0</v>
      </c>
      <c r="AF32" s="95">
        <v>0</v>
      </c>
      <c r="AG32" s="95">
        <v>0</v>
      </c>
      <c r="AH32" s="95">
        <v>0</v>
      </c>
      <c r="AI32" s="95">
        <v>0</v>
      </c>
      <c r="AJ32" s="3">
        <f>INT(VLOOKUP(U32,模板计算相关数据!A:N,4,0)*VLOOKUP(U32,模板计算相关数据!A:N,14,0)*(1+MAX(0,(VLOOKUP(U32,模板计算相关数据!A:N,7,0)-AQ32))*VLOOKUP(U32,模板计算相关数据!A:N,8,0))*(1-(AL32+AM32)*0.5/((AL32+AM32)*0.5+(VLOOKUP(U32,模板计算相关数据!A:N,2,0)+模板计算相关数据!$AC$27)*模板计算相关数据!$AC$28))*Q32*Z32)</f>
        <v>374</v>
      </c>
      <c r="AK32" s="3">
        <f>INT(VLOOKUP(U32,模板计算相关数据!A:N,3,0)/模板计算相关数据!$W$35/(1+MAX(0,(AO32/10000-VLOOKUP(U32,模板计算相关数据!A:N,9,0)))*AP32/10000)/(1-VLOOKUP(U32,模板计算相关数据!A:N,5,0)/(VLOOKUP(U32,模板计算相关数据!A:N,5,0)+(VLOOKUP(U32,模板计算相关数据!A:N,2,0)+模板计算相关数据!$AC$27)*模板计算相关数据!$AC$28))/S32*AA32)</f>
        <v>2</v>
      </c>
      <c r="AL32" s="3">
        <f>INT(VLOOKUP(U32,模板计算相关数据!A:N,5,0)*VLOOKUP(X32,模板计算相关数据!$P$4:$T$7,4,0)*VLOOKUP(Y32,模板计算相关数据!$P$22:$U$30,4,0)*AB32)</f>
        <v>230</v>
      </c>
      <c r="AM32" s="3">
        <f>INT(VLOOKUP(U32,模板计算相关数据!A:N,6,0)*VLOOKUP(X32,模板计算相关数据!$P$4:$T$7,4,0)*VLOOKUP(Y32,模板计算相关数据!$P$22:$U$30,5,0)*AC32)</f>
        <v>136</v>
      </c>
      <c r="AN32" s="3">
        <f>VLOOKUP(U32,模板计算相关数据!A:N,10,0)*0.5*VLOOKUP(Y32,模板计算相关数据!$P$22:$U$30,6,0)+AD32</f>
        <v>251</v>
      </c>
      <c r="AO32" s="3">
        <f>VLOOKUP(INT(VLOOKUP(U32,模板计算相关数据!A:N,2,0)/30)+1,模板计算相关数据!$O$35:$U$40,3,0)+AE32</f>
        <v>0</v>
      </c>
      <c r="AP32" s="3">
        <f>VLOOKUP(INT(VLOOKUP(U32,模板计算相关数据!A:N,2,0)/30)+1,模板计算相关数据!$O$35:$U$40,4,0)+AF32</f>
        <v>5000</v>
      </c>
      <c r="AQ32" s="3">
        <f>VLOOKUP(INT(VLOOKUP(U32,模板计算相关数据!A:N,2,0)/30)+1,模板计算相关数据!$O$35:$U$40,5,0)+AG32</f>
        <v>0</v>
      </c>
      <c r="AR32" s="3">
        <f>VLOOKUP(INT(VLOOKUP(U32,模板计算相关数据!A:N,2,0)/30)+1,模板计算相关数据!$O$35:$U$40,6,0)+AH32</f>
        <v>0</v>
      </c>
      <c r="AS32" s="3">
        <f>VLOOKUP(INT(VLOOKUP(U32,模板计算相关数据!A:N,2,0)/30)+1,模板计算相关数据!$O$35:$U$40,7,0)+AI32</f>
        <v>0</v>
      </c>
      <c r="AT32" s="3">
        <f>VLOOKUP(INT(VLOOKUP(U32,模板计算相关数据!A:N,2,0)/30)+1,模板计算相关数据!$O$35:$V$40,8,0)</f>
        <v>0</v>
      </c>
      <c r="AU32" s="2"/>
    </row>
    <row r="33" spans="1:47" s="9" customFormat="1" x14ac:dyDescent="0.2">
      <c r="A33" s="3">
        <v>225</v>
      </c>
      <c r="B33" s="3"/>
      <c r="C33" s="69" t="s">
        <v>921</v>
      </c>
      <c r="D33" s="69" t="s">
        <v>1031</v>
      </c>
      <c r="E33" s="2"/>
      <c r="F33" s="3">
        <v>1</v>
      </c>
      <c r="G33" s="3">
        <v>1000701</v>
      </c>
      <c r="H33" s="3">
        <v>1</v>
      </c>
      <c r="I33" s="3">
        <v>5</v>
      </c>
      <c r="J33" s="3">
        <v>6</v>
      </c>
      <c r="K33" s="3"/>
      <c r="L33" s="69" t="s">
        <v>149</v>
      </c>
      <c r="M33" s="2"/>
      <c r="N33" s="2">
        <v>2</v>
      </c>
      <c r="O33" s="2"/>
      <c r="P33" s="3" t="s">
        <v>1615</v>
      </c>
      <c r="Q33" s="95">
        <f t="shared" si="0"/>
        <v>4.417254901960785</v>
      </c>
      <c r="R33" s="133">
        <f>IF(P33=模板计算相关数据!$AB$24,VLOOKUP(X33,模板计算相关数据!$P$47:$T$50,2,0),VLOOKUP(X33,模板计算相关数据!$P$4:$U$7,3,0))*VLOOKUP(Y33,模板计算相关数据!$P$22:$X$30,8,0)</f>
        <v>4.417254901960785</v>
      </c>
      <c r="S33" s="62">
        <f t="shared" si="1"/>
        <v>5.4285280003474252</v>
      </c>
      <c r="T33" s="133">
        <f>IF(P33=模板计算相关数据!$AB$24,VLOOKUP(X33,模板计算相关数据!$P$47:$T$50,5,0),VLOOKUP(X33,模板计算相关数据!$P$4:$U$7,6,0))*VLOOKUP(Y33,模板计算相关数据!$P$22:$X$30,9,0)</f>
        <v>5.4285280003474252</v>
      </c>
      <c r="U33" s="95">
        <v>2</v>
      </c>
      <c r="V33" s="95">
        <f t="shared" si="2"/>
        <v>1</v>
      </c>
      <c r="W33" s="29">
        <f>VLOOKUP(U33,模板计算相关数据!A:N,2,0)</f>
        <v>1</v>
      </c>
      <c r="X33" s="3" t="s">
        <v>151</v>
      </c>
      <c r="Y33" s="3" t="s">
        <v>152</v>
      </c>
      <c r="Z33" s="100">
        <v>1</v>
      </c>
      <c r="AA33" s="2">
        <v>0.5</v>
      </c>
      <c r="AB33" s="2">
        <v>1</v>
      </c>
      <c r="AC33" s="2">
        <v>1</v>
      </c>
      <c r="AD33" s="95">
        <v>0</v>
      </c>
      <c r="AE33" s="95">
        <v>0</v>
      </c>
      <c r="AF33" s="95">
        <v>0</v>
      </c>
      <c r="AG33" s="95">
        <v>0</v>
      </c>
      <c r="AH33" s="95">
        <v>0</v>
      </c>
      <c r="AI33" s="95">
        <v>0</v>
      </c>
      <c r="AJ33" s="3">
        <f>INT(VLOOKUP(U33,模板计算相关数据!A:N,4,0)*VLOOKUP(U33,模板计算相关数据!A:N,14,0)*(1+MAX(0,(VLOOKUP(U33,模板计算相关数据!A:N,7,0)-AQ33))*VLOOKUP(U33,模板计算相关数据!A:N,8,0))*(1-(AL33+AM33)*0.5/((AL33+AM33)*0.5+(VLOOKUP(U33,模板计算相关数据!A:N,2,0)+模板计算相关数据!$AC$27)*模板计算相关数据!$AC$28))*Q33*Z33)</f>
        <v>374</v>
      </c>
      <c r="AK33" s="3">
        <f>INT(VLOOKUP(U33,模板计算相关数据!A:N,3,0)/模板计算相关数据!$W$35/(1+MAX(0,(AO33/10000-VLOOKUP(U33,模板计算相关数据!A:N,9,0)))*AP33/10000)/(1-VLOOKUP(U33,模板计算相关数据!A:N,5,0)/(VLOOKUP(U33,模板计算相关数据!A:N,5,0)+(VLOOKUP(U33,模板计算相关数据!A:N,2,0)+模板计算相关数据!$AC$27)*模板计算相关数据!$AC$28))/S33*AA33)</f>
        <v>51</v>
      </c>
      <c r="AL33" s="3">
        <f>INT(VLOOKUP(U33,模板计算相关数据!A:N,5,0)*VLOOKUP(X33,模板计算相关数据!$P$4:$T$7,4,0)*VLOOKUP(Y33,模板计算相关数据!$P$22:$U$30,4,0)*AB33)</f>
        <v>230</v>
      </c>
      <c r="AM33" s="3">
        <f>INT(VLOOKUP(U33,模板计算相关数据!A:N,6,0)*VLOOKUP(X33,模板计算相关数据!$P$4:$T$7,4,0)*VLOOKUP(Y33,模板计算相关数据!$P$22:$U$30,5,0)*AC33)</f>
        <v>136</v>
      </c>
      <c r="AN33" s="3">
        <f>VLOOKUP(U33,模板计算相关数据!A:N,10,0)*0.5*VLOOKUP(Y33,模板计算相关数据!$P$22:$U$30,6,0)+AD33</f>
        <v>250</v>
      </c>
      <c r="AO33" s="3">
        <f>VLOOKUP(INT(VLOOKUP(U33,模板计算相关数据!A:N,2,0)/30)+1,模板计算相关数据!$O$35:$U$40,3,0)+AE33</f>
        <v>0</v>
      </c>
      <c r="AP33" s="3">
        <f>VLOOKUP(INT(VLOOKUP(U33,模板计算相关数据!A:N,2,0)/30)+1,模板计算相关数据!$O$35:$U$40,4,0)+AF33</f>
        <v>5000</v>
      </c>
      <c r="AQ33" s="3">
        <f>VLOOKUP(INT(VLOOKUP(U33,模板计算相关数据!A:N,2,0)/30)+1,模板计算相关数据!$O$35:$U$40,5,0)+AG33</f>
        <v>0</v>
      </c>
      <c r="AR33" s="3">
        <f>VLOOKUP(INT(VLOOKUP(U33,模板计算相关数据!A:N,2,0)/30)+1,模板计算相关数据!$O$35:$U$40,6,0)+AH33</f>
        <v>0</v>
      </c>
      <c r="AS33" s="3">
        <f>VLOOKUP(INT(VLOOKUP(U33,模板计算相关数据!A:N,2,0)/30)+1,模板计算相关数据!$O$35:$U$40,7,0)+AI33</f>
        <v>0</v>
      </c>
      <c r="AT33" s="3">
        <f>VLOOKUP(INT(VLOOKUP(U33,模板计算相关数据!A:N,2,0)/30)+1,模板计算相关数据!$O$35:$V$40,8,0)</f>
        <v>0</v>
      </c>
      <c r="AU33" s="102"/>
    </row>
    <row r="34" spans="1:47" s="9" customFormat="1" x14ac:dyDescent="0.2">
      <c r="A34" s="3">
        <v>226</v>
      </c>
      <c r="B34" s="3"/>
      <c r="C34" s="69" t="s">
        <v>1709</v>
      </c>
      <c r="D34" s="69" t="s">
        <v>1031</v>
      </c>
      <c r="E34" s="2"/>
      <c r="F34" s="3">
        <v>1</v>
      </c>
      <c r="G34" s="3">
        <v>1002601</v>
      </c>
      <c r="H34" s="3">
        <v>1</v>
      </c>
      <c r="I34" s="3">
        <v>5</v>
      </c>
      <c r="J34" s="3">
        <v>6</v>
      </c>
      <c r="K34" s="3"/>
      <c r="L34" s="65" t="s">
        <v>179</v>
      </c>
      <c r="M34" s="2"/>
      <c r="N34" s="2">
        <v>2</v>
      </c>
      <c r="O34" s="2"/>
      <c r="P34" s="3" t="s">
        <v>1615</v>
      </c>
      <c r="Q34" s="95">
        <f t="shared" si="0"/>
        <v>4.417254901960785</v>
      </c>
      <c r="R34" s="133">
        <f>IF(P34=模板计算相关数据!$AB$24,VLOOKUP(X34,模板计算相关数据!$P$47:$T$50,2,0),VLOOKUP(X34,模板计算相关数据!$P$4:$U$7,3,0))*VLOOKUP(Y34,模板计算相关数据!$P$22:$X$30,8,0)</f>
        <v>4.417254901960785</v>
      </c>
      <c r="S34" s="62">
        <f t="shared" si="1"/>
        <v>5.4285280003474252</v>
      </c>
      <c r="T34" s="133">
        <f>IF(P34=模板计算相关数据!$AB$24,VLOOKUP(X34,模板计算相关数据!$P$47:$T$50,5,0),VLOOKUP(X34,模板计算相关数据!$P$4:$U$7,6,0))*VLOOKUP(Y34,模板计算相关数据!$P$22:$X$30,9,0)</f>
        <v>5.4285280003474252</v>
      </c>
      <c r="U34" s="95">
        <v>2</v>
      </c>
      <c r="V34" s="95">
        <f t="shared" si="2"/>
        <v>1</v>
      </c>
      <c r="W34" s="29">
        <f>VLOOKUP(U34,模板计算相关数据!A:N,2,0)</f>
        <v>1</v>
      </c>
      <c r="X34" s="3" t="s">
        <v>151</v>
      </c>
      <c r="Y34" s="3" t="s">
        <v>152</v>
      </c>
      <c r="Z34" s="100">
        <v>1</v>
      </c>
      <c r="AA34" s="2">
        <v>0.5</v>
      </c>
      <c r="AB34" s="2">
        <v>1</v>
      </c>
      <c r="AC34" s="2">
        <v>1</v>
      </c>
      <c r="AD34" s="95">
        <v>0</v>
      </c>
      <c r="AE34" s="95">
        <v>0</v>
      </c>
      <c r="AF34" s="95">
        <v>0</v>
      </c>
      <c r="AG34" s="95">
        <v>0</v>
      </c>
      <c r="AH34" s="95">
        <v>0</v>
      </c>
      <c r="AI34" s="95">
        <v>0</v>
      </c>
      <c r="AJ34" s="3">
        <f>INT(VLOOKUP(U34,模板计算相关数据!A:N,4,0)*VLOOKUP(U34,模板计算相关数据!A:N,14,0)*(1+MAX(0,(VLOOKUP(U34,模板计算相关数据!A:N,7,0)-AQ34))*VLOOKUP(U34,模板计算相关数据!A:N,8,0))*(1-(AL34+AM34)*0.5/((AL34+AM34)*0.5+(VLOOKUP(U34,模板计算相关数据!A:N,2,0)+模板计算相关数据!$AC$27)*模板计算相关数据!$AC$28))*Q34*Z34)</f>
        <v>374</v>
      </c>
      <c r="AK34" s="3">
        <f>INT(VLOOKUP(U34,模板计算相关数据!A:N,3,0)/模板计算相关数据!$W$35/(1+MAX(0,(AO34/10000-VLOOKUP(U34,模板计算相关数据!A:N,9,0)))*AP34/10000)/(1-VLOOKUP(U34,模板计算相关数据!A:N,5,0)/(VLOOKUP(U34,模板计算相关数据!A:N,5,0)+(VLOOKUP(U34,模板计算相关数据!A:N,2,0)+模板计算相关数据!$AC$27)*模板计算相关数据!$AC$28))/S34*AA34)</f>
        <v>51</v>
      </c>
      <c r="AL34" s="3">
        <f>INT(VLOOKUP(U34,模板计算相关数据!A:N,5,0)*VLOOKUP(X34,模板计算相关数据!$P$4:$T$7,4,0)*VLOOKUP(Y34,模板计算相关数据!$P$22:$U$30,4,0)*AB34)</f>
        <v>230</v>
      </c>
      <c r="AM34" s="3">
        <f>INT(VLOOKUP(U34,模板计算相关数据!A:N,6,0)*VLOOKUP(X34,模板计算相关数据!$P$4:$T$7,4,0)*VLOOKUP(Y34,模板计算相关数据!$P$22:$U$30,5,0)*AC34)</f>
        <v>136</v>
      </c>
      <c r="AN34" s="3">
        <f>VLOOKUP(U34,模板计算相关数据!A:N,10,0)*0.5*VLOOKUP(Y34,模板计算相关数据!$P$22:$U$30,6,0)+AD34</f>
        <v>250</v>
      </c>
      <c r="AO34" s="3">
        <f>VLOOKUP(INT(VLOOKUP(U34,模板计算相关数据!A:N,2,0)/30)+1,模板计算相关数据!$O$35:$U$40,3,0)+AE34</f>
        <v>0</v>
      </c>
      <c r="AP34" s="3">
        <f>VLOOKUP(INT(VLOOKUP(U34,模板计算相关数据!A:N,2,0)/30)+1,模板计算相关数据!$O$35:$U$40,4,0)+AF34</f>
        <v>5000</v>
      </c>
      <c r="AQ34" s="3">
        <f>VLOOKUP(INT(VLOOKUP(U34,模板计算相关数据!A:N,2,0)/30)+1,模板计算相关数据!$O$35:$U$40,5,0)+AG34</f>
        <v>0</v>
      </c>
      <c r="AR34" s="3">
        <f>VLOOKUP(INT(VLOOKUP(U34,模板计算相关数据!A:N,2,0)/30)+1,模板计算相关数据!$O$35:$U$40,6,0)+AH34</f>
        <v>0</v>
      </c>
      <c r="AS34" s="3">
        <f>VLOOKUP(INT(VLOOKUP(U34,模板计算相关数据!A:N,2,0)/30)+1,模板计算相关数据!$O$35:$U$40,7,0)+AI34</f>
        <v>0</v>
      </c>
      <c r="AT34" s="3">
        <f>VLOOKUP(INT(VLOOKUP(U34,模板计算相关数据!A:N,2,0)/30)+1,模板计算相关数据!$O$35:$V$40,8,0)</f>
        <v>0</v>
      </c>
      <c r="AU34" s="102"/>
    </row>
    <row r="35" spans="1:47" s="9" customFormat="1" x14ac:dyDescent="0.2">
      <c r="A35" s="3">
        <v>227</v>
      </c>
      <c r="B35" s="3"/>
      <c r="C35" s="69" t="s">
        <v>1710</v>
      </c>
      <c r="D35" s="69" t="s">
        <v>1031</v>
      </c>
      <c r="E35" s="2"/>
      <c r="F35" s="3">
        <v>1</v>
      </c>
      <c r="G35" s="3">
        <v>1002501</v>
      </c>
      <c r="H35" s="3">
        <v>5</v>
      </c>
      <c r="I35" s="3">
        <v>5</v>
      </c>
      <c r="J35" s="3">
        <v>6</v>
      </c>
      <c r="K35" s="3">
        <v>2</v>
      </c>
      <c r="L35" s="65" t="s">
        <v>180</v>
      </c>
      <c r="M35" s="2"/>
      <c r="N35" s="2">
        <v>2</v>
      </c>
      <c r="O35" s="2"/>
      <c r="P35" s="3" t="s">
        <v>1615</v>
      </c>
      <c r="Q35" s="95">
        <f t="shared" si="0"/>
        <v>5.7709803921568623</v>
      </c>
      <c r="R35" s="133">
        <f>IF(P35=模板计算相关数据!$AB$24,VLOOKUP(X35,模板计算相关数据!$P$47:$T$50,2,0),VLOOKUP(X35,模板计算相关数据!$P$4:$U$7,3,0))*VLOOKUP(Y35,模板计算相关数据!$P$22:$X$30,8,0)</f>
        <v>5.7709803921568623</v>
      </c>
      <c r="S35" s="62">
        <f t="shared" si="1"/>
        <v>6.4077918749198997</v>
      </c>
      <c r="T35" s="133">
        <f>IF(P35=模板计算相关数据!$AB$24,VLOOKUP(X35,模板计算相关数据!$P$47:$T$50,5,0),VLOOKUP(X35,模板计算相关数据!$P$4:$U$7,6,0))*VLOOKUP(Y35,模板计算相关数据!$P$22:$X$30,9,0)</f>
        <v>6.4077918749198997</v>
      </c>
      <c r="U35" s="95">
        <v>2</v>
      </c>
      <c r="V35" s="95">
        <f t="shared" si="2"/>
        <v>1</v>
      </c>
      <c r="W35" s="29">
        <f>VLOOKUP(U35,模板计算相关数据!A:N,2,0)</f>
        <v>1</v>
      </c>
      <c r="X35" s="3" t="s">
        <v>151</v>
      </c>
      <c r="Y35" s="3" t="s">
        <v>159</v>
      </c>
      <c r="Z35" s="100">
        <v>1</v>
      </c>
      <c r="AA35" s="2">
        <v>0.5</v>
      </c>
      <c r="AB35" s="2">
        <v>1</v>
      </c>
      <c r="AC35" s="2">
        <v>1</v>
      </c>
      <c r="AD35" s="95">
        <v>0</v>
      </c>
      <c r="AE35" s="95">
        <v>0</v>
      </c>
      <c r="AF35" s="95">
        <v>0</v>
      </c>
      <c r="AG35" s="95">
        <v>0</v>
      </c>
      <c r="AH35" s="95">
        <v>0</v>
      </c>
      <c r="AI35" s="95">
        <v>0</v>
      </c>
      <c r="AJ35" s="3">
        <f>INT(VLOOKUP(U35,模板计算相关数据!A:N,4,0)*VLOOKUP(U35,模板计算相关数据!A:N,14,0)*(1+MAX(0,(VLOOKUP(U35,模板计算相关数据!A:N,7,0)-AQ35))*VLOOKUP(U35,模板计算相关数据!A:N,8,0))*(1-(AL35+AM35)*0.5/((AL35+AM35)*0.5+(VLOOKUP(U35,模板计算相关数据!A:N,2,0)+模板计算相关数据!$AC$27)*模板计算相关数据!$AC$28))*Q35*Z35)</f>
        <v>474</v>
      </c>
      <c r="AK35" s="3">
        <f>INT(VLOOKUP(U35,模板计算相关数据!A:N,3,0)/模板计算相关数据!$W$35/(1+MAX(0,(AO35/10000-VLOOKUP(U35,模板计算相关数据!A:N,9,0)))*AP35/10000)/(1-VLOOKUP(U35,模板计算相关数据!A:N,5,0)/(VLOOKUP(U35,模板计算相关数据!A:N,5,0)+(VLOOKUP(U35,模板计算相关数据!A:N,2,0)+模板计算相关数据!$AC$27)*模板计算相关数据!$AC$28))/S35*AA35)</f>
        <v>43</v>
      </c>
      <c r="AL35" s="3">
        <f>INT(VLOOKUP(U35,模板计算相关数据!A:N,5,0)*VLOOKUP(X35,模板计算相关数据!$P$4:$T$7,4,0)*VLOOKUP(Y35,模板计算相关数据!$P$22:$U$30,4,0)*AB35)</f>
        <v>264</v>
      </c>
      <c r="AM35" s="3">
        <f>INT(VLOOKUP(U35,模板计算相关数据!A:N,6,0)*VLOOKUP(X35,模板计算相关数据!$P$4:$T$7,4,0)*VLOOKUP(Y35,模板计算相关数据!$P$22:$U$30,5,0)*AC35)</f>
        <v>145</v>
      </c>
      <c r="AN35" s="3">
        <f>VLOOKUP(U35,模板计算相关数据!A:N,10,0)*0.5*VLOOKUP(Y35,模板计算相关数据!$P$22:$U$30,6,0)+AD35</f>
        <v>275</v>
      </c>
      <c r="AO35" s="3">
        <f>VLOOKUP(INT(VLOOKUP(U35,模板计算相关数据!A:N,2,0)/30)+1,模板计算相关数据!$O$35:$U$40,3,0)+AE35</f>
        <v>0</v>
      </c>
      <c r="AP35" s="3">
        <f>VLOOKUP(INT(VLOOKUP(U35,模板计算相关数据!A:N,2,0)/30)+1,模板计算相关数据!$O$35:$U$40,4,0)+AF35</f>
        <v>5000</v>
      </c>
      <c r="AQ35" s="3">
        <f>VLOOKUP(INT(VLOOKUP(U35,模板计算相关数据!A:N,2,0)/30)+1,模板计算相关数据!$O$35:$U$40,5,0)+AG35</f>
        <v>0</v>
      </c>
      <c r="AR35" s="3">
        <f>VLOOKUP(INT(VLOOKUP(U35,模板计算相关数据!A:N,2,0)/30)+1,模板计算相关数据!$O$35:$U$40,6,0)+AH35</f>
        <v>0</v>
      </c>
      <c r="AS35" s="3">
        <f>VLOOKUP(INT(VLOOKUP(U35,模板计算相关数据!A:N,2,0)/30)+1,模板计算相关数据!$O$35:$U$40,7,0)+AI35</f>
        <v>0</v>
      </c>
      <c r="AT35" s="3">
        <f>VLOOKUP(INT(VLOOKUP(U35,模板计算相关数据!A:N,2,0)/30)+1,模板计算相关数据!$O$35:$V$40,8,0)</f>
        <v>0</v>
      </c>
      <c r="AU35" s="102"/>
    </row>
    <row r="36" spans="1:47" s="9" customFormat="1" x14ac:dyDescent="0.2">
      <c r="A36" s="3">
        <v>228</v>
      </c>
      <c r="B36" s="3"/>
      <c r="C36" s="69" t="s">
        <v>925</v>
      </c>
      <c r="D36" s="69" t="s">
        <v>1031</v>
      </c>
      <c r="E36" s="2"/>
      <c r="F36" s="3">
        <v>1</v>
      </c>
      <c r="G36" s="3">
        <v>100101</v>
      </c>
      <c r="H36" s="3">
        <v>1</v>
      </c>
      <c r="I36" s="3">
        <v>5</v>
      </c>
      <c r="J36" s="3">
        <v>6</v>
      </c>
      <c r="K36" s="3"/>
      <c r="L36" s="91" t="s">
        <v>927</v>
      </c>
      <c r="M36" s="2"/>
      <c r="N36" s="2">
        <v>2</v>
      </c>
      <c r="O36" s="2"/>
      <c r="P36" s="3" t="s">
        <v>1615</v>
      </c>
      <c r="Q36" s="95">
        <f t="shared" si="0"/>
        <v>4.417254901960785</v>
      </c>
      <c r="R36" s="133">
        <f>IF(P36=模板计算相关数据!$AB$24,VLOOKUP(X36,模板计算相关数据!$P$47:$T$50,2,0),VLOOKUP(X36,模板计算相关数据!$P$4:$U$7,3,0))*VLOOKUP(Y36,模板计算相关数据!$P$22:$X$30,8,0)</f>
        <v>4.417254901960785</v>
      </c>
      <c r="S36" s="62">
        <f t="shared" si="1"/>
        <v>5.4285280003474252</v>
      </c>
      <c r="T36" s="133">
        <f>IF(P36=模板计算相关数据!$AB$24,VLOOKUP(X36,模板计算相关数据!$P$47:$T$50,5,0),VLOOKUP(X36,模板计算相关数据!$P$4:$U$7,6,0))*VLOOKUP(Y36,模板计算相关数据!$P$22:$X$30,9,0)</f>
        <v>5.4285280003474252</v>
      </c>
      <c r="U36" s="95">
        <v>2</v>
      </c>
      <c r="V36" s="95">
        <f t="shared" si="2"/>
        <v>1</v>
      </c>
      <c r="W36" s="29">
        <f>VLOOKUP(U36,模板计算相关数据!A:N,2,0)</f>
        <v>1</v>
      </c>
      <c r="X36" s="3" t="s">
        <v>151</v>
      </c>
      <c r="Y36" s="3" t="s">
        <v>152</v>
      </c>
      <c r="Z36" s="100">
        <v>1</v>
      </c>
      <c r="AA36" s="2">
        <v>0.5</v>
      </c>
      <c r="AB36" s="2">
        <v>1</v>
      </c>
      <c r="AC36" s="2">
        <v>1</v>
      </c>
      <c r="AD36" s="95">
        <v>0</v>
      </c>
      <c r="AE36" s="95">
        <v>0</v>
      </c>
      <c r="AF36" s="95">
        <v>0</v>
      </c>
      <c r="AG36" s="95">
        <v>0</v>
      </c>
      <c r="AH36" s="95">
        <v>0</v>
      </c>
      <c r="AI36" s="95">
        <v>0</v>
      </c>
      <c r="AJ36" s="3">
        <f>INT(VLOOKUP(U36,模板计算相关数据!A:N,4,0)*VLOOKUP(U36,模板计算相关数据!A:N,14,0)*(1+MAX(0,(VLOOKUP(U36,模板计算相关数据!A:N,7,0)-AQ36))*VLOOKUP(U36,模板计算相关数据!A:N,8,0))*(1-(AL36+AM36)*0.5/((AL36+AM36)*0.5+(VLOOKUP(U36,模板计算相关数据!A:N,2,0)+模板计算相关数据!$AC$27)*模板计算相关数据!$AC$28))*Q36*Z36)</f>
        <v>374</v>
      </c>
      <c r="AK36" s="3">
        <f>INT(VLOOKUP(U36,模板计算相关数据!A:N,3,0)/模板计算相关数据!$W$35/(1+MAX(0,(AO36/10000-VLOOKUP(U36,模板计算相关数据!A:N,9,0)))*AP36/10000)/(1-VLOOKUP(U36,模板计算相关数据!A:N,5,0)/(VLOOKUP(U36,模板计算相关数据!A:N,5,0)+(VLOOKUP(U36,模板计算相关数据!A:N,2,0)+模板计算相关数据!$AC$27)*模板计算相关数据!$AC$28))/S36*AA36)</f>
        <v>51</v>
      </c>
      <c r="AL36" s="3">
        <f>INT(VLOOKUP(U36,模板计算相关数据!A:N,5,0)*VLOOKUP(X36,模板计算相关数据!$P$4:$T$7,4,0)*VLOOKUP(Y36,模板计算相关数据!$P$22:$U$30,4,0)*AB36)</f>
        <v>230</v>
      </c>
      <c r="AM36" s="3">
        <f>INT(VLOOKUP(U36,模板计算相关数据!A:N,6,0)*VLOOKUP(X36,模板计算相关数据!$P$4:$T$7,4,0)*VLOOKUP(Y36,模板计算相关数据!$P$22:$U$30,5,0)*AC36)</f>
        <v>136</v>
      </c>
      <c r="AN36" s="3">
        <f>VLOOKUP(U36,模板计算相关数据!A:N,10,0)*0.5*VLOOKUP(Y36,模板计算相关数据!$P$22:$U$30,6,0)+AD36</f>
        <v>250</v>
      </c>
      <c r="AO36" s="3">
        <f>VLOOKUP(INT(VLOOKUP(U36,模板计算相关数据!A:N,2,0)/30)+1,模板计算相关数据!$O$35:$U$40,3,0)+AE36</f>
        <v>0</v>
      </c>
      <c r="AP36" s="3">
        <f>VLOOKUP(INT(VLOOKUP(U36,模板计算相关数据!A:N,2,0)/30)+1,模板计算相关数据!$O$35:$U$40,4,0)+AF36</f>
        <v>5000</v>
      </c>
      <c r="AQ36" s="3">
        <f>VLOOKUP(INT(VLOOKUP(U36,模板计算相关数据!A:N,2,0)/30)+1,模板计算相关数据!$O$35:$U$40,5,0)+AG36</f>
        <v>0</v>
      </c>
      <c r="AR36" s="3">
        <f>VLOOKUP(INT(VLOOKUP(U36,模板计算相关数据!A:N,2,0)/30)+1,模板计算相关数据!$O$35:$U$40,6,0)+AH36</f>
        <v>0</v>
      </c>
      <c r="AS36" s="3">
        <f>VLOOKUP(INT(VLOOKUP(U36,模板计算相关数据!A:N,2,0)/30)+1,模板计算相关数据!$O$35:$U$40,7,0)+AI36</f>
        <v>0</v>
      </c>
      <c r="AT36" s="3">
        <f>VLOOKUP(INT(VLOOKUP(U36,模板计算相关数据!A:N,2,0)/30)+1,模板计算相关数据!$O$35:$V$40,8,0)</f>
        <v>0</v>
      </c>
      <c r="AU36" s="102"/>
    </row>
    <row r="37" spans="1:47" s="9" customFormat="1" x14ac:dyDescent="0.2">
      <c r="A37" s="3">
        <v>229</v>
      </c>
      <c r="B37" s="3"/>
      <c r="C37" s="69" t="s">
        <v>926</v>
      </c>
      <c r="D37" s="69" t="s">
        <v>1031</v>
      </c>
      <c r="E37" s="2"/>
      <c r="F37" s="3">
        <v>1</v>
      </c>
      <c r="G37" s="3">
        <v>100101</v>
      </c>
      <c r="H37" s="3">
        <v>1</v>
      </c>
      <c r="I37" s="3">
        <v>5</v>
      </c>
      <c r="J37" s="3">
        <v>6</v>
      </c>
      <c r="K37" s="3"/>
      <c r="L37" s="91" t="s">
        <v>928</v>
      </c>
      <c r="M37" s="2"/>
      <c r="N37" s="2">
        <v>2</v>
      </c>
      <c r="O37" s="2"/>
      <c r="P37" s="3" t="s">
        <v>1615</v>
      </c>
      <c r="Q37" s="95">
        <f t="shared" si="0"/>
        <v>4.417254901960785</v>
      </c>
      <c r="R37" s="133">
        <f>IF(P37=模板计算相关数据!$AB$24,VLOOKUP(X37,模板计算相关数据!$P$47:$T$50,2,0),VLOOKUP(X37,模板计算相关数据!$P$4:$U$7,3,0))*VLOOKUP(Y37,模板计算相关数据!$P$22:$X$30,8,0)</f>
        <v>4.417254901960785</v>
      </c>
      <c r="S37" s="62">
        <f t="shared" si="1"/>
        <v>5.4285280003474252</v>
      </c>
      <c r="T37" s="133">
        <f>IF(P37=模板计算相关数据!$AB$24,VLOOKUP(X37,模板计算相关数据!$P$47:$T$50,5,0),VLOOKUP(X37,模板计算相关数据!$P$4:$U$7,6,0))*VLOOKUP(Y37,模板计算相关数据!$P$22:$X$30,9,0)</f>
        <v>5.4285280003474252</v>
      </c>
      <c r="U37" s="95">
        <v>2</v>
      </c>
      <c r="V37" s="95">
        <f t="shared" si="2"/>
        <v>1</v>
      </c>
      <c r="W37" s="29">
        <f>VLOOKUP(U37,模板计算相关数据!A:N,2,0)</f>
        <v>1</v>
      </c>
      <c r="X37" s="3" t="s">
        <v>151</v>
      </c>
      <c r="Y37" s="3" t="s">
        <v>152</v>
      </c>
      <c r="Z37" s="100">
        <v>1</v>
      </c>
      <c r="AA37" s="2">
        <v>0.5</v>
      </c>
      <c r="AB37" s="2">
        <v>1</v>
      </c>
      <c r="AC37" s="2">
        <v>1</v>
      </c>
      <c r="AD37" s="95">
        <v>0</v>
      </c>
      <c r="AE37" s="95">
        <v>0</v>
      </c>
      <c r="AF37" s="95">
        <v>0</v>
      </c>
      <c r="AG37" s="95">
        <v>0</v>
      </c>
      <c r="AH37" s="95">
        <v>0</v>
      </c>
      <c r="AI37" s="95">
        <v>0</v>
      </c>
      <c r="AJ37" s="3">
        <f>INT(VLOOKUP(U37,模板计算相关数据!A:N,4,0)*VLOOKUP(U37,模板计算相关数据!A:N,14,0)*(1+MAX(0,(VLOOKUP(U37,模板计算相关数据!A:N,7,0)-AQ37))*VLOOKUP(U37,模板计算相关数据!A:N,8,0))*(1-(AL37+AM37)*0.5/((AL37+AM37)*0.5+(VLOOKUP(U37,模板计算相关数据!A:N,2,0)+模板计算相关数据!$AC$27)*模板计算相关数据!$AC$28))*Q37*Z37)</f>
        <v>374</v>
      </c>
      <c r="AK37" s="3">
        <f>INT(VLOOKUP(U37,模板计算相关数据!A:N,3,0)/模板计算相关数据!$W$35/(1+MAX(0,(AO37/10000-VLOOKUP(U37,模板计算相关数据!A:N,9,0)))*AP37/10000)/(1-VLOOKUP(U37,模板计算相关数据!A:N,5,0)/(VLOOKUP(U37,模板计算相关数据!A:N,5,0)+(VLOOKUP(U37,模板计算相关数据!A:N,2,0)+模板计算相关数据!$AC$27)*模板计算相关数据!$AC$28))/S37*AA37)</f>
        <v>51</v>
      </c>
      <c r="AL37" s="3">
        <f>INT(VLOOKUP(U37,模板计算相关数据!A:N,5,0)*VLOOKUP(X37,模板计算相关数据!$P$4:$T$7,4,0)*VLOOKUP(Y37,模板计算相关数据!$P$22:$U$30,4,0)*AB37)</f>
        <v>230</v>
      </c>
      <c r="AM37" s="3">
        <f>INT(VLOOKUP(U37,模板计算相关数据!A:N,6,0)*VLOOKUP(X37,模板计算相关数据!$P$4:$T$7,4,0)*VLOOKUP(Y37,模板计算相关数据!$P$22:$U$30,5,0)*AC37)</f>
        <v>136</v>
      </c>
      <c r="AN37" s="3">
        <f>VLOOKUP(U37,模板计算相关数据!A:N,10,0)*0.5*VLOOKUP(Y37,模板计算相关数据!$P$22:$U$30,6,0)+AD37</f>
        <v>250</v>
      </c>
      <c r="AO37" s="3">
        <f>VLOOKUP(INT(VLOOKUP(U37,模板计算相关数据!A:N,2,0)/30)+1,模板计算相关数据!$O$35:$U$40,3,0)+AE37</f>
        <v>0</v>
      </c>
      <c r="AP37" s="3">
        <f>VLOOKUP(INT(VLOOKUP(U37,模板计算相关数据!A:N,2,0)/30)+1,模板计算相关数据!$O$35:$U$40,4,0)+AF37</f>
        <v>5000</v>
      </c>
      <c r="AQ37" s="3">
        <f>VLOOKUP(INT(VLOOKUP(U37,模板计算相关数据!A:N,2,0)/30)+1,模板计算相关数据!$O$35:$U$40,5,0)+AG37</f>
        <v>0</v>
      </c>
      <c r="AR37" s="3">
        <f>VLOOKUP(INT(VLOOKUP(U37,模板计算相关数据!A:N,2,0)/30)+1,模板计算相关数据!$O$35:$U$40,6,0)+AH37</f>
        <v>0</v>
      </c>
      <c r="AS37" s="3">
        <f>VLOOKUP(INT(VLOOKUP(U37,模板计算相关数据!A:N,2,0)/30)+1,模板计算相关数据!$O$35:$U$40,7,0)+AI37</f>
        <v>0</v>
      </c>
      <c r="AT37" s="3">
        <f>VLOOKUP(INT(VLOOKUP(U37,模板计算相关数据!A:N,2,0)/30)+1,模板计算相关数据!$O$35:$V$40,8,0)</f>
        <v>0</v>
      </c>
      <c r="AU37" s="102"/>
    </row>
    <row r="38" spans="1:47" s="9" customFormat="1" x14ac:dyDescent="0.2">
      <c r="A38" s="3">
        <v>230</v>
      </c>
      <c r="B38" s="3"/>
      <c r="C38" s="69" t="s">
        <v>929</v>
      </c>
      <c r="D38" s="69" t="s">
        <v>1031</v>
      </c>
      <c r="E38" s="2"/>
      <c r="F38" s="3">
        <v>1</v>
      </c>
      <c r="G38" s="3">
        <v>100101</v>
      </c>
      <c r="H38" s="3">
        <v>1</v>
      </c>
      <c r="I38" s="3">
        <v>5</v>
      </c>
      <c r="J38" s="3">
        <v>6</v>
      </c>
      <c r="K38" s="3"/>
      <c r="L38" s="91" t="s">
        <v>930</v>
      </c>
      <c r="M38" s="2"/>
      <c r="N38" s="2">
        <v>2</v>
      </c>
      <c r="O38" s="2"/>
      <c r="P38" s="3" t="s">
        <v>1615</v>
      </c>
      <c r="Q38" s="95">
        <f t="shared" si="0"/>
        <v>4.417254901960785</v>
      </c>
      <c r="R38" s="133">
        <f>IF(P38=模板计算相关数据!$AB$24,VLOOKUP(X38,模板计算相关数据!$P$47:$T$50,2,0),VLOOKUP(X38,模板计算相关数据!$P$4:$U$7,3,0))*VLOOKUP(Y38,模板计算相关数据!$P$22:$X$30,8,0)</f>
        <v>4.417254901960785</v>
      </c>
      <c r="S38" s="62">
        <f t="shared" si="1"/>
        <v>5.4285280003474252</v>
      </c>
      <c r="T38" s="133">
        <f>IF(P38=模板计算相关数据!$AB$24,VLOOKUP(X38,模板计算相关数据!$P$47:$T$50,5,0),VLOOKUP(X38,模板计算相关数据!$P$4:$U$7,6,0))*VLOOKUP(Y38,模板计算相关数据!$P$22:$X$30,9,0)</f>
        <v>5.4285280003474252</v>
      </c>
      <c r="U38" s="95">
        <v>2</v>
      </c>
      <c r="V38" s="95">
        <f t="shared" si="2"/>
        <v>1</v>
      </c>
      <c r="W38" s="29">
        <f>VLOOKUP(U38,模板计算相关数据!A:N,2,0)</f>
        <v>1</v>
      </c>
      <c r="X38" s="3" t="s">
        <v>151</v>
      </c>
      <c r="Y38" s="3" t="s">
        <v>152</v>
      </c>
      <c r="Z38" s="100">
        <v>3</v>
      </c>
      <c r="AA38" s="2">
        <v>0.5</v>
      </c>
      <c r="AB38" s="2">
        <v>1</v>
      </c>
      <c r="AC38" s="2">
        <v>1</v>
      </c>
      <c r="AD38" s="95">
        <v>0</v>
      </c>
      <c r="AE38" s="95">
        <v>0</v>
      </c>
      <c r="AF38" s="95">
        <v>0</v>
      </c>
      <c r="AG38" s="95">
        <v>0</v>
      </c>
      <c r="AH38" s="95">
        <v>0</v>
      </c>
      <c r="AI38" s="95">
        <v>0</v>
      </c>
      <c r="AJ38" s="3">
        <f>INT(VLOOKUP(U38,模板计算相关数据!A:N,4,0)*VLOOKUP(U38,模板计算相关数据!A:N,14,0)*(1+MAX(0,(VLOOKUP(U38,模板计算相关数据!A:N,7,0)-AQ38))*VLOOKUP(U38,模板计算相关数据!A:N,8,0))*(1-(AL38+AM38)*0.5/((AL38+AM38)*0.5+(VLOOKUP(U38,模板计算相关数据!A:N,2,0)+模板计算相关数据!$AC$27)*模板计算相关数据!$AC$28))*Q38*Z38)</f>
        <v>1124</v>
      </c>
      <c r="AK38" s="3">
        <f>INT(VLOOKUP(U38,模板计算相关数据!A:N,3,0)/模板计算相关数据!$W$35/(1+MAX(0,(AO38/10000-VLOOKUP(U38,模板计算相关数据!A:N,9,0)))*AP38/10000)/(1-VLOOKUP(U38,模板计算相关数据!A:N,5,0)/(VLOOKUP(U38,模板计算相关数据!A:N,5,0)+(VLOOKUP(U38,模板计算相关数据!A:N,2,0)+模板计算相关数据!$AC$27)*模板计算相关数据!$AC$28))/S38*AA38)</f>
        <v>51</v>
      </c>
      <c r="AL38" s="3">
        <f>INT(VLOOKUP(U38,模板计算相关数据!A:N,5,0)*VLOOKUP(X38,模板计算相关数据!$P$4:$T$7,4,0)*VLOOKUP(Y38,模板计算相关数据!$P$22:$U$30,4,0)*AB38)</f>
        <v>230</v>
      </c>
      <c r="AM38" s="3">
        <f>INT(VLOOKUP(U38,模板计算相关数据!A:N,6,0)*VLOOKUP(X38,模板计算相关数据!$P$4:$T$7,4,0)*VLOOKUP(Y38,模板计算相关数据!$P$22:$U$30,5,0)*AC38)</f>
        <v>136</v>
      </c>
      <c r="AN38" s="3">
        <f>VLOOKUP(U38,模板计算相关数据!A:N,10,0)*0.5*VLOOKUP(Y38,模板计算相关数据!$P$22:$U$30,6,0)+AD38</f>
        <v>250</v>
      </c>
      <c r="AO38" s="3">
        <f>VLOOKUP(INT(VLOOKUP(U38,模板计算相关数据!A:N,2,0)/30)+1,模板计算相关数据!$O$35:$U$40,3,0)+AE38</f>
        <v>0</v>
      </c>
      <c r="AP38" s="3">
        <f>VLOOKUP(INT(VLOOKUP(U38,模板计算相关数据!A:N,2,0)/30)+1,模板计算相关数据!$O$35:$U$40,4,0)+AF38</f>
        <v>5000</v>
      </c>
      <c r="AQ38" s="3">
        <f>VLOOKUP(INT(VLOOKUP(U38,模板计算相关数据!A:N,2,0)/30)+1,模板计算相关数据!$O$35:$U$40,5,0)+AG38</f>
        <v>0</v>
      </c>
      <c r="AR38" s="3">
        <f>VLOOKUP(INT(VLOOKUP(U38,模板计算相关数据!A:N,2,0)/30)+1,模板计算相关数据!$O$35:$U$40,6,0)+AH38</f>
        <v>0</v>
      </c>
      <c r="AS38" s="3">
        <f>VLOOKUP(INT(VLOOKUP(U38,模板计算相关数据!A:N,2,0)/30)+1,模板计算相关数据!$O$35:$U$40,7,0)+AI38</f>
        <v>0</v>
      </c>
      <c r="AT38" s="3">
        <f>VLOOKUP(INT(VLOOKUP(U38,模板计算相关数据!A:N,2,0)/30)+1,模板计算相关数据!$O$35:$V$40,8,0)</f>
        <v>0</v>
      </c>
      <c r="AU38" s="102"/>
    </row>
    <row r="39" spans="1:47" s="9" customFormat="1" x14ac:dyDescent="0.2">
      <c r="A39" s="3">
        <v>231</v>
      </c>
      <c r="B39" s="3"/>
      <c r="C39" s="69" t="s">
        <v>983</v>
      </c>
      <c r="D39" s="69" t="s">
        <v>1031</v>
      </c>
      <c r="E39" s="2"/>
      <c r="F39" s="3">
        <v>1</v>
      </c>
      <c r="G39" s="3">
        <v>1000701</v>
      </c>
      <c r="H39" s="3">
        <v>1</v>
      </c>
      <c r="I39" s="3">
        <v>5</v>
      </c>
      <c r="J39" s="3">
        <v>6</v>
      </c>
      <c r="K39" s="3"/>
      <c r="L39" s="91" t="s">
        <v>985</v>
      </c>
      <c r="M39" s="2"/>
      <c r="N39" s="2">
        <v>2</v>
      </c>
      <c r="O39" s="2"/>
      <c r="P39" s="3" t="s">
        <v>1615</v>
      </c>
      <c r="Q39" s="95">
        <f t="shared" si="0"/>
        <v>4.417254901960785</v>
      </c>
      <c r="R39" s="133">
        <f>IF(P39=模板计算相关数据!$AB$24,VLOOKUP(X39,模板计算相关数据!$P$47:$T$50,2,0),VLOOKUP(X39,模板计算相关数据!$P$4:$U$7,3,0))*VLOOKUP(Y39,模板计算相关数据!$P$22:$X$30,8,0)</f>
        <v>4.417254901960785</v>
      </c>
      <c r="S39" s="62">
        <f t="shared" si="1"/>
        <v>5.4285280003474252</v>
      </c>
      <c r="T39" s="133">
        <f>IF(P39=模板计算相关数据!$AB$24,VLOOKUP(X39,模板计算相关数据!$P$47:$T$50,5,0),VLOOKUP(X39,模板计算相关数据!$P$4:$U$7,6,0))*VLOOKUP(Y39,模板计算相关数据!$P$22:$X$30,9,0)</f>
        <v>5.4285280003474252</v>
      </c>
      <c r="U39" s="95">
        <v>2</v>
      </c>
      <c r="V39" s="95">
        <f t="shared" si="2"/>
        <v>1</v>
      </c>
      <c r="W39" s="29">
        <f>VLOOKUP(U39,模板计算相关数据!A:N,2,0)</f>
        <v>1</v>
      </c>
      <c r="X39" s="3" t="s">
        <v>151</v>
      </c>
      <c r="Y39" s="3" t="s">
        <v>152</v>
      </c>
      <c r="Z39" s="100">
        <v>10</v>
      </c>
      <c r="AA39" s="2">
        <v>0.5</v>
      </c>
      <c r="AB39" s="2">
        <v>1</v>
      </c>
      <c r="AC39" s="2">
        <v>1</v>
      </c>
      <c r="AD39" s="95">
        <v>0</v>
      </c>
      <c r="AE39" s="95">
        <v>0</v>
      </c>
      <c r="AF39" s="95">
        <v>0</v>
      </c>
      <c r="AG39" s="95">
        <v>0</v>
      </c>
      <c r="AH39" s="95">
        <v>0</v>
      </c>
      <c r="AI39" s="95">
        <v>0</v>
      </c>
      <c r="AJ39" s="3">
        <f>INT(VLOOKUP(U39,模板计算相关数据!A:N,4,0)*VLOOKUP(U39,模板计算相关数据!A:N,14,0)*(1+MAX(0,(VLOOKUP(U39,模板计算相关数据!A:N,7,0)-AQ39))*VLOOKUP(U39,模板计算相关数据!A:N,8,0))*(1-(AL39+AM39)*0.5/((AL39+AM39)*0.5+(VLOOKUP(U39,模板计算相关数据!A:N,2,0)+模板计算相关数据!$AC$27)*模板计算相关数据!$AC$28))*Q39*Z39)</f>
        <v>3747</v>
      </c>
      <c r="AK39" s="3">
        <f>INT(VLOOKUP(U39,模板计算相关数据!A:N,3,0)/模板计算相关数据!$W$35/(1+MAX(0,(AO39/10000-VLOOKUP(U39,模板计算相关数据!A:N,9,0)))*AP39/10000)/(1-VLOOKUP(U39,模板计算相关数据!A:N,5,0)/(VLOOKUP(U39,模板计算相关数据!A:N,5,0)+(VLOOKUP(U39,模板计算相关数据!A:N,2,0)+模板计算相关数据!$AC$27)*模板计算相关数据!$AC$28))/S39*AA39)</f>
        <v>51</v>
      </c>
      <c r="AL39" s="3">
        <f>INT(VLOOKUP(U39,模板计算相关数据!A:N,5,0)*VLOOKUP(X39,模板计算相关数据!$P$4:$T$7,4,0)*VLOOKUP(Y39,模板计算相关数据!$P$22:$U$30,4,0)*AB39)</f>
        <v>230</v>
      </c>
      <c r="AM39" s="3">
        <f>INT(VLOOKUP(U39,模板计算相关数据!A:N,6,0)*VLOOKUP(X39,模板计算相关数据!$P$4:$T$7,4,0)*VLOOKUP(Y39,模板计算相关数据!$P$22:$U$30,5,0)*AC39)</f>
        <v>136</v>
      </c>
      <c r="AN39" s="3">
        <f>VLOOKUP(U39,模板计算相关数据!A:N,10,0)*0.5*VLOOKUP(Y39,模板计算相关数据!$P$22:$U$30,6,0)+AD39</f>
        <v>250</v>
      </c>
      <c r="AO39" s="3">
        <f>VLOOKUP(INT(VLOOKUP(U39,模板计算相关数据!A:N,2,0)/30)+1,模板计算相关数据!$O$35:$U$40,3,0)+AE39</f>
        <v>0</v>
      </c>
      <c r="AP39" s="3">
        <f>VLOOKUP(INT(VLOOKUP(U39,模板计算相关数据!A:N,2,0)/30)+1,模板计算相关数据!$O$35:$U$40,4,0)+AF39</f>
        <v>5000</v>
      </c>
      <c r="AQ39" s="3">
        <f>VLOOKUP(INT(VLOOKUP(U39,模板计算相关数据!A:N,2,0)/30)+1,模板计算相关数据!$O$35:$U$40,5,0)+AG39</f>
        <v>0</v>
      </c>
      <c r="AR39" s="3">
        <f>VLOOKUP(INT(VLOOKUP(U39,模板计算相关数据!A:N,2,0)/30)+1,模板计算相关数据!$O$35:$U$40,6,0)+AH39</f>
        <v>0</v>
      </c>
      <c r="AS39" s="3">
        <f>VLOOKUP(INT(VLOOKUP(U39,模板计算相关数据!A:N,2,0)/30)+1,模板计算相关数据!$O$35:$U$40,7,0)+AI39</f>
        <v>0</v>
      </c>
      <c r="AT39" s="3">
        <f>VLOOKUP(INT(VLOOKUP(U39,模板计算相关数据!A:N,2,0)/30)+1,模板计算相关数据!$O$35:$V$40,8,0)</f>
        <v>0</v>
      </c>
      <c r="AU39" s="102"/>
    </row>
    <row r="40" spans="1:47" s="9" customFormat="1" x14ac:dyDescent="0.2">
      <c r="A40" s="3">
        <v>232</v>
      </c>
      <c r="B40" s="3"/>
      <c r="C40" s="69" t="s">
        <v>984</v>
      </c>
      <c r="D40" s="69" t="s">
        <v>1031</v>
      </c>
      <c r="E40" s="2"/>
      <c r="F40" s="3">
        <v>1</v>
      </c>
      <c r="G40" s="3">
        <v>1000701</v>
      </c>
      <c r="H40" s="3">
        <v>1</v>
      </c>
      <c r="I40" s="3">
        <v>5</v>
      </c>
      <c r="J40" s="3">
        <v>6</v>
      </c>
      <c r="K40" s="3"/>
      <c r="L40" s="91" t="s">
        <v>986</v>
      </c>
      <c r="M40" s="2"/>
      <c r="N40" s="2">
        <v>2</v>
      </c>
      <c r="O40" s="2"/>
      <c r="P40" s="3" t="s">
        <v>1615</v>
      </c>
      <c r="Q40" s="95">
        <f t="shared" si="0"/>
        <v>4.417254901960785</v>
      </c>
      <c r="R40" s="133">
        <f>IF(P40=模板计算相关数据!$AB$24,VLOOKUP(X40,模板计算相关数据!$P$47:$T$50,2,0),VLOOKUP(X40,模板计算相关数据!$P$4:$U$7,3,0))*VLOOKUP(Y40,模板计算相关数据!$P$22:$X$30,8,0)</f>
        <v>4.417254901960785</v>
      </c>
      <c r="S40" s="62">
        <f t="shared" si="1"/>
        <v>5.4285280003474252</v>
      </c>
      <c r="T40" s="133">
        <f>IF(P40=模板计算相关数据!$AB$24,VLOOKUP(X40,模板计算相关数据!$P$47:$T$50,5,0),VLOOKUP(X40,模板计算相关数据!$P$4:$U$7,6,0))*VLOOKUP(Y40,模板计算相关数据!$P$22:$X$30,9,0)</f>
        <v>5.4285280003474252</v>
      </c>
      <c r="U40" s="95">
        <v>2</v>
      </c>
      <c r="V40" s="95">
        <f t="shared" si="2"/>
        <v>1</v>
      </c>
      <c r="W40" s="29">
        <f>VLOOKUP(U40,模板计算相关数据!A:N,2,0)</f>
        <v>1</v>
      </c>
      <c r="X40" s="3" t="s">
        <v>151</v>
      </c>
      <c r="Y40" s="3" t="s">
        <v>152</v>
      </c>
      <c r="Z40" s="100">
        <v>10</v>
      </c>
      <c r="AA40" s="2">
        <v>0.5</v>
      </c>
      <c r="AB40" s="2">
        <v>1</v>
      </c>
      <c r="AC40" s="2">
        <v>1</v>
      </c>
      <c r="AD40" s="95">
        <v>0</v>
      </c>
      <c r="AE40" s="95">
        <v>0</v>
      </c>
      <c r="AF40" s="95">
        <v>0</v>
      </c>
      <c r="AG40" s="95">
        <v>0</v>
      </c>
      <c r="AH40" s="95">
        <v>0</v>
      </c>
      <c r="AI40" s="95">
        <v>0</v>
      </c>
      <c r="AJ40" s="3">
        <f>INT(VLOOKUP(U40,模板计算相关数据!A:N,4,0)*VLOOKUP(U40,模板计算相关数据!A:N,14,0)*(1+MAX(0,(VLOOKUP(U40,模板计算相关数据!A:N,7,0)-AQ40))*VLOOKUP(U40,模板计算相关数据!A:N,8,0))*(1-(AL40+AM40)*0.5/((AL40+AM40)*0.5+(VLOOKUP(U40,模板计算相关数据!A:N,2,0)+模板计算相关数据!$AC$27)*模板计算相关数据!$AC$28))*Q40*Z40)</f>
        <v>3747</v>
      </c>
      <c r="AK40" s="3">
        <f>INT(VLOOKUP(U40,模板计算相关数据!A:N,3,0)/模板计算相关数据!$W$35/(1+MAX(0,(AO40/10000-VLOOKUP(U40,模板计算相关数据!A:N,9,0)))*AP40/10000)/(1-VLOOKUP(U40,模板计算相关数据!A:N,5,0)/(VLOOKUP(U40,模板计算相关数据!A:N,5,0)+(VLOOKUP(U40,模板计算相关数据!A:N,2,0)+模板计算相关数据!$AC$27)*模板计算相关数据!$AC$28))/S40*AA40)</f>
        <v>51</v>
      </c>
      <c r="AL40" s="3">
        <f>INT(VLOOKUP(U40,模板计算相关数据!A:N,5,0)*VLOOKUP(X40,模板计算相关数据!$P$4:$T$7,4,0)*VLOOKUP(Y40,模板计算相关数据!$P$22:$U$30,4,0)*AB40)</f>
        <v>230</v>
      </c>
      <c r="AM40" s="3">
        <f>INT(VLOOKUP(U40,模板计算相关数据!A:N,6,0)*VLOOKUP(X40,模板计算相关数据!$P$4:$T$7,4,0)*VLOOKUP(Y40,模板计算相关数据!$P$22:$U$30,5,0)*AC40)</f>
        <v>136</v>
      </c>
      <c r="AN40" s="3">
        <f>VLOOKUP(U40,模板计算相关数据!A:N,10,0)*0.5*VLOOKUP(Y40,模板计算相关数据!$P$22:$U$30,6,0)+AD40</f>
        <v>250</v>
      </c>
      <c r="AO40" s="3">
        <f>VLOOKUP(INT(VLOOKUP(U40,模板计算相关数据!A:N,2,0)/30)+1,模板计算相关数据!$O$35:$U$40,3,0)+AE40</f>
        <v>0</v>
      </c>
      <c r="AP40" s="3">
        <f>VLOOKUP(INT(VLOOKUP(U40,模板计算相关数据!A:N,2,0)/30)+1,模板计算相关数据!$O$35:$U$40,4,0)+AF40</f>
        <v>5000</v>
      </c>
      <c r="AQ40" s="3">
        <f>VLOOKUP(INT(VLOOKUP(U40,模板计算相关数据!A:N,2,0)/30)+1,模板计算相关数据!$O$35:$U$40,5,0)+AG40</f>
        <v>0</v>
      </c>
      <c r="AR40" s="3">
        <f>VLOOKUP(INT(VLOOKUP(U40,模板计算相关数据!A:N,2,0)/30)+1,模板计算相关数据!$O$35:$U$40,6,0)+AH40</f>
        <v>0</v>
      </c>
      <c r="AS40" s="3">
        <f>VLOOKUP(INT(VLOOKUP(U40,模板计算相关数据!A:N,2,0)/30)+1,模板计算相关数据!$O$35:$U$40,7,0)+AI40</f>
        <v>0</v>
      </c>
      <c r="AT40" s="3">
        <f>VLOOKUP(INT(VLOOKUP(U40,模板计算相关数据!A:N,2,0)/30)+1,模板计算相关数据!$O$35:$V$40,8,0)</f>
        <v>0</v>
      </c>
      <c r="AU40" s="102"/>
    </row>
    <row r="41" spans="1:47" s="9" customFormat="1" x14ac:dyDescent="0.2">
      <c r="A41" s="3">
        <v>233</v>
      </c>
      <c r="B41" s="3"/>
      <c r="C41" s="69" t="s">
        <v>987</v>
      </c>
      <c r="D41" s="69" t="s">
        <v>1031</v>
      </c>
      <c r="E41" s="2"/>
      <c r="F41" s="3">
        <v>1</v>
      </c>
      <c r="G41" s="3">
        <v>1000701</v>
      </c>
      <c r="H41" s="3">
        <v>1</v>
      </c>
      <c r="I41" s="3">
        <v>5</v>
      </c>
      <c r="J41" s="3">
        <v>6</v>
      </c>
      <c r="K41" s="3"/>
      <c r="L41" s="91" t="s">
        <v>999</v>
      </c>
      <c r="M41" s="2"/>
      <c r="N41" s="2">
        <v>2</v>
      </c>
      <c r="O41" s="2"/>
      <c r="P41" s="3" t="s">
        <v>1615</v>
      </c>
      <c r="Q41" s="95">
        <f t="shared" si="0"/>
        <v>4.417254901960785</v>
      </c>
      <c r="R41" s="133">
        <f>IF(P41=模板计算相关数据!$AB$24,VLOOKUP(X41,模板计算相关数据!$P$47:$T$50,2,0),VLOOKUP(X41,模板计算相关数据!$P$4:$U$7,3,0))*VLOOKUP(Y41,模板计算相关数据!$P$22:$X$30,8,0)</f>
        <v>4.417254901960785</v>
      </c>
      <c r="S41" s="62">
        <f t="shared" si="1"/>
        <v>5.4285280003474252</v>
      </c>
      <c r="T41" s="133">
        <f>IF(P41=模板计算相关数据!$AB$24,VLOOKUP(X41,模板计算相关数据!$P$47:$T$50,5,0),VLOOKUP(X41,模板计算相关数据!$P$4:$U$7,6,0))*VLOOKUP(Y41,模板计算相关数据!$P$22:$X$30,9,0)</f>
        <v>5.4285280003474252</v>
      </c>
      <c r="U41" s="95">
        <v>2</v>
      </c>
      <c r="V41" s="95">
        <f t="shared" si="2"/>
        <v>1</v>
      </c>
      <c r="W41" s="29">
        <f>VLOOKUP(U41,模板计算相关数据!A:N,2,0)</f>
        <v>1</v>
      </c>
      <c r="X41" s="3" t="s">
        <v>151</v>
      </c>
      <c r="Y41" s="3" t="s">
        <v>152</v>
      </c>
      <c r="Z41" s="100">
        <v>10</v>
      </c>
      <c r="AA41" s="2">
        <v>0.5</v>
      </c>
      <c r="AB41" s="2">
        <v>1</v>
      </c>
      <c r="AC41" s="2">
        <v>1</v>
      </c>
      <c r="AD41" s="95">
        <v>0</v>
      </c>
      <c r="AE41" s="95">
        <v>0</v>
      </c>
      <c r="AF41" s="95">
        <v>0</v>
      </c>
      <c r="AG41" s="95">
        <v>0</v>
      </c>
      <c r="AH41" s="95">
        <v>0</v>
      </c>
      <c r="AI41" s="95">
        <v>0</v>
      </c>
      <c r="AJ41" s="3">
        <f>INT(VLOOKUP(U41,模板计算相关数据!A:N,4,0)*VLOOKUP(U41,模板计算相关数据!A:N,14,0)*(1+MAX(0,(VLOOKUP(U41,模板计算相关数据!A:N,7,0)-AQ41))*VLOOKUP(U41,模板计算相关数据!A:N,8,0))*(1-(AL41+AM41)*0.5/((AL41+AM41)*0.5+(VLOOKUP(U41,模板计算相关数据!A:N,2,0)+模板计算相关数据!$AC$27)*模板计算相关数据!$AC$28))*Q41*Z41)</f>
        <v>3747</v>
      </c>
      <c r="AK41" s="3">
        <f>INT(VLOOKUP(U41,模板计算相关数据!A:N,3,0)/模板计算相关数据!$W$35/(1+MAX(0,(AO41/10000-VLOOKUP(U41,模板计算相关数据!A:N,9,0)))*AP41/10000)/(1-VLOOKUP(U41,模板计算相关数据!A:N,5,0)/(VLOOKUP(U41,模板计算相关数据!A:N,5,0)+(VLOOKUP(U41,模板计算相关数据!A:N,2,0)+模板计算相关数据!$AC$27)*模板计算相关数据!$AC$28))/S41*AA41)</f>
        <v>51</v>
      </c>
      <c r="AL41" s="3">
        <f>INT(VLOOKUP(U41,模板计算相关数据!A:N,5,0)*VLOOKUP(X41,模板计算相关数据!$P$4:$T$7,4,0)*VLOOKUP(Y41,模板计算相关数据!$P$22:$U$30,4,0)*AB41)</f>
        <v>230</v>
      </c>
      <c r="AM41" s="3">
        <f>INT(VLOOKUP(U41,模板计算相关数据!A:N,6,0)*VLOOKUP(X41,模板计算相关数据!$P$4:$T$7,4,0)*VLOOKUP(Y41,模板计算相关数据!$P$22:$U$30,5,0)*AC41)</f>
        <v>136</v>
      </c>
      <c r="AN41" s="3">
        <f>VLOOKUP(U41,模板计算相关数据!A:N,10,0)*0.5*VLOOKUP(Y41,模板计算相关数据!$P$22:$U$30,6,0)+AD41</f>
        <v>250</v>
      </c>
      <c r="AO41" s="3">
        <f>VLOOKUP(INT(VLOOKUP(U41,模板计算相关数据!A:N,2,0)/30)+1,模板计算相关数据!$O$35:$U$40,3,0)+AE41</f>
        <v>0</v>
      </c>
      <c r="AP41" s="3">
        <f>VLOOKUP(INT(VLOOKUP(U41,模板计算相关数据!A:N,2,0)/30)+1,模板计算相关数据!$O$35:$U$40,4,0)+AF41</f>
        <v>5000</v>
      </c>
      <c r="AQ41" s="3">
        <f>VLOOKUP(INT(VLOOKUP(U41,模板计算相关数据!A:N,2,0)/30)+1,模板计算相关数据!$O$35:$U$40,5,0)+AG41</f>
        <v>0</v>
      </c>
      <c r="AR41" s="3">
        <f>VLOOKUP(INT(VLOOKUP(U41,模板计算相关数据!A:N,2,0)/30)+1,模板计算相关数据!$O$35:$U$40,6,0)+AH41</f>
        <v>0</v>
      </c>
      <c r="AS41" s="3">
        <f>VLOOKUP(INT(VLOOKUP(U41,模板计算相关数据!A:N,2,0)/30)+1,模板计算相关数据!$O$35:$U$40,7,0)+AI41</f>
        <v>0</v>
      </c>
      <c r="AT41" s="3">
        <f>VLOOKUP(INT(VLOOKUP(U41,模板计算相关数据!A:N,2,0)/30)+1,模板计算相关数据!$O$35:$V$40,8,0)</f>
        <v>0</v>
      </c>
      <c r="AU41" s="87" t="s">
        <v>989</v>
      </c>
    </row>
    <row r="42" spans="1:47" s="9" customFormat="1" x14ac:dyDescent="0.2">
      <c r="A42" s="3">
        <v>234</v>
      </c>
      <c r="B42" s="3"/>
      <c r="C42" s="69" t="s">
        <v>988</v>
      </c>
      <c r="D42" s="69" t="s">
        <v>1031</v>
      </c>
      <c r="E42" s="2"/>
      <c r="F42" s="3">
        <v>1</v>
      </c>
      <c r="G42" s="3">
        <v>1000701</v>
      </c>
      <c r="H42" s="3">
        <v>1</v>
      </c>
      <c r="I42" s="3">
        <v>5</v>
      </c>
      <c r="J42" s="3">
        <v>6</v>
      </c>
      <c r="K42" s="3"/>
      <c r="L42" s="91" t="s">
        <v>1000</v>
      </c>
      <c r="M42" s="2"/>
      <c r="N42" s="2">
        <v>2</v>
      </c>
      <c r="O42" s="2"/>
      <c r="P42" s="3" t="s">
        <v>1615</v>
      </c>
      <c r="Q42" s="95">
        <f t="shared" si="0"/>
        <v>4.417254901960785</v>
      </c>
      <c r="R42" s="133">
        <f>IF(P42=模板计算相关数据!$AB$24,VLOOKUP(X42,模板计算相关数据!$P$47:$T$50,2,0),VLOOKUP(X42,模板计算相关数据!$P$4:$U$7,3,0))*VLOOKUP(Y42,模板计算相关数据!$P$22:$X$30,8,0)</f>
        <v>4.417254901960785</v>
      </c>
      <c r="S42" s="62">
        <f t="shared" si="1"/>
        <v>5.4285280003474252</v>
      </c>
      <c r="T42" s="133">
        <f>IF(P42=模板计算相关数据!$AB$24,VLOOKUP(X42,模板计算相关数据!$P$47:$T$50,5,0),VLOOKUP(X42,模板计算相关数据!$P$4:$U$7,6,0))*VLOOKUP(Y42,模板计算相关数据!$P$22:$X$30,9,0)</f>
        <v>5.4285280003474252</v>
      </c>
      <c r="U42" s="95">
        <v>2</v>
      </c>
      <c r="V42" s="95">
        <f t="shared" si="2"/>
        <v>1</v>
      </c>
      <c r="W42" s="29">
        <f>VLOOKUP(U42,模板计算相关数据!A:N,2,0)</f>
        <v>1</v>
      </c>
      <c r="X42" s="3" t="s">
        <v>151</v>
      </c>
      <c r="Y42" s="3" t="s">
        <v>152</v>
      </c>
      <c r="Z42" s="100">
        <v>10</v>
      </c>
      <c r="AA42" s="2">
        <v>0.5</v>
      </c>
      <c r="AB42" s="2">
        <v>1</v>
      </c>
      <c r="AC42" s="2">
        <v>1</v>
      </c>
      <c r="AD42" s="95">
        <v>0</v>
      </c>
      <c r="AE42" s="95">
        <v>0</v>
      </c>
      <c r="AF42" s="95">
        <v>0</v>
      </c>
      <c r="AG42" s="95">
        <v>0</v>
      </c>
      <c r="AH42" s="95">
        <v>0</v>
      </c>
      <c r="AI42" s="95">
        <v>0</v>
      </c>
      <c r="AJ42" s="3">
        <f>INT(VLOOKUP(U42,模板计算相关数据!A:N,4,0)*VLOOKUP(U42,模板计算相关数据!A:N,14,0)*(1+MAX(0,(VLOOKUP(U42,模板计算相关数据!A:N,7,0)-AQ42))*VLOOKUP(U42,模板计算相关数据!A:N,8,0))*(1-(AL42+AM42)*0.5/((AL42+AM42)*0.5+(VLOOKUP(U42,模板计算相关数据!A:N,2,0)+模板计算相关数据!$AC$27)*模板计算相关数据!$AC$28))*Q42*Z42)</f>
        <v>3747</v>
      </c>
      <c r="AK42" s="3">
        <f>INT(VLOOKUP(U42,模板计算相关数据!A:N,3,0)/模板计算相关数据!$W$35/(1+MAX(0,(AO42/10000-VLOOKUP(U42,模板计算相关数据!A:N,9,0)))*AP42/10000)/(1-VLOOKUP(U42,模板计算相关数据!A:N,5,0)/(VLOOKUP(U42,模板计算相关数据!A:N,5,0)+(VLOOKUP(U42,模板计算相关数据!A:N,2,0)+模板计算相关数据!$AC$27)*模板计算相关数据!$AC$28))/S42*AA42)</f>
        <v>51</v>
      </c>
      <c r="AL42" s="3">
        <f>INT(VLOOKUP(U42,模板计算相关数据!A:N,5,0)*VLOOKUP(X42,模板计算相关数据!$P$4:$T$7,4,0)*VLOOKUP(Y42,模板计算相关数据!$P$22:$U$30,4,0)*AB42)</f>
        <v>230</v>
      </c>
      <c r="AM42" s="3">
        <f>INT(VLOOKUP(U42,模板计算相关数据!A:N,6,0)*VLOOKUP(X42,模板计算相关数据!$P$4:$T$7,4,0)*VLOOKUP(Y42,模板计算相关数据!$P$22:$U$30,5,0)*AC42)</f>
        <v>136</v>
      </c>
      <c r="AN42" s="3">
        <f>VLOOKUP(U42,模板计算相关数据!A:N,10,0)*0.5*VLOOKUP(Y42,模板计算相关数据!$P$22:$U$30,6,0)+AD42</f>
        <v>250</v>
      </c>
      <c r="AO42" s="3">
        <f>VLOOKUP(INT(VLOOKUP(U42,模板计算相关数据!A:N,2,0)/30)+1,模板计算相关数据!$O$35:$U$40,3,0)+AE42</f>
        <v>0</v>
      </c>
      <c r="AP42" s="3">
        <f>VLOOKUP(INT(VLOOKUP(U42,模板计算相关数据!A:N,2,0)/30)+1,模板计算相关数据!$O$35:$U$40,4,0)+AF42</f>
        <v>5000</v>
      </c>
      <c r="AQ42" s="3">
        <f>VLOOKUP(INT(VLOOKUP(U42,模板计算相关数据!A:N,2,0)/30)+1,模板计算相关数据!$O$35:$U$40,5,0)+AG42</f>
        <v>0</v>
      </c>
      <c r="AR42" s="3">
        <f>VLOOKUP(INT(VLOOKUP(U42,模板计算相关数据!A:N,2,0)/30)+1,模板计算相关数据!$O$35:$U$40,6,0)+AH42</f>
        <v>0</v>
      </c>
      <c r="AS42" s="3">
        <f>VLOOKUP(INT(VLOOKUP(U42,模板计算相关数据!A:N,2,0)/30)+1,模板计算相关数据!$O$35:$U$40,7,0)+AI42</f>
        <v>0</v>
      </c>
      <c r="AT42" s="3">
        <f>VLOOKUP(INT(VLOOKUP(U42,模板计算相关数据!A:N,2,0)/30)+1,模板计算相关数据!$O$35:$V$40,8,0)</f>
        <v>0</v>
      </c>
      <c r="AU42" s="87" t="s">
        <v>989</v>
      </c>
    </row>
    <row r="43" spans="1:47" s="9" customFormat="1" x14ac:dyDescent="0.2">
      <c r="A43" s="3">
        <v>235</v>
      </c>
      <c r="B43" s="3"/>
      <c r="C43" s="69" t="s">
        <v>1352</v>
      </c>
      <c r="D43" s="69" t="s">
        <v>1353</v>
      </c>
      <c r="E43" s="2"/>
      <c r="F43" s="3">
        <v>1</v>
      </c>
      <c r="G43" s="3">
        <v>101</v>
      </c>
      <c r="H43" s="3">
        <v>1</v>
      </c>
      <c r="I43" s="3">
        <v>5</v>
      </c>
      <c r="J43" s="3">
        <v>6</v>
      </c>
      <c r="K43" s="3"/>
      <c r="L43" s="91" t="s">
        <v>1354</v>
      </c>
      <c r="M43" s="2"/>
      <c r="N43" s="2">
        <v>2</v>
      </c>
      <c r="O43" s="2"/>
      <c r="P43" s="3" t="s">
        <v>1615</v>
      </c>
      <c r="Q43" s="95">
        <f t="shared" si="0"/>
        <v>4.417254901960785</v>
      </c>
      <c r="R43" s="133">
        <f>IF(P43=模板计算相关数据!$AB$24,VLOOKUP(X43,模板计算相关数据!$P$47:$T$50,2,0),VLOOKUP(X43,模板计算相关数据!$P$4:$U$7,3,0))*VLOOKUP(Y43,模板计算相关数据!$P$22:$X$30,8,0)</f>
        <v>4.417254901960785</v>
      </c>
      <c r="S43" s="62">
        <f t="shared" si="1"/>
        <v>5.4285280003474252</v>
      </c>
      <c r="T43" s="133">
        <f>IF(P43=模板计算相关数据!$AB$24,VLOOKUP(X43,模板计算相关数据!$P$47:$T$50,5,0),VLOOKUP(X43,模板计算相关数据!$P$4:$U$7,6,0))*VLOOKUP(Y43,模板计算相关数据!$P$22:$X$30,9,0)</f>
        <v>5.4285280003474252</v>
      </c>
      <c r="U43" s="95">
        <v>2</v>
      </c>
      <c r="V43" s="95">
        <f t="shared" si="2"/>
        <v>1</v>
      </c>
      <c r="W43" s="29">
        <f>VLOOKUP(U43,模板计算相关数据!A:N,2,0)</f>
        <v>1</v>
      </c>
      <c r="X43" s="3" t="s">
        <v>151</v>
      </c>
      <c r="Y43" s="3" t="s">
        <v>152</v>
      </c>
      <c r="Z43" s="100">
        <v>10</v>
      </c>
      <c r="AA43" s="2">
        <v>0.5</v>
      </c>
      <c r="AB43" s="2">
        <v>1</v>
      </c>
      <c r="AC43" s="2">
        <v>1</v>
      </c>
      <c r="AD43" s="95">
        <v>0</v>
      </c>
      <c r="AE43" s="95">
        <v>0</v>
      </c>
      <c r="AF43" s="95">
        <v>0</v>
      </c>
      <c r="AG43" s="95">
        <v>0</v>
      </c>
      <c r="AH43" s="95">
        <v>0</v>
      </c>
      <c r="AI43" s="95">
        <v>0</v>
      </c>
      <c r="AJ43" s="3">
        <f>INT(VLOOKUP(U43,模板计算相关数据!A:N,4,0)*VLOOKUP(U43,模板计算相关数据!A:N,14,0)*(1+MAX(0,(VLOOKUP(U43,模板计算相关数据!A:N,7,0)-AQ43))*VLOOKUP(U43,模板计算相关数据!A:N,8,0))*(1-(AL43+AM43)*0.5/((AL43+AM43)*0.5+(VLOOKUP(U43,模板计算相关数据!A:N,2,0)+模板计算相关数据!$AC$27)*模板计算相关数据!$AC$28))*Q43*Z43)</f>
        <v>3747</v>
      </c>
      <c r="AK43" s="3">
        <f>INT(VLOOKUP(U43,模板计算相关数据!A:N,3,0)/模板计算相关数据!$W$35/(1+MAX(0,(AO43/10000-VLOOKUP(U43,模板计算相关数据!A:N,9,0)))*AP43/10000)/(1-VLOOKUP(U43,模板计算相关数据!A:N,5,0)/(VLOOKUP(U43,模板计算相关数据!A:N,5,0)+(VLOOKUP(U43,模板计算相关数据!A:N,2,0)+模板计算相关数据!$AC$27)*模板计算相关数据!$AC$28))/S43*AA43)</f>
        <v>51</v>
      </c>
      <c r="AL43" s="3">
        <f>INT(VLOOKUP(U43,模板计算相关数据!A:N,5,0)*VLOOKUP(X43,模板计算相关数据!$P$4:$T$7,4,0)*VLOOKUP(Y43,模板计算相关数据!$P$22:$U$30,4,0)*AB43)</f>
        <v>230</v>
      </c>
      <c r="AM43" s="3">
        <f>INT(VLOOKUP(U43,模板计算相关数据!A:N,6,0)*VLOOKUP(X43,模板计算相关数据!$P$4:$T$7,4,0)*VLOOKUP(Y43,模板计算相关数据!$P$22:$U$30,5,0)*AC43)</f>
        <v>136</v>
      </c>
      <c r="AN43" s="3">
        <f>VLOOKUP(U43,模板计算相关数据!A:N,10,0)*0.5*VLOOKUP(Y43,模板计算相关数据!$P$22:$U$30,6,0)+AD43</f>
        <v>250</v>
      </c>
      <c r="AO43" s="3">
        <f>VLOOKUP(INT(VLOOKUP(U43,模板计算相关数据!A:N,2,0)/30)+1,模板计算相关数据!$O$35:$U$40,3,0)+AE43</f>
        <v>0</v>
      </c>
      <c r="AP43" s="3">
        <f>VLOOKUP(INT(VLOOKUP(U43,模板计算相关数据!A:N,2,0)/30)+1,模板计算相关数据!$O$35:$U$40,4,0)+AF43</f>
        <v>5000</v>
      </c>
      <c r="AQ43" s="3">
        <f>VLOOKUP(INT(VLOOKUP(U43,模板计算相关数据!A:N,2,0)/30)+1,模板计算相关数据!$O$35:$U$40,5,0)+AG43</f>
        <v>0</v>
      </c>
      <c r="AR43" s="3">
        <f>VLOOKUP(INT(VLOOKUP(U43,模板计算相关数据!A:N,2,0)/30)+1,模板计算相关数据!$O$35:$U$40,6,0)+AH43</f>
        <v>0</v>
      </c>
      <c r="AS43" s="3">
        <f>VLOOKUP(INT(VLOOKUP(U43,模板计算相关数据!A:N,2,0)/30)+1,模板计算相关数据!$O$35:$U$40,7,0)+AI43</f>
        <v>0</v>
      </c>
      <c r="AT43" s="3">
        <f>VLOOKUP(INT(VLOOKUP(U43,模板计算相关数据!A:N,2,0)/30)+1,模板计算相关数据!$O$35:$V$40,8,0)</f>
        <v>0</v>
      </c>
      <c r="AU43" s="87"/>
    </row>
    <row r="44" spans="1:47" s="9" customFormat="1" x14ac:dyDescent="0.2">
      <c r="A44" s="3">
        <v>236</v>
      </c>
      <c r="B44" s="3"/>
      <c r="C44" s="69" t="s">
        <v>822</v>
      </c>
      <c r="D44" s="69" t="s">
        <v>1356</v>
      </c>
      <c r="E44" s="2"/>
      <c r="F44" s="3">
        <v>1</v>
      </c>
      <c r="G44" s="3">
        <v>101301</v>
      </c>
      <c r="H44" s="3">
        <v>1</v>
      </c>
      <c r="I44" s="3">
        <v>5</v>
      </c>
      <c r="J44" s="3">
        <v>6</v>
      </c>
      <c r="K44" s="3"/>
      <c r="L44" s="91" t="s">
        <v>1357</v>
      </c>
      <c r="M44" s="2"/>
      <c r="N44" s="2">
        <v>2</v>
      </c>
      <c r="O44" s="2"/>
      <c r="P44" s="3" t="s">
        <v>1615</v>
      </c>
      <c r="Q44" s="95">
        <f t="shared" si="0"/>
        <v>4.417254901960785</v>
      </c>
      <c r="R44" s="133">
        <f>IF(P44=模板计算相关数据!$AB$24,VLOOKUP(X44,模板计算相关数据!$P$47:$T$50,2,0),VLOOKUP(X44,模板计算相关数据!$P$4:$U$7,3,0))*VLOOKUP(Y44,模板计算相关数据!$P$22:$X$30,8,0)</f>
        <v>4.417254901960785</v>
      </c>
      <c r="S44" s="62">
        <f t="shared" si="1"/>
        <v>5.4285280003474252</v>
      </c>
      <c r="T44" s="133">
        <f>IF(P44=模板计算相关数据!$AB$24,VLOOKUP(X44,模板计算相关数据!$P$47:$T$50,5,0),VLOOKUP(X44,模板计算相关数据!$P$4:$U$7,6,0))*VLOOKUP(Y44,模板计算相关数据!$P$22:$X$30,9,0)</f>
        <v>5.4285280003474252</v>
      </c>
      <c r="U44" s="95">
        <v>2</v>
      </c>
      <c r="V44" s="95">
        <f t="shared" si="2"/>
        <v>1</v>
      </c>
      <c r="W44" s="29">
        <f>VLOOKUP(U44,模板计算相关数据!A:N,2,0)</f>
        <v>1</v>
      </c>
      <c r="X44" s="3" t="s">
        <v>151</v>
      </c>
      <c r="Y44" s="3" t="s">
        <v>152</v>
      </c>
      <c r="Z44" s="100">
        <v>10</v>
      </c>
      <c r="AA44" s="2">
        <v>0.5</v>
      </c>
      <c r="AB44" s="2">
        <v>1</v>
      </c>
      <c r="AC44" s="2">
        <v>1</v>
      </c>
      <c r="AD44" s="95">
        <v>0</v>
      </c>
      <c r="AE44" s="95">
        <v>0</v>
      </c>
      <c r="AF44" s="95">
        <v>0</v>
      </c>
      <c r="AG44" s="95">
        <v>0</v>
      </c>
      <c r="AH44" s="95">
        <v>0</v>
      </c>
      <c r="AI44" s="95">
        <v>0</v>
      </c>
      <c r="AJ44" s="3">
        <f>INT(VLOOKUP(U44,模板计算相关数据!A:N,4,0)*VLOOKUP(U44,模板计算相关数据!A:N,14,0)*(1+MAX(0,(VLOOKUP(U44,模板计算相关数据!A:N,7,0)-AQ44))*VLOOKUP(U44,模板计算相关数据!A:N,8,0))*(1-(AL44+AM44)*0.5/((AL44+AM44)*0.5+(VLOOKUP(U44,模板计算相关数据!A:N,2,0)+模板计算相关数据!$AC$27)*模板计算相关数据!$AC$28))*Q44*Z44)</f>
        <v>3747</v>
      </c>
      <c r="AK44" s="3">
        <f>INT(VLOOKUP(U44,模板计算相关数据!A:N,3,0)/模板计算相关数据!$W$35/(1+MAX(0,(AO44/10000-VLOOKUP(U44,模板计算相关数据!A:N,9,0)))*AP44/10000)/(1-VLOOKUP(U44,模板计算相关数据!A:N,5,0)/(VLOOKUP(U44,模板计算相关数据!A:N,5,0)+(VLOOKUP(U44,模板计算相关数据!A:N,2,0)+模板计算相关数据!$AC$27)*模板计算相关数据!$AC$28))/S44*AA44)</f>
        <v>51</v>
      </c>
      <c r="AL44" s="3">
        <f>INT(VLOOKUP(U44,模板计算相关数据!A:N,5,0)*VLOOKUP(X44,模板计算相关数据!$P$4:$T$7,4,0)*VLOOKUP(Y44,模板计算相关数据!$P$22:$U$30,4,0)*AB44)</f>
        <v>230</v>
      </c>
      <c r="AM44" s="3">
        <f>INT(VLOOKUP(U44,模板计算相关数据!A:N,6,0)*VLOOKUP(X44,模板计算相关数据!$P$4:$T$7,4,0)*VLOOKUP(Y44,模板计算相关数据!$P$22:$U$30,5,0)*AC44)</f>
        <v>136</v>
      </c>
      <c r="AN44" s="3">
        <f>VLOOKUP(U44,模板计算相关数据!A:N,10,0)*0.5*VLOOKUP(Y44,模板计算相关数据!$P$22:$U$30,6,0)+AD44</f>
        <v>250</v>
      </c>
      <c r="AO44" s="3">
        <f>VLOOKUP(INT(VLOOKUP(U44,模板计算相关数据!A:N,2,0)/30)+1,模板计算相关数据!$O$35:$U$40,3,0)+AE44</f>
        <v>0</v>
      </c>
      <c r="AP44" s="3">
        <f>VLOOKUP(INT(VLOOKUP(U44,模板计算相关数据!A:N,2,0)/30)+1,模板计算相关数据!$O$35:$U$40,4,0)+AF44</f>
        <v>5000</v>
      </c>
      <c r="AQ44" s="3">
        <f>VLOOKUP(INT(VLOOKUP(U44,模板计算相关数据!A:N,2,0)/30)+1,模板计算相关数据!$O$35:$U$40,5,0)+AG44</f>
        <v>0</v>
      </c>
      <c r="AR44" s="3">
        <f>VLOOKUP(INT(VLOOKUP(U44,模板计算相关数据!A:N,2,0)/30)+1,模板计算相关数据!$O$35:$U$40,6,0)+AH44</f>
        <v>0</v>
      </c>
      <c r="AS44" s="3">
        <f>VLOOKUP(INT(VLOOKUP(U44,模板计算相关数据!A:N,2,0)/30)+1,模板计算相关数据!$O$35:$U$40,7,0)+AI44</f>
        <v>0</v>
      </c>
      <c r="AT44" s="3">
        <f>VLOOKUP(INT(VLOOKUP(U44,模板计算相关数据!A:N,2,0)/30)+1,模板计算相关数据!$O$35:$V$40,8,0)</f>
        <v>0</v>
      </c>
      <c r="AU44" s="87"/>
    </row>
    <row r="45" spans="1:47" s="9" customFormat="1" x14ac:dyDescent="0.2">
      <c r="A45" s="3">
        <v>237</v>
      </c>
      <c r="B45" s="3"/>
      <c r="C45" s="69" t="s">
        <v>1426</v>
      </c>
      <c r="D45" s="69" t="s">
        <v>1356</v>
      </c>
      <c r="E45" s="2"/>
      <c r="F45" s="3">
        <v>1</v>
      </c>
      <c r="G45" s="3">
        <v>101801</v>
      </c>
      <c r="H45" s="3">
        <v>1</v>
      </c>
      <c r="I45" s="3">
        <v>5</v>
      </c>
      <c r="J45" s="3">
        <v>6</v>
      </c>
      <c r="K45" s="3"/>
      <c r="L45" s="91" t="s">
        <v>858</v>
      </c>
      <c r="M45" s="2"/>
      <c r="N45" s="2">
        <v>2</v>
      </c>
      <c r="O45" s="2"/>
      <c r="P45" s="3" t="s">
        <v>1615</v>
      </c>
      <c r="Q45" s="95">
        <f t="shared" si="0"/>
        <v>6.9411764705882364</v>
      </c>
      <c r="R45" s="133">
        <f>IF(P45=模板计算相关数据!$AB$24,VLOOKUP(X45,模板计算相关数据!$P$47:$T$50,2,0),VLOOKUP(X45,模板计算相关数据!$P$4:$U$7,3,0))*VLOOKUP(Y45,模板计算相关数据!$P$22:$X$30,8,0)</f>
        <v>6.9411764705882364</v>
      </c>
      <c r="S45" s="62">
        <f t="shared" si="1"/>
        <v>8.2943498888557112</v>
      </c>
      <c r="T45" s="133">
        <f>IF(P45=模板计算相关数据!$AB$24,VLOOKUP(X45,模板计算相关数据!$P$47:$T$50,5,0),VLOOKUP(X45,模板计算相关数据!$P$4:$U$7,6,0))*VLOOKUP(Y45,模板计算相关数据!$P$22:$X$30,9,0)</f>
        <v>8.2943498888557112</v>
      </c>
      <c r="U45" s="95">
        <v>2</v>
      </c>
      <c r="V45" s="95">
        <f t="shared" si="2"/>
        <v>1</v>
      </c>
      <c r="W45" s="29">
        <f>VLOOKUP(U45,模板计算相关数据!A:N,2,0)</f>
        <v>1</v>
      </c>
      <c r="X45" s="3" t="s">
        <v>151</v>
      </c>
      <c r="Y45" s="3" t="s">
        <v>155</v>
      </c>
      <c r="Z45" s="100">
        <v>10</v>
      </c>
      <c r="AA45" s="2">
        <v>0.5</v>
      </c>
      <c r="AB45" s="2">
        <v>1</v>
      </c>
      <c r="AC45" s="2">
        <v>1</v>
      </c>
      <c r="AD45" s="95">
        <v>0</v>
      </c>
      <c r="AE45" s="95">
        <v>0</v>
      </c>
      <c r="AF45" s="95">
        <v>0</v>
      </c>
      <c r="AG45" s="95">
        <v>0</v>
      </c>
      <c r="AH45" s="95">
        <v>0</v>
      </c>
      <c r="AI45" s="95">
        <v>0</v>
      </c>
      <c r="AJ45" s="3">
        <f>INT(VLOOKUP(U45,模板计算相关数据!A:N,4,0)*VLOOKUP(U45,模板计算相关数据!A:N,14,0)*(1+MAX(0,(VLOOKUP(U45,模板计算相关数据!A:N,7,0)-AQ45))*VLOOKUP(U45,模板计算相关数据!A:N,8,0))*(1-(AL45+AM45)*0.5/((AL45+AM45)*0.5+(VLOOKUP(U45,模板计算相关数据!A:N,2,0)+模板计算相关数据!$AC$27)*模板计算相关数据!$AC$28))*Q45*Z45)</f>
        <v>5617</v>
      </c>
      <c r="AK45" s="3">
        <f>INT(VLOOKUP(U45,模板计算相关数据!A:N,3,0)/模板计算相关数据!$W$35/(1+MAX(0,(AO45/10000-VLOOKUP(U45,模板计算相关数据!A:N,9,0)))*AP45/10000)/(1-VLOOKUP(U45,模板计算相关数据!A:N,5,0)/(VLOOKUP(U45,模板计算相关数据!A:N,5,0)+(VLOOKUP(U45,模板计算相关数据!A:N,2,0)+模板计算相关数据!$AC$27)*模板计算相关数据!$AC$28))/S45*AA45)</f>
        <v>33</v>
      </c>
      <c r="AL45" s="3">
        <f>INT(VLOOKUP(U45,模板计算相关数据!A:N,5,0)*VLOOKUP(X45,模板计算相关数据!$P$4:$T$7,4,0)*VLOOKUP(Y45,模板计算相关数据!$P$22:$U$30,4,0)*AB45)</f>
        <v>277</v>
      </c>
      <c r="AM45" s="3">
        <f>INT(VLOOKUP(U45,模板计算相关数据!A:N,6,0)*VLOOKUP(X45,模板计算相关数据!$P$4:$T$7,4,0)*VLOOKUP(Y45,模板计算相关数据!$P$22:$U$30,5,0)*AC45)</f>
        <v>153</v>
      </c>
      <c r="AN45" s="3">
        <f>VLOOKUP(U45,模板计算相关数据!A:N,10,0)*0.5*VLOOKUP(Y45,模板计算相关数据!$P$22:$U$30,6,0)+AD45</f>
        <v>225</v>
      </c>
      <c r="AO45" s="3">
        <f>VLOOKUP(INT(VLOOKUP(U45,模板计算相关数据!A:N,2,0)/30)+1,模板计算相关数据!$O$35:$U$40,3,0)+AE45</f>
        <v>0</v>
      </c>
      <c r="AP45" s="3">
        <f>VLOOKUP(INT(VLOOKUP(U45,模板计算相关数据!A:N,2,0)/30)+1,模板计算相关数据!$O$35:$U$40,4,0)+AF45</f>
        <v>5000</v>
      </c>
      <c r="AQ45" s="3">
        <f>VLOOKUP(INT(VLOOKUP(U45,模板计算相关数据!A:N,2,0)/30)+1,模板计算相关数据!$O$35:$U$40,5,0)+AG45</f>
        <v>0</v>
      </c>
      <c r="AR45" s="3">
        <f>VLOOKUP(INT(VLOOKUP(U45,模板计算相关数据!A:N,2,0)/30)+1,模板计算相关数据!$O$35:$U$40,6,0)+AH45</f>
        <v>0</v>
      </c>
      <c r="AS45" s="3">
        <f>VLOOKUP(INT(VLOOKUP(U45,模板计算相关数据!A:N,2,0)/30)+1,模板计算相关数据!$O$35:$U$40,7,0)+AI45</f>
        <v>0</v>
      </c>
      <c r="AT45" s="3">
        <f>VLOOKUP(INT(VLOOKUP(U45,模板计算相关数据!A:N,2,0)/30)+1,模板计算相关数据!$O$35:$V$40,8,0)</f>
        <v>0</v>
      </c>
      <c r="AU45" s="87"/>
    </row>
    <row r="46" spans="1:47" s="9" customFormat="1" x14ac:dyDescent="0.2">
      <c r="A46" s="3">
        <v>238</v>
      </c>
      <c r="B46" s="3"/>
      <c r="C46" s="69" t="s">
        <v>1376</v>
      </c>
      <c r="D46" s="69" t="s">
        <v>1356</v>
      </c>
      <c r="E46" s="2"/>
      <c r="F46" s="3">
        <v>1</v>
      </c>
      <c r="G46" s="3">
        <v>1001301</v>
      </c>
      <c r="H46" s="3">
        <v>1</v>
      </c>
      <c r="I46" s="3">
        <v>5</v>
      </c>
      <c r="J46" s="3">
        <v>6</v>
      </c>
      <c r="K46" s="3"/>
      <c r="L46" s="91" t="s">
        <v>947</v>
      </c>
      <c r="M46" s="2"/>
      <c r="N46" s="2">
        <v>2</v>
      </c>
      <c r="O46" s="2"/>
      <c r="P46" s="3" t="s">
        <v>1615</v>
      </c>
      <c r="Q46" s="95">
        <f t="shared" si="0"/>
        <v>6.9411764705882364</v>
      </c>
      <c r="R46" s="133">
        <f>IF(P46=模板计算相关数据!$AB$24,VLOOKUP(X46,模板计算相关数据!$P$47:$T$50,2,0),VLOOKUP(X46,模板计算相关数据!$P$4:$U$7,3,0))*VLOOKUP(Y46,模板计算相关数据!$P$22:$X$30,8,0)</f>
        <v>6.9411764705882364</v>
      </c>
      <c r="S46" s="62">
        <f t="shared" si="1"/>
        <v>8.2943498888557112</v>
      </c>
      <c r="T46" s="133">
        <f>IF(P46=模板计算相关数据!$AB$24,VLOOKUP(X46,模板计算相关数据!$P$47:$T$50,5,0),VLOOKUP(X46,模板计算相关数据!$P$4:$U$7,6,0))*VLOOKUP(Y46,模板计算相关数据!$P$22:$X$30,9,0)</f>
        <v>8.2943498888557112</v>
      </c>
      <c r="U46" s="95">
        <v>2</v>
      </c>
      <c r="V46" s="95">
        <f t="shared" si="2"/>
        <v>1</v>
      </c>
      <c r="W46" s="29">
        <f>VLOOKUP(U46,模板计算相关数据!A:N,2,0)</f>
        <v>1</v>
      </c>
      <c r="X46" s="3" t="s">
        <v>151</v>
      </c>
      <c r="Y46" s="3" t="s">
        <v>155</v>
      </c>
      <c r="Z46" s="100">
        <v>10</v>
      </c>
      <c r="AA46" s="2">
        <v>0.5</v>
      </c>
      <c r="AB46" s="2">
        <v>1</v>
      </c>
      <c r="AC46" s="2">
        <v>1</v>
      </c>
      <c r="AD46" s="95">
        <v>0</v>
      </c>
      <c r="AE46" s="95">
        <v>0</v>
      </c>
      <c r="AF46" s="95">
        <v>0</v>
      </c>
      <c r="AG46" s="95">
        <v>0</v>
      </c>
      <c r="AH46" s="95">
        <v>0</v>
      </c>
      <c r="AI46" s="95">
        <v>0</v>
      </c>
      <c r="AJ46" s="3">
        <f>INT(VLOOKUP(U46,模板计算相关数据!A:N,4,0)*VLOOKUP(U46,模板计算相关数据!A:N,14,0)*(1+MAX(0,(VLOOKUP(U46,模板计算相关数据!A:N,7,0)-AQ46))*VLOOKUP(U46,模板计算相关数据!A:N,8,0))*(1-(AL46+AM46)*0.5/((AL46+AM46)*0.5+(VLOOKUP(U46,模板计算相关数据!A:N,2,0)+模板计算相关数据!$AC$27)*模板计算相关数据!$AC$28))*Q46*Z46)</f>
        <v>5617</v>
      </c>
      <c r="AK46" s="3">
        <f>INT(VLOOKUP(U46,模板计算相关数据!A:N,3,0)/模板计算相关数据!$W$35/(1+MAX(0,(AO46/10000-VLOOKUP(U46,模板计算相关数据!A:N,9,0)))*AP46/10000)/(1-VLOOKUP(U46,模板计算相关数据!A:N,5,0)/(VLOOKUP(U46,模板计算相关数据!A:N,5,0)+(VLOOKUP(U46,模板计算相关数据!A:N,2,0)+模板计算相关数据!$AC$27)*模板计算相关数据!$AC$28))/S46*AA46)</f>
        <v>33</v>
      </c>
      <c r="AL46" s="3">
        <f>INT(VLOOKUP(U46,模板计算相关数据!A:N,5,0)*VLOOKUP(X46,模板计算相关数据!$P$4:$T$7,4,0)*VLOOKUP(Y46,模板计算相关数据!$P$22:$U$30,4,0)*AB46)</f>
        <v>277</v>
      </c>
      <c r="AM46" s="3">
        <f>INT(VLOOKUP(U46,模板计算相关数据!A:N,6,0)*VLOOKUP(X46,模板计算相关数据!$P$4:$T$7,4,0)*VLOOKUP(Y46,模板计算相关数据!$P$22:$U$30,5,0)*AC46)</f>
        <v>153</v>
      </c>
      <c r="AN46" s="3">
        <f>VLOOKUP(U46,模板计算相关数据!A:N,10,0)*0.5*VLOOKUP(Y46,模板计算相关数据!$P$22:$U$30,6,0)+AD46</f>
        <v>225</v>
      </c>
      <c r="AO46" s="3">
        <f>VLOOKUP(INT(VLOOKUP(U46,模板计算相关数据!A:N,2,0)/30)+1,模板计算相关数据!$O$35:$U$40,3,0)+AE46</f>
        <v>0</v>
      </c>
      <c r="AP46" s="3">
        <f>VLOOKUP(INT(VLOOKUP(U46,模板计算相关数据!A:N,2,0)/30)+1,模板计算相关数据!$O$35:$U$40,4,0)+AF46</f>
        <v>5000</v>
      </c>
      <c r="AQ46" s="3">
        <f>VLOOKUP(INT(VLOOKUP(U46,模板计算相关数据!A:N,2,0)/30)+1,模板计算相关数据!$O$35:$U$40,5,0)+AG46</f>
        <v>0</v>
      </c>
      <c r="AR46" s="3">
        <f>VLOOKUP(INT(VLOOKUP(U46,模板计算相关数据!A:N,2,0)/30)+1,模板计算相关数据!$O$35:$U$40,6,0)+AH46</f>
        <v>0</v>
      </c>
      <c r="AS46" s="3">
        <f>VLOOKUP(INT(VLOOKUP(U46,模板计算相关数据!A:N,2,0)/30)+1,模板计算相关数据!$O$35:$U$40,7,0)+AI46</f>
        <v>0</v>
      </c>
      <c r="AT46" s="3">
        <f>VLOOKUP(INT(VLOOKUP(U46,模板计算相关数据!A:N,2,0)/30)+1,模板计算相关数据!$O$35:$V$40,8,0)</f>
        <v>0</v>
      </c>
      <c r="AU46" s="87"/>
    </row>
    <row r="47" spans="1:47" s="9" customFormat="1" x14ac:dyDescent="0.2">
      <c r="A47" s="3">
        <v>239</v>
      </c>
      <c r="B47" s="3"/>
      <c r="C47" s="69" t="s">
        <v>1427</v>
      </c>
      <c r="D47" s="69" t="s">
        <v>1356</v>
      </c>
      <c r="E47" s="2"/>
      <c r="F47" s="3">
        <v>1</v>
      </c>
      <c r="G47" s="3">
        <v>1001701</v>
      </c>
      <c r="H47" s="3">
        <v>6</v>
      </c>
      <c r="I47" s="3">
        <v>5</v>
      </c>
      <c r="J47" s="3">
        <v>6</v>
      </c>
      <c r="K47" s="3"/>
      <c r="L47" s="91" t="s">
        <v>950</v>
      </c>
      <c r="M47" s="2"/>
      <c r="N47" s="2">
        <v>2</v>
      </c>
      <c r="O47" s="2"/>
      <c r="P47" s="3" t="s">
        <v>1615</v>
      </c>
      <c r="Q47" s="95">
        <f t="shared" si="0"/>
        <v>6.9411764705882364</v>
      </c>
      <c r="R47" s="133">
        <f>IF(P47=模板计算相关数据!$AB$24,VLOOKUP(X47,模板计算相关数据!$P$47:$T$50,2,0),VLOOKUP(X47,模板计算相关数据!$P$4:$U$7,3,0))*VLOOKUP(Y47,模板计算相关数据!$P$22:$X$30,8,0)</f>
        <v>6.9411764705882364</v>
      </c>
      <c r="S47" s="62">
        <f t="shared" si="1"/>
        <v>8.2943498888557112</v>
      </c>
      <c r="T47" s="133">
        <f>IF(P47=模板计算相关数据!$AB$24,VLOOKUP(X47,模板计算相关数据!$P$47:$T$50,5,0),VLOOKUP(X47,模板计算相关数据!$P$4:$U$7,6,0))*VLOOKUP(Y47,模板计算相关数据!$P$22:$X$30,9,0)</f>
        <v>8.2943498888557112</v>
      </c>
      <c r="U47" s="95">
        <v>2</v>
      </c>
      <c r="V47" s="95">
        <f t="shared" si="2"/>
        <v>1</v>
      </c>
      <c r="W47" s="29">
        <f>VLOOKUP(U47,模板计算相关数据!A:N,2,0)</f>
        <v>1</v>
      </c>
      <c r="X47" s="3" t="s">
        <v>151</v>
      </c>
      <c r="Y47" s="3" t="s">
        <v>155</v>
      </c>
      <c r="Z47" s="100">
        <v>10</v>
      </c>
      <c r="AA47" s="2">
        <v>0.5</v>
      </c>
      <c r="AB47" s="2">
        <v>1</v>
      </c>
      <c r="AC47" s="2">
        <v>1</v>
      </c>
      <c r="AD47" s="95">
        <v>0</v>
      </c>
      <c r="AE47" s="95">
        <v>0</v>
      </c>
      <c r="AF47" s="95">
        <v>0</v>
      </c>
      <c r="AG47" s="95">
        <v>0</v>
      </c>
      <c r="AH47" s="95">
        <v>0</v>
      </c>
      <c r="AI47" s="95">
        <v>0</v>
      </c>
      <c r="AJ47" s="3">
        <f>INT(VLOOKUP(U47,模板计算相关数据!A:N,4,0)*VLOOKUP(U47,模板计算相关数据!A:N,14,0)*(1+MAX(0,(VLOOKUP(U47,模板计算相关数据!A:N,7,0)-AQ47))*VLOOKUP(U47,模板计算相关数据!A:N,8,0))*(1-(AL47+AM47)*0.5/((AL47+AM47)*0.5+(VLOOKUP(U47,模板计算相关数据!A:N,2,0)+模板计算相关数据!$AC$27)*模板计算相关数据!$AC$28))*Q47*Z47)</f>
        <v>5617</v>
      </c>
      <c r="AK47" s="3">
        <f>INT(VLOOKUP(U47,模板计算相关数据!A:N,3,0)/模板计算相关数据!$W$35/(1+MAX(0,(AO47/10000-VLOOKUP(U47,模板计算相关数据!A:N,9,0)))*AP47/10000)/(1-VLOOKUP(U47,模板计算相关数据!A:N,5,0)/(VLOOKUP(U47,模板计算相关数据!A:N,5,0)+(VLOOKUP(U47,模板计算相关数据!A:N,2,0)+模板计算相关数据!$AC$27)*模板计算相关数据!$AC$28))/S47*AA47)</f>
        <v>33</v>
      </c>
      <c r="AL47" s="3">
        <f>INT(VLOOKUP(U47,模板计算相关数据!A:N,5,0)*VLOOKUP(X47,模板计算相关数据!$P$4:$T$7,4,0)*VLOOKUP(Y47,模板计算相关数据!$P$22:$U$30,4,0)*AB47)</f>
        <v>277</v>
      </c>
      <c r="AM47" s="3">
        <f>INT(VLOOKUP(U47,模板计算相关数据!A:N,6,0)*VLOOKUP(X47,模板计算相关数据!$P$4:$T$7,4,0)*VLOOKUP(Y47,模板计算相关数据!$P$22:$U$30,5,0)*AC47)</f>
        <v>153</v>
      </c>
      <c r="AN47" s="3">
        <f>VLOOKUP(U47,模板计算相关数据!A:N,10,0)*0.5*VLOOKUP(Y47,模板计算相关数据!$P$22:$U$30,6,0)+AD47</f>
        <v>225</v>
      </c>
      <c r="AO47" s="3">
        <f>VLOOKUP(INT(VLOOKUP(U47,模板计算相关数据!A:N,2,0)/30)+1,模板计算相关数据!$O$35:$U$40,3,0)+AE47</f>
        <v>0</v>
      </c>
      <c r="AP47" s="3">
        <f>VLOOKUP(INT(VLOOKUP(U47,模板计算相关数据!A:N,2,0)/30)+1,模板计算相关数据!$O$35:$U$40,4,0)+AF47</f>
        <v>5000</v>
      </c>
      <c r="AQ47" s="3">
        <f>VLOOKUP(INT(VLOOKUP(U47,模板计算相关数据!A:N,2,0)/30)+1,模板计算相关数据!$O$35:$U$40,5,0)+AG47</f>
        <v>0</v>
      </c>
      <c r="AR47" s="3">
        <f>VLOOKUP(INT(VLOOKUP(U47,模板计算相关数据!A:N,2,0)/30)+1,模板计算相关数据!$O$35:$U$40,6,0)+AH47</f>
        <v>0</v>
      </c>
      <c r="AS47" s="3">
        <f>VLOOKUP(INT(VLOOKUP(U47,模板计算相关数据!A:N,2,0)/30)+1,模板计算相关数据!$O$35:$U$40,7,0)+AI47</f>
        <v>0</v>
      </c>
      <c r="AT47" s="3">
        <f>VLOOKUP(INT(VLOOKUP(U47,模板计算相关数据!A:N,2,0)/30)+1,模板计算相关数据!$O$35:$V$40,8,0)</f>
        <v>0</v>
      </c>
      <c r="AU47" s="87"/>
    </row>
    <row r="48" spans="1:47" s="9" customFormat="1" x14ac:dyDescent="0.2">
      <c r="A48" s="3">
        <v>240</v>
      </c>
      <c r="B48" s="3"/>
      <c r="C48" s="69" t="s">
        <v>1746</v>
      </c>
      <c r="D48" s="69" t="s">
        <v>1356</v>
      </c>
      <c r="E48" s="2"/>
      <c r="F48" s="3">
        <v>1</v>
      </c>
      <c r="G48" s="3">
        <v>1001401</v>
      </c>
      <c r="H48" s="3">
        <v>4</v>
      </c>
      <c r="I48" s="3">
        <v>5</v>
      </c>
      <c r="J48" s="3">
        <v>6</v>
      </c>
      <c r="K48" s="3"/>
      <c r="L48" s="91" t="s">
        <v>948</v>
      </c>
      <c r="M48" s="2"/>
      <c r="N48" s="2">
        <v>2</v>
      </c>
      <c r="O48" s="2"/>
      <c r="P48" s="3" t="s">
        <v>1615</v>
      </c>
      <c r="Q48" s="95">
        <f t="shared" si="0"/>
        <v>6.9411764705882364</v>
      </c>
      <c r="R48" s="133">
        <f>IF(P48=模板计算相关数据!$AB$24,VLOOKUP(X48,模板计算相关数据!$P$47:$T$50,2,0),VLOOKUP(X48,模板计算相关数据!$P$4:$U$7,3,0))*VLOOKUP(Y48,模板计算相关数据!$P$22:$X$30,8,0)</f>
        <v>6.9411764705882364</v>
      </c>
      <c r="S48" s="62">
        <f t="shared" si="1"/>
        <v>8.2943498888557112</v>
      </c>
      <c r="T48" s="133">
        <f>IF(P48=模板计算相关数据!$AB$24,VLOOKUP(X48,模板计算相关数据!$P$47:$T$50,5,0),VLOOKUP(X48,模板计算相关数据!$P$4:$U$7,6,0))*VLOOKUP(Y48,模板计算相关数据!$P$22:$X$30,9,0)</f>
        <v>8.2943498888557112</v>
      </c>
      <c r="U48" s="95">
        <v>2</v>
      </c>
      <c r="V48" s="95">
        <f t="shared" si="2"/>
        <v>1</v>
      </c>
      <c r="W48" s="29">
        <f>VLOOKUP(U48,模板计算相关数据!A:N,2,0)</f>
        <v>1</v>
      </c>
      <c r="X48" s="3" t="s">
        <v>151</v>
      </c>
      <c r="Y48" s="3" t="s">
        <v>155</v>
      </c>
      <c r="Z48" s="100">
        <v>10</v>
      </c>
      <c r="AA48" s="2">
        <v>0.5</v>
      </c>
      <c r="AB48" s="2">
        <v>1</v>
      </c>
      <c r="AC48" s="2">
        <v>1</v>
      </c>
      <c r="AD48" s="95">
        <v>0</v>
      </c>
      <c r="AE48" s="95">
        <v>0</v>
      </c>
      <c r="AF48" s="95">
        <v>0</v>
      </c>
      <c r="AG48" s="95">
        <v>0</v>
      </c>
      <c r="AH48" s="95">
        <v>0</v>
      </c>
      <c r="AI48" s="95">
        <v>0</v>
      </c>
      <c r="AJ48" s="3">
        <f>INT(VLOOKUP(U48,模板计算相关数据!A:N,4,0)*VLOOKUP(U48,模板计算相关数据!A:N,14,0)*(1+MAX(0,(VLOOKUP(U48,模板计算相关数据!A:N,7,0)-AQ48))*VLOOKUP(U48,模板计算相关数据!A:N,8,0))*(1-(AL48+AM48)*0.5/((AL48+AM48)*0.5+(VLOOKUP(U48,模板计算相关数据!A:N,2,0)+模板计算相关数据!$AC$27)*模板计算相关数据!$AC$28))*Q48*Z48)</f>
        <v>5617</v>
      </c>
      <c r="AK48" s="3">
        <f>INT(VLOOKUP(U48,模板计算相关数据!A:N,3,0)/模板计算相关数据!$W$35/(1+MAX(0,(AO48/10000-VLOOKUP(U48,模板计算相关数据!A:N,9,0)))*AP48/10000)/(1-VLOOKUP(U48,模板计算相关数据!A:N,5,0)/(VLOOKUP(U48,模板计算相关数据!A:N,5,0)+(VLOOKUP(U48,模板计算相关数据!A:N,2,0)+模板计算相关数据!$AC$27)*模板计算相关数据!$AC$28))/S48*AA48)</f>
        <v>33</v>
      </c>
      <c r="AL48" s="3">
        <f>INT(VLOOKUP(U48,模板计算相关数据!A:N,5,0)*VLOOKUP(X48,模板计算相关数据!$P$4:$T$7,4,0)*VLOOKUP(Y48,模板计算相关数据!$P$22:$U$30,4,0)*AB48)</f>
        <v>277</v>
      </c>
      <c r="AM48" s="3">
        <f>INT(VLOOKUP(U48,模板计算相关数据!A:N,6,0)*VLOOKUP(X48,模板计算相关数据!$P$4:$T$7,4,0)*VLOOKUP(Y48,模板计算相关数据!$P$22:$U$30,5,0)*AC48)</f>
        <v>153</v>
      </c>
      <c r="AN48" s="3">
        <f>VLOOKUP(U48,模板计算相关数据!A:N,10,0)*0.5*VLOOKUP(Y48,模板计算相关数据!$P$22:$U$30,6,0)+AD48</f>
        <v>225</v>
      </c>
      <c r="AO48" s="3">
        <f>VLOOKUP(INT(VLOOKUP(U48,模板计算相关数据!A:N,2,0)/30)+1,模板计算相关数据!$O$35:$U$40,3,0)+AE48</f>
        <v>0</v>
      </c>
      <c r="AP48" s="3">
        <f>VLOOKUP(INT(VLOOKUP(U48,模板计算相关数据!A:N,2,0)/30)+1,模板计算相关数据!$O$35:$U$40,4,0)+AF48</f>
        <v>5000</v>
      </c>
      <c r="AQ48" s="3">
        <f>VLOOKUP(INT(VLOOKUP(U48,模板计算相关数据!A:N,2,0)/30)+1,模板计算相关数据!$O$35:$U$40,5,0)+AG48</f>
        <v>0</v>
      </c>
      <c r="AR48" s="3">
        <f>VLOOKUP(INT(VLOOKUP(U48,模板计算相关数据!A:N,2,0)/30)+1,模板计算相关数据!$O$35:$U$40,6,0)+AH48</f>
        <v>0</v>
      </c>
      <c r="AS48" s="3">
        <f>VLOOKUP(INT(VLOOKUP(U48,模板计算相关数据!A:N,2,0)/30)+1,模板计算相关数据!$O$35:$U$40,7,0)+AI48</f>
        <v>0</v>
      </c>
      <c r="AT48" s="3">
        <f>VLOOKUP(INT(VLOOKUP(U48,模板计算相关数据!A:N,2,0)/30)+1,模板计算相关数据!$O$35:$V$40,8,0)</f>
        <v>0</v>
      </c>
      <c r="AU48" s="87"/>
    </row>
    <row r="49" spans="1:47" s="9" customFormat="1" x14ac:dyDescent="0.2">
      <c r="A49" s="3">
        <v>241</v>
      </c>
      <c r="B49" s="3"/>
      <c r="C49" s="69" t="s">
        <v>1378</v>
      </c>
      <c r="D49" s="69" t="s">
        <v>1356</v>
      </c>
      <c r="E49" s="2"/>
      <c r="F49" s="3">
        <v>1</v>
      </c>
      <c r="G49" s="3">
        <v>1001501</v>
      </c>
      <c r="H49" s="3">
        <v>2</v>
      </c>
      <c r="I49" s="3">
        <v>5</v>
      </c>
      <c r="J49" s="3">
        <v>6</v>
      </c>
      <c r="K49" s="3"/>
      <c r="L49" s="91" t="s">
        <v>1894</v>
      </c>
      <c r="M49" s="2"/>
      <c r="N49" s="2">
        <v>2</v>
      </c>
      <c r="O49" s="2"/>
      <c r="P49" s="3" t="s">
        <v>1615</v>
      </c>
      <c r="Q49" s="95">
        <f t="shared" si="0"/>
        <v>6.9411764705882364</v>
      </c>
      <c r="R49" s="133">
        <f>IF(P49=模板计算相关数据!$AB$24,VLOOKUP(X49,模板计算相关数据!$P$47:$T$50,2,0),VLOOKUP(X49,模板计算相关数据!$P$4:$U$7,3,0))*VLOOKUP(Y49,模板计算相关数据!$P$22:$X$30,8,0)</f>
        <v>6.9411764705882364</v>
      </c>
      <c r="S49" s="62">
        <f t="shared" si="1"/>
        <v>8.2943498888557112</v>
      </c>
      <c r="T49" s="133">
        <f>IF(P49=模板计算相关数据!$AB$24,VLOOKUP(X49,模板计算相关数据!$P$47:$T$50,5,0),VLOOKUP(X49,模板计算相关数据!$P$4:$U$7,6,0))*VLOOKUP(Y49,模板计算相关数据!$P$22:$X$30,9,0)</f>
        <v>8.2943498888557112</v>
      </c>
      <c r="U49" s="95">
        <v>2</v>
      </c>
      <c r="V49" s="95">
        <f t="shared" si="2"/>
        <v>1</v>
      </c>
      <c r="W49" s="29">
        <f>VLOOKUP(U49,模板计算相关数据!A:N,2,0)</f>
        <v>1</v>
      </c>
      <c r="X49" s="3" t="s">
        <v>151</v>
      </c>
      <c r="Y49" s="3" t="s">
        <v>155</v>
      </c>
      <c r="Z49" s="100">
        <v>10</v>
      </c>
      <c r="AA49" s="2">
        <v>0.5</v>
      </c>
      <c r="AB49" s="2">
        <v>1</v>
      </c>
      <c r="AC49" s="2">
        <v>1</v>
      </c>
      <c r="AD49" s="95">
        <v>0</v>
      </c>
      <c r="AE49" s="95">
        <v>0</v>
      </c>
      <c r="AF49" s="95">
        <v>0</v>
      </c>
      <c r="AG49" s="95">
        <v>0</v>
      </c>
      <c r="AH49" s="95">
        <v>0</v>
      </c>
      <c r="AI49" s="95">
        <v>0</v>
      </c>
      <c r="AJ49" s="3">
        <f>INT(VLOOKUP(U49,模板计算相关数据!A:N,4,0)*VLOOKUP(U49,模板计算相关数据!A:N,14,0)*(1+MAX(0,(VLOOKUP(U49,模板计算相关数据!A:N,7,0)-AQ49))*VLOOKUP(U49,模板计算相关数据!A:N,8,0))*(1-(AL49+AM49)*0.5/((AL49+AM49)*0.5+(VLOOKUP(U49,模板计算相关数据!A:N,2,0)+模板计算相关数据!$AC$27)*模板计算相关数据!$AC$28))*Q49*Z49)</f>
        <v>5617</v>
      </c>
      <c r="AK49" s="3">
        <f>INT(VLOOKUP(U49,模板计算相关数据!A:N,3,0)/模板计算相关数据!$W$35/(1+MAX(0,(AO49/10000-VLOOKUP(U49,模板计算相关数据!A:N,9,0)))*AP49/10000)/(1-VLOOKUP(U49,模板计算相关数据!A:N,5,0)/(VLOOKUP(U49,模板计算相关数据!A:N,5,0)+(VLOOKUP(U49,模板计算相关数据!A:N,2,0)+模板计算相关数据!$AC$27)*模板计算相关数据!$AC$28))/S49*AA49)</f>
        <v>33</v>
      </c>
      <c r="AL49" s="3">
        <f>INT(VLOOKUP(U49,模板计算相关数据!A:N,5,0)*VLOOKUP(X49,模板计算相关数据!$P$4:$T$7,4,0)*VLOOKUP(Y49,模板计算相关数据!$P$22:$U$30,4,0)*AB49)</f>
        <v>277</v>
      </c>
      <c r="AM49" s="3">
        <f>INT(VLOOKUP(U49,模板计算相关数据!A:N,6,0)*VLOOKUP(X49,模板计算相关数据!$P$4:$T$7,4,0)*VLOOKUP(Y49,模板计算相关数据!$P$22:$U$30,5,0)*AC49)</f>
        <v>153</v>
      </c>
      <c r="AN49" s="3">
        <f>VLOOKUP(U49,模板计算相关数据!A:N,10,0)*0.5*VLOOKUP(Y49,模板计算相关数据!$P$22:$U$30,6,0)+AD49</f>
        <v>225</v>
      </c>
      <c r="AO49" s="3">
        <f>VLOOKUP(INT(VLOOKUP(U49,模板计算相关数据!A:N,2,0)/30)+1,模板计算相关数据!$O$35:$U$40,3,0)+AE49</f>
        <v>0</v>
      </c>
      <c r="AP49" s="3">
        <f>VLOOKUP(INT(VLOOKUP(U49,模板计算相关数据!A:N,2,0)/30)+1,模板计算相关数据!$O$35:$U$40,4,0)+AF49</f>
        <v>5000</v>
      </c>
      <c r="AQ49" s="3">
        <f>VLOOKUP(INT(VLOOKUP(U49,模板计算相关数据!A:N,2,0)/30)+1,模板计算相关数据!$O$35:$U$40,5,0)+AG49</f>
        <v>0</v>
      </c>
      <c r="AR49" s="3">
        <f>VLOOKUP(INT(VLOOKUP(U49,模板计算相关数据!A:N,2,0)/30)+1,模板计算相关数据!$O$35:$U$40,6,0)+AH49</f>
        <v>0</v>
      </c>
      <c r="AS49" s="3">
        <f>VLOOKUP(INT(VLOOKUP(U49,模板计算相关数据!A:N,2,0)/30)+1,模板计算相关数据!$O$35:$U$40,7,0)+AI49</f>
        <v>0</v>
      </c>
      <c r="AT49" s="3">
        <f>VLOOKUP(INT(VLOOKUP(U49,模板计算相关数据!A:N,2,0)/30)+1,模板计算相关数据!$O$35:$V$40,8,0)</f>
        <v>0</v>
      </c>
      <c r="AU49" s="87"/>
    </row>
    <row r="50" spans="1:47" s="9" customFormat="1" x14ac:dyDescent="0.2">
      <c r="A50" s="3">
        <v>242</v>
      </c>
      <c r="B50" s="3"/>
      <c r="C50" s="69" t="s">
        <v>945</v>
      </c>
      <c r="D50" s="69" t="s">
        <v>1356</v>
      </c>
      <c r="E50" s="2"/>
      <c r="F50" s="3">
        <v>1</v>
      </c>
      <c r="G50" s="3">
        <v>103101</v>
      </c>
      <c r="H50" s="3">
        <v>2</v>
      </c>
      <c r="I50" s="3">
        <v>5</v>
      </c>
      <c r="J50" s="3">
        <v>6</v>
      </c>
      <c r="K50" s="3"/>
      <c r="L50" s="92" t="s">
        <v>885</v>
      </c>
      <c r="M50" s="2"/>
      <c r="N50" s="2">
        <v>2</v>
      </c>
      <c r="O50" s="2"/>
      <c r="P50" s="3" t="s">
        <v>1615</v>
      </c>
      <c r="Q50" s="95">
        <f t="shared" si="0"/>
        <v>4.4674509803921572</v>
      </c>
      <c r="R50" s="133">
        <f>IF(P50=模板计算相关数据!$AB$24,VLOOKUP(X50,模板计算相关数据!$P$47:$T$50,2,0),VLOOKUP(X50,模板计算相关数据!$P$4:$U$7,3,0))*VLOOKUP(Y50,模板计算相关数据!$P$22:$X$30,8,0)</f>
        <v>4.4674509803921572</v>
      </c>
      <c r="S50" s="62">
        <f t="shared" si="1"/>
        <v>5.4739930589768004</v>
      </c>
      <c r="T50" s="133">
        <f>IF(P50=模板计算相关数据!$AB$24,VLOOKUP(X50,模板计算相关数据!$P$47:$T$50,5,0),VLOOKUP(X50,模板计算相关数据!$P$4:$U$7,6,0))*VLOOKUP(Y50,模板计算相关数据!$P$22:$X$30,9,0)</f>
        <v>5.4739930589768004</v>
      </c>
      <c r="U50" s="95">
        <v>2</v>
      </c>
      <c r="V50" s="95">
        <f t="shared" si="2"/>
        <v>1</v>
      </c>
      <c r="W50" s="29">
        <f>VLOOKUP(U50,模板计算相关数据!A:N,2,0)</f>
        <v>1</v>
      </c>
      <c r="X50" s="3" t="s">
        <v>151</v>
      </c>
      <c r="Y50" s="3" t="s">
        <v>162</v>
      </c>
      <c r="Z50" s="100">
        <v>10</v>
      </c>
      <c r="AA50" s="2">
        <v>0.5</v>
      </c>
      <c r="AB50" s="2">
        <v>1</v>
      </c>
      <c r="AC50" s="2">
        <v>1</v>
      </c>
      <c r="AD50" s="95">
        <v>0</v>
      </c>
      <c r="AE50" s="95">
        <v>0</v>
      </c>
      <c r="AF50" s="95">
        <v>0</v>
      </c>
      <c r="AG50" s="95">
        <v>0</v>
      </c>
      <c r="AH50" s="95">
        <v>0</v>
      </c>
      <c r="AI50" s="95">
        <v>0</v>
      </c>
      <c r="AJ50" s="3">
        <f>INT(VLOOKUP(U50,模板计算相关数据!A:N,4,0)*VLOOKUP(U50,模板计算相关数据!A:N,14,0)*(1+MAX(0,(VLOOKUP(U50,模板计算相关数据!A:N,7,0)-AQ50))*VLOOKUP(U50,模板计算相关数据!A:N,8,0))*(1-(AL50+AM50)*0.5/((AL50+AM50)*0.5+(VLOOKUP(U50,模板计算相关数据!A:N,2,0)+模板计算相关数据!$AC$27)*模板计算相关数据!$AC$28))*Q50*Z50)</f>
        <v>3789</v>
      </c>
      <c r="AK50" s="3">
        <f>INT(VLOOKUP(U50,模板计算相关数据!A:N,3,0)/模板计算相关数据!$W$35/(1+MAX(0,(AO50/10000-VLOOKUP(U50,模板计算相关数据!A:N,9,0)))*AP50/10000)/(1-VLOOKUP(U50,模板计算相关数据!A:N,5,0)/(VLOOKUP(U50,模板计算相关数据!A:N,5,0)+(VLOOKUP(U50,模板计算相关数据!A:N,2,0)+模板计算相关数据!$AC$27)*模板计算相关数据!$AC$28))/S50*AA50)</f>
        <v>50</v>
      </c>
      <c r="AL50" s="3">
        <f>INT(VLOOKUP(U50,模板计算相关数据!A:N,5,0)*VLOOKUP(X50,模板计算相关数据!$P$4:$T$7,4,0)*VLOOKUP(Y50,模板计算相关数据!$P$22:$U$30,4,0)*AB50)</f>
        <v>136</v>
      </c>
      <c r="AM50" s="3">
        <f>INT(VLOOKUP(U50,模板计算相关数据!A:N,6,0)*VLOOKUP(X50,模板计算相关数据!$P$4:$T$7,4,0)*VLOOKUP(Y50,模板计算相关数据!$P$22:$U$30,5,0)*AC50)</f>
        <v>230</v>
      </c>
      <c r="AN50" s="3">
        <f>VLOOKUP(U50,模板计算相关数据!A:N,10,0)*0.5*VLOOKUP(Y50,模板计算相关数据!$P$22:$U$30,6,0)+AD50</f>
        <v>250</v>
      </c>
      <c r="AO50" s="3">
        <f>VLOOKUP(INT(VLOOKUP(U50,模板计算相关数据!A:N,2,0)/30)+1,模板计算相关数据!$O$35:$U$40,3,0)+AE50</f>
        <v>0</v>
      </c>
      <c r="AP50" s="3">
        <f>VLOOKUP(INT(VLOOKUP(U50,模板计算相关数据!A:N,2,0)/30)+1,模板计算相关数据!$O$35:$U$40,4,0)+AF50</f>
        <v>5000</v>
      </c>
      <c r="AQ50" s="3">
        <f>VLOOKUP(INT(VLOOKUP(U50,模板计算相关数据!A:N,2,0)/30)+1,模板计算相关数据!$O$35:$U$40,5,0)+AG50</f>
        <v>0</v>
      </c>
      <c r="AR50" s="3">
        <f>VLOOKUP(INT(VLOOKUP(U50,模板计算相关数据!A:N,2,0)/30)+1,模板计算相关数据!$O$35:$U$40,6,0)+AH50</f>
        <v>0</v>
      </c>
      <c r="AS50" s="3">
        <f>VLOOKUP(INT(VLOOKUP(U50,模板计算相关数据!A:N,2,0)/30)+1,模板计算相关数据!$O$35:$U$40,7,0)+AI50</f>
        <v>0</v>
      </c>
      <c r="AT50" s="3">
        <f>VLOOKUP(INT(VLOOKUP(U50,模板计算相关数据!A:N,2,0)/30)+1,模板计算相关数据!$O$35:$V$40,8,0)</f>
        <v>0</v>
      </c>
      <c r="AU50" s="87"/>
    </row>
    <row r="51" spans="1:47" s="9" customFormat="1" x14ac:dyDescent="0.2">
      <c r="A51" s="3">
        <v>243</v>
      </c>
      <c r="B51" s="3"/>
      <c r="C51" s="69" t="s">
        <v>774</v>
      </c>
      <c r="D51" s="69" t="s">
        <v>1356</v>
      </c>
      <c r="E51" s="2"/>
      <c r="F51" s="3">
        <v>1</v>
      </c>
      <c r="G51" s="3">
        <v>101201</v>
      </c>
      <c r="H51" s="3">
        <v>2</v>
      </c>
      <c r="I51" s="3">
        <v>5</v>
      </c>
      <c r="J51" s="3">
        <v>6</v>
      </c>
      <c r="K51" s="3"/>
      <c r="L51" s="92" t="s">
        <v>864</v>
      </c>
      <c r="M51" s="2"/>
      <c r="N51" s="2">
        <v>2</v>
      </c>
      <c r="O51" s="2"/>
      <c r="P51" s="3" t="s">
        <v>1615</v>
      </c>
      <c r="Q51" s="95">
        <f t="shared" si="0"/>
        <v>4.4674509803921572</v>
      </c>
      <c r="R51" s="133">
        <f>IF(P51=模板计算相关数据!$AB$24,VLOOKUP(X51,模板计算相关数据!$P$47:$T$50,2,0),VLOOKUP(X51,模板计算相关数据!$P$4:$U$7,3,0))*VLOOKUP(Y51,模板计算相关数据!$P$22:$X$30,8,0)</f>
        <v>4.4674509803921572</v>
      </c>
      <c r="S51" s="62">
        <f t="shared" si="1"/>
        <v>5.4739930589768004</v>
      </c>
      <c r="T51" s="133">
        <f>IF(P51=模板计算相关数据!$AB$24,VLOOKUP(X51,模板计算相关数据!$P$47:$T$50,5,0),VLOOKUP(X51,模板计算相关数据!$P$4:$U$7,6,0))*VLOOKUP(Y51,模板计算相关数据!$P$22:$X$30,9,0)</f>
        <v>5.4739930589768004</v>
      </c>
      <c r="U51" s="95">
        <v>2</v>
      </c>
      <c r="V51" s="95">
        <f t="shared" si="2"/>
        <v>1</v>
      </c>
      <c r="W51" s="29">
        <f>VLOOKUP(U51,模板计算相关数据!A:N,2,0)</f>
        <v>1</v>
      </c>
      <c r="X51" s="3" t="s">
        <v>151</v>
      </c>
      <c r="Y51" s="3" t="s">
        <v>162</v>
      </c>
      <c r="Z51" s="100">
        <v>10</v>
      </c>
      <c r="AA51" s="2">
        <v>0.5</v>
      </c>
      <c r="AB51" s="2">
        <v>1</v>
      </c>
      <c r="AC51" s="2">
        <v>1</v>
      </c>
      <c r="AD51" s="95">
        <v>0</v>
      </c>
      <c r="AE51" s="95">
        <v>0</v>
      </c>
      <c r="AF51" s="95">
        <v>0</v>
      </c>
      <c r="AG51" s="95">
        <v>0</v>
      </c>
      <c r="AH51" s="95">
        <v>0</v>
      </c>
      <c r="AI51" s="95">
        <v>0</v>
      </c>
      <c r="AJ51" s="3">
        <f>INT(VLOOKUP(U51,模板计算相关数据!A:N,4,0)*VLOOKUP(U51,模板计算相关数据!A:N,14,0)*(1+MAX(0,(VLOOKUP(U51,模板计算相关数据!A:N,7,0)-AQ51))*VLOOKUP(U51,模板计算相关数据!A:N,8,0))*(1-(AL51+AM51)*0.5/((AL51+AM51)*0.5+(VLOOKUP(U51,模板计算相关数据!A:N,2,0)+模板计算相关数据!$AC$27)*模板计算相关数据!$AC$28))*Q51*Z51)</f>
        <v>3789</v>
      </c>
      <c r="AK51" s="3">
        <f>INT(VLOOKUP(U51,模板计算相关数据!A:N,3,0)/模板计算相关数据!$W$35/(1+MAX(0,(AO51/10000-VLOOKUP(U51,模板计算相关数据!A:N,9,0)))*AP51/10000)/(1-VLOOKUP(U51,模板计算相关数据!A:N,5,0)/(VLOOKUP(U51,模板计算相关数据!A:N,5,0)+(VLOOKUP(U51,模板计算相关数据!A:N,2,0)+模板计算相关数据!$AC$27)*模板计算相关数据!$AC$28))/S51*AA51)</f>
        <v>50</v>
      </c>
      <c r="AL51" s="3">
        <f>INT(VLOOKUP(U51,模板计算相关数据!A:N,5,0)*VLOOKUP(X51,模板计算相关数据!$P$4:$T$7,4,0)*VLOOKUP(Y51,模板计算相关数据!$P$22:$U$30,4,0)*AB51)</f>
        <v>136</v>
      </c>
      <c r="AM51" s="3">
        <f>INT(VLOOKUP(U51,模板计算相关数据!A:N,6,0)*VLOOKUP(X51,模板计算相关数据!$P$4:$T$7,4,0)*VLOOKUP(Y51,模板计算相关数据!$P$22:$U$30,5,0)*AC51)</f>
        <v>230</v>
      </c>
      <c r="AN51" s="3">
        <f>VLOOKUP(U51,模板计算相关数据!A:N,10,0)*0.5*VLOOKUP(Y51,模板计算相关数据!$P$22:$U$30,6,0)+AD51</f>
        <v>250</v>
      </c>
      <c r="AO51" s="3">
        <f>VLOOKUP(INT(VLOOKUP(U51,模板计算相关数据!A:N,2,0)/30)+1,模板计算相关数据!$O$35:$U$40,3,0)+AE51</f>
        <v>0</v>
      </c>
      <c r="AP51" s="3">
        <f>VLOOKUP(INT(VLOOKUP(U51,模板计算相关数据!A:N,2,0)/30)+1,模板计算相关数据!$O$35:$U$40,4,0)+AF51</f>
        <v>5000</v>
      </c>
      <c r="AQ51" s="3">
        <f>VLOOKUP(INT(VLOOKUP(U51,模板计算相关数据!A:N,2,0)/30)+1,模板计算相关数据!$O$35:$U$40,5,0)+AG51</f>
        <v>0</v>
      </c>
      <c r="AR51" s="3">
        <f>VLOOKUP(INT(VLOOKUP(U51,模板计算相关数据!A:N,2,0)/30)+1,模板计算相关数据!$O$35:$U$40,6,0)+AH51</f>
        <v>0</v>
      </c>
      <c r="AS51" s="3">
        <f>VLOOKUP(INT(VLOOKUP(U51,模板计算相关数据!A:N,2,0)/30)+1,模板计算相关数据!$O$35:$U$40,7,0)+AI51</f>
        <v>0</v>
      </c>
      <c r="AT51" s="3">
        <f>VLOOKUP(INT(VLOOKUP(U51,模板计算相关数据!A:N,2,0)/30)+1,模板计算相关数据!$O$35:$V$40,8,0)</f>
        <v>0</v>
      </c>
      <c r="AU51" s="87"/>
    </row>
    <row r="52" spans="1:47" s="9" customFormat="1" x14ac:dyDescent="0.2">
      <c r="A52" s="3">
        <v>244</v>
      </c>
      <c r="B52" s="3"/>
      <c r="C52" s="69" t="s">
        <v>1380</v>
      </c>
      <c r="D52" s="69" t="s">
        <v>1356</v>
      </c>
      <c r="E52" s="2"/>
      <c r="F52" s="3">
        <v>1</v>
      </c>
      <c r="G52" s="3">
        <v>1002101</v>
      </c>
      <c r="H52" s="3">
        <v>2</v>
      </c>
      <c r="I52" s="3">
        <v>5</v>
      </c>
      <c r="J52" s="3">
        <v>6</v>
      </c>
      <c r="K52" s="3"/>
      <c r="L52" s="91" t="s">
        <v>953</v>
      </c>
      <c r="M52" s="2"/>
      <c r="N52" s="2">
        <v>2</v>
      </c>
      <c r="O52" s="2"/>
      <c r="P52" s="3" t="s">
        <v>1615</v>
      </c>
      <c r="Q52" s="95">
        <f t="shared" si="0"/>
        <v>4.4674509803921572</v>
      </c>
      <c r="R52" s="133">
        <f>IF(P52=模板计算相关数据!$AB$24,VLOOKUP(X52,模板计算相关数据!$P$47:$T$50,2,0),VLOOKUP(X52,模板计算相关数据!$P$4:$U$7,3,0))*VLOOKUP(Y52,模板计算相关数据!$P$22:$X$30,8,0)</f>
        <v>4.4674509803921572</v>
      </c>
      <c r="S52" s="62">
        <f t="shared" si="1"/>
        <v>5.4739930589768004</v>
      </c>
      <c r="T52" s="133">
        <f>IF(P52=模板计算相关数据!$AB$24,VLOOKUP(X52,模板计算相关数据!$P$47:$T$50,5,0),VLOOKUP(X52,模板计算相关数据!$P$4:$U$7,6,0))*VLOOKUP(Y52,模板计算相关数据!$P$22:$X$30,9,0)</f>
        <v>5.4739930589768004</v>
      </c>
      <c r="U52" s="95">
        <v>2</v>
      </c>
      <c r="V52" s="95">
        <f t="shared" si="2"/>
        <v>1</v>
      </c>
      <c r="W52" s="29">
        <f>VLOOKUP(U52,模板计算相关数据!A:N,2,0)</f>
        <v>1</v>
      </c>
      <c r="X52" s="3" t="s">
        <v>151</v>
      </c>
      <c r="Y52" s="3" t="s">
        <v>162</v>
      </c>
      <c r="Z52" s="100">
        <v>10</v>
      </c>
      <c r="AA52" s="2">
        <v>0.5</v>
      </c>
      <c r="AB52" s="2">
        <v>1</v>
      </c>
      <c r="AC52" s="2">
        <v>1</v>
      </c>
      <c r="AD52" s="95">
        <v>0</v>
      </c>
      <c r="AE52" s="95">
        <v>0</v>
      </c>
      <c r="AF52" s="95">
        <v>0</v>
      </c>
      <c r="AG52" s="95">
        <v>0</v>
      </c>
      <c r="AH52" s="95">
        <v>0</v>
      </c>
      <c r="AI52" s="95">
        <v>0</v>
      </c>
      <c r="AJ52" s="3">
        <f>INT(VLOOKUP(U52,模板计算相关数据!A:N,4,0)*VLOOKUP(U52,模板计算相关数据!A:N,14,0)*(1+MAX(0,(VLOOKUP(U52,模板计算相关数据!A:N,7,0)-AQ52))*VLOOKUP(U52,模板计算相关数据!A:N,8,0))*(1-(AL52+AM52)*0.5/((AL52+AM52)*0.5+(VLOOKUP(U52,模板计算相关数据!A:N,2,0)+模板计算相关数据!$AC$27)*模板计算相关数据!$AC$28))*Q52*Z52)</f>
        <v>3789</v>
      </c>
      <c r="AK52" s="3">
        <f>INT(VLOOKUP(U52,模板计算相关数据!A:N,3,0)/模板计算相关数据!$W$35/(1+MAX(0,(AO52/10000-VLOOKUP(U52,模板计算相关数据!A:N,9,0)))*AP52/10000)/(1-VLOOKUP(U52,模板计算相关数据!A:N,5,0)/(VLOOKUP(U52,模板计算相关数据!A:N,5,0)+(VLOOKUP(U52,模板计算相关数据!A:N,2,0)+模板计算相关数据!$AC$27)*模板计算相关数据!$AC$28))/S52*AA52)</f>
        <v>50</v>
      </c>
      <c r="AL52" s="3">
        <f>INT(VLOOKUP(U52,模板计算相关数据!A:N,5,0)*VLOOKUP(X52,模板计算相关数据!$P$4:$T$7,4,0)*VLOOKUP(Y52,模板计算相关数据!$P$22:$U$30,4,0)*AB52)</f>
        <v>136</v>
      </c>
      <c r="AM52" s="3">
        <f>INT(VLOOKUP(U52,模板计算相关数据!A:N,6,0)*VLOOKUP(X52,模板计算相关数据!$P$4:$T$7,4,0)*VLOOKUP(Y52,模板计算相关数据!$P$22:$U$30,5,0)*AC52)</f>
        <v>230</v>
      </c>
      <c r="AN52" s="3">
        <f>VLOOKUP(U52,模板计算相关数据!A:N,10,0)*0.5*VLOOKUP(Y52,模板计算相关数据!$P$22:$U$30,6,0)+AD52</f>
        <v>250</v>
      </c>
      <c r="AO52" s="3">
        <f>VLOOKUP(INT(VLOOKUP(U52,模板计算相关数据!A:N,2,0)/30)+1,模板计算相关数据!$O$35:$U$40,3,0)+AE52</f>
        <v>0</v>
      </c>
      <c r="AP52" s="3">
        <f>VLOOKUP(INT(VLOOKUP(U52,模板计算相关数据!A:N,2,0)/30)+1,模板计算相关数据!$O$35:$U$40,4,0)+AF52</f>
        <v>5000</v>
      </c>
      <c r="AQ52" s="3">
        <f>VLOOKUP(INT(VLOOKUP(U52,模板计算相关数据!A:N,2,0)/30)+1,模板计算相关数据!$O$35:$U$40,5,0)+AG52</f>
        <v>0</v>
      </c>
      <c r="AR52" s="3">
        <f>VLOOKUP(INT(VLOOKUP(U52,模板计算相关数据!A:N,2,0)/30)+1,模板计算相关数据!$O$35:$U$40,6,0)+AH52</f>
        <v>0</v>
      </c>
      <c r="AS52" s="3">
        <f>VLOOKUP(INT(VLOOKUP(U52,模板计算相关数据!A:N,2,0)/30)+1,模板计算相关数据!$O$35:$U$40,7,0)+AI52</f>
        <v>0</v>
      </c>
      <c r="AT52" s="3">
        <f>VLOOKUP(INT(VLOOKUP(U52,模板计算相关数据!A:N,2,0)/30)+1,模板计算相关数据!$O$35:$V$40,8,0)</f>
        <v>0</v>
      </c>
      <c r="AU52" s="87"/>
    </row>
    <row r="53" spans="1:47" s="9" customFormat="1" x14ac:dyDescent="0.2">
      <c r="A53" s="3">
        <v>245</v>
      </c>
      <c r="B53" s="3"/>
      <c r="C53" s="69" t="s">
        <v>1375</v>
      </c>
      <c r="D53" s="69" t="s">
        <v>1356</v>
      </c>
      <c r="E53" s="2"/>
      <c r="F53" s="3">
        <v>1</v>
      </c>
      <c r="G53" s="3">
        <v>1002201</v>
      </c>
      <c r="H53" s="3">
        <v>2</v>
      </c>
      <c r="I53" s="3">
        <v>5</v>
      </c>
      <c r="J53" s="3">
        <v>6</v>
      </c>
      <c r="K53" s="3"/>
      <c r="L53" s="91" t="s">
        <v>954</v>
      </c>
      <c r="M53" s="2"/>
      <c r="N53" s="2">
        <v>2</v>
      </c>
      <c r="O53" s="2"/>
      <c r="P53" s="3" t="s">
        <v>1615</v>
      </c>
      <c r="Q53" s="95">
        <f t="shared" si="0"/>
        <v>4.4674509803921572</v>
      </c>
      <c r="R53" s="133">
        <f>IF(P53=模板计算相关数据!$AB$24,VLOOKUP(X53,模板计算相关数据!$P$47:$T$50,2,0),VLOOKUP(X53,模板计算相关数据!$P$4:$U$7,3,0))*VLOOKUP(Y53,模板计算相关数据!$P$22:$X$30,8,0)</f>
        <v>4.4674509803921572</v>
      </c>
      <c r="S53" s="62">
        <f t="shared" si="1"/>
        <v>5.4739930589768004</v>
      </c>
      <c r="T53" s="133">
        <f>IF(P53=模板计算相关数据!$AB$24,VLOOKUP(X53,模板计算相关数据!$P$47:$T$50,5,0),VLOOKUP(X53,模板计算相关数据!$P$4:$U$7,6,0))*VLOOKUP(Y53,模板计算相关数据!$P$22:$X$30,9,0)</f>
        <v>5.4739930589768004</v>
      </c>
      <c r="U53" s="95">
        <v>2</v>
      </c>
      <c r="V53" s="95">
        <f t="shared" si="2"/>
        <v>1</v>
      </c>
      <c r="W53" s="29">
        <f>VLOOKUP(U53,模板计算相关数据!A:N,2,0)</f>
        <v>1</v>
      </c>
      <c r="X53" s="3" t="s">
        <v>151</v>
      </c>
      <c r="Y53" s="3" t="s">
        <v>162</v>
      </c>
      <c r="Z53" s="100">
        <v>10</v>
      </c>
      <c r="AA53" s="2">
        <v>0.5</v>
      </c>
      <c r="AB53" s="2">
        <v>1</v>
      </c>
      <c r="AC53" s="2">
        <v>1</v>
      </c>
      <c r="AD53" s="95">
        <v>0</v>
      </c>
      <c r="AE53" s="95">
        <v>0</v>
      </c>
      <c r="AF53" s="95">
        <v>0</v>
      </c>
      <c r="AG53" s="95">
        <v>0</v>
      </c>
      <c r="AH53" s="95">
        <v>0</v>
      </c>
      <c r="AI53" s="95">
        <v>0</v>
      </c>
      <c r="AJ53" s="3">
        <f>INT(VLOOKUP(U53,模板计算相关数据!A:N,4,0)*VLOOKUP(U53,模板计算相关数据!A:N,14,0)*(1+MAX(0,(VLOOKUP(U53,模板计算相关数据!A:N,7,0)-AQ53))*VLOOKUP(U53,模板计算相关数据!A:N,8,0))*(1-(AL53+AM53)*0.5/((AL53+AM53)*0.5+(VLOOKUP(U53,模板计算相关数据!A:N,2,0)+模板计算相关数据!$AC$27)*模板计算相关数据!$AC$28))*Q53*Z53)</f>
        <v>3789</v>
      </c>
      <c r="AK53" s="3">
        <f>INT(VLOOKUP(U53,模板计算相关数据!A:N,3,0)/模板计算相关数据!$W$35/(1+MAX(0,(AO53/10000-VLOOKUP(U53,模板计算相关数据!A:N,9,0)))*AP53/10000)/(1-VLOOKUP(U53,模板计算相关数据!A:N,5,0)/(VLOOKUP(U53,模板计算相关数据!A:N,5,0)+(VLOOKUP(U53,模板计算相关数据!A:N,2,0)+模板计算相关数据!$AC$27)*模板计算相关数据!$AC$28))/S53*AA53)</f>
        <v>50</v>
      </c>
      <c r="AL53" s="3">
        <f>INT(VLOOKUP(U53,模板计算相关数据!A:N,5,0)*VLOOKUP(X53,模板计算相关数据!$P$4:$T$7,4,0)*VLOOKUP(Y53,模板计算相关数据!$P$22:$U$30,4,0)*AB53)</f>
        <v>136</v>
      </c>
      <c r="AM53" s="3">
        <f>INT(VLOOKUP(U53,模板计算相关数据!A:N,6,0)*VLOOKUP(X53,模板计算相关数据!$P$4:$T$7,4,0)*VLOOKUP(Y53,模板计算相关数据!$P$22:$U$30,5,0)*AC53)</f>
        <v>230</v>
      </c>
      <c r="AN53" s="3">
        <f>VLOOKUP(U53,模板计算相关数据!A:N,10,0)*0.5*VLOOKUP(Y53,模板计算相关数据!$P$22:$U$30,6,0)+AD53</f>
        <v>250</v>
      </c>
      <c r="AO53" s="3">
        <f>VLOOKUP(INT(VLOOKUP(U53,模板计算相关数据!A:N,2,0)/30)+1,模板计算相关数据!$O$35:$U$40,3,0)+AE53</f>
        <v>0</v>
      </c>
      <c r="AP53" s="3">
        <f>VLOOKUP(INT(VLOOKUP(U53,模板计算相关数据!A:N,2,0)/30)+1,模板计算相关数据!$O$35:$U$40,4,0)+AF53</f>
        <v>5000</v>
      </c>
      <c r="AQ53" s="3">
        <f>VLOOKUP(INT(VLOOKUP(U53,模板计算相关数据!A:N,2,0)/30)+1,模板计算相关数据!$O$35:$U$40,5,0)+AG53</f>
        <v>0</v>
      </c>
      <c r="AR53" s="3">
        <f>VLOOKUP(INT(VLOOKUP(U53,模板计算相关数据!A:N,2,0)/30)+1,模板计算相关数据!$O$35:$U$40,6,0)+AH53</f>
        <v>0</v>
      </c>
      <c r="AS53" s="3">
        <f>VLOOKUP(INT(VLOOKUP(U53,模板计算相关数据!A:N,2,0)/30)+1,模板计算相关数据!$O$35:$U$40,7,0)+AI53</f>
        <v>0</v>
      </c>
      <c r="AT53" s="3">
        <f>VLOOKUP(INT(VLOOKUP(U53,模板计算相关数据!A:N,2,0)/30)+1,模板计算相关数据!$O$35:$V$40,8,0)</f>
        <v>0</v>
      </c>
      <c r="AU53" s="87"/>
    </row>
    <row r="54" spans="1:47" s="9" customFormat="1" x14ac:dyDescent="0.2">
      <c r="A54" s="3">
        <v>246</v>
      </c>
      <c r="B54" s="3"/>
      <c r="C54" s="69" t="s">
        <v>1382</v>
      </c>
      <c r="D54" s="69" t="s">
        <v>1356</v>
      </c>
      <c r="E54" s="2"/>
      <c r="F54" s="3">
        <v>1</v>
      </c>
      <c r="G54" s="3">
        <v>1002301</v>
      </c>
      <c r="H54" s="3">
        <v>2</v>
      </c>
      <c r="I54" s="3">
        <v>5</v>
      </c>
      <c r="J54" s="3">
        <v>6</v>
      </c>
      <c r="K54" s="3"/>
      <c r="L54" s="91" t="s">
        <v>955</v>
      </c>
      <c r="M54" s="2"/>
      <c r="N54" s="2">
        <v>2</v>
      </c>
      <c r="O54" s="2"/>
      <c r="P54" s="3" t="s">
        <v>1615</v>
      </c>
      <c r="Q54" s="95">
        <f t="shared" si="0"/>
        <v>4.4674509803921572</v>
      </c>
      <c r="R54" s="133">
        <f>IF(P54=模板计算相关数据!$AB$24,VLOOKUP(X54,模板计算相关数据!$P$47:$T$50,2,0),VLOOKUP(X54,模板计算相关数据!$P$4:$U$7,3,0))*VLOOKUP(Y54,模板计算相关数据!$P$22:$X$30,8,0)</f>
        <v>4.4674509803921572</v>
      </c>
      <c r="S54" s="62">
        <f t="shared" si="1"/>
        <v>5.4739930589768004</v>
      </c>
      <c r="T54" s="133">
        <f>IF(P54=模板计算相关数据!$AB$24,VLOOKUP(X54,模板计算相关数据!$P$47:$T$50,5,0),VLOOKUP(X54,模板计算相关数据!$P$4:$U$7,6,0))*VLOOKUP(Y54,模板计算相关数据!$P$22:$X$30,9,0)</f>
        <v>5.4739930589768004</v>
      </c>
      <c r="U54" s="95">
        <v>2</v>
      </c>
      <c r="V54" s="95">
        <f t="shared" si="2"/>
        <v>1</v>
      </c>
      <c r="W54" s="29">
        <f>VLOOKUP(U54,模板计算相关数据!A:N,2,0)</f>
        <v>1</v>
      </c>
      <c r="X54" s="3" t="s">
        <v>151</v>
      </c>
      <c r="Y54" s="3" t="s">
        <v>162</v>
      </c>
      <c r="Z54" s="100">
        <v>10</v>
      </c>
      <c r="AA54" s="2">
        <v>0.5</v>
      </c>
      <c r="AB54" s="2">
        <v>1</v>
      </c>
      <c r="AC54" s="2">
        <v>1</v>
      </c>
      <c r="AD54" s="95">
        <v>0</v>
      </c>
      <c r="AE54" s="95">
        <v>0</v>
      </c>
      <c r="AF54" s="95">
        <v>0</v>
      </c>
      <c r="AG54" s="95">
        <v>0</v>
      </c>
      <c r="AH54" s="95">
        <v>0</v>
      </c>
      <c r="AI54" s="95">
        <v>0</v>
      </c>
      <c r="AJ54" s="3">
        <f>INT(VLOOKUP(U54,模板计算相关数据!A:N,4,0)*VLOOKUP(U54,模板计算相关数据!A:N,14,0)*(1+MAX(0,(VLOOKUP(U54,模板计算相关数据!A:N,7,0)-AQ54))*VLOOKUP(U54,模板计算相关数据!A:N,8,0))*(1-(AL54+AM54)*0.5/((AL54+AM54)*0.5+(VLOOKUP(U54,模板计算相关数据!A:N,2,0)+模板计算相关数据!$AC$27)*模板计算相关数据!$AC$28))*Q54*Z54)</f>
        <v>3789</v>
      </c>
      <c r="AK54" s="3">
        <f>INT(VLOOKUP(U54,模板计算相关数据!A:N,3,0)/模板计算相关数据!$W$35/(1+MAX(0,(AO54/10000-VLOOKUP(U54,模板计算相关数据!A:N,9,0)))*AP54/10000)/(1-VLOOKUP(U54,模板计算相关数据!A:N,5,0)/(VLOOKUP(U54,模板计算相关数据!A:N,5,0)+(VLOOKUP(U54,模板计算相关数据!A:N,2,0)+模板计算相关数据!$AC$27)*模板计算相关数据!$AC$28))/S54*AA54)</f>
        <v>50</v>
      </c>
      <c r="AL54" s="3">
        <f>INT(VLOOKUP(U54,模板计算相关数据!A:N,5,0)*VLOOKUP(X54,模板计算相关数据!$P$4:$T$7,4,0)*VLOOKUP(Y54,模板计算相关数据!$P$22:$U$30,4,0)*AB54)</f>
        <v>136</v>
      </c>
      <c r="AM54" s="3">
        <f>INT(VLOOKUP(U54,模板计算相关数据!A:N,6,0)*VLOOKUP(X54,模板计算相关数据!$P$4:$T$7,4,0)*VLOOKUP(Y54,模板计算相关数据!$P$22:$U$30,5,0)*AC54)</f>
        <v>230</v>
      </c>
      <c r="AN54" s="3">
        <f>VLOOKUP(U54,模板计算相关数据!A:N,10,0)*0.5*VLOOKUP(Y54,模板计算相关数据!$P$22:$U$30,6,0)+AD54</f>
        <v>250</v>
      </c>
      <c r="AO54" s="3">
        <f>VLOOKUP(INT(VLOOKUP(U54,模板计算相关数据!A:N,2,0)/30)+1,模板计算相关数据!$O$35:$U$40,3,0)+AE54</f>
        <v>0</v>
      </c>
      <c r="AP54" s="3">
        <f>VLOOKUP(INT(VLOOKUP(U54,模板计算相关数据!A:N,2,0)/30)+1,模板计算相关数据!$O$35:$U$40,4,0)+AF54</f>
        <v>5000</v>
      </c>
      <c r="AQ54" s="3">
        <f>VLOOKUP(INT(VLOOKUP(U54,模板计算相关数据!A:N,2,0)/30)+1,模板计算相关数据!$O$35:$U$40,5,0)+AG54</f>
        <v>0</v>
      </c>
      <c r="AR54" s="3">
        <f>VLOOKUP(INT(VLOOKUP(U54,模板计算相关数据!A:N,2,0)/30)+1,模板计算相关数据!$O$35:$U$40,6,0)+AH54</f>
        <v>0</v>
      </c>
      <c r="AS54" s="3">
        <f>VLOOKUP(INT(VLOOKUP(U54,模板计算相关数据!A:N,2,0)/30)+1,模板计算相关数据!$O$35:$U$40,7,0)+AI54</f>
        <v>0</v>
      </c>
      <c r="AT54" s="3">
        <f>VLOOKUP(INT(VLOOKUP(U54,模板计算相关数据!A:N,2,0)/30)+1,模板计算相关数据!$O$35:$V$40,8,0)</f>
        <v>0</v>
      </c>
      <c r="AU54" s="87"/>
    </row>
    <row r="55" spans="1:47" s="9" customFormat="1" x14ac:dyDescent="0.2">
      <c r="A55" s="3">
        <v>247</v>
      </c>
      <c r="B55" s="3"/>
      <c r="C55" s="69" t="s">
        <v>1599</v>
      </c>
      <c r="D55" s="69" t="s">
        <v>1356</v>
      </c>
      <c r="E55" s="2"/>
      <c r="F55" s="3">
        <v>1</v>
      </c>
      <c r="G55" s="3">
        <v>1002401</v>
      </c>
      <c r="H55" s="3">
        <v>2</v>
      </c>
      <c r="I55" s="3">
        <v>5</v>
      </c>
      <c r="J55" s="3">
        <v>6</v>
      </c>
      <c r="K55" s="3"/>
      <c r="L55" s="91" t="s">
        <v>1541</v>
      </c>
      <c r="M55" s="2"/>
      <c r="N55" s="2">
        <v>2</v>
      </c>
      <c r="O55" s="2"/>
      <c r="P55" s="3" t="s">
        <v>1615</v>
      </c>
      <c r="Q55" s="95">
        <f t="shared" si="0"/>
        <v>4.4674509803921572</v>
      </c>
      <c r="R55" s="133">
        <f>IF(P55=模板计算相关数据!$AB$24,VLOOKUP(X55,模板计算相关数据!$P$47:$T$50,2,0),VLOOKUP(X55,模板计算相关数据!$P$4:$U$7,3,0))*VLOOKUP(Y55,模板计算相关数据!$P$22:$X$30,8,0)</f>
        <v>4.4674509803921572</v>
      </c>
      <c r="S55" s="62">
        <f t="shared" si="1"/>
        <v>5.4739930589768004</v>
      </c>
      <c r="T55" s="133">
        <f>IF(P55=模板计算相关数据!$AB$24,VLOOKUP(X55,模板计算相关数据!$P$47:$T$50,5,0),VLOOKUP(X55,模板计算相关数据!$P$4:$U$7,6,0))*VLOOKUP(Y55,模板计算相关数据!$P$22:$X$30,9,0)</f>
        <v>5.4739930589768004</v>
      </c>
      <c r="U55" s="95">
        <v>2</v>
      </c>
      <c r="V55" s="95">
        <f t="shared" si="2"/>
        <v>1</v>
      </c>
      <c r="W55" s="29">
        <f>VLOOKUP(U55,模板计算相关数据!A:N,2,0)</f>
        <v>1</v>
      </c>
      <c r="X55" s="3" t="s">
        <v>151</v>
      </c>
      <c r="Y55" s="3" t="s">
        <v>162</v>
      </c>
      <c r="Z55" s="100">
        <v>10</v>
      </c>
      <c r="AA55" s="2">
        <v>0.5</v>
      </c>
      <c r="AB55" s="2">
        <v>1</v>
      </c>
      <c r="AC55" s="2">
        <v>1</v>
      </c>
      <c r="AD55" s="95">
        <v>0</v>
      </c>
      <c r="AE55" s="95">
        <v>0</v>
      </c>
      <c r="AF55" s="95">
        <v>0</v>
      </c>
      <c r="AG55" s="95">
        <v>0</v>
      </c>
      <c r="AH55" s="95">
        <v>0</v>
      </c>
      <c r="AI55" s="95">
        <v>0</v>
      </c>
      <c r="AJ55" s="3">
        <f>INT(VLOOKUP(U55,模板计算相关数据!A:N,4,0)*VLOOKUP(U55,模板计算相关数据!A:N,14,0)*(1+MAX(0,(VLOOKUP(U55,模板计算相关数据!A:N,7,0)-AQ55))*VLOOKUP(U55,模板计算相关数据!A:N,8,0))*(1-(AL55+AM55)*0.5/((AL55+AM55)*0.5+(VLOOKUP(U55,模板计算相关数据!A:N,2,0)+模板计算相关数据!$AC$27)*模板计算相关数据!$AC$28))*Q55*Z55)</f>
        <v>3789</v>
      </c>
      <c r="AK55" s="3">
        <f>INT(VLOOKUP(U55,模板计算相关数据!A:N,3,0)/模板计算相关数据!$W$35/(1+MAX(0,(AO55/10000-VLOOKUP(U55,模板计算相关数据!A:N,9,0)))*AP55/10000)/(1-VLOOKUP(U55,模板计算相关数据!A:N,5,0)/(VLOOKUP(U55,模板计算相关数据!A:N,5,0)+(VLOOKUP(U55,模板计算相关数据!A:N,2,0)+模板计算相关数据!$AC$27)*模板计算相关数据!$AC$28))/S55*AA55)</f>
        <v>50</v>
      </c>
      <c r="AL55" s="3">
        <f>INT(VLOOKUP(U55,模板计算相关数据!A:N,5,0)*VLOOKUP(X55,模板计算相关数据!$P$4:$T$7,4,0)*VLOOKUP(Y55,模板计算相关数据!$P$22:$U$30,4,0)*AB55)</f>
        <v>136</v>
      </c>
      <c r="AM55" s="3">
        <f>INT(VLOOKUP(U55,模板计算相关数据!A:N,6,0)*VLOOKUP(X55,模板计算相关数据!$P$4:$T$7,4,0)*VLOOKUP(Y55,模板计算相关数据!$P$22:$U$30,5,0)*AC55)</f>
        <v>230</v>
      </c>
      <c r="AN55" s="3">
        <f>VLOOKUP(U55,模板计算相关数据!A:N,10,0)*0.5*VLOOKUP(Y55,模板计算相关数据!$P$22:$U$30,6,0)+AD55</f>
        <v>250</v>
      </c>
      <c r="AO55" s="3">
        <f>VLOOKUP(INT(VLOOKUP(U55,模板计算相关数据!A:N,2,0)/30)+1,模板计算相关数据!$O$35:$U$40,3,0)+AE55</f>
        <v>0</v>
      </c>
      <c r="AP55" s="3">
        <f>VLOOKUP(INT(VLOOKUP(U55,模板计算相关数据!A:N,2,0)/30)+1,模板计算相关数据!$O$35:$U$40,4,0)+AF55</f>
        <v>5000</v>
      </c>
      <c r="AQ55" s="3">
        <f>VLOOKUP(INT(VLOOKUP(U55,模板计算相关数据!A:N,2,0)/30)+1,模板计算相关数据!$O$35:$U$40,5,0)+AG55</f>
        <v>0</v>
      </c>
      <c r="AR55" s="3">
        <f>VLOOKUP(INT(VLOOKUP(U55,模板计算相关数据!A:N,2,0)/30)+1,模板计算相关数据!$O$35:$U$40,6,0)+AH55</f>
        <v>0</v>
      </c>
      <c r="AS55" s="3">
        <f>VLOOKUP(INT(VLOOKUP(U55,模板计算相关数据!A:N,2,0)/30)+1,模板计算相关数据!$O$35:$U$40,7,0)+AI55</f>
        <v>0</v>
      </c>
      <c r="AT55" s="3">
        <f>VLOOKUP(INT(VLOOKUP(U55,模板计算相关数据!A:N,2,0)/30)+1,模板计算相关数据!$O$35:$V$40,8,0)</f>
        <v>0</v>
      </c>
      <c r="AU55" s="87"/>
    </row>
    <row r="56" spans="1:47" x14ac:dyDescent="0.2">
      <c r="A56" s="3">
        <v>248</v>
      </c>
      <c r="B56" s="3"/>
      <c r="C56" s="69" t="s">
        <v>1337</v>
      </c>
      <c r="D56" s="69" t="s">
        <v>1356</v>
      </c>
      <c r="E56" s="2"/>
      <c r="F56" s="3">
        <v>6</v>
      </c>
      <c r="G56" s="63">
        <v>1000101</v>
      </c>
      <c r="H56" s="3">
        <v>6</v>
      </c>
      <c r="I56" s="3">
        <v>4</v>
      </c>
      <c r="J56" s="3">
        <v>6</v>
      </c>
      <c r="K56" s="3">
        <v>3</v>
      </c>
      <c r="L56" s="91" t="s">
        <v>1341</v>
      </c>
      <c r="M56" s="3"/>
      <c r="N56" s="2">
        <v>3</v>
      </c>
      <c r="O56" s="69" t="s">
        <v>1351</v>
      </c>
      <c r="P56" s="3" t="s">
        <v>1615</v>
      </c>
      <c r="Q56" s="95">
        <f t="shared" si="0"/>
        <v>60</v>
      </c>
      <c r="R56" s="133">
        <f>IF(P56=模板计算相关数据!$AB$24,VLOOKUP(X56,模板计算相关数据!$P$47:$T$50,2,0),VLOOKUP(X56,模板计算相关数据!$P$4:$U$7,3,0))*VLOOKUP(Y56,模板计算相关数据!$P$22:$X$30,8,0)</f>
        <v>60</v>
      </c>
      <c r="S56" s="62">
        <f t="shared" si="1"/>
        <v>2.0689655172413794</v>
      </c>
      <c r="T56" s="133">
        <f>IF(P56=模板计算相关数据!$AB$24,VLOOKUP(X56,模板计算相关数据!$P$47:$T$50,5,0),VLOOKUP(X56,模板计算相关数据!$P$4:$U$7,6,0))*VLOOKUP(Y56,模板计算相关数据!$P$22:$X$30,9,0)</f>
        <v>2.0689655172413794</v>
      </c>
      <c r="U56" s="95">
        <v>2</v>
      </c>
      <c r="V56" s="95">
        <f t="shared" si="2"/>
        <v>1</v>
      </c>
      <c r="W56" s="29">
        <f>VLOOKUP(U56,模板计算相关数据!A:N,2,0)</f>
        <v>1</v>
      </c>
      <c r="X56" s="3" t="s">
        <v>181</v>
      </c>
      <c r="Y56" s="3" t="s">
        <v>223</v>
      </c>
      <c r="Z56" s="100">
        <v>10</v>
      </c>
      <c r="AA56" s="2">
        <v>0.5</v>
      </c>
      <c r="AB56" s="2">
        <v>1</v>
      </c>
      <c r="AC56" s="2">
        <v>1</v>
      </c>
      <c r="AD56" s="95">
        <v>0</v>
      </c>
      <c r="AE56" s="95">
        <v>0</v>
      </c>
      <c r="AF56" s="95">
        <v>0</v>
      </c>
      <c r="AG56" s="95">
        <v>0</v>
      </c>
      <c r="AH56" s="95">
        <v>0</v>
      </c>
      <c r="AI56" s="95">
        <v>0</v>
      </c>
      <c r="AJ56" s="3">
        <f>INT(VLOOKUP(U56,模板计算相关数据!A:N,4,0)*VLOOKUP(U56,模板计算相关数据!A:N,14,0)*(1+MAX(0,(VLOOKUP(U56,模板计算相关数据!A:N,7,0)-AQ56))*VLOOKUP(U56,模板计算相关数据!A:N,8,0))*(1-(AL56+AM56)*0.5/((AL56+AM56)*0.5+(VLOOKUP(U56,模板计算相关数据!A:N,2,0)+模板计算相关数据!$AC$27)*模板计算相关数据!$AC$28))*Q56*Z56)</f>
        <v>38348</v>
      </c>
      <c r="AK56" s="3">
        <f>INT(VLOOKUP(U56,模板计算相关数据!A:N,3,0)/模板计算相关数据!$W$35/(1+MAX(0,(AO56/10000-VLOOKUP(U56,模板计算相关数据!A:N,9,0)))*AP56/10000)/(1-VLOOKUP(U56,模板计算相关数据!A:N,5,0)/(VLOOKUP(U56,模板计算相关数据!A:N,5,0)+(VLOOKUP(U56,模板计算相关数据!A:N,2,0)+模板计算相关数据!$AC$27)*模板计算相关数据!$AC$28))/S56*AA56)</f>
        <v>134</v>
      </c>
      <c r="AL56" s="3">
        <f>INT(VLOOKUP(U56,模板计算相关数据!A:N,5,0)*VLOOKUP(X56,模板计算相关数据!$P$4:$T$7,4,0)*VLOOKUP(Y56,模板计算相关数据!$P$22:$U$30,4,0)*AB56)</f>
        <v>400</v>
      </c>
      <c r="AM56" s="3">
        <f>INT(VLOOKUP(U56,模板计算相关数据!A:N,6,0)*VLOOKUP(X56,模板计算相关数据!$P$4:$T$7,4,0)*VLOOKUP(Y56,模板计算相关数据!$P$22:$U$30,5,0)*AC56)</f>
        <v>400</v>
      </c>
      <c r="AN56" s="3">
        <f>VLOOKUP(U56,模板计算相关数据!A:N,10,0)*0.5*VLOOKUP(Y56,模板计算相关数据!$P$22:$U$30,6,0)+AD56</f>
        <v>250</v>
      </c>
      <c r="AO56" s="3">
        <f>VLOOKUP(INT(VLOOKUP(U56,模板计算相关数据!A:N,2,0)/30)+1,模板计算相关数据!$O$35:$U$40,3,0)+AE56</f>
        <v>0</v>
      </c>
      <c r="AP56" s="3">
        <f>VLOOKUP(INT(VLOOKUP(U56,模板计算相关数据!A:N,2,0)/30)+1,模板计算相关数据!$O$35:$U$40,4,0)+AF56</f>
        <v>5000</v>
      </c>
      <c r="AQ56" s="3">
        <f>VLOOKUP(INT(VLOOKUP(U56,模板计算相关数据!A:N,2,0)/30)+1,模板计算相关数据!$O$35:$U$40,5,0)+AG56</f>
        <v>0</v>
      </c>
      <c r="AR56" s="3">
        <f>VLOOKUP(INT(VLOOKUP(U56,模板计算相关数据!A:N,2,0)/30)+1,模板计算相关数据!$O$35:$U$40,6,0)+AH56</f>
        <v>0</v>
      </c>
      <c r="AS56" s="3">
        <f>VLOOKUP(INT(VLOOKUP(U56,模板计算相关数据!A:N,2,0)/30)+1,模板计算相关数据!$O$35:$U$40,7,0)+AI56</f>
        <v>0</v>
      </c>
      <c r="AT56" s="3">
        <f>VLOOKUP(INT(VLOOKUP(U56,模板计算相关数据!A:N,2,0)/30)+1,模板计算相关数据!$O$35:$V$40,8,0)</f>
        <v>0</v>
      </c>
      <c r="AU56" s="2"/>
    </row>
    <row r="57" spans="1:47" x14ac:dyDescent="0.2">
      <c r="A57" s="3">
        <v>249</v>
      </c>
      <c r="B57" s="3"/>
      <c r="C57" s="69" t="s">
        <v>1334</v>
      </c>
      <c r="D57" s="69" t="s">
        <v>1356</v>
      </c>
      <c r="E57" s="2"/>
      <c r="F57" s="3">
        <v>6</v>
      </c>
      <c r="G57" s="3">
        <v>1000301</v>
      </c>
      <c r="H57" s="3">
        <v>1</v>
      </c>
      <c r="I57" s="3">
        <v>4</v>
      </c>
      <c r="J57" s="3">
        <v>3</v>
      </c>
      <c r="K57" s="3"/>
      <c r="L57" s="91" t="s">
        <v>1603</v>
      </c>
      <c r="M57" s="3"/>
      <c r="N57" s="2">
        <v>3</v>
      </c>
      <c r="O57" s="69" t="s">
        <v>1604</v>
      </c>
      <c r="P57" s="3" t="s">
        <v>1615</v>
      </c>
      <c r="Q57" s="95">
        <f t="shared" si="0"/>
        <v>4.417254901960785</v>
      </c>
      <c r="R57" s="133">
        <f>IF(P57=模板计算相关数据!$AB$24,VLOOKUP(X57,模板计算相关数据!$P$47:$T$50,2,0),VLOOKUP(X57,模板计算相关数据!$P$4:$U$7,3,0))*VLOOKUP(Y57,模板计算相关数据!$P$22:$X$30,8,0)</f>
        <v>4.417254901960785</v>
      </c>
      <c r="S57" s="62">
        <f t="shared" si="1"/>
        <v>5.4285280003474252</v>
      </c>
      <c r="T57" s="133">
        <f>IF(P57=模板计算相关数据!$AB$24,VLOOKUP(X57,模板计算相关数据!$P$47:$T$50,5,0),VLOOKUP(X57,模板计算相关数据!$P$4:$U$7,6,0))*VLOOKUP(Y57,模板计算相关数据!$P$22:$X$30,9,0)</f>
        <v>5.4285280003474252</v>
      </c>
      <c r="U57" s="95">
        <v>2</v>
      </c>
      <c r="V57" s="95">
        <f t="shared" si="2"/>
        <v>1</v>
      </c>
      <c r="W57" s="29">
        <f>VLOOKUP(U57,模板计算相关数据!A:N,2,0)</f>
        <v>1</v>
      </c>
      <c r="X57" s="3" t="s">
        <v>151</v>
      </c>
      <c r="Y57" s="3" t="s">
        <v>152</v>
      </c>
      <c r="Z57" s="100">
        <v>10</v>
      </c>
      <c r="AA57" s="2">
        <v>0.5</v>
      </c>
      <c r="AB57" s="2">
        <v>1</v>
      </c>
      <c r="AC57" s="2">
        <v>1</v>
      </c>
      <c r="AD57" s="95">
        <v>0</v>
      </c>
      <c r="AE57" s="95">
        <v>0</v>
      </c>
      <c r="AF57" s="95">
        <v>0</v>
      </c>
      <c r="AG57" s="95">
        <v>0</v>
      </c>
      <c r="AH57" s="95">
        <v>0</v>
      </c>
      <c r="AI57" s="95">
        <v>0</v>
      </c>
      <c r="AJ57" s="3">
        <f>INT(VLOOKUP(U57,模板计算相关数据!A:N,4,0)*VLOOKUP(U57,模板计算相关数据!A:N,14,0)*(1+MAX(0,(VLOOKUP(U57,模板计算相关数据!A:N,7,0)-AQ57))*VLOOKUP(U57,模板计算相关数据!A:N,8,0))*(1-(AL57+AM57)*0.5/((AL57+AM57)*0.5+(VLOOKUP(U57,模板计算相关数据!A:N,2,0)+模板计算相关数据!$AC$27)*模板计算相关数据!$AC$28))*Q57*Z57)</f>
        <v>3747</v>
      </c>
      <c r="AK57" s="3">
        <f>INT(VLOOKUP(U57,模板计算相关数据!A:N,3,0)/模板计算相关数据!$W$35/(1+MAX(0,(AO57/10000-VLOOKUP(U57,模板计算相关数据!A:N,9,0)))*AP57/10000)/(1-VLOOKUP(U57,模板计算相关数据!A:N,5,0)/(VLOOKUP(U57,模板计算相关数据!A:N,5,0)+(VLOOKUP(U57,模板计算相关数据!A:N,2,0)+模板计算相关数据!$AC$27)*模板计算相关数据!$AC$28))/S57*AA57)</f>
        <v>51</v>
      </c>
      <c r="AL57" s="3">
        <f>INT(VLOOKUP(U57,模板计算相关数据!A:N,5,0)*VLOOKUP(X57,模板计算相关数据!$P$4:$T$7,4,0)*VLOOKUP(Y57,模板计算相关数据!$P$22:$U$30,4,0)*AB57)</f>
        <v>230</v>
      </c>
      <c r="AM57" s="3">
        <f>INT(VLOOKUP(U57,模板计算相关数据!A:N,6,0)*VLOOKUP(X57,模板计算相关数据!$P$4:$T$7,4,0)*VLOOKUP(Y57,模板计算相关数据!$P$22:$U$30,5,0)*AC57)</f>
        <v>136</v>
      </c>
      <c r="AN57" s="3">
        <f>VLOOKUP(U57,模板计算相关数据!A:N,10,0)*0.5*VLOOKUP(Y57,模板计算相关数据!$P$22:$U$30,6,0)+AD57</f>
        <v>250</v>
      </c>
      <c r="AO57" s="3">
        <f>VLOOKUP(INT(VLOOKUP(U57,模板计算相关数据!A:N,2,0)/30)+1,模板计算相关数据!$O$35:$U$40,3,0)+AE57</f>
        <v>0</v>
      </c>
      <c r="AP57" s="3">
        <f>VLOOKUP(INT(VLOOKUP(U57,模板计算相关数据!A:N,2,0)/30)+1,模板计算相关数据!$O$35:$U$40,4,0)+AF57</f>
        <v>5000</v>
      </c>
      <c r="AQ57" s="3">
        <f>VLOOKUP(INT(VLOOKUP(U57,模板计算相关数据!A:N,2,0)/30)+1,模板计算相关数据!$O$35:$U$40,5,0)+AG57</f>
        <v>0</v>
      </c>
      <c r="AR57" s="3">
        <f>VLOOKUP(INT(VLOOKUP(U57,模板计算相关数据!A:N,2,0)/30)+1,模板计算相关数据!$O$35:$U$40,6,0)+AH57</f>
        <v>0</v>
      </c>
      <c r="AS57" s="3">
        <f>VLOOKUP(INT(VLOOKUP(U57,模板计算相关数据!A:N,2,0)/30)+1,模板计算相关数据!$O$35:$U$40,7,0)+AI57</f>
        <v>0</v>
      </c>
      <c r="AT57" s="3">
        <f>VLOOKUP(INT(VLOOKUP(U57,模板计算相关数据!A:N,2,0)/30)+1,模板计算相关数据!$O$35:$V$40,8,0)</f>
        <v>0</v>
      </c>
      <c r="AU57" s="2"/>
    </row>
    <row r="58" spans="1:47" s="9" customFormat="1" x14ac:dyDescent="0.2">
      <c r="A58" s="3">
        <v>250</v>
      </c>
      <c r="B58" s="3"/>
      <c r="C58" s="69" t="s">
        <v>1553</v>
      </c>
      <c r="D58" s="69" t="s">
        <v>1356</v>
      </c>
      <c r="E58" s="2"/>
      <c r="F58" s="3">
        <v>1</v>
      </c>
      <c r="G58" s="3">
        <v>100201</v>
      </c>
      <c r="H58" s="3">
        <v>2</v>
      </c>
      <c r="I58" s="3">
        <v>5</v>
      </c>
      <c r="J58" s="3">
        <v>6</v>
      </c>
      <c r="K58" s="3"/>
      <c r="L58" s="68" t="s">
        <v>859</v>
      </c>
      <c r="M58" s="2"/>
      <c r="N58" s="2">
        <v>2</v>
      </c>
      <c r="O58" s="2"/>
      <c r="P58" s="3" t="s">
        <v>1615</v>
      </c>
      <c r="Q58" s="95">
        <f t="shared" si="0"/>
        <v>6.9411764705882364</v>
      </c>
      <c r="R58" s="133">
        <f>IF(P58=模板计算相关数据!$AB$24,VLOOKUP(X58,模板计算相关数据!$P$47:$T$50,2,0),VLOOKUP(X58,模板计算相关数据!$P$4:$U$7,3,0))*VLOOKUP(Y58,模板计算相关数据!$P$22:$X$30,8,0)</f>
        <v>6.9411764705882364</v>
      </c>
      <c r="S58" s="62">
        <f t="shared" si="1"/>
        <v>8.2943498888557112</v>
      </c>
      <c r="T58" s="133">
        <f>IF(P58=模板计算相关数据!$AB$24,VLOOKUP(X58,模板计算相关数据!$P$47:$T$50,5,0),VLOOKUP(X58,模板计算相关数据!$P$4:$U$7,6,0))*VLOOKUP(Y58,模板计算相关数据!$P$22:$X$30,9,0)</f>
        <v>8.2943498888557112</v>
      </c>
      <c r="U58" s="95">
        <v>2</v>
      </c>
      <c r="V58" s="95">
        <f t="shared" si="2"/>
        <v>1</v>
      </c>
      <c r="W58" s="29">
        <f>VLOOKUP(U58,模板计算相关数据!A:N,2,0)</f>
        <v>1</v>
      </c>
      <c r="X58" s="3" t="s">
        <v>151</v>
      </c>
      <c r="Y58" s="3" t="s">
        <v>234</v>
      </c>
      <c r="Z58" s="100">
        <v>10</v>
      </c>
      <c r="AA58" s="2">
        <v>0.5</v>
      </c>
      <c r="AB58" s="2">
        <v>1</v>
      </c>
      <c r="AC58" s="2">
        <v>1</v>
      </c>
      <c r="AD58" s="95">
        <v>0</v>
      </c>
      <c r="AE58" s="95">
        <v>0</v>
      </c>
      <c r="AF58" s="95">
        <v>0</v>
      </c>
      <c r="AG58" s="95">
        <v>0</v>
      </c>
      <c r="AH58" s="95">
        <v>0</v>
      </c>
      <c r="AI58" s="95">
        <v>0</v>
      </c>
      <c r="AJ58" s="3">
        <f>INT(VLOOKUP(U58,模板计算相关数据!A:N,4,0)*VLOOKUP(U58,模板计算相关数据!A:N,14,0)*(1+MAX(0,(VLOOKUP(U58,模板计算相关数据!A:N,7,0)-AQ58))*VLOOKUP(U58,模板计算相关数据!A:N,8,0))*(1-(AL58+AM58)*0.5/((AL58+AM58)*0.5+(VLOOKUP(U58,模板计算相关数据!A:N,2,0)+模板计算相关数据!$AC$27)*模板计算相关数据!$AC$28))*Q58*Z58)</f>
        <v>5617</v>
      </c>
      <c r="AK58" s="3">
        <f>INT(VLOOKUP(U58,模板计算相关数据!A:N,3,0)/模板计算相关数据!$W$35/(1+MAX(0,(AO58/10000-VLOOKUP(U58,模板计算相关数据!A:N,9,0)))*AP58/10000)/(1-VLOOKUP(U58,模板计算相关数据!A:N,5,0)/(VLOOKUP(U58,模板计算相关数据!A:N,5,0)+(VLOOKUP(U58,模板计算相关数据!A:N,2,0)+模板计算相关数据!$AC$27)*模板计算相关数据!$AC$28))/S58*AA58)</f>
        <v>33</v>
      </c>
      <c r="AL58" s="3">
        <f>INT(VLOOKUP(U58,模板计算相关数据!A:N,5,0)*VLOOKUP(X58,模板计算相关数据!$P$4:$T$7,4,0)*VLOOKUP(Y58,模板计算相关数据!$P$22:$U$30,4,0)*AB58)</f>
        <v>153</v>
      </c>
      <c r="AM58" s="3">
        <f>INT(VLOOKUP(U58,模板计算相关数据!A:N,6,0)*VLOOKUP(X58,模板计算相关数据!$P$4:$T$7,4,0)*VLOOKUP(Y58,模板计算相关数据!$P$22:$U$30,5,0)*AC58)</f>
        <v>277</v>
      </c>
      <c r="AN58" s="3">
        <f>VLOOKUP(U58,模板计算相关数据!A:N,10,0)*0.5*VLOOKUP(Y58,模板计算相关数据!$P$22:$U$30,6,0)+AD58</f>
        <v>225</v>
      </c>
      <c r="AO58" s="3">
        <f>VLOOKUP(INT(VLOOKUP(U58,模板计算相关数据!A:N,2,0)/30)+1,模板计算相关数据!$O$35:$U$40,3,0)+AE58</f>
        <v>0</v>
      </c>
      <c r="AP58" s="3">
        <f>VLOOKUP(INT(VLOOKUP(U58,模板计算相关数据!A:N,2,0)/30)+1,模板计算相关数据!$O$35:$U$40,4,0)+AF58</f>
        <v>5000</v>
      </c>
      <c r="AQ58" s="3">
        <f>VLOOKUP(INT(VLOOKUP(U58,模板计算相关数据!A:N,2,0)/30)+1,模板计算相关数据!$O$35:$U$40,5,0)+AG58</f>
        <v>0</v>
      </c>
      <c r="AR58" s="3">
        <f>VLOOKUP(INT(VLOOKUP(U58,模板计算相关数据!A:N,2,0)/30)+1,模板计算相关数据!$O$35:$U$40,6,0)+AH58</f>
        <v>0</v>
      </c>
      <c r="AS58" s="3">
        <f>VLOOKUP(INT(VLOOKUP(U58,模板计算相关数据!A:N,2,0)/30)+1,模板计算相关数据!$O$35:$U$40,7,0)+AI58</f>
        <v>0</v>
      </c>
      <c r="AT58" s="3">
        <f>VLOOKUP(INT(VLOOKUP(U58,模板计算相关数据!A:N,2,0)/30)+1,模板计算相关数据!$O$35:$V$40,8,0)</f>
        <v>0</v>
      </c>
      <c r="AU58" s="87"/>
    </row>
    <row r="59" spans="1:47" s="9" customFormat="1" x14ac:dyDescent="0.2">
      <c r="A59" s="3">
        <v>251</v>
      </c>
      <c r="B59" s="3"/>
      <c r="C59" s="69" t="s">
        <v>797</v>
      </c>
      <c r="D59" s="69" t="s">
        <v>1356</v>
      </c>
      <c r="E59" s="2"/>
      <c r="F59" s="3">
        <v>1</v>
      </c>
      <c r="G59" s="3">
        <v>105201</v>
      </c>
      <c r="H59" s="3">
        <v>2</v>
      </c>
      <c r="I59" s="3">
        <v>5</v>
      </c>
      <c r="J59" s="3">
        <v>6</v>
      </c>
      <c r="K59" s="3"/>
      <c r="L59" s="68" t="s">
        <v>874</v>
      </c>
      <c r="M59" s="2"/>
      <c r="N59" s="2">
        <v>2</v>
      </c>
      <c r="O59" s="2"/>
      <c r="P59" s="3" t="s">
        <v>1615</v>
      </c>
      <c r="Q59" s="95">
        <f t="shared" si="0"/>
        <v>6.9411764705882364</v>
      </c>
      <c r="R59" s="133">
        <f>IF(P59=模板计算相关数据!$AB$24,VLOOKUP(X59,模板计算相关数据!$P$47:$T$50,2,0),VLOOKUP(X59,模板计算相关数据!$P$4:$U$7,3,0))*VLOOKUP(Y59,模板计算相关数据!$P$22:$X$30,8,0)</f>
        <v>6.9411764705882364</v>
      </c>
      <c r="S59" s="62">
        <f t="shared" si="1"/>
        <v>8.2943498888557112</v>
      </c>
      <c r="T59" s="133">
        <f>IF(P59=模板计算相关数据!$AB$24,VLOOKUP(X59,模板计算相关数据!$P$47:$T$50,5,0),VLOOKUP(X59,模板计算相关数据!$P$4:$U$7,6,0))*VLOOKUP(Y59,模板计算相关数据!$P$22:$X$30,9,0)</f>
        <v>8.2943498888557112</v>
      </c>
      <c r="U59" s="95">
        <v>2</v>
      </c>
      <c r="V59" s="95">
        <f t="shared" si="2"/>
        <v>1</v>
      </c>
      <c r="W59" s="29">
        <f>VLOOKUP(U59,模板计算相关数据!A:N,2,0)</f>
        <v>1</v>
      </c>
      <c r="X59" s="3" t="s">
        <v>151</v>
      </c>
      <c r="Y59" s="3" t="s">
        <v>234</v>
      </c>
      <c r="Z59" s="100">
        <v>10</v>
      </c>
      <c r="AA59" s="2">
        <v>0.5</v>
      </c>
      <c r="AB59" s="2">
        <v>1</v>
      </c>
      <c r="AC59" s="2">
        <v>1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3">
        <f>INT(VLOOKUP(U59,模板计算相关数据!A:N,4,0)*VLOOKUP(U59,模板计算相关数据!A:N,14,0)*(1+MAX(0,(VLOOKUP(U59,模板计算相关数据!A:N,7,0)-AQ59))*VLOOKUP(U59,模板计算相关数据!A:N,8,0))*(1-(AL59+AM59)*0.5/((AL59+AM59)*0.5+(VLOOKUP(U59,模板计算相关数据!A:N,2,0)+模板计算相关数据!$AC$27)*模板计算相关数据!$AC$28))*Q59*Z59)</f>
        <v>5617</v>
      </c>
      <c r="AK59" s="3">
        <f>INT(VLOOKUP(U59,模板计算相关数据!A:N,3,0)/模板计算相关数据!$W$35/(1+MAX(0,(AO59/10000-VLOOKUP(U59,模板计算相关数据!A:N,9,0)))*AP59/10000)/(1-VLOOKUP(U59,模板计算相关数据!A:N,5,0)/(VLOOKUP(U59,模板计算相关数据!A:N,5,0)+(VLOOKUP(U59,模板计算相关数据!A:N,2,0)+模板计算相关数据!$AC$27)*模板计算相关数据!$AC$28))/S59*AA59)</f>
        <v>33</v>
      </c>
      <c r="AL59" s="3">
        <f>INT(VLOOKUP(U59,模板计算相关数据!A:N,5,0)*VLOOKUP(X59,模板计算相关数据!$P$4:$T$7,4,0)*VLOOKUP(Y59,模板计算相关数据!$P$22:$U$30,4,0)*AB59)</f>
        <v>153</v>
      </c>
      <c r="AM59" s="3">
        <f>INT(VLOOKUP(U59,模板计算相关数据!A:N,6,0)*VLOOKUP(X59,模板计算相关数据!$P$4:$T$7,4,0)*VLOOKUP(Y59,模板计算相关数据!$P$22:$U$30,5,0)*AC59)</f>
        <v>277</v>
      </c>
      <c r="AN59" s="3">
        <f>VLOOKUP(U59,模板计算相关数据!A:N,10,0)*0.5*VLOOKUP(Y59,模板计算相关数据!$P$22:$U$30,6,0)+AD59</f>
        <v>225</v>
      </c>
      <c r="AO59" s="3">
        <f>VLOOKUP(INT(VLOOKUP(U59,模板计算相关数据!A:N,2,0)/30)+1,模板计算相关数据!$O$35:$U$40,3,0)+AE59</f>
        <v>0</v>
      </c>
      <c r="AP59" s="3">
        <f>VLOOKUP(INT(VLOOKUP(U59,模板计算相关数据!A:N,2,0)/30)+1,模板计算相关数据!$O$35:$U$40,4,0)+AF59</f>
        <v>5000</v>
      </c>
      <c r="AQ59" s="3">
        <f>VLOOKUP(INT(VLOOKUP(U59,模板计算相关数据!A:N,2,0)/30)+1,模板计算相关数据!$O$35:$U$40,5,0)+AG59</f>
        <v>0</v>
      </c>
      <c r="AR59" s="3">
        <f>VLOOKUP(INT(VLOOKUP(U59,模板计算相关数据!A:N,2,0)/30)+1,模板计算相关数据!$O$35:$U$40,6,0)+AH59</f>
        <v>0</v>
      </c>
      <c r="AS59" s="3">
        <f>VLOOKUP(INT(VLOOKUP(U59,模板计算相关数据!A:N,2,0)/30)+1,模板计算相关数据!$O$35:$U$40,7,0)+AI59</f>
        <v>0</v>
      </c>
      <c r="AT59" s="3">
        <f>VLOOKUP(INT(VLOOKUP(U59,模板计算相关数据!A:N,2,0)/30)+1,模板计算相关数据!$O$35:$V$40,8,0)</f>
        <v>0</v>
      </c>
      <c r="AU59" s="87"/>
    </row>
    <row r="60" spans="1:47" s="9" customFormat="1" x14ac:dyDescent="0.2">
      <c r="A60" s="3">
        <v>252</v>
      </c>
      <c r="B60" s="3"/>
      <c r="C60" s="69" t="s">
        <v>1605</v>
      </c>
      <c r="D60" s="69" t="s">
        <v>1356</v>
      </c>
      <c r="E60" s="2"/>
      <c r="F60" s="3">
        <v>1</v>
      </c>
      <c r="G60" s="3">
        <v>1002901</v>
      </c>
      <c r="H60" s="3">
        <v>2</v>
      </c>
      <c r="I60" s="3">
        <v>5</v>
      </c>
      <c r="J60" s="3">
        <v>6</v>
      </c>
      <c r="K60" s="3"/>
      <c r="L60" s="68" t="s">
        <v>1606</v>
      </c>
      <c r="M60" s="2"/>
      <c r="N60" s="2">
        <v>3</v>
      </c>
      <c r="O60" s="69" t="s">
        <v>1607</v>
      </c>
      <c r="P60" s="3" t="s">
        <v>1615</v>
      </c>
      <c r="Q60" s="95">
        <f t="shared" si="0"/>
        <v>6.9411764705882364</v>
      </c>
      <c r="R60" s="133">
        <f>IF(P60=模板计算相关数据!$AB$24,VLOOKUP(X60,模板计算相关数据!$P$47:$T$50,2,0),VLOOKUP(X60,模板计算相关数据!$P$4:$U$7,3,0))*VLOOKUP(Y60,模板计算相关数据!$P$22:$X$30,8,0)</f>
        <v>6.9411764705882364</v>
      </c>
      <c r="S60" s="62">
        <f t="shared" si="1"/>
        <v>8.2943498888557112</v>
      </c>
      <c r="T60" s="133">
        <f>IF(P60=模板计算相关数据!$AB$24,VLOOKUP(X60,模板计算相关数据!$P$47:$T$50,5,0),VLOOKUP(X60,模板计算相关数据!$P$4:$U$7,6,0))*VLOOKUP(Y60,模板计算相关数据!$P$22:$X$30,9,0)</f>
        <v>8.2943498888557112</v>
      </c>
      <c r="U60" s="95">
        <v>2</v>
      </c>
      <c r="V60" s="95">
        <f t="shared" si="2"/>
        <v>1</v>
      </c>
      <c r="W60" s="29">
        <f>VLOOKUP(U60,模板计算相关数据!A:N,2,0)</f>
        <v>1</v>
      </c>
      <c r="X60" s="3" t="s">
        <v>151</v>
      </c>
      <c r="Y60" s="3" t="s">
        <v>234</v>
      </c>
      <c r="Z60" s="100">
        <v>10</v>
      </c>
      <c r="AA60" s="2">
        <v>0.5</v>
      </c>
      <c r="AB60" s="2">
        <v>1</v>
      </c>
      <c r="AC60" s="2">
        <v>1</v>
      </c>
      <c r="AD60" s="95">
        <v>0</v>
      </c>
      <c r="AE60" s="95">
        <v>0</v>
      </c>
      <c r="AF60" s="95">
        <v>0</v>
      </c>
      <c r="AG60" s="95">
        <v>0</v>
      </c>
      <c r="AH60" s="95">
        <v>0</v>
      </c>
      <c r="AI60" s="95">
        <v>0</v>
      </c>
      <c r="AJ60" s="3">
        <f>INT(VLOOKUP(U60,模板计算相关数据!A:N,4,0)*VLOOKUP(U60,模板计算相关数据!A:N,14,0)*(1+MAX(0,(VLOOKUP(U60,模板计算相关数据!A:N,7,0)-AQ60))*VLOOKUP(U60,模板计算相关数据!A:N,8,0))*(1-(AL60+AM60)*0.5/((AL60+AM60)*0.5+(VLOOKUP(U60,模板计算相关数据!A:N,2,0)+模板计算相关数据!$AC$27)*模板计算相关数据!$AC$28))*Q60*Z60)</f>
        <v>5617</v>
      </c>
      <c r="AK60" s="3">
        <f>INT(VLOOKUP(U60,模板计算相关数据!A:N,3,0)/模板计算相关数据!$W$35/(1+MAX(0,(AO60/10000-VLOOKUP(U60,模板计算相关数据!A:N,9,0)))*AP60/10000)/(1-VLOOKUP(U60,模板计算相关数据!A:N,5,0)/(VLOOKUP(U60,模板计算相关数据!A:N,5,0)+(VLOOKUP(U60,模板计算相关数据!A:N,2,0)+模板计算相关数据!$AC$27)*模板计算相关数据!$AC$28))/S60*AA60)</f>
        <v>33</v>
      </c>
      <c r="AL60" s="3">
        <f>INT(VLOOKUP(U60,模板计算相关数据!A:N,5,0)*VLOOKUP(X60,模板计算相关数据!$P$4:$T$7,4,0)*VLOOKUP(Y60,模板计算相关数据!$P$22:$U$30,4,0)*AB60)</f>
        <v>153</v>
      </c>
      <c r="AM60" s="3">
        <f>INT(VLOOKUP(U60,模板计算相关数据!A:N,6,0)*VLOOKUP(X60,模板计算相关数据!$P$4:$T$7,4,0)*VLOOKUP(Y60,模板计算相关数据!$P$22:$U$30,5,0)*AC60)</f>
        <v>277</v>
      </c>
      <c r="AN60" s="3">
        <f>VLOOKUP(U60,模板计算相关数据!A:N,10,0)*0.5*VLOOKUP(Y60,模板计算相关数据!$P$22:$U$30,6,0)+AD60</f>
        <v>225</v>
      </c>
      <c r="AO60" s="3">
        <f>VLOOKUP(INT(VLOOKUP(U60,模板计算相关数据!A:N,2,0)/30)+1,模板计算相关数据!$O$35:$U$40,3,0)+AE60</f>
        <v>0</v>
      </c>
      <c r="AP60" s="3">
        <f>VLOOKUP(INT(VLOOKUP(U60,模板计算相关数据!A:N,2,0)/30)+1,模板计算相关数据!$O$35:$U$40,4,0)+AF60</f>
        <v>5000</v>
      </c>
      <c r="AQ60" s="3">
        <f>VLOOKUP(INT(VLOOKUP(U60,模板计算相关数据!A:N,2,0)/30)+1,模板计算相关数据!$O$35:$U$40,5,0)+AG60</f>
        <v>0</v>
      </c>
      <c r="AR60" s="3">
        <f>VLOOKUP(INT(VLOOKUP(U60,模板计算相关数据!A:N,2,0)/30)+1,模板计算相关数据!$O$35:$U$40,6,0)+AH60</f>
        <v>0</v>
      </c>
      <c r="AS60" s="3">
        <f>VLOOKUP(INT(VLOOKUP(U60,模板计算相关数据!A:N,2,0)/30)+1,模板计算相关数据!$O$35:$U$40,7,0)+AI60</f>
        <v>0</v>
      </c>
      <c r="AT60" s="3">
        <f>VLOOKUP(INT(VLOOKUP(U60,模板计算相关数据!A:N,2,0)/30)+1,模板计算相关数据!$O$35:$V$40,8,0)</f>
        <v>0</v>
      </c>
      <c r="AU60" s="87"/>
    </row>
    <row r="61" spans="1:47" s="9" customFormat="1" x14ac:dyDescent="0.2">
      <c r="A61" s="3">
        <v>253</v>
      </c>
      <c r="B61" s="3"/>
      <c r="C61" s="69" t="s">
        <v>1635</v>
      </c>
      <c r="D61" s="69" t="s">
        <v>1356</v>
      </c>
      <c r="E61" s="2"/>
      <c r="F61" s="3">
        <v>1</v>
      </c>
      <c r="G61" s="3">
        <v>1003101</v>
      </c>
      <c r="H61" s="3">
        <v>2</v>
      </c>
      <c r="I61" s="3">
        <v>5</v>
      </c>
      <c r="J61" s="3">
        <v>6</v>
      </c>
      <c r="K61" s="3"/>
      <c r="L61" s="68" t="s">
        <v>1636</v>
      </c>
      <c r="M61" s="2"/>
      <c r="N61" s="2">
        <v>3</v>
      </c>
      <c r="O61" s="69" t="s">
        <v>1637</v>
      </c>
      <c r="P61" s="3" t="s">
        <v>1615</v>
      </c>
      <c r="Q61" s="95">
        <f t="shared" si="0"/>
        <v>6.9411764705882364</v>
      </c>
      <c r="R61" s="133">
        <f>IF(P61=模板计算相关数据!$AB$24,VLOOKUP(X61,模板计算相关数据!$P$47:$T$50,2,0),VLOOKUP(X61,模板计算相关数据!$P$4:$U$7,3,0))*VLOOKUP(Y61,模板计算相关数据!$P$22:$X$30,8,0)</f>
        <v>6.9411764705882364</v>
      </c>
      <c r="S61" s="62">
        <f t="shared" si="1"/>
        <v>8.2943498888557112</v>
      </c>
      <c r="T61" s="133">
        <f>IF(P61=模板计算相关数据!$AB$24,VLOOKUP(X61,模板计算相关数据!$P$47:$T$50,5,0),VLOOKUP(X61,模板计算相关数据!$P$4:$U$7,6,0))*VLOOKUP(Y61,模板计算相关数据!$P$22:$X$30,9,0)</f>
        <v>8.2943498888557112</v>
      </c>
      <c r="U61" s="95">
        <v>2</v>
      </c>
      <c r="V61" s="95">
        <f t="shared" si="2"/>
        <v>1</v>
      </c>
      <c r="W61" s="29">
        <f>VLOOKUP(U61,模板计算相关数据!A:N,2,0)</f>
        <v>1</v>
      </c>
      <c r="X61" s="3" t="s">
        <v>151</v>
      </c>
      <c r="Y61" s="3" t="s">
        <v>234</v>
      </c>
      <c r="Z61" s="100">
        <v>10</v>
      </c>
      <c r="AA61" s="2">
        <v>0.5</v>
      </c>
      <c r="AB61" s="2">
        <v>1</v>
      </c>
      <c r="AC61" s="2">
        <v>1</v>
      </c>
      <c r="AD61" s="95">
        <v>0</v>
      </c>
      <c r="AE61" s="95">
        <v>0</v>
      </c>
      <c r="AF61" s="95">
        <v>0</v>
      </c>
      <c r="AG61" s="95">
        <v>0</v>
      </c>
      <c r="AH61" s="95">
        <v>0</v>
      </c>
      <c r="AI61" s="95">
        <v>0</v>
      </c>
      <c r="AJ61" s="3">
        <f>INT(VLOOKUP(U61,模板计算相关数据!A:N,4,0)*VLOOKUP(U61,模板计算相关数据!A:N,14,0)*(1+MAX(0,(VLOOKUP(U61,模板计算相关数据!A:N,7,0)-AQ61))*VLOOKUP(U61,模板计算相关数据!A:N,8,0))*(1-(AL61+AM61)*0.5/((AL61+AM61)*0.5+(VLOOKUP(U61,模板计算相关数据!A:N,2,0)+模板计算相关数据!$AC$27)*模板计算相关数据!$AC$28))*Q61*Z61)</f>
        <v>5617</v>
      </c>
      <c r="AK61" s="3">
        <f>INT(VLOOKUP(U61,模板计算相关数据!A:N,3,0)/模板计算相关数据!$W$35/(1+MAX(0,(AO61/10000-VLOOKUP(U61,模板计算相关数据!A:N,9,0)))*AP61/10000)/(1-VLOOKUP(U61,模板计算相关数据!A:N,5,0)/(VLOOKUP(U61,模板计算相关数据!A:N,5,0)+(VLOOKUP(U61,模板计算相关数据!A:N,2,0)+模板计算相关数据!$AC$27)*模板计算相关数据!$AC$28))/S61*AA61)</f>
        <v>33</v>
      </c>
      <c r="AL61" s="3">
        <f>INT(VLOOKUP(U61,模板计算相关数据!A:N,5,0)*VLOOKUP(X61,模板计算相关数据!$P$4:$T$7,4,0)*VLOOKUP(Y61,模板计算相关数据!$P$22:$U$30,4,0)*AB61)</f>
        <v>153</v>
      </c>
      <c r="AM61" s="3">
        <f>INT(VLOOKUP(U61,模板计算相关数据!A:N,6,0)*VLOOKUP(X61,模板计算相关数据!$P$4:$T$7,4,0)*VLOOKUP(Y61,模板计算相关数据!$P$22:$U$30,5,0)*AC61)</f>
        <v>277</v>
      </c>
      <c r="AN61" s="3">
        <f>VLOOKUP(U61,模板计算相关数据!A:N,10,0)*0.5*VLOOKUP(Y61,模板计算相关数据!$P$22:$U$30,6,0)+AD61</f>
        <v>225</v>
      </c>
      <c r="AO61" s="3">
        <f>VLOOKUP(INT(VLOOKUP(U61,模板计算相关数据!A:N,2,0)/30)+1,模板计算相关数据!$O$35:$U$40,3,0)+AE61</f>
        <v>0</v>
      </c>
      <c r="AP61" s="3">
        <f>VLOOKUP(INT(VLOOKUP(U61,模板计算相关数据!A:N,2,0)/30)+1,模板计算相关数据!$O$35:$U$40,4,0)+AF61</f>
        <v>5000</v>
      </c>
      <c r="AQ61" s="3">
        <f>VLOOKUP(INT(VLOOKUP(U61,模板计算相关数据!A:N,2,0)/30)+1,模板计算相关数据!$O$35:$U$40,5,0)+AG61</f>
        <v>0</v>
      </c>
      <c r="AR61" s="3">
        <f>VLOOKUP(INT(VLOOKUP(U61,模板计算相关数据!A:N,2,0)/30)+1,模板计算相关数据!$O$35:$U$40,6,0)+AH61</f>
        <v>0</v>
      </c>
      <c r="AS61" s="3">
        <f>VLOOKUP(INT(VLOOKUP(U61,模板计算相关数据!A:N,2,0)/30)+1,模板计算相关数据!$O$35:$U$40,7,0)+AI61</f>
        <v>0</v>
      </c>
      <c r="AT61" s="3">
        <f>VLOOKUP(INT(VLOOKUP(U61,模板计算相关数据!A:N,2,0)/30)+1,模板计算相关数据!$O$35:$V$40,8,0)</f>
        <v>0</v>
      </c>
      <c r="AU61" s="87"/>
    </row>
    <row r="62" spans="1:47" s="9" customFormat="1" x14ac:dyDescent="0.2">
      <c r="A62" s="3">
        <v>254</v>
      </c>
      <c r="B62" s="3"/>
      <c r="C62" s="69" t="s">
        <v>946</v>
      </c>
      <c r="D62" s="69" t="s">
        <v>1356</v>
      </c>
      <c r="E62" s="2"/>
      <c r="F62" s="3">
        <v>1</v>
      </c>
      <c r="G62" s="3">
        <v>101901</v>
      </c>
      <c r="H62" s="3">
        <v>2</v>
      </c>
      <c r="I62" s="3">
        <v>5</v>
      </c>
      <c r="J62" s="3">
        <v>6</v>
      </c>
      <c r="K62" s="3"/>
      <c r="L62" s="64" t="s">
        <v>87</v>
      </c>
      <c r="M62" s="2"/>
      <c r="N62" s="2">
        <v>1</v>
      </c>
      <c r="O62" s="69"/>
      <c r="P62" s="3" t="s">
        <v>1615</v>
      </c>
      <c r="Q62" s="95">
        <f t="shared" si="0"/>
        <v>6.9411764705882364</v>
      </c>
      <c r="R62" s="133">
        <f>IF(P62=模板计算相关数据!$AB$24,VLOOKUP(X62,模板计算相关数据!$P$47:$T$50,2,0),VLOOKUP(X62,模板计算相关数据!$P$4:$U$7,3,0))*VLOOKUP(Y62,模板计算相关数据!$P$22:$X$30,8,0)</f>
        <v>6.9411764705882364</v>
      </c>
      <c r="S62" s="62">
        <f t="shared" si="1"/>
        <v>8.2943498888557112</v>
      </c>
      <c r="T62" s="133">
        <f>IF(P62=模板计算相关数据!$AB$24,VLOOKUP(X62,模板计算相关数据!$P$47:$T$50,5,0),VLOOKUP(X62,模板计算相关数据!$P$4:$U$7,6,0))*VLOOKUP(Y62,模板计算相关数据!$P$22:$X$30,9,0)</f>
        <v>8.2943498888557112</v>
      </c>
      <c r="U62" s="95">
        <v>2</v>
      </c>
      <c r="V62" s="95">
        <f t="shared" si="2"/>
        <v>1</v>
      </c>
      <c r="W62" s="29">
        <f>VLOOKUP(U62,模板计算相关数据!A:N,2,0)</f>
        <v>1</v>
      </c>
      <c r="X62" s="3" t="s">
        <v>151</v>
      </c>
      <c r="Y62" s="3" t="s">
        <v>234</v>
      </c>
      <c r="Z62" s="100">
        <v>10</v>
      </c>
      <c r="AA62" s="2">
        <v>0.5</v>
      </c>
      <c r="AB62" s="2">
        <v>1</v>
      </c>
      <c r="AC62" s="2">
        <v>1</v>
      </c>
      <c r="AD62" s="95">
        <v>0</v>
      </c>
      <c r="AE62" s="95">
        <v>0</v>
      </c>
      <c r="AF62" s="95">
        <v>0</v>
      </c>
      <c r="AG62" s="95">
        <v>0</v>
      </c>
      <c r="AH62" s="95">
        <v>0</v>
      </c>
      <c r="AI62" s="95">
        <v>0</v>
      </c>
      <c r="AJ62" s="3">
        <f>INT(VLOOKUP(U62,模板计算相关数据!A:N,4,0)*VLOOKUP(U62,模板计算相关数据!A:N,14,0)*(1+MAX(0,(VLOOKUP(U62,模板计算相关数据!A:N,7,0)-AQ62))*VLOOKUP(U62,模板计算相关数据!A:N,8,0))*(1-(AL62+AM62)*0.5/((AL62+AM62)*0.5+(VLOOKUP(U62,模板计算相关数据!A:N,2,0)+模板计算相关数据!$AC$27)*模板计算相关数据!$AC$28))*Q62*Z62)</f>
        <v>5617</v>
      </c>
      <c r="AK62" s="3">
        <f>INT(VLOOKUP(U62,模板计算相关数据!A:N,3,0)/模板计算相关数据!$W$35/(1+MAX(0,(AO62/10000-VLOOKUP(U62,模板计算相关数据!A:N,9,0)))*AP62/10000)/(1-VLOOKUP(U62,模板计算相关数据!A:N,5,0)/(VLOOKUP(U62,模板计算相关数据!A:N,5,0)+(VLOOKUP(U62,模板计算相关数据!A:N,2,0)+模板计算相关数据!$AC$27)*模板计算相关数据!$AC$28))/S62*AA62)</f>
        <v>33</v>
      </c>
      <c r="AL62" s="3">
        <f>INT(VLOOKUP(U62,模板计算相关数据!A:N,5,0)*VLOOKUP(X62,模板计算相关数据!$P$4:$T$7,4,0)*VLOOKUP(Y62,模板计算相关数据!$P$22:$U$30,4,0)*AB62)</f>
        <v>153</v>
      </c>
      <c r="AM62" s="3">
        <f>INT(VLOOKUP(U62,模板计算相关数据!A:N,6,0)*VLOOKUP(X62,模板计算相关数据!$P$4:$T$7,4,0)*VLOOKUP(Y62,模板计算相关数据!$P$22:$U$30,5,0)*AC62)</f>
        <v>277</v>
      </c>
      <c r="AN62" s="3">
        <f>VLOOKUP(U62,模板计算相关数据!A:N,10,0)*0.5*VLOOKUP(Y62,模板计算相关数据!$P$22:$U$30,6,0)+AD62</f>
        <v>225</v>
      </c>
      <c r="AO62" s="3">
        <f>VLOOKUP(INT(VLOOKUP(U62,模板计算相关数据!A:N,2,0)/30)+1,模板计算相关数据!$O$35:$U$40,3,0)+AE62</f>
        <v>0</v>
      </c>
      <c r="AP62" s="3">
        <f>VLOOKUP(INT(VLOOKUP(U62,模板计算相关数据!A:N,2,0)/30)+1,模板计算相关数据!$O$35:$U$40,4,0)+AF62</f>
        <v>5000</v>
      </c>
      <c r="AQ62" s="3">
        <f>VLOOKUP(INT(VLOOKUP(U62,模板计算相关数据!A:N,2,0)/30)+1,模板计算相关数据!$O$35:$U$40,5,0)+AG62</f>
        <v>0</v>
      </c>
      <c r="AR62" s="3">
        <f>VLOOKUP(INT(VLOOKUP(U62,模板计算相关数据!A:N,2,0)/30)+1,模板计算相关数据!$O$35:$U$40,6,0)+AH62</f>
        <v>0</v>
      </c>
      <c r="AS62" s="3">
        <f>VLOOKUP(INT(VLOOKUP(U62,模板计算相关数据!A:N,2,0)/30)+1,模板计算相关数据!$O$35:$U$40,7,0)+AI62</f>
        <v>0</v>
      </c>
      <c r="AT62" s="3">
        <f>VLOOKUP(INT(VLOOKUP(U62,模板计算相关数据!A:N,2,0)/30)+1,模板计算相关数据!$O$35:$V$40,8,0)</f>
        <v>0</v>
      </c>
      <c r="AU62" s="87"/>
    </row>
    <row r="63" spans="1:47" s="9" customFormat="1" x14ac:dyDescent="0.2">
      <c r="A63" s="3">
        <v>255</v>
      </c>
      <c r="B63" s="3"/>
      <c r="C63" s="69" t="s">
        <v>1644</v>
      </c>
      <c r="D63" s="69" t="s">
        <v>1356</v>
      </c>
      <c r="E63" s="2"/>
      <c r="F63" s="3">
        <v>1</v>
      </c>
      <c r="G63" s="3">
        <v>105801</v>
      </c>
      <c r="H63" s="3">
        <v>2</v>
      </c>
      <c r="I63" s="3">
        <v>5</v>
      </c>
      <c r="J63" s="3">
        <v>6</v>
      </c>
      <c r="K63" s="3"/>
      <c r="L63" s="64" t="s">
        <v>1918</v>
      </c>
      <c r="M63" s="2"/>
      <c r="N63" s="2">
        <v>1</v>
      </c>
      <c r="O63" s="69"/>
      <c r="P63" s="3" t="s">
        <v>1615</v>
      </c>
      <c r="Q63" s="95">
        <f t="shared" si="0"/>
        <v>6.9411764705882364</v>
      </c>
      <c r="R63" s="133">
        <f>IF(P63=模板计算相关数据!$AB$24,VLOOKUP(X63,模板计算相关数据!$P$47:$T$50,2,0),VLOOKUP(X63,模板计算相关数据!$P$4:$U$7,3,0))*VLOOKUP(Y63,模板计算相关数据!$P$22:$X$30,8,0)</f>
        <v>6.9411764705882364</v>
      </c>
      <c r="S63" s="62">
        <f t="shared" si="1"/>
        <v>8.2943498888557112</v>
      </c>
      <c r="T63" s="133">
        <f>IF(P63=模板计算相关数据!$AB$24,VLOOKUP(X63,模板计算相关数据!$P$47:$T$50,5,0),VLOOKUP(X63,模板计算相关数据!$P$4:$U$7,6,0))*VLOOKUP(Y63,模板计算相关数据!$P$22:$X$30,9,0)</f>
        <v>8.2943498888557112</v>
      </c>
      <c r="U63" s="95">
        <v>2</v>
      </c>
      <c r="V63" s="95">
        <f t="shared" si="2"/>
        <v>1</v>
      </c>
      <c r="W63" s="29">
        <f>VLOOKUP(U63,模板计算相关数据!A:N,2,0)</f>
        <v>1</v>
      </c>
      <c r="X63" s="3" t="s">
        <v>151</v>
      </c>
      <c r="Y63" s="3" t="s">
        <v>234</v>
      </c>
      <c r="Z63" s="100">
        <v>10</v>
      </c>
      <c r="AA63" s="2">
        <v>0.5</v>
      </c>
      <c r="AB63" s="2">
        <v>1</v>
      </c>
      <c r="AC63" s="2">
        <v>1</v>
      </c>
      <c r="AD63" s="95">
        <v>0</v>
      </c>
      <c r="AE63" s="95">
        <v>0</v>
      </c>
      <c r="AF63" s="95">
        <v>0</v>
      </c>
      <c r="AG63" s="95">
        <v>0</v>
      </c>
      <c r="AH63" s="95">
        <v>0</v>
      </c>
      <c r="AI63" s="95">
        <v>0</v>
      </c>
      <c r="AJ63" s="3">
        <f>INT(VLOOKUP(U63,模板计算相关数据!A:N,4,0)*VLOOKUP(U63,模板计算相关数据!A:N,14,0)*(1+MAX(0,(VLOOKUP(U63,模板计算相关数据!A:N,7,0)-AQ63))*VLOOKUP(U63,模板计算相关数据!A:N,8,0))*(1-(AL63+AM63)*0.5/((AL63+AM63)*0.5+(VLOOKUP(U63,模板计算相关数据!A:N,2,0)+模板计算相关数据!$AC$27)*模板计算相关数据!$AC$28))*Q63*Z63)</f>
        <v>5617</v>
      </c>
      <c r="AK63" s="3">
        <f>INT(VLOOKUP(U63,模板计算相关数据!A:N,3,0)/模板计算相关数据!$W$35/(1+MAX(0,(AO63/10000-VLOOKUP(U63,模板计算相关数据!A:N,9,0)))*AP63/10000)/(1-VLOOKUP(U63,模板计算相关数据!A:N,5,0)/(VLOOKUP(U63,模板计算相关数据!A:N,5,0)+(VLOOKUP(U63,模板计算相关数据!A:N,2,0)+模板计算相关数据!$AC$27)*模板计算相关数据!$AC$28))/S63*AA63)</f>
        <v>33</v>
      </c>
      <c r="AL63" s="3">
        <f>INT(VLOOKUP(U63,模板计算相关数据!A:N,5,0)*VLOOKUP(X63,模板计算相关数据!$P$4:$T$7,4,0)*VLOOKUP(Y63,模板计算相关数据!$P$22:$U$30,4,0)*AB63)</f>
        <v>153</v>
      </c>
      <c r="AM63" s="3">
        <f>INT(VLOOKUP(U63,模板计算相关数据!A:N,6,0)*VLOOKUP(X63,模板计算相关数据!$P$4:$T$7,4,0)*VLOOKUP(Y63,模板计算相关数据!$P$22:$U$30,5,0)*AC63)</f>
        <v>277</v>
      </c>
      <c r="AN63" s="3">
        <f>VLOOKUP(U63,模板计算相关数据!A:N,10,0)*0.5*VLOOKUP(Y63,模板计算相关数据!$P$22:$U$30,6,0)+AD63</f>
        <v>225</v>
      </c>
      <c r="AO63" s="3">
        <f>VLOOKUP(INT(VLOOKUP(U63,模板计算相关数据!A:N,2,0)/30)+1,模板计算相关数据!$O$35:$U$40,3,0)+AE63</f>
        <v>0</v>
      </c>
      <c r="AP63" s="3">
        <f>VLOOKUP(INT(VLOOKUP(U63,模板计算相关数据!A:N,2,0)/30)+1,模板计算相关数据!$O$35:$U$40,4,0)+AF63</f>
        <v>5000</v>
      </c>
      <c r="AQ63" s="3">
        <f>VLOOKUP(INT(VLOOKUP(U63,模板计算相关数据!A:N,2,0)/30)+1,模板计算相关数据!$O$35:$U$40,5,0)+AG63</f>
        <v>0</v>
      </c>
      <c r="AR63" s="3">
        <f>VLOOKUP(INT(VLOOKUP(U63,模板计算相关数据!A:N,2,0)/30)+1,模板计算相关数据!$O$35:$U$40,6,0)+AH63</f>
        <v>0</v>
      </c>
      <c r="AS63" s="3">
        <f>VLOOKUP(INT(VLOOKUP(U63,模板计算相关数据!A:N,2,0)/30)+1,模板计算相关数据!$O$35:$U$40,7,0)+AI63</f>
        <v>0</v>
      </c>
      <c r="AT63" s="3">
        <f>VLOOKUP(INT(VLOOKUP(U63,模板计算相关数据!A:N,2,0)/30)+1,模板计算相关数据!$O$35:$V$40,8,0)</f>
        <v>0</v>
      </c>
      <c r="AU63" s="87"/>
    </row>
    <row r="64" spans="1:47" s="9" customFormat="1" x14ac:dyDescent="0.2">
      <c r="A64" s="3">
        <v>256</v>
      </c>
      <c r="B64" s="3"/>
      <c r="C64" s="87" t="s">
        <v>1659</v>
      </c>
      <c r="D64" s="69" t="s">
        <v>1660</v>
      </c>
      <c r="E64" s="2"/>
      <c r="F64" s="3">
        <v>1</v>
      </c>
      <c r="G64" s="3">
        <v>1000401</v>
      </c>
      <c r="H64" s="3">
        <v>2</v>
      </c>
      <c r="I64" s="3">
        <v>5</v>
      </c>
      <c r="J64" s="3">
        <v>6</v>
      </c>
      <c r="K64" s="3"/>
      <c r="L64" s="2" t="s">
        <v>161</v>
      </c>
      <c r="M64" s="2"/>
      <c r="N64" s="2">
        <v>1</v>
      </c>
      <c r="O64" s="69"/>
      <c r="P64" s="3" t="s">
        <v>1615</v>
      </c>
      <c r="Q64" s="95">
        <f t="shared" si="0"/>
        <v>5</v>
      </c>
      <c r="R64" s="133">
        <f>IF(P64=模板计算相关数据!$W$24,VLOOKUP(X64,模板计算相关数据!$P$47:$T$50,2,0),VLOOKUP(X64,模板计算相关数据!$P$4:$U$7,3,0))</f>
        <v>5</v>
      </c>
      <c r="S64" s="62">
        <f t="shared" si="1"/>
        <v>6.6666666666666661</v>
      </c>
      <c r="T64" s="133">
        <f>IF(P64=模板计算相关数据!$W$24,VLOOKUP(X64,模板计算相关数据!$P$47:$T$50,5,0),VLOOKUP(X64,模板计算相关数据!$P$4:$U$7,6,0))</f>
        <v>6.6666666666666661</v>
      </c>
      <c r="U64" s="3">
        <v>1</v>
      </c>
      <c r="V64" s="95">
        <f t="shared" si="2"/>
        <v>1</v>
      </c>
      <c r="W64" s="29">
        <f>VLOOKUP(U64,模板计算相关数据!A:N,2,0)</f>
        <v>1</v>
      </c>
      <c r="X64" s="3" t="s">
        <v>151</v>
      </c>
      <c r="Y64" s="3" t="s">
        <v>234</v>
      </c>
      <c r="Z64" s="100">
        <v>10</v>
      </c>
      <c r="AA64" s="2">
        <v>0.5</v>
      </c>
      <c r="AB64" s="2">
        <v>1</v>
      </c>
      <c r="AC64" s="2">
        <v>1</v>
      </c>
      <c r="AD64" s="95">
        <v>0</v>
      </c>
      <c r="AE64" s="95">
        <v>0</v>
      </c>
      <c r="AF64" s="95">
        <v>0</v>
      </c>
      <c r="AG64" s="95">
        <v>0</v>
      </c>
      <c r="AH64" s="95">
        <v>0</v>
      </c>
      <c r="AI64" s="95">
        <v>0</v>
      </c>
      <c r="AJ64" s="3">
        <f>INT(VLOOKUP(U64,模板计算相关数据!A:N,4,0)*VLOOKUP(U64,模板计算相关数据!A:N,14,0)*(1+MAX(0,(VLOOKUP(U64,模板计算相关数据!A:N,7,0)-AQ64))*VLOOKUP(U64,模板计算相关数据!A:N,8,0))*(1-(AL64+AM64)*0.5/((AL64+AM64)*0.5+(VLOOKUP(U64,模板计算相关数据!A:N,2,0)+模板计算相关数据!$AC$27)*模板计算相关数据!$AC$28))*Q64*Z64)</f>
        <v>3511</v>
      </c>
      <c r="AK64" s="3">
        <f>INT(VLOOKUP(U64,模板计算相关数据!A:N,3,0)/模板计算相关数据!$W$35/(1+MAX(0,(AO64/10000-VLOOKUP(U64,模板计算相关数据!A:N,9,0)))*AP64/10000)/(1-VLOOKUP(U64,模板计算相关数据!A:N,5,0)/(VLOOKUP(U64,模板计算相关数据!A:N,5,0)+(VLOOKUP(U64,模板计算相关数据!A:N,2,0)+模板计算相关数据!$AC$27)*模板计算相关数据!$AC$28))/S64*AA64)</f>
        <v>41</v>
      </c>
      <c r="AL64" s="3">
        <f>INT(VLOOKUP(U64,模板计算相关数据!A:N,5,0)*VLOOKUP(X64,模板计算相关数据!$P$4:$T$7,4,0)*VLOOKUP(Y64,模板计算相关数据!$P$22:$U$30,4,0)*AB64)</f>
        <v>153</v>
      </c>
      <c r="AM64" s="3">
        <f>INT(VLOOKUP(U64,模板计算相关数据!A:N,6,0)*VLOOKUP(X64,模板计算相关数据!$P$4:$T$7,4,0)*VLOOKUP(Y64,模板计算相关数据!$P$22:$U$30,5,0)*AC64)</f>
        <v>277</v>
      </c>
      <c r="AN64" s="3">
        <f>VLOOKUP(U64,模板计算相关数据!A:N,10,0)*0.5*VLOOKUP(Y64,模板计算相关数据!$P$22:$U$30,6,0)+AD64</f>
        <v>225</v>
      </c>
      <c r="AO64" s="3">
        <f>VLOOKUP(INT(VLOOKUP(U64,模板计算相关数据!A:N,2,0)/30)+1,模板计算相关数据!$O$35:$U$40,3,0)+AE64</f>
        <v>0</v>
      </c>
      <c r="AP64" s="3">
        <f>VLOOKUP(INT(VLOOKUP(U64,模板计算相关数据!A:N,2,0)/30)+1,模板计算相关数据!$O$35:$U$40,4,0)+AF64</f>
        <v>5000</v>
      </c>
      <c r="AQ64" s="3">
        <f>VLOOKUP(INT(VLOOKUP(U64,模板计算相关数据!A:N,2,0)/30)+1,模板计算相关数据!$O$35:$U$40,5,0)+AG64</f>
        <v>0</v>
      </c>
      <c r="AR64" s="3">
        <f>VLOOKUP(INT(VLOOKUP(U64,模板计算相关数据!A:N,2,0)/30)+1,模板计算相关数据!$O$35:$U$40,6,0)+AH64</f>
        <v>0</v>
      </c>
      <c r="AS64" s="3">
        <f>VLOOKUP(INT(VLOOKUP(U64,模板计算相关数据!A:N,2,0)/30)+1,模板计算相关数据!$O$35:$U$40,7,0)+AI64</f>
        <v>0</v>
      </c>
      <c r="AT64" s="3">
        <f>VLOOKUP(INT(VLOOKUP(U64,模板计算相关数据!A:N,2,0)/30)+1,模板计算相关数据!$O$35:$V$40,8,0)</f>
        <v>0</v>
      </c>
      <c r="AU64" s="87"/>
    </row>
    <row r="65" spans="1:47" s="9" customFormat="1" x14ac:dyDescent="0.2">
      <c r="A65" s="3">
        <v>257</v>
      </c>
      <c r="B65" s="3"/>
      <c r="C65" s="87" t="s">
        <v>1661</v>
      </c>
      <c r="D65" s="69" t="s">
        <v>1660</v>
      </c>
      <c r="E65" s="2"/>
      <c r="F65" s="3">
        <v>1</v>
      </c>
      <c r="G65" s="3">
        <v>1000501</v>
      </c>
      <c r="H65" s="3">
        <v>2</v>
      </c>
      <c r="I65" s="3">
        <v>5</v>
      </c>
      <c r="J65" s="3">
        <v>6</v>
      </c>
      <c r="K65" s="3"/>
      <c r="L65" s="2" t="s">
        <v>164</v>
      </c>
      <c r="M65" s="2"/>
      <c r="N65" s="2">
        <v>1</v>
      </c>
      <c r="O65" s="69"/>
      <c r="P65" s="3" t="s">
        <v>1615</v>
      </c>
      <c r="Q65" s="95">
        <f t="shared" si="0"/>
        <v>5</v>
      </c>
      <c r="R65" s="133">
        <f>IF(P65=模板计算相关数据!$W$24,VLOOKUP(X65,模板计算相关数据!$P$47:$T$50,2,0),VLOOKUP(X65,模板计算相关数据!$P$4:$U$7,3,0))</f>
        <v>5</v>
      </c>
      <c r="S65" s="62">
        <f t="shared" si="1"/>
        <v>6.6666666666666661</v>
      </c>
      <c r="T65" s="133">
        <f>IF(P65=模板计算相关数据!$W$24,VLOOKUP(X65,模板计算相关数据!$P$47:$T$50,5,0),VLOOKUP(X65,模板计算相关数据!$P$4:$U$7,6,0))</f>
        <v>6.6666666666666661</v>
      </c>
      <c r="U65" s="3">
        <v>1</v>
      </c>
      <c r="V65" s="95">
        <f t="shared" si="2"/>
        <v>1</v>
      </c>
      <c r="W65" s="29">
        <f>VLOOKUP(U65,模板计算相关数据!A:N,2,0)</f>
        <v>1</v>
      </c>
      <c r="X65" s="3" t="s">
        <v>151</v>
      </c>
      <c r="Y65" s="3" t="s">
        <v>234</v>
      </c>
      <c r="Z65" s="100">
        <v>10</v>
      </c>
      <c r="AA65" s="2">
        <v>0.5</v>
      </c>
      <c r="AB65" s="2">
        <v>1</v>
      </c>
      <c r="AC65" s="2">
        <v>1</v>
      </c>
      <c r="AD65" s="95">
        <v>0</v>
      </c>
      <c r="AE65" s="95">
        <v>0</v>
      </c>
      <c r="AF65" s="95">
        <v>0</v>
      </c>
      <c r="AG65" s="95">
        <v>0</v>
      </c>
      <c r="AH65" s="95">
        <v>0</v>
      </c>
      <c r="AI65" s="95">
        <v>0</v>
      </c>
      <c r="AJ65" s="3">
        <f>INT(VLOOKUP(U65,模板计算相关数据!A:N,4,0)*VLOOKUP(U65,模板计算相关数据!A:N,14,0)*(1+MAX(0,(VLOOKUP(U65,模板计算相关数据!A:N,7,0)-AQ65))*VLOOKUP(U65,模板计算相关数据!A:N,8,0))*(1-(AL65+AM65)*0.5/((AL65+AM65)*0.5+(VLOOKUP(U65,模板计算相关数据!A:N,2,0)+模板计算相关数据!$AC$27)*模板计算相关数据!$AC$28))*Q65*Z65)</f>
        <v>3511</v>
      </c>
      <c r="AK65" s="3">
        <f>INT(VLOOKUP(U65,模板计算相关数据!A:N,3,0)/模板计算相关数据!$W$35/(1+MAX(0,(AO65/10000-VLOOKUP(U65,模板计算相关数据!A:N,9,0)))*AP65/10000)/(1-VLOOKUP(U65,模板计算相关数据!A:N,5,0)/(VLOOKUP(U65,模板计算相关数据!A:N,5,0)+(VLOOKUP(U65,模板计算相关数据!A:N,2,0)+模板计算相关数据!$AC$27)*模板计算相关数据!$AC$28))/S65*AA65)</f>
        <v>41</v>
      </c>
      <c r="AL65" s="3">
        <f>INT(VLOOKUP(U65,模板计算相关数据!A:N,5,0)*VLOOKUP(X65,模板计算相关数据!$P$4:$T$7,4,0)*VLOOKUP(Y65,模板计算相关数据!$P$22:$U$30,4,0)*AB65)</f>
        <v>153</v>
      </c>
      <c r="AM65" s="3">
        <f>INT(VLOOKUP(U65,模板计算相关数据!A:N,6,0)*VLOOKUP(X65,模板计算相关数据!$P$4:$T$7,4,0)*VLOOKUP(Y65,模板计算相关数据!$P$22:$U$30,5,0)*AC65)</f>
        <v>277</v>
      </c>
      <c r="AN65" s="3">
        <f>VLOOKUP(U65,模板计算相关数据!A:N,10,0)*0.5*VLOOKUP(Y65,模板计算相关数据!$P$22:$U$30,6,0)+AD65</f>
        <v>225</v>
      </c>
      <c r="AO65" s="3">
        <f>VLOOKUP(INT(VLOOKUP(U65,模板计算相关数据!A:N,2,0)/30)+1,模板计算相关数据!$O$35:$U$40,3,0)+AE65</f>
        <v>0</v>
      </c>
      <c r="AP65" s="3">
        <f>VLOOKUP(INT(VLOOKUP(U65,模板计算相关数据!A:N,2,0)/30)+1,模板计算相关数据!$O$35:$U$40,4,0)+AF65</f>
        <v>5000</v>
      </c>
      <c r="AQ65" s="3">
        <f>VLOOKUP(INT(VLOOKUP(U65,模板计算相关数据!A:N,2,0)/30)+1,模板计算相关数据!$O$35:$U$40,5,0)+AG65</f>
        <v>0</v>
      </c>
      <c r="AR65" s="3">
        <f>VLOOKUP(INT(VLOOKUP(U65,模板计算相关数据!A:N,2,0)/30)+1,模板计算相关数据!$O$35:$U$40,6,0)+AH65</f>
        <v>0</v>
      </c>
      <c r="AS65" s="3">
        <f>VLOOKUP(INT(VLOOKUP(U65,模板计算相关数据!A:N,2,0)/30)+1,模板计算相关数据!$O$35:$U$40,7,0)+AI65</f>
        <v>0</v>
      </c>
      <c r="AT65" s="3">
        <f>VLOOKUP(INT(VLOOKUP(U65,模板计算相关数据!A:N,2,0)/30)+1,模板计算相关数据!$O$35:$V$40,8,0)</f>
        <v>0</v>
      </c>
      <c r="AU65" s="87"/>
    </row>
    <row r="66" spans="1:47" s="9" customFormat="1" x14ac:dyDescent="0.2">
      <c r="A66" s="3">
        <v>258</v>
      </c>
      <c r="B66" s="3"/>
      <c r="C66" s="87" t="s">
        <v>165</v>
      </c>
      <c r="D66" s="69" t="s">
        <v>1660</v>
      </c>
      <c r="E66" s="2"/>
      <c r="F66" s="3">
        <v>1</v>
      </c>
      <c r="G66" s="3">
        <v>1000601</v>
      </c>
      <c r="H66" s="3">
        <v>2</v>
      </c>
      <c r="I66" s="3">
        <v>5</v>
      </c>
      <c r="J66" s="3">
        <v>6</v>
      </c>
      <c r="K66" s="3"/>
      <c r="L66" s="2" t="s">
        <v>166</v>
      </c>
      <c r="M66" s="2"/>
      <c r="N66" s="2">
        <v>1</v>
      </c>
      <c r="O66" s="69"/>
      <c r="P66" s="3" t="s">
        <v>1615</v>
      </c>
      <c r="Q66" s="95">
        <f t="shared" si="0"/>
        <v>5</v>
      </c>
      <c r="R66" s="133">
        <f>IF(P66=模板计算相关数据!$W$24,VLOOKUP(X66,模板计算相关数据!$P$47:$T$50,2,0),VLOOKUP(X66,模板计算相关数据!$P$4:$U$7,3,0))</f>
        <v>5</v>
      </c>
      <c r="S66" s="62">
        <f t="shared" si="1"/>
        <v>6.6666666666666661</v>
      </c>
      <c r="T66" s="133">
        <f>IF(P66=模板计算相关数据!$W$24,VLOOKUP(X66,模板计算相关数据!$P$47:$T$50,5,0),VLOOKUP(X66,模板计算相关数据!$P$4:$U$7,6,0))</f>
        <v>6.6666666666666661</v>
      </c>
      <c r="U66" s="3">
        <v>1</v>
      </c>
      <c r="V66" s="95">
        <f t="shared" si="2"/>
        <v>1</v>
      </c>
      <c r="W66" s="29">
        <f>VLOOKUP(U66,模板计算相关数据!A:N,2,0)</f>
        <v>1</v>
      </c>
      <c r="X66" s="3" t="s">
        <v>151</v>
      </c>
      <c r="Y66" s="3" t="s">
        <v>234</v>
      </c>
      <c r="Z66" s="100">
        <v>10</v>
      </c>
      <c r="AA66" s="2">
        <v>0.5</v>
      </c>
      <c r="AB66" s="2">
        <v>1</v>
      </c>
      <c r="AC66" s="2">
        <v>1</v>
      </c>
      <c r="AD66" s="95">
        <v>0</v>
      </c>
      <c r="AE66" s="95">
        <v>0</v>
      </c>
      <c r="AF66" s="95">
        <v>0</v>
      </c>
      <c r="AG66" s="95">
        <v>0</v>
      </c>
      <c r="AH66" s="95">
        <v>0</v>
      </c>
      <c r="AI66" s="95">
        <v>0</v>
      </c>
      <c r="AJ66" s="3">
        <f>INT(VLOOKUP(U66,模板计算相关数据!A:N,4,0)*VLOOKUP(U66,模板计算相关数据!A:N,14,0)*(1+MAX(0,(VLOOKUP(U66,模板计算相关数据!A:N,7,0)-AQ66))*VLOOKUP(U66,模板计算相关数据!A:N,8,0))*(1-(AL66+AM66)*0.5/((AL66+AM66)*0.5+(VLOOKUP(U66,模板计算相关数据!A:N,2,0)+模板计算相关数据!$AC$27)*模板计算相关数据!$AC$28))*Q66*Z66)</f>
        <v>3511</v>
      </c>
      <c r="AK66" s="3">
        <f>INT(VLOOKUP(U66,模板计算相关数据!A:N,3,0)/模板计算相关数据!$W$35/(1+MAX(0,(AO66/10000-VLOOKUP(U66,模板计算相关数据!A:N,9,0)))*AP66/10000)/(1-VLOOKUP(U66,模板计算相关数据!A:N,5,0)/(VLOOKUP(U66,模板计算相关数据!A:N,5,0)+(VLOOKUP(U66,模板计算相关数据!A:N,2,0)+模板计算相关数据!$AC$27)*模板计算相关数据!$AC$28))/S66*AA66)</f>
        <v>41</v>
      </c>
      <c r="AL66" s="3">
        <f>INT(VLOOKUP(U66,模板计算相关数据!A:N,5,0)*VLOOKUP(X66,模板计算相关数据!$P$4:$T$7,4,0)*VLOOKUP(Y66,模板计算相关数据!$P$22:$U$30,4,0)*AB66)</f>
        <v>153</v>
      </c>
      <c r="AM66" s="3">
        <f>INT(VLOOKUP(U66,模板计算相关数据!A:N,6,0)*VLOOKUP(X66,模板计算相关数据!$P$4:$T$7,4,0)*VLOOKUP(Y66,模板计算相关数据!$P$22:$U$30,5,0)*AC66)</f>
        <v>277</v>
      </c>
      <c r="AN66" s="3">
        <f>VLOOKUP(U66,模板计算相关数据!A:N,10,0)*0.5*VLOOKUP(Y66,模板计算相关数据!$P$22:$U$30,6,0)+AD66</f>
        <v>225</v>
      </c>
      <c r="AO66" s="3">
        <f>VLOOKUP(INT(VLOOKUP(U66,模板计算相关数据!A:N,2,0)/30)+1,模板计算相关数据!$O$35:$U$40,3,0)+AE66</f>
        <v>0</v>
      </c>
      <c r="AP66" s="3">
        <f>VLOOKUP(INT(VLOOKUP(U66,模板计算相关数据!A:N,2,0)/30)+1,模板计算相关数据!$O$35:$U$40,4,0)+AF66</f>
        <v>5000</v>
      </c>
      <c r="AQ66" s="3">
        <f>VLOOKUP(INT(VLOOKUP(U66,模板计算相关数据!A:N,2,0)/30)+1,模板计算相关数据!$O$35:$U$40,5,0)+AG66</f>
        <v>0</v>
      </c>
      <c r="AR66" s="3">
        <f>VLOOKUP(INT(VLOOKUP(U66,模板计算相关数据!A:N,2,0)/30)+1,模板计算相关数据!$O$35:$U$40,6,0)+AH66</f>
        <v>0</v>
      </c>
      <c r="AS66" s="3">
        <f>VLOOKUP(INT(VLOOKUP(U66,模板计算相关数据!A:N,2,0)/30)+1,模板计算相关数据!$O$35:$U$40,7,0)+AI66</f>
        <v>0</v>
      </c>
      <c r="AT66" s="3">
        <f>VLOOKUP(INT(VLOOKUP(U66,模板计算相关数据!A:N,2,0)/30)+1,模板计算相关数据!$O$35:$V$40,8,0)</f>
        <v>0</v>
      </c>
      <c r="AU66" s="87"/>
    </row>
    <row r="67" spans="1:47" s="9" customFormat="1" x14ac:dyDescent="0.2">
      <c r="A67" s="3">
        <v>259</v>
      </c>
      <c r="B67" s="3"/>
      <c r="C67" s="87" t="s">
        <v>148</v>
      </c>
      <c r="D67" s="69" t="s">
        <v>1660</v>
      </c>
      <c r="E67" s="2"/>
      <c r="F67" s="3">
        <v>1</v>
      </c>
      <c r="G67" s="3">
        <v>1000701</v>
      </c>
      <c r="H67" s="3">
        <v>2</v>
      </c>
      <c r="I67" s="3">
        <v>5</v>
      </c>
      <c r="J67" s="3">
        <v>6</v>
      </c>
      <c r="K67" s="3"/>
      <c r="L67" s="2" t="s">
        <v>149</v>
      </c>
      <c r="M67" s="2"/>
      <c r="N67" s="2">
        <v>1</v>
      </c>
      <c r="O67" s="69"/>
      <c r="P67" s="3" t="s">
        <v>1615</v>
      </c>
      <c r="Q67" s="95">
        <f t="shared" si="0"/>
        <v>5</v>
      </c>
      <c r="R67" s="133">
        <f>IF(P67=模板计算相关数据!$W$24,VLOOKUP(X67,模板计算相关数据!$P$47:$T$50,2,0),VLOOKUP(X67,模板计算相关数据!$P$4:$U$7,3,0))</f>
        <v>5</v>
      </c>
      <c r="S67" s="62">
        <f t="shared" si="1"/>
        <v>6.6666666666666661</v>
      </c>
      <c r="T67" s="133">
        <f>IF(P67=模板计算相关数据!$W$24,VLOOKUP(X67,模板计算相关数据!$P$47:$T$50,5,0),VLOOKUP(X67,模板计算相关数据!$P$4:$U$7,6,0))</f>
        <v>6.6666666666666661</v>
      </c>
      <c r="U67" s="3">
        <v>1</v>
      </c>
      <c r="V67" s="95">
        <f t="shared" si="2"/>
        <v>1</v>
      </c>
      <c r="W67" s="29">
        <f>VLOOKUP(U67,模板计算相关数据!A:N,2,0)</f>
        <v>1</v>
      </c>
      <c r="X67" s="3" t="s">
        <v>151</v>
      </c>
      <c r="Y67" s="3" t="s">
        <v>234</v>
      </c>
      <c r="Z67" s="100">
        <v>10</v>
      </c>
      <c r="AA67" s="2">
        <v>0.5</v>
      </c>
      <c r="AB67" s="2">
        <v>1</v>
      </c>
      <c r="AC67" s="2">
        <v>1</v>
      </c>
      <c r="AD67" s="95">
        <v>0</v>
      </c>
      <c r="AE67" s="95">
        <v>0</v>
      </c>
      <c r="AF67" s="95">
        <v>0</v>
      </c>
      <c r="AG67" s="95">
        <v>0</v>
      </c>
      <c r="AH67" s="95">
        <v>0</v>
      </c>
      <c r="AI67" s="95">
        <v>0</v>
      </c>
      <c r="AJ67" s="3">
        <f>INT(VLOOKUP(U67,模板计算相关数据!A:N,4,0)*VLOOKUP(U67,模板计算相关数据!A:N,14,0)*(1+MAX(0,(VLOOKUP(U67,模板计算相关数据!A:N,7,0)-AQ67))*VLOOKUP(U67,模板计算相关数据!A:N,8,0))*(1-(AL67+AM67)*0.5/((AL67+AM67)*0.5+(VLOOKUP(U67,模板计算相关数据!A:N,2,0)+模板计算相关数据!$AC$27)*模板计算相关数据!$AC$28))*Q67*Z67)</f>
        <v>3511</v>
      </c>
      <c r="AK67" s="3">
        <f>INT(VLOOKUP(U67,模板计算相关数据!A:N,3,0)/模板计算相关数据!$W$35/(1+MAX(0,(AO67/10000-VLOOKUP(U67,模板计算相关数据!A:N,9,0)))*AP67/10000)/(1-VLOOKUP(U67,模板计算相关数据!A:N,5,0)/(VLOOKUP(U67,模板计算相关数据!A:N,5,0)+(VLOOKUP(U67,模板计算相关数据!A:N,2,0)+模板计算相关数据!$AC$27)*模板计算相关数据!$AC$28))/S67*AA67)</f>
        <v>41</v>
      </c>
      <c r="AL67" s="3">
        <f>INT(VLOOKUP(U67,模板计算相关数据!A:N,5,0)*VLOOKUP(X67,模板计算相关数据!$P$4:$T$7,4,0)*VLOOKUP(Y67,模板计算相关数据!$P$22:$U$30,4,0)*AB67)</f>
        <v>153</v>
      </c>
      <c r="AM67" s="3">
        <f>INT(VLOOKUP(U67,模板计算相关数据!A:N,6,0)*VLOOKUP(X67,模板计算相关数据!$P$4:$T$7,4,0)*VLOOKUP(Y67,模板计算相关数据!$P$22:$U$30,5,0)*AC67)</f>
        <v>277</v>
      </c>
      <c r="AN67" s="3">
        <f>VLOOKUP(U67,模板计算相关数据!A:N,10,0)*0.5*VLOOKUP(Y67,模板计算相关数据!$P$22:$U$30,6,0)+AD67</f>
        <v>225</v>
      </c>
      <c r="AO67" s="3">
        <f>VLOOKUP(INT(VLOOKUP(U67,模板计算相关数据!A:N,2,0)/30)+1,模板计算相关数据!$O$35:$U$40,3,0)+AE67</f>
        <v>0</v>
      </c>
      <c r="AP67" s="3">
        <f>VLOOKUP(INT(VLOOKUP(U67,模板计算相关数据!A:N,2,0)/30)+1,模板计算相关数据!$O$35:$U$40,4,0)+AF67</f>
        <v>5000</v>
      </c>
      <c r="AQ67" s="3">
        <f>VLOOKUP(INT(VLOOKUP(U67,模板计算相关数据!A:N,2,0)/30)+1,模板计算相关数据!$O$35:$U$40,5,0)+AG67</f>
        <v>0</v>
      </c>
      <c r="AR67" s="3">
        <f>VLOOKUP(INT(VLOOKUP(U67,模板计算相关数据!A:N,2,0)/30)+1,模板计算相关数据!$O$35:$U$40,6,0)+AH67</f>
        <v>0</v>
      </c>
      <c r="AS67" s="3">
        <f>VLOOKUP(INT(VLOOKUP(U67,模板计算相关数据!A:N,2,0)/30)+1,模板计算相关数据!$O$35:$U$40,7,0)+AI67</f>
        <v>0</v>
      </c>
      <c r="AT67" s="3">
        <f>VLOOKUP(INT(VLOOKUP(U67,模板计算相关数据!A:N,2,0)/30)+1,模板计算相关数据!$O$35:$V$40,8,0)</f>
        <v>0</v>
      </c>
      <c r="AU67" s="87"/>
    </row>
    <row r="68" spans="1:47" s="9" customFormat="1" x14ac:dyDescent="0.2">
      <c r="A68" s="3">
        <v>260</v>
      </c>
      <c r="B68" s="3"/>
      <c r="C68" s="87" t="s">
        <v>153</v>
      </c>
      <c r="D68" s="69" t="s">
        <v>1660</v>
      </c>
      <c r="E68" s="2"/>
      <c r="F68" s="3">
        <v>1</v>
      </c>
      <c r="G68" s="3">
        <v>1000801</v>
      </c>
      <c r="H68" s="3">
        <v>2</v>
      </c>
      <c r="I68" s="3">
        <v>5</v>
      </c>
      <c r="J68" s="3">
        <v>6</v>
      </c>
      <c r="K68" s="3"/>
      <c r="L68" s="2" t="s">
        <v>154</v>
      </c>
      <c r="M68" s="2"/>
      <c r="N68" s="2">
        <v>1</v>
      </c>
      <c r="O68" s="69"/>
      <c r="P68" s="3" t="s">
        <v>1615</v>
      </c>
      <c r="Q68" s="95">
        <f t="shared" si="0"/>
        <v>5</v>
      </c>
      <c r="R68" s="133">
        <f>IF(P68=模板计算相关数据!$W$24,VLOOKUP(X68,模板计算相关数据!$P$47:$T$50,2,0),VLOOKUP(X68,模板计算相关数据!$P$4:$U$7,3,0))</f>
        <v>5</v>
      </c>
      <c r="S68" s="62">
        <f t="shared" si="1"/>
        <v>6.6666666666666661</v>
      </c>
      <c r="T68" s="133">
        <f>IF(P68=模板计算相关数据!$W$24,VLOOKUP(X68,模板计算相关数据!$P$47:$T$50,5,0),VLOOKUP(X68,模板计算相关数据!$P$4:$U$7,6,0))</f>
        <v>6.6666666666666661</v>
      </c>
      <c r="U68" s="3">
        <v>1</v>
      </c>
      <c r="V68" s="95">
        <f t="shared" si="2"/>
        <v>1</v>
      </c>
      <c r="W68" s="29">
        <f>VLOOKUP(U68,模板计算相关数据!A:N,2,0)</f>
        <v>1</v>
      </c>
      <c r="X68" s="3" t="s">
        <v>151</v>
      </c>
      <c r="Y68" s="3" t="s">
        <v>234</v>
      </c>
      <c r="Z68" s="100">
        <v>10</v>
      </c>
      <c r="AA68" s="2">
        <v>0.5</v>
      </c>
      <c r="AB68" s="2">
        <v>1</v>
      </c>
      <c r="AC68" s="2">
        <v>1</v>
      </c>
      <c r="AD68" s="95">
        <v>0</v>
      </c>
      <c r="AE68" s="95">
        <v>0</v>
      </c>
      <c r="AF68" s="95">
        <v>0</v>
      </c>
      <c r="AG68" s="95">
        <v>0</v>
      </c>
      <c r="AH68" s="95">
        <v>0</v>
      </c>
      <c r="AI68" s="95">
        <v>0</v>
      </c>
      <c r="AJ68" s="3">
        <f>INT(VLOOKUP(U68,模板计算相关数据!A:N,4,0)*VLOOKUP(U68,模板计算相关数据!A:N,14,0)*(1+MAX(0,(VLOOKUP(U68,模板计算相关数据!A:N,7,0)-AQ68))*VLOOKUP(U68,模板计算相关数据!A:N,8,0))*(1-(AL68+AM68)*0.5/((AL68+AM68)*0.5+(VLOOKUP(U68,模板计算相关数据!A:N,2,0)+模板计算相关数据!$AC$27)*模板计算相关数据!$AC$28))*Q68*Z68)</f>
        <v>3511</v>
      </c>
      <c r="AK68" s="3">
        <f>INT(VLOOKUP(U68,模板计算相关数据!A:N,3,0)/模板计算相关数据!$W$35/(1+MAX(0,(AO68/10000-VLOOKUP(U68,模板计算相关数据!A:N,9,0)))*AP68/10000)/(1-VLOOKUP(U68,模板计算相关数据!A:N,5,0)/(VLOOKUP(U68,模板计算相关数据!A:N,5,0)+(VLOOKUP(U68,模板计算相关数据!A:N,2,0)+模板计算相关数据!$AC$27)*模板计算相关数据!$AC$28))/S68*AA68)</f>
        <v>41</v>
      </c>
      <c r="AL68" s="3">
        <f>INT(VLOOKUP(U68,模板计算相关数据!A:N,5,0)*VLOOKUP(X68,模板计算相关数据!$P$4:$T$7,4,0)*VLOOKUP(Y68,模板计算相关数据!$P$22:$U$30,4,0)*AB68)</f>
        <v>153</v>
      </c>
      <c r="AM68" s="3">
        <f>INT(VLOOKUP(U68,模板计算相关数据!A:N,6,0)*VLOOKUP(X68,模板计算相关数据!$P$4:$T$7,4,0)*VLOOKUP(Y68,模板计算相关数据!$P$22:$U$30,5,0)*AC68)</f>
        <v>277</v>
      </c>
      <c r="AN68" s="3">
        <f>VLOOKUP(U68,模板计算相关数据!A:N,10,0)*0.5*VLOOKUP(Y68,模板计算相关数据!$P$22:$U$30,6,0)+AD68</f>
        <v>225</v>
      </c>
      <c r="AO68" s="3">
        <f>VLOOKUP(INT(VLOOKUP(U68,模板计算相关数据!A:N,2,0)/30)+1,模板计算相关数据!$O$35:$U$40,3,0)+AE68</f>
        <v>0</v>
      </c>
      <c r="AP68" s="3">
        <f>VLOOKUP(INT(VLOOKUP(U68,模板计算相关数据!A:N,2,0)/30)+1,模板计算相关数据!$O$35:$U$40,4,0)+AF68</f>
        <v>5000</v>
      </c>
      <c r="AQ68" s="3">
        <f>VLOOKUP(INT(VLOOKUP(U68,模板计算相关数据!A:N,2,0)/30)+1,模板计算相关数据!$O$35:$U$40,5,0)+AG68</f>
        <v>0</v>
      </c>
      <c r="AR68" s="3">
        <f>VLOOKUP(INT(VLOOKUP(U68,模板计算相关数据!A:N,2,0)/30)+1,模板计算相关数据!$O$35:$U$40,6,0)+AH68</f>
        <v>0</v>
      </c>
      <c r="AS68" s="3">
        <f>VLOOKUP(INT(VLOOKUP(U68,模板计算相关数据!A:N,2,0)/30)+1,模板计算相关数据!$O$35:$U$40,7,0)+AI68</f>
        <v>0</v>
      </c>
      <c r="AT68" s="3">
        <f>VLOOKUP(INT(VLOOKUP(U68,模板计算相关数据!A:N,2,0)/30)+1,模板计算相关数据!$O$35:$V$40,8,0)</f>
        <v>0</v>
      </c>
      <c r="AU68" s="87"/>
    </row>
    <row r="69" spans="1:47" s="9" customFormat="1" x14ac:dyDescent="0.2">
      <c r="A69" s="3">
        <v>261</v>
      </c>
      <c r="B69" s="3"/>
      <c r="C69" s="87" t="s">
        <v>176</v>
      </c>
      <c r="D69" s="69" t="s">
        <v>1660</v>
      </c>
      <c r="E69" s="2"/>
      <c r="F69" s="3">
        <v>1</v>
      </c>
      <c r="G69" s="3">
        <v>1006201</v>
      </c>
      <c r="H69" s="3">
        <v>2</v>
      </c>
      <c r="I69" s="3">
        <v>5</v>
      </c>
      <c r="J69" s="3">
        <v>6</v>
      </c>
      <c r="K69" s="3">
        <v>3</v>
      </c>
      <c r="L69" s="2" t="s">
        <v>1662</v>
      </c>
      <c r="M69" s="2"/>
      <c r="N69" s="2">
        <v>1</v>
      </c>
      <c r="O69" s="69"/>
      <c r="P69" s="3" t="s">
        <v>1615</v>
      </c>
      <c r="Q69" s="95">
        <f t="shared" si="0"/>
        <v>5</v>
      </c>
      <c r="R69" s="133">
        <f>IF(P69=模板计算相关数据!$W$24,VLOOKUP(X69,模板计算相关数据!$P$47:$T$50,2,0),VLOOKUP(X69,模板计算相关数据!$P$4:$U$7,3,0))</f>
        <v>5</v>
      </c>
      <c r="S69" s="62">
        <f t="shared" si="1"/>
        <v>6.6666666666666661</v>
      </c>
      <c r="T69" s="133">
        <f>IF(P69=模板计算相关数据!$W$24,VLOOKUP(X69,模板计算相关数据!$P$47:$T$50,5,0),VLOOKUP(X69,模板计算相关数据!$P$4:$U$7,6,0))</f>
        <v>6.6666666666666661</v>
      </c>
      <c r="U69" s="3">
        <v>1</v>
      </c>
      <c r="V69" s="95">
        <f t="shared" si="2"/>
        <v>1</v>
      </c>
      <c r="W69" s="29">
        <f>VLOOKUP(U69,模板计算相关数据!A:N,2,0)</f>
        <v>1</v>
      </c>
      <c r="X69" s="3" t="s">
        <v>151</v>
      </c>
      <c r="Y69" s="3" t="s">
        <v>234</v>
      </c>
      <c r="Z69" s="100">
        <v>10</v>
      </c>
      <c r="AA69" s="2">
        <v>0.5</v>
      </c>
      <c r="AB69" s="2">
        <v>1</v>
      </c>
      <c r="AC69" s="2">
        <v>1</v>
      </c>
      <c r="AD69" s="95">
        <v>0</v>
      </c>
      <c r="AE69" s="95">
        <v>0</v>
      </c>
      <c r="AF69" s="95">
        <v>0</v>
      </c>
      <c r="AG69" s="95">
        <v>0</v>
      </c>
      <c r="AH69" s="95">
        <v>0</v>
      </c>
      <c r="AI69" s="95">
        <v>0</v>
      </c>
      <c r="AJ69" s="3">
        <f>INT(VLOOKUP(U69,模板计算相关数据!A:N,4,0)*VLOOKUP(U69,模板计算相关数据!A:N,14,0)*(1+MAX(0,(VLOOKUP(U69,模板计算相关数据!A:N,7,0)-AQ69))*VLOOKUP(U69,模板计算相关数据!A:N,8,0))*(1-(AL69+AM69)*0.5/((AL69+AM69)*0.5+(VLOOKUP(U69,模板计算相关数据!A:N,2,0)+模板计算相关数据!$AC$27)*模板计算相关数据!$AC$28))*Q69*Z69)</f>
        <v>3511</v>
      </c>
      <c r="AK69" s="3">
        <f>INT(VLOOKUP(U69,模板计算相关数据!A:N,3,0)/模板计算相关数据!$W$35/(1+MAX(0,(AO69/10000-VLOOKUP(U69,模板计算相关数据!A:N,9,0)))*AP69/10000)/(1-VLOOKUP(U69,模板计算相关数据!A:N,5,0)/(VLOOKUP(U69,模板计算相关数据!A:N,5,0)+(VLOOKUP(U69,模板计算相关数据!A:N,2,0)+模板计算相关数据!$AC$27)*模板计算相关数据!$AC$28))/S69*AA69)</f>
        <v>41</v>
      </c>
      <c r="AL69" s="3">
        <f>INT(VLOOKUP(U69,模板计算相关数据!A:N,5,0)*VLOOKUP(X69,模板计算相关数据!$P$4:$T$7,4,0)*VLOOKUP(Y69,模板计算相关数据!$P$22:$U$30,4,0)*AB69)</f>
        <v>153</v>
      </c>
      <c r="AM69" s="3">
        <f>INT(VLOOKUP(U69,模板计算相关数据!A:N,6,0)*VLOOKUP(X69,模板计算相关数据!$P$4:$T$7,4,0)*VLOOKUP(Y69,模板计算相关数据!$P$22:$U$30,5,0)*AC69)</f>
        <v>277</v>
      </c>
      <c r="AN69" s="3">
        <f>VLOOKUP(U69,模板计算相关数据!A:N,10,0)*0.5*VLOOKUP(Y69,模板计算相关数据!$P$22:$U$30,6,0)+AD69</f>
        <v>225</v>
      </c>
      <c r="AO69" s="3">
        <f>VLOOKUP(INT(VLOOKUP(U69,模板计算相关数据!A:N,2,0)/30)+1,模板计算相关数据!$O$35:$U$40,3,0)+AE69</f>
        <v>0</v>
      </c>
      <c r="AP69" s="3">
        <f>VLOOKUP(INT(VLOOKUP(U69,模板计算相关数据!A:N,2,0)/30)+1,模板计算相关数据!$O$35:$U$40,4,0)+AF69</f>
        <v>5000</v>
      </c>
      <c r="AQ69" s="3">
        <f>VLOOKUP(INT(VLOOKUP(U69,模板计算相关数据!A:N,2,0)/30)+1,模板计算相关数据!$O$35:$U$40,5,0)+AG69</f>
        <v>0</v>
      </c>
      <c r="AR69" s="3">
        <f>VLOOKUP(INT(VLOOKUP(U69,模板计算相关数据!A:N,2,0)/30)+1,模板计算相关数据!$O$35:$U$40,6,0)+AH69</f>
        <v>0</v>
      </c>
      <c r="AS69" s="3">
        <f>VLOOKUP(INT(VLOOKUP(U69,模板计算相关数据!A:N,2,0)/30)+1,模板计算相关数据!$O$35:$U$40,7,0)+AI69</f>
        <v>0</v>
      </c>
      <c r="AT69" s="3">
        <f>VLOOKUP(INT(VLOOKUP(U69,模板计算相关数据!A:N,2,0)/30)+1,模板计算相关数据!$O$35:$V$40,8,0)</f>
        <v>0</v>
      </c>
      <c r="AU69" s="87"/>
    </row>
    <row r="70" spans="1:47" s="9" customFormat="1" x14ac:dyDescent="0.2">
      <c r="A70" s="3">
        <v>262</v>
      </c>
      <c r="B70" s="3"/>
      <c r="C70" s="87" t="s">
        <v>1663</v>
      </c>
      <c r="D70" s="69" t="s">
        <v>1660</v>
      </c>
      <c r="E70" s="2"/>
      <c r="F70" s="3">
        <v>1</v>
      </c>
      <c r="G70" s="3">
        <v>1006301</v>
      </c>
      <c r="H70" s="3">
        <v>2</v>
      </c>
      <c r="I70" s="3">
        <v>5</v>
      </c>
      <c r="J70" s="3">
        <v>6</v>
      </c>
      <c r="K70" s="3"/>
      <c r="L70" s="2" t="s">
        <v>168</v>
      </c>
      <c r="M70" s="2" t="s">
        <v>169</v>
      </c>
      <c r="N70" s="2">
        <v>1</v>
      </c>
      <c r="O70" s="69"/>
      <c r="P70" s="3" t="s">
        <v>1615</v>
      </c>
      <c r="Q70" s="95">
        <f t="shared" ref="Q70:Q137" si="3">R70</f>
        <v>5</v>
      </c>
      <c r="R70" s="133">
        <f>IF(P70=模板计算相关数据!$W$24,VLOOKUP(X70,模板计算相关数据!$P$47:$T$50,2,0),VLOOKUP(X70,模板计算相关数据!$P$4:$U$7,3,0))</f>
        <v>5</v>
      </c>
      <c r="S70" s="62">
        <f t="shared" ref="S70:S137" si="4">T70</f>
        <v>6.6666666666666661</v>
      </c>
      <c r="T70" s="133">
        <f>IF(P70=模板计算相关数据!$W$24,VLOOKUP(X70,模板计算相关数据!$P$47:$T$50,5,0),VLOOKUP(X70,模板计算相关数据!$P$4:$U$7,6,0))</f>
        <v>6.6666666666666661</v>
      </c>
      <c r="U70" s="3">
        <v>1</v>
      </c>
      <c r="V70" s="95">
        <f t="shared" si="2"/>
        <v>1</v>
      </c>
      <c r="W70" s="29">
        <f>VLOOKUP(U70,模板计算相关数据!A:N,2,0)</f>
        <v>1</v>
      </c>
      <c r="X70" s="3" t="s">
        <v>151</v>
      </c>
      <c r="Y70" s="3" t="s">
        <v>234</v>
      </c>
      <c r="Z70" s="100">
        <v>10</v>
      </c>
      <c r="AA70" s="2">
        <v>0.5</v>
      </c>
      <c r="AB70" s="2">
        <v>1</v>
      </c>
      <c r="AC70" s="2">
        <v>1</v>
      </c>
      <c r="AD70" s="95">
        <v>0</v>
      </c>
      <c r="AE70" s="95">
        <v>0</v>
      </c>
      <c r="AF70" s="95">
        <v>0</v>
      </c>
      <c r="AG70" s="95">
        <v>0</v>
      </c>
      <c r="AH70" s="95">
        <v>0</v>
      </c>
      <c r="AI70" s="95">
        <v>0</v>
      </c>
      <c r="AJ70" s="3">
        <f>INT(VLOOKUP(U70,模板计算相关数据!A:N,4,0)*VLOOKUP(U70,模板计算相关数据!A:N,14,0)*(1+MAX(0,(VLOOKUP(U70,模板计算相关数据!A:N,7,0)-AQ70))*VLOOKUP(U70,模板计算相关数据!A:N,8,0))*(1-(AL70+AM70)*0.5/((AL70+AM70)*0.5+(VLOOKUP(U70,模板计算相关数据!A:N,2,0)+模板计算相关数据!$AC$27)*模板计算相关数据!$AC$28))*Q70*Z70)</f>
        <v>3511</v>
      </c>
      <c r="AK70" s="3">
        <f>INT(VLOOKUP(U70,模板计算相关数据!A:N,3,0)/模板计算相关数据!$W$35/(1+MAX(0,(AO70/10000-VLOOKUP(U70,模板计算相关数据!A:N,9,0)))*AP70/10000)/(1-VLOOKUP(U70,模板计算相关数据!A:N,5,0)/(VLOOKUP(U70,模板计算相关数据!A:N,5,0)+(VLOOKUP(U70,模板计算相关数据!A:N,2,0)+模板计算相关数据!$AC$27)*模板计算相关数据!$AC$28))/S70*AA70)</f>
        <v>41</v>
      </c>
      <c r="AL70" s="3">
        <f>INT(VLOOKUP(U70,模板计算相关数据!A:N,5,0)*VLOOKUP(X70,模板计算相关数据!$P$4:$T$7,4,0)*VLOOKUP(Y70,模板计算相关数据!$P$22:$U$30,4,0)*AB70)</f>
        <v>153</v>
      </c>
      <c r="AM70" s="3">
        <f>INT(VLOOKUP(U70,模板计算相关数据!A:N,6,0)*VLOOKUP(X70,模板计算相关数据!$P$4:$T$7,4,0)*VLOOKUP(Y70,模板计算相关数据!$P$22:$U$30,5,0)*AC70)</f>
        <v>277</v>
      </c>
      <c r="AN70" s="3">
        <f>VLOOKUP(U70,模板计算相关数据!A:N,10,0)*0.5*VLOOKUP(Y70,模板计算相关数据!$P$22:$U$30,6,0)+AD70</f>
        <v>225</v>
      </c>
      <c r="AO70" s="3">
        <f>VLOOKUP(INT(VLOOKUP(U70,模板计算相关数据!A:N,2,0)/30)+1,模板计算相关数据!$O$35:$U$40,3,0)+AE70</f>
        <v>0</v>
      </c>
      <c r="AP70" s="3">
        <f>VLOOKUP(INT(VLOOKUP(U70,模板计算相关数据!A:N,2,0)/30)+1,模板计算相关数据!$O$35:$U$40,4,0)+AF70</f>
        <v>5000</v>
      </c>
      <c r="AQ70" s="3">
        <f>VLOOKUP(INT(VLOOKUP(U70,模板计算相关数据!A:N,2,0)/30)+1,模板计算相关数据!$O$35:$U$40,5,0)+AG70</f>
        <v>0</v>
      </c>
      <c r="AR70" s="3">
        <f>VLOOKUP(INT(VLOOKUP(U70,模板计算相关数据!A:N,2,0)/30)+1,模板计算相关数据!$O$35:$U$40,6,0)+AH70</f>
        <v>0</v>
      </c>
      <c r="AS70" s="3">
        <f>VLOOKUP(INT(VLOOKUP(U70,模板计算相关数据!A:N,2,0)/30)+1,模板计算相关数据!$O$35:$U$40,7,0)+AI70</f>
        <v>0</v>
      </c>
      <c r="AT70" s="3">
        <f>VLOOKUP(INT(VLOOKUP(U70,模板计算相关数据!A:N,2,0)/30)+1,模板计算相关数据!$O$35:$V$40,8,0)</f>
        <v>0</v>
      </c>
      <c r="AU70" s="87"/>
    </row>
    <row r="71" spans="1:47" s="9" customFormat="1" x14ac:dyDescent="0.2">
      <c r="A71" s="3">
        <v>263</v>
      </c>
      <c r="B71" s="3"/>
      <c r="C71" s="87" t="s">
        <v>1664</v>
      </c>
      <c r="D71" s="69" t="s">
        <v>1660</v>
      </c>
      <c r="E71" s="2"/>
      <c r="F71" s="3">
        <v>1</v>
      </c>
      <c r="G71" s="3">
        <v>1006401</v>
      </c>
      <c r="H71" s="3">
        <v>2</v>
      </c>
      <c r="I71" s="3">
        <v>5</v>
      </c>
      <c r="J71" s="3">
        <v>6</v>
      </c>
      <c r="K71" s="3"/>
      <c r="L71" s="2" t="s">
        <v>1665</v>
      </c>
      <c r="M71" s="2" t="s">
        <v>172</v>
      </c>
      <c r="N71" s="2">
        <v>1</v>
      </c>
      <c r="O71" s="69"/>
      <c r="P71" s="3" t="s">
        <v>1615</v>
      </c>
      <c r="Q71" s="95">
        <f t="shared" si="3"/>
        <v>5</v>
      </c>
      <c r="R71" s="133">
        <f>IF(P71=模板计算相关数据!$W$24,VLOOKUP(X71,模板计算相关数据!$P$47:$T$50,2,0),VLOOKUP(X71,模板计算相关数据!$P$4:$U$7,3,0))</f>
        <v>5</v>
      </c>
      <c r="S71" s="62">
        <f t="shared" si="4"/>
        <v>6.6666666666666661</v>
      </c>
      <c r="T71" s="133">
        <f>IF(P71=模板计算相关数据!$W$24,VLOOKUP(X71,模板计算相关数据!$P$47:$T$50,5,0),VLOOKUP(X71,模板计算相关数据!$P$4:$U$7,6,0))</f>
        <v>6.6666666666666661</v>
      </c>
      <c r="U71" s="3">
        <v>1</v>
      </c>
      <c r="V71" s="95">
        <f t="shared" ref="V71:V134" si="5">W71</f>
        <v>1</v>
      </c>
      <c r="W71" s="29">
        <f>VLOOKUP(U71,模板计算相关数据!A:N,2,0)</f>
        <v>1</v>
      </c>
      <c r="X71" s="3" t="s">
        <v>151</v>
      </c>
      <c r="Y71" s="3" t="s">
        <v>234</v>
      </c>
      <c r="Z71" s="100">
        <v>10</v>
      </c>
      <c r="AA71" s="2">
        <v>0.5</v>
      </c>
      <c r="AB71" s="2">
        <v>1</v>
      </c>
      <c r="AC71" s="2">
        <v>1</v>
      </c>
      <c r="AD71" s="95">
        <v>0</v>
      </c>
      <c r="AE71" s="95">
        <v>0</v>
      </c>
      <c r="AF71" s="95">
        <v>0</v>
      </c>
      <c r="AG71" s="95">
        <v>0</v>
      </c>
      <c r="AH71" s="95">
        <v>0</v>
      </c>
      <c r="AI71" s="95">
        <v>0</v>
      </c>
      <c r="AJ71" s="3">
        <f>INT(VLOOKUP(U71,模板计算相关数据!A:N,4,0)*VLOOKUP(U71,模板计算相关数据!A:N,14,0)*(1+MAX(0,(VLOOKUP(U71,模板计算相关数据!A:N,7,0)-AQ71))*VLOOKUP(U71,模板计算相关数据!A:N,8,0))*(1-(AL71+AM71)*0.5/((AL71+AM71)*0.5+(VLOOKUP(U71,模板计算相关数据!A:N,2,0)+模板计算相关数据!$AC$27)*模板计算相关数据!$AC$28))*Q71*Z71)</f>
        <v>3511</v>
      </c>
      <c r="AK71" s="3">
        <f>INT(VLOOKUP(U71,模板计算相关数据!A:N,3,0)/模板计算相关数据!$W$35/(1+MAX(0,(AO71/10000-VLOOKUP(U71,模板计算相关数据!A:N,9,0)))*AP71/10000)/(1-VLOOKUP(U71,模板计算相关数据!A:N,5,0)/(VLOOKUP(U71,模板计算相关数据!A:N,5,0)+(VLOOKUP(U71,模板计算相关数据!A:N,2,0)+模板计算相关数据!$AC$27)*模板计算相关数据!$AC$28))/S71*AA71)</f>
        <v>41</v>
      </c>
      <c r="AL71" s="3">
        <f>INT(VLOOKUP(U71,模板计算相关数据!A:N,5,0)*VLOOKUP(X71,模板计算相关数据!$P$4:$T$7,4,0)*VLOOKUP(Y71,模板计算相关数据!$P$22:$U$30,4,0)*AB71)</f>
        <v>153</v>
      </c>
      <c r="AM71" s="3">
        <f>INT(VLOOKUP(U71,模板计算相关数据!A:N,6,0)*VLOOKUP(X71,模板计算相关数据!$P$4:$T$7,4,0)*VLOOKUP(Y71,模板计算相关数据!$P$22:$U$30,5,0)*AC71)</f>
        <v>277</v>
      </c>
      <c r="AN71" s="3">
        <f>VLOOKUP(U71,模板计算相关数据!A:N,10,0)*0.5*VLOOKUP(Y71,模板计算相关数据!$P$22:$U$30,6,0)+AD71</f>
        <v>225</v>
      </c>
      <c r="AO71" s="3">
        <f>VLOOKUP(INT(VLOOKUP(U71,模板计算相关数据!A:N,2,0)/30)+1,模板计算相关数据!$O$35:$U$40,3,0)+AE71</f>
        <v>0</v>
      </c>
      <c r="AP71" s="3">
        <f>VLOOKUP(INT(VLOOKUP(U71,模板计算相关数据!A:N,2,0)/30)+1,模板计算相关数据!$O$35:$U$40,4,0)+AF71</f>
        <v>5000</v>
      </c>
      <c r="AQ71" s="3">
        <f>VLOOKUP(INT(VLOOKUP(U71,模板计算相关数据!A:N,2,0)/30)+1,模板计算相关数据!$O$35:$U$40,5,0)+AG71</f>
        <v>0</v>
      </c>
      <c r="AR71" s="3">
        <f>VLOOKUP(INT(VLOOKUP(U71,模板计算相关数据!A:N,2,0)/30)+1,模板计算相关数据!$O$35:$U$40,6,0)+AH71</f>
        <v>0</v>
      </c>
      <c r="AS71" s="3">
        <f>VLOOKUP(INT(VLOOKUP(U71,模板计算相关数据!A:N,2,0)/30)+1,模板计算相关数据!$O$35:$U$40,7,0)+AI71</f>
        <v>0</v>
      </c>
      <c r="AT71" s="3">
        <f>VLOOKUP(INT(VLOOKUP(U71,模板计算相关数据!A:N,2,0)/30)+1,模板计算相关数据!$O$35:$V$40,8,0)</f>
        <v>0</v>
      </c>
      <c r="AU71" s="87"/>
    </row>
    <row r="72" spans="1:47" s="9" customFormat="1" x14ac:dyDescent="0.2">
      <c r="A72" s="3">
        <v>264</v>
      </c>
      <c r="B72" s="3"/>
      <c r="C72" s="87" t="s">
        <v>1666</v>
      </c>
      <c r="D72" s="69" t="s">
        <v>1660</v>
      </c>
      <c r="E72" s="2"/>
      <c r="F72" s="3">
        <v>1</v>
      </c>
      <c r="G72" s="3">
        <v>1006501</v>
      </c>
      <c r="H72" s="3">
        <v>2</v>
      </c>
      <c r="I72" s="3">
        <v>5</v>
      </c>
      <c r="J72" s="3">
        <v>6</v>
      </c>
      <c r="K72" s="3"/>
      <c r="L72" s="2" t="s">
        <v>174</v>
      </c>
      <c r="M72" s="2" t="s">
        <v>175</v>
      </c>
      <c r="N72" s="2">
        <v>1</v>
      </c>
      <c r="O72" s="69"/>
      <c r="P72" s="3" t="s">
        <v>1615</v>
      </c>
      <c r="Q72" s="95">
        <f t="shared" si="3"/>
        <v>5</v>
      </c>
      <c r="R72" s="133">
        <f>IF(P72=模板计算相关数据!$W$24,VLOOKUP(X72,模板计算相关数据!$P$47:$T$50,2,0),VLOOKUP(X72,模板计算相关数据!$P$4:$U$7,3,0))</f>
        <v>5</v>
      </c>
      <c r="S72" s="62">
        <f t="shared" si="4"/>
        <v>6.6666666666666661</v>
      </c>
      <c r="T72" s="133">
        <f>IF(P72=模板计算相关数据!$W$24,VLOOKUP(X72,模板计算相关数据!$P$47:$T$50,5,0),VLOOKUP(X72,模板计算相关数据!$P$4:$U$7,6,0))</f>
        <v>6.6666666666666661</v>
      </c>
      <c r="U72" s="3">
        <v>1</v>
      </c>
      <c r="V72" s="95">
        <f t="shared" si="5"/>
        <v>1</v>
      </c>
      <c r="W72" s="29">
        <f>VLOOKUP(U72,模板计算相关数据!A:N,2,0)</f>
        <v>1</v>
      </c>
      <c r="X72" s="3" t="s">
        <v>151</v>
      </c>
      <c r="Y72" s="3" t="s">
        <v>234</v>
      </c>
      <c r="Z72" s="100">
        <v>10</v>
      </c>
      <c r="AA72" s="2">
        <v>0.5</v>
      </c>
      <c r="AB72" s="2">
        <v>1</v>
      </c>
      <c r="AC72" s="2">
        <v>1</v>
      </c>
      <c r="AD72" s="95">
        <v>0</v>
      </c>
      <c r="AE72" s="95">
        <v>0</v>
      </c>
      <c r="AF72" s="95">
        <v>0</v>
      </c>
      <c r="AG72" s="95">
        <v>0</v>
      </c>
      <c r="AH72" s="95">
        <v>0</v>
      </c>
      <c r="AI72" s="95">
        <v>0</v>
      </c>
      <c r="AJ72" s="3">
        <f>INT(VLOOKUP(U72,模板计算相关数据!A:N,4,0)*VLOOKUP(U72,模板计算相关数据!A:N,14,0)*(1+MAX(0,(VLOOKUP(U72,模板计算相关数据!A:N,7,0)-AQ72))*VLOOKUP(U72,模板计算相关数据!A:N,8,0))*(1-(AL72+AM72)*0.5/((AL72+AM72)*0.5+(VLOOKUP(U72,模板计算相关数据!A:N,2,0)+模板计算相关数据!$AC$27)*模板计算相关数据!$AC$28))*Q72*Z72)</f>
        <v>3511</v>
      </c>
      <c r="AK72" s="3">
        <f>INT(VLOOKUP(U72,模板计算相关数据!A:N,3,0)/模板计算相关数据!$W$35/(1+MAX(0,(AO72/10000-VLOOKUP(U72,模板计算相关数据!A:N,9,0)))*AP72/10000)/(1-VLOOKUP(U72,模板计算相关数据!A:N,5,0)/(VLOOKUP(U72,模板计算相关数据!A:N,5,0)+(VLOOKUP(U72,模板计算相关数据!A:N,2,0)+模板计算相关数据!$AC$27)*模板计算相关数据!$AC$28))/S72*AA72)</f>
        <v>41</v>
      </c>
      <c r="AL72" s="3">
        <f>INT(VLOOKUP(U72,模板计算相关数据!A:N,5,0)*VLOOKUP(X72,模板计算相关数据!$P$4:$T$7,4,0)*VLOOKUP(Y72,模板计算相关数据!$P$22:$U$30,4,0)*AB72)</f>
        <v>153</v>
      </c>
      <c r="AM72" s="3">
        <f>INT(VLOOKUP(U72,模板计算相关数据!A:N,6,0)*VLOOKUP(X72,模板计算相关数据!$P$4:$T$7,4,0)*VLOOKUP(Y72,模板计算相关数据!$P$22:$U$30,5,0)*AC72)</f>
        <v>277</v>
      </c>
      <c r="AN72" s="3">
        <f>VLOOKUP(U72,模板计算相关数据!A:N,10,0)*0.5*VLOOKUP(Y72,模板计算相关数据!$P$22:$U$30,6,0)+AD72</f>
        <v>225</v>
      </c>
      <c r="AO72" s="3">
        <f>VLOOKUP(INT(VLOOKUP(U72,模板计算相关数据!A:N,2,0)/30)+1,模板计算相关数据!$O$35:$U$40,3,0)+AE72</f>
        <v>0</v>
      </c>
      <c r="AP72" s="3">
        <f>VLOOKUP(INT(VLOOKUP(U72,模板计算相关数据!A:N,2,0)/30)+1,模板计算相关数据!$O$35:$U$40,4,0)+AF72</f>
        <v>5000</v>
      </c>
      <c r="AQ72" s="3">
        <f>VLOOKUP(INT(VLOOKUP(U72,模板计算相关数据!A:N,2,0)/30)+1,模板计算相关数据!$O$35:$U$40,5,0)+AG72</f>
        <v>0</v>
      </c>
      <c r="AR72" s="3">
        <f>VLOOKUP(INT(VLOOKUP(U72,模板计算相关数据!A:N,2,0)/30)+1,模板计算相关数据!$O$35:$U$40,6,0)+AH72</f>
        <v>0</v>
      </c>
      <c r="AS72" s="3">
        <f>VLOOKUP(INT(VLOOKUP(U72,模板计算相关数据!A:N,2,0)/30)+1,模板计算相关数据!$O$35:$U$40,7,0)+AI72</f>
        <v>0</v>
      </c>
      <c r="AT72" s="3">
        <f>VLOOKUP(INT(VLOOKUP(U72,模板计算相关数据!A:N,2,0)/30)+1,模板计算相关数据!$O$35:$V$40,8,0)</f>
        <v>0</v>
      </c>
      <c r="AU72" s="87"/>
    </row>
    <row r="73" spans="1:47" s="9" customFormat="1" x14ac:dyDescent="0.2">
      <c r="A73" s="3">
        <v>265</v>
      </c>
      <c r="B73" s="3"/>
      <c r="C73" s="87" t="s">
        <v>995</v>
      </c>
      <c r="D73" s="69" t="s">
        <v>1660</v>
      </c>
      <c r="E73" s="2"/>
      <c r="F73" s="3">
        <v>1</v>
      </c>
      <c r="G73" s="3">
        <v>1001801</v>
      </c>
      <c r="H73" s="3">
        <v>2</v>
      </c>
      <c r="I73" s="3">
        <v>5</v>
      </c>
      <c r="J73" s="3">
        <v>6</v>
      </c>
      <c r="K73" s="3"/>
      <c r="L73" s="2" t="s">
        <v>1667</v>
      </c>
      <c r="M73" s="2"/>
      <c r="N73" s="2">
        <v>1</v>
      </c>
      <c r="O73" s="69"/>
      <c r="P73" s="3" t="s">
        <v>1615</v>
      </c>
      <c r="Q73" s="95">
        <f t="shared" si="3"/>
        <v>5</v>
      </c>
      <c r="R73" s="133">
        <f>IF(P73=模板计算相关数据!$W$24,VLOOKUP(X73,模板计算相关数据!$P$47:$T$50,2,0),VLOOKUP(X73,模板计算相关数据!$P$4:$U$7,3,0))</f>
        <v>5</v>
      </c>
      <c r="S73" s="62">
        <f t="shared" si="4"/>
        <v>6.6666666666666661</v>
      </c>
      <c r="T73" s="133">
        <f>IF(P73=模板计算相关数据!$W$24,VLOOKUP(X73,模板计算相关数据!$P$47:$T$50,5,0),VLOOKUP(X73,模板计算相关数据!$P$4:$U$7,6,0))</f>
        <v>6.6666666666666661</v>
      </c>
      <c r="U73" s="3">
        <v>1</v>
      </c>
      <c r="V73" s="95">
        <f t="shared" si="5"/>
        <v>1</v>
      </c>
      <c r="W73" s="29">
        <f>VLOOKUP(U73,模板计算相关数据!A:N,2,0)</f>
        <v>1</v>
      </c>
      <c r="X73" s="3" t="s">
        <v>151</v>
      </c>
      <c r="Y73" s="3" t="s">
        <v>234</v>
      </c>
      <c r="Z73" s="100">
        <v>10</v>
      </c>
      <c r="AA73" s="2">
        <v>0.5</v>
      </c>
      <c r="AB73" s="2">
        <v>1</v>
      </c>
      <c r="AC73" s="2">
        <v>1</v>
      </c>
      <c r="AD73" s="95">
        <v>0</v>
      </c>
      <c r="AE73" s="95">
        <v>0</v>
      </c>
      <c r="AF73" s="95">
        <v>0</v>
      </c>
      <c r="AG73" s="95">
        <v>0</v>
      </c>
      <c r="AH73" s="95">
        <v>0</v>
      </c>
      <c r="AI73" s="95">
        <v>0</v>
      </c>
      <c r="AJ73" s="3">
        <f>INT(VLOOKUP(U73,模板计算相关数据!A:N,4,0)*VLOOKUP(U73,模板计算相关数据!A:N,14,0)*(1+MAX(0,(VLOOKUP(U73,模板计算相关数据!A:N,7,0)-AQ73))*VLOOKUP(U73,模板计算相关数据!A:N,8,0))*(1-(AL73+AM73)*0.5/((AL73+AM73)*0.5+(VLOOKUP(U73,模板计算相关数据!A:N,2,0)+模板计算相关数据!$AC$27)*模板计算相关数据!$AC$28))*Q73*Z73)</f>
        <v>3511</v>
      </c>
      <c r="AK73" s="3">
        <f>INT(VLOOKUP(U73,模板计算相关数据!A:N,3,0)/模板计算相关数据!$W$35/(1+MAX(0,(AO73/10000-VLOOKUP(U73,模板计算相关数据!A:N,9,0)))*AP73/10000)/(1-VLOOKUP(U73,模板计算相关数据!A:N,5,0)/(VLOOKUP(U73,模板计算相关数据!A:N,5,0)+(VLOOKUP(U73,模板计算相关数据!A:N,2,0)+模板计算相关数据!$AC$27)*模板计算相关数据!$AC$28))/S73*AA73)</f>
        <v>41</v>
      </c>
      <c r="AL73" s="3">
        <f>INT(VLOOKUP(U73,模板计算相关数据!A:N,5,0)*VLOOKUP(X73,模板计算相关数据!$P$4:$T$7,4,0)*VLOOKUP(Y73,模板计算相关数据!$P$22:$U$30,4,0)*AB73)</f>
        <v>153</v>
      </c>
      <c r="AM73" s="3">
        <f>INT(VLOOKUP(U73,模板计算相关数据!A:N,6,0)*VLOOKUP(X73,模板计算相关数据!$P$4:$T$7,4,0)*VLOOKUP(Y73,模板计算相关数据!$P$22:$U$30,5,0)*AC73)</f>
        <v>277</v>
      </c>
      <c r="AN73" s="3">
        <f>VLOOKUP(U73,模板计算相关数据!A:N,10,0)*0.5*VLOOKUP(Y73,模板计算相关数据!$P$22:$U$30,6,0)+AD73</f>
        <v>225</v>
      </c>
      <c r="AO73" s="3">
        <f>VLOOKUP(INT(VLOOKUP(U73,模板计算相关数据!A:N,2,0)/30)+1,模板计算相关数据!$O$35:$U$40,3,0)+AE73</f>
        <v>0</v>
      </c>
      <c r="AP73" s="3">
        <f>VLOOKUP(INT(VLOOKUP(U73,模板计算相关数据!A:N,2,0)/30)+1,模板计算相关数据!$O$35:$U$40,4,0)+AF73</f>
        <v>5000</v>
      </c>
      <c r="AQ73" s="3">
        <f>VLOOKUP(INT(VLOOKUP(U73,模板计算相关数据!A:N,2,0)/30)+1,模板计算相关数据!$O$35:$U$40,5,0)+AG73</f>
        <v>0</v>
      </c>
      <c r="AR73" s="3">
        <f>VLOOKUP(INT(VLOOKUP(U73,模板计算相关数据!A:N,2,0)/30)+1,模板计算相关数据!$O$35:$U$40,6,0)+AH73</f>
        <v>0</v>
      </c>
      <c r="AS73" s="3">
        <f>VLOOKUP(INT(VLOOKUP(U73,模板计算相关数据!A:N,2,0)/30)+1,模板计算相关数据!$O$35:$U$40,7,0)+AI73</f>
        <v>0</v>
      </c>
      <c r="AT73" s="3">
        <f>VLOOKUP(INT(VLOOKUP(U73,模板计算相关数据!A:N,2,0)/30)+1,模板计算相关数据!$O$35:$V$40,8,0)</f>
        <v>0</v>
      </c>
      <c r="AU73" s="87"/>
    </row>
    <row r="74" spans="1:47" s="9" customFormat="1" x14ac:dyDescent="0.2">
      <c r="A74" s="3">
        <v>266</v>
      </c>
      <c r="B74" s="3"/>
      <c r="C74" s="87" t="s">
        <v>994</v>
      </c>
      <c r="D74" s="69" t="s">
        <v>1660</v>
      </c>
      <c r="E74" s="2"/>
      <c r="F74" s="3">
        <v>1</v>
      </c>
      <c r="G74" s="3">
        <v>1001901</v>
      </c>
      <c r="H74" s="3">
        <v>2</v>
      </c>
      <c r="I74" s="3">
        <v>5</v>
      </c>
      <c r="J74" s="3">
        <v>6</v>
      </c>
      <c r="K74" s="3"/>
      <c r="L74" s="2" t="s">
        <v>1668</v>
      </c>
      <c r="M74" s="2"/>
      <c r="N74" s="2">
        <v>1</v>
      </c>
      <c r="O74" s="69"/>
      <c r="P74" s="3" t="s">
        <v>1615</v>
      </c>
      <c r="Q74" s="95">
        <f t="shared" si="3"/>
        <v>5</v>
      </c>
      <c r="R74" s="133">
        <f>IF(P74=模板计算相关数据!$W$24,VLOOKUP(X74,模板计算相关数据!$P$47:$T$50,2,0),VLOOKUP(X74,模板计算相关数据!$P$4:$U$7,3,0))</f>
        <v>5</v>
      </c>
      <c r="S74" s="62">
        <f t="shared" si="4"/>
        <v>6.6666666666666661</v>
      </c>
      <c r="T74" s="133">
        <f>IF(P74=模板计算相关数据!$W$24,VLOOKUP(X74,模板计算相关数据!$P$47:$T$50,5,0),VLOOKUP(X74,模板计算相关数据!$P$4:$U$7,6,0))</f>
        <v>6.6666666666666661</v>
      </c>
      <c r="U74" s="3">
        <v>1</v>
      </c>
      <c r="V74" s="95">
        <f t="shared" si="5"/>
        <v>1</v>
      </c>
      <c r="W74" s="29">
        <f>VLOOKUP(U74,模板计算相关数据!A:N,2,0)</f>
        <v>1</v>
      </c>
      <c r="X74" s="3" t="s">
        <v>151</v>
      </c>
      <c r="Y74" s="3" t="s">
        <v>234</v>
      </c>
      <c r="Z74" s="100">
        <v>10</v>
      </c>
      <c r="AA74" s="2">
        <v>0.5</v>
      </c>
      <c r="AB74" s="2">
        <v>1</v>
      </c>
      <c r="AC74" s="2">
        <v>1</v>
      </c>
      <c r="AD74" s="95">
        <v>0</v>
      </c>
      <c r="AE74" s="95">
        <v>0</v>
      </c>
      <c r="AF74" s="95">
        <v>0</v>
      </c>
      <c r="AG74" s="95">
        <v>0</v>
      </c>
      <c r="AH74" s="95">
        <v>0</v>
      </c>
      <c r="AI74" s="95">
        <v>0</v>
      </c>
      <c r="AJ74" s="3">
        <f>INT(VLOOKUP(U74,模板计算相关数据!A:N,4,0)*VLOOKUP(U74,模板计算相关数据!A:N,14,0)*(1+MAX(0,(VLOOKUP(U74,模板计算相关数据!A:N,7,0)-AQ74))*VLOOKUP(U74,模板计算相关数据!A:N,8,0))*(1-(AL74+AM74)*0.5/((AL74+AM74)*0.5+(VLOOKUP(U74,模板计算相关数据!A:N,2,0)+模板计算相关数据!$AC$27)*模板计算相关数据!$AC$28))*Q74*Z74)</f>
        <v>3511</v>
      </c>
      <c r="AK74" s="3">
        <f>INT(VLOOKUP(U74,模板计算相关数据!A:N,3,0)/模板计算相关数据!$W$35/(1+MAX(0,(AO74/10000-VLOOKUP(U74,模板计算相关数据!A:N,9,0)))*AP74/10000)/(1-VLOOKUP(U74,模板计算相关数据!A:N,5,0)/(VLOOKUP(U74,模板计算相关数据!A:N,5,0)+(VLOOKUP(U74,模板计算相关数据!A:N,2,0)+模板计算相关数据!$AC$27)*模板计算相关数据!$AC$28))/S74*AA74)</f>
        <v>41</v>
      </c>
      <c r="AL74" s="3">
        <f>INT(VLOOKUP(U74,模板计算相关数据!A:N,5,0)*VLOOKUP(X74,模板计算相关数据!$P$4:$T$7,4,0)*VLOOKUP(Y74,模板计算相关数据!$P$22:$U$30,4,0)*AB74)</f>
        <v>153</v>
      </c>
      <c r="AM74" s="3">
        <f>INT(VLOOKUP(U74,模板计算相关数据!A:N,6,0)*VLOOKUP(X74,模板计算相关数据!$P$4:$T$7,4,0)*VLOOKUP(Y74,模板计算相关数据!$P$22:$U$30,5,0)*AC74)</f>
        <v>277</v>
      </c>
      <c r="AN74" s="3">
        <f>VLOOKUP(U74,模板计算相关数据!A:N,10,0)*0.5*VLOOKUP(Y74,模板计算相关数据!$P$22:$U$30,6,0)+AD74</f>
        <v>225</v>
      </c>
      <c r="AO74" s="3">
        <f>VLOOKUP(INT(VLOOKUP(U74,模板计算相关数据!A:N,2,0)/30)+1,模板计算相关数据!$O$35:$U$40,3,0)+AE74</f>
        <v>0</v>
      </c>
      <c r="AP74" s="3">
        <f>VLOOKUP(INT(VLOOKUP(U74,模板计算相关数据!A:N,2,0)/30)+1,模板计算相关数据!$O$35:$U$40,4,0)+AF74</f>
        <v>5000</v>
      </c>
      <c r="AQ74" s="3">
        <f>VLOOKUP(INT(VLOOKUP(U74,模板计算相关数据!A:N,2,0)/30)+1,模板计算相关数据!$O$35:$U$40,5,0)+AG74</f>
        <v>0</v>
      </c>
      <c r="AR74" s="3">
        <f>VLOOKUP(INT(VLOOKUP(U74,模板计算相关数据!A:N,2,0)/30)+1,模板计算相关数据!$O$35:$U$40,6,0)+AH74</f>
        <v>0</v>
      </c>
      <c r="AS74" s="3">
        <f>VLOOKUP(INT(VLOOKUP(U74,模板计算相关数据!A:N,2,0)/30)+1,模板计算相关数据!$O$35:$U$40,7,0)+AI74</f>
        <v>0</v>
      </c>
      <c r="AT74" s="3">
        <f>VLOOKUP(INT(VLOOKUP(U74,模板计算相关数据!A:N,2,0)/30)+1,模板计算相关数据!$O$35:$V$40,8,0)</f>
        <v>0</v>
      </c>
      <c r="AU74" s="87"/>
    </row>
    <row r="75" spans="1:47" s="9" customFormat="1" x14ac:dyDescent="0.2">
      <c r="A75" s="3">
        <v>267</v>
      </c>
      <c r="B75" s="3"/>
      <c r="C75" s="87" t="s">
        <v>993</v>
      </c>
      <c r="D75" s="69" t="s">
        <v>1660</v>
      </c>
      <c r="E75" s="2"/>
      <c r="F75" s="3">
        <v>1</v>
      </c>
      <c r="G75" s="3">
        <v>1002001</v>
      </c>
      <c r="H75" s="3">
        <v>2</v>
      </c>
      <c r="I75" s="3">
        <v>5</v>
      </c>
      <c r="J75" s="3">
        <v>6</v>
      </c>
      <c r="K75" s="3"/>
      <c r="L75" s="2" t="s">
        <v>1669</v>
      </c>
      <c r="M75" s="2"/>
      <c r="N75" s="2">
        <v>1</v>
      </c>
      <c r="O75" s="69"/>
      <c r="P75" s="3" t="s">
        <v>1615</v>
      </c>
      <c r="Q75" s="95">
        <f t="shared" si="3"/>
        <v>5</v>
      </c>
      <c r="R75" s="133">
        <f>IF(P75=模板计算相关数据!$W$24,VLOOKUP(X75,模板计算相关数据!$P$47:$T$50,2,0),VLOOKUP(X75,模板计算相关数据!$P$4:$U$7,3,0))</f>
        <v>5</v>
      </c>
      <c r="S75" s="62">
        <f t="shared" si="4"/>
        <v>6.6666666666666661</v>
      </c>
      <c r="T75" s="133">
        <f>IF(P75=模板计算相关数据!$W$24,VLOOKUP(X75,模板计算相关数据!$P$47:$T$50,5,0),VLOOKUP(X75,模板计算相关数据!$P$4:$U$7,6,0))</f>
        <v>6.6666666666666661</v>
      </c>
      <c r="U75" s="3">
        <v>1</v>
      </c>
      <c r="V75" s="95">
        <f t="shared" si="5"/>
        <v>1</v>
      </c>
      <c r="W75" s="29">
        <f>VLOOKUP(U75,模板计算相关数据!A:N,2,0)</f>
        <v>1</v>
      </c>
      <c r="X75" s="3" t="s">
        <v>151</v>
      </c>
      <c r="Y75" s="3" t="s">
        <v>234</v>
      </c>
      <c r="Z75" s="100">
        <v>10</v>
      </c>
      <c r="AA75" s="2">
        <v>0.5</v>
      </c>
      <c r="AB75" s="2">
        <v>1</v>
      </c>
      <c r="AC75" s="2">
        <v>1</v>
      </c>
      <c r="AD75" s="95">
        <v>0</v>
      </c>
      <c r="AE75" s="95">
        <v>0</v>
      </c>
      <c r="AF75" s="95">
        <v>0</v>
      </c>
      <c r="AG75" s="95">
        <v>0</v>
      </c>
      <c r="AH75" s="95">
        <v>0</v>
      </c>
      <c r="AI75" s="95">
        <v>0</v>
      </c>
      <c r="AJ75" s="3">
        <f>INT(VLOOKUP(U75,模板计算相关数据!A:N,4,0)*VLOOKUP(U75,模板计算相关数据!A:N,14,0)*(1+MAX(0,(VLOOKUP(U75,模板计算相关数据!A:N,7,0)-AQ75))*VLOOKUP(U75,模板计算相关数据!A:N,8,0))*(1-(AL75+AM75)*0.5/((AL75+AM75)*0.5+(VLOOKUP(U75,模板计算相关数据!A:N,2,0)+模板计算相关数据!$AC$27)*模板计算相关数据!$AC$28))*Q75*Z75)</f>
        <v>3511</v>
      </c>
      <c r="AK75" s="3">
        <f>INT(VLOOKUP(U75,模板计算相关数据!A:N,3,0)/模板计算相关数据!$W$35/(1+MAX(0,(AO75/10000-VLOOKUP(U75,模板计算相关数据!A:N,9,0)))*AP75/10000)/(1-VLOOKUP(U75,模板计算相关数据!A:N,5,0)/(VLOOKUP(U75,模板计算相关数据!A:N,5,0)+(VLOOKUP(U75,模板计算相关数据!A:N,2,0)+模板计算相关数据!$AC$27)*模板计算相关数据!$AC$28))/S75*AA75)</f>
        <v>41</v>
      </c>
      <c r="AL75" s="3">
        <f>INT(VLOOKUP(U75,模板计算相关数据!A:N,5,0)*VLOOKUP(X75,模板计算相关数据!$P$4:$T$7,4,0)*VLOOKUP(Y75,模板计算相关数据!$P$22:$U$30,4,0)*AB75)</f>
        <v>153</v>
      </c>
      <c r="AM75" s="3">
        <f>INT(VLOOKUP(U75,模板计算相关数据!A:N,6,0)*VLOOKUP(X75,模板计算相关数据!$P$4:$T$7,4,0)*VLOOKUP(Y75,模板计算相关数据!$P$22:$U$30,5,0)*AC75)</f>
        <v>277</v>
      </c>
      <c r="AN75" s="3">
        <f>VLOOKUP(U75,模板计算相关数据!A:N,10,0)*0.5*VLOOKUP(Y75,模板计算相关数据!$P$22:$U$30,6,0)+AD75</f>
        <v>225</v>
      </c>
      <c r="AO75" s="3">
        <f>VLOOKUP(INT(VLOOKUP(U75,模板计算相关数据!A:N,2,0)/30)+1,模板计算相关数据!$O$35:$U$40,3,0)+AE75</f>
        <v>0</v>
      </c>
      <c r="AP75" s="3">
        <f>VLOOKUP(INT(VLOOKUP(U75,模板计算相关数据!A:N,2,0)/30)+1,模板计算相关数据!$O$35:$U$40,4,0)+AF75</f>
        <v>5000</v>
      </c>
      <c r="AQ75" s="3">
        <f>VLOOKUP(INT(VLOOKUP(U75,模板计算相关数据!A:N,2,0)/30)+1,模板计算相关数据!$O$35:$U$40,5,0)+AG75</f>
        <v>0</v>
      </c>
      <c r="AR75" s="3">
        <f>VLOOKUP(INT(VLOOKUP(U75,模板计算相关数据!A:N,2,0)/30)+1,模板计算相关数据!$O$35:$U$40,6,0)+AH75</f>
        <v>0</v>
      </c>
      <c r="AS75" s="3">
        <f>VLOOKUP(INT(VLOOKUP(U75,模板计算相关数据!A:N,2,0)/30)+1,模板计算相关数据!$O$35:$U$40,7,0)+AI75</f>
        <v>0</v>
      </c>
      <c r="AT75" s="3">
        <f>VLOOKUP(INT(VLOOKUP(U75,模板计算相关数据!A:N,2,0)/30)+1,模板计算相关数据!$O$35:$V$40,8,0)</f>
        <v>0</v>
      </c>
      <c r="AU75" s="87"/>
    </row>
    <row r="76" spans="1:47" s="9" customFormat="1" x14ac:dyDescent="0.2">
      <c r="A76" s="3">
        <v>268</v>
      </c>
      <c r="B76" s="3"/>
      <c r="C76" s="87" t="s">
        <v>1670</v>
      </c>
      <c r="D76" s="69" t="s">
        <v>1660</v>
      </c>
      <c r="E76" s="2"/>
      <c r="F76" s="3">
        <v>1</v>
      </c>
      <c r="G76" s="3">
        <v>1001601</v>
      </c>
      <c r="H76" s="3">
        <v>2</v>
      </c>
      <c r="I76" s="3">
        <v>5</v>
      </c>
      <c r="J76" s="3">
        <v>6</v>
      </c>
      <c r="K76" s="3">
        <v>1</v>
      </c>
      <c r="L76" s="2" t="s">
        <v>1671</v>
      </c>
      <c r="M76" s="2"/>
      <c r="N76" s="2">
        <v>1</v>
      </c>
      <c r="O76" s="69"/>
      <c r="P76" s="3" t="s">
        <v>1615</v>
      </c>
      <c r="Q76" s="95">
        <f t="shared" si="3"/>
        <v>5</v>
      </c>
      <c r="R76" s="133">
        <f>IF(P76=模板计算相关数据!$W$24,VLOOKUP(X76,模板计算相关数据!$P$47:$T$50,2,0),VLOOKUP(X76,模板计算相关数据!$P$4:$U$7,3,0))</f>
        <v>5</v>
      </c>
      <c r="S76" s="62">
        <f t="shared" si="4"/>
        <v>6.6666666666666661</v>
      </c>
      <c r="T76" s="133">
        <f>IF(P76=模板计算相关数据!$W$24,VLOOKUP(X76,模板计算相关数据!$P$47:$T$50,5,0),VLOOKUP(X76,模板计算相关数据!$P$4:$U$7,6,0))</f>
        <v>6.6666666666666661</v>
      </c>
      <c r="U76" s="3">
        <v>1</v>
      </c>
      <c r="V76" s="95">
        <f t="shared" si="5"/>
        <v>1</v>
      </c>
      <c r="W76" s="29">
        <f>VLOOKUP(U76,模板计算相关数据!A:N,2,0)</f>
        <v>1</v>
      </c>
      <c r="X76" s="3" t="s">
        <v>151</v>
      </c>
      <c r="Y76" s="3" t="s">
        <v>234</v>
      </c>
      <c r="Z76" s="100">
        <v>10</v>
      </c>
      <c r="AA76" s="2">
        <v>0.5</v>
      </c>
      <c r="AB76" s="2">
        <v>1</v>
      </c>
      <c r="AC76" s="2">
        <v>1</v>
      </c>
      <c r="AD76" s="95">
        <v>0</v>
      </c>
      <c r="AE76" s="95">
        <v>0</v>
      </c>
      <c r="AF76" s="95">
        <v>0</v>
      </c>
      <c r="AG76" s="95">
        <v>0</v>
      </c>
      <c r="AH76" s="95">
        <v>0</v>
      </c>
      <c r="AI76" s="95">
        <v>0</v>
      </c>
      <c r="AJ76" s="3">
        <f>INT(VLOOKUP(U76,模板计算相关数据!A:N,4,0)*VLOOKUP(U76,模板计算相关数据!A:N,14,0)*(1+MAX(0,(VLOOKUP(U76,模板计算相关数据!A:N,7,0)-AQ76))*VLOOKUP(U76,模板计算相关数据!A:N,8,0))*(1-(AL76+AM76)*0.5/((AL76+AM76)*0.5+(VLOOKUP(U76,模板计算相关数据!A:N,2,0)+模板计算相关数据!$AC$27)*模板计算相关数据!$AC$28))*Q76*Z76)</f>
        <v>3511</v>
      </c>
      <c r="AK76" s="3">
        <f>INT(VLOOKUP(U76,模板计算相关数据!A:N,3,0)/模板计算相关数据!$W$35/(1+MAX(0,(AO76/10000-VLOOKUP(U76,模板计算相关数据!A:N,9,0)))*AP76/10000)/(1-VLOOKUP(U76,模板计算相关数据!A:N,5,0)/(VLOOKUP(U76,模板计算相关数据!A:N,5,0)+(VLOOKUP(U76,模板计算相关数据!A:N,2,0)+模板计算相关数据!$AC$27)*模板计算相关数据!$AC$28))/S76*AA76)</f>
        <v>41</v>
      </c>
      <c r="AL76" s="3">
        <f>INT(VLOOKUP(U76,模板计算相关数据!A:N,5,0)*VLOOKUP(X76,模板计算相关数据!$P$4:$T$7,4,0)*VLOOKUP(Y76,模板计算相关数据!$P$22:$U$30,4,0)*AB76)</f>
        <v>153</v>
      </c>
      <c r="AM76" s="3">
        <f>INT(VLOOKUP(U76,模板计算相关数据!A:N,6,0)*VLOOKUP(X76,模板计算相关数据!$P$4:$T$7,4,0)*VLOOKUP(Y76,模板计算相关数据!$P$22:$U$30,5,0)*AC76)</f>
        <v>277</v>
      </c>
      <c r="AN76" s="3">
        <f>VLOOKUP(U76,模板计算相关数据!A:N,10,0)*0.5*VLOOKUP(Y76,模板计算相关数据!$P$22:$U$30,6,0)+AD76</f>
        <v>225</v>
      </c>
      <c r="AO76" s="3">
        <f>VLOOKUP(INT(VLOOKUP(U76,模板计算相关数据!A:N,2,0)/30)+1,模板计算相关数据!$O$35:$U$40,3,0)+AE76</f>
        <v>0</v>
      </c>
      <c r="AP76" s="3">
        <f>VLOOKUP(INT(VLOOKUP(U76,模板计算相关数据!A:N,2,0)/30)+1,模板计算相关数据!$O$35:$U$40,4,0)+AF76</f>
        <v>5000</v>
      </c>
      <c r="AQ76" s="3">
        <f>VLOOKUP(INT(VLOOKUP(U76,模板计算相关数据!A:N,2,0)/30)+1,模板计算相关数据!$O$35:$U$40,5,0)+AG76</f>
        <v>0</v>
      </c>
      <c r="AR76" s="3">
        <f>VLOOKUP(INT(VLOOKUP(U76,模板计算相关数据!A:N,2,0)/30)+1,模板计算相关数据!$O$35:$U$40,6,0)+AH76</f>
        <v>0</v>
      </c>
      <c r="AS76" s="3">
        <f>VLOOKUP(INT(VLOOKUP(U76,模板计算相关数据!A:N,2,0)/30)+1,模板计算相关数据!$O$35:$U$40,7,0)+AI76</f>
        <v>0</v>
      </c>
      <c r="AT76" s="3">
        <f>VLOOKUP(INT(VLOOKUP(U76,模板计算相关数据!A:N,2,0)/30)+1,模板计算相关数据!$O$35:$V$40,8,0)</f>
        <v>0</v>
      </c>
      <c r="AU76" s="87"/>
    </row>
    <row r="77" spans="1:47" s="9" customFormat="1" x14ac:dyDescent="0.2">
      <c r="A77" s="3">
        <v>269</v>
      </c>
      <c r="B77" s="3"/>
      <c r="C77" s="87" t="s">
        <v>1672</v>
      </c>
      <c r="D77" s="69" t="s">
        <v>1660</v>
      </c>
      <c r="E77" s="2"/>
      <c r="F77" s="3">
        <v>1</v>
      </c>
      <c r="G77" s="3">
        <v>1002701</v>
      </c>
      <c r="H77" s="3">
        <v>2</v>
      </c>
      <c r="I77" s="3">
        <v>5</v>
      </c>
      <c r="J77" s="3">
        <v>6</v>
      </c>
      <c r="K77" s="3"/>
      <c r="L77" s="2" t="s">
        <v>1673</v>
      </c>
      <c r="M77" s="2"/>
      <c r="N77" s="2">
        <v>1</v>
      </c>
      <c r="O77" s="69"/>
      <c r="P77" s="3" t="s">
        <v>1615</v>
      </c>
      <c r="Q77" s="95">
        <f t="shared" si="3"/>
        <v>5</v>
      </c>
      <c r="R77" s="133">
        <f>IF(P77=模板计算相关数据!$W$24,VLOOKUP(X77,模板计算相关数据!$P$47:$T$50,2,0),VLOOKUP(X77,模板计算相关数据!$P$4:$U$7,3,0))</f>
        <v>5</v>
      </c>
      <c r="S77" s="62">
        <f t="shared" si="4"/>
        <v>6.6666666666666661</v>
      </c>
      <c r="T77" s="133">
        <f>IF(P77=模板计算相关数据!$W$24,VLOOKUP(X77,模板计算相关数据!$P$47:$T$50,5,0),VLOOKUP(X77,模板计算相关数据!$P$4:$U$7,6,0))</f>
        <v>6.6666666666666661</v>
      </c>
      <c r="U77" s="3">
        <v>1</v>
      </c>
      <c r="V77" s="95">
        <f t="shared" si="5"/>
        <v>1</v>
      </c>
      <c r="W77" s="29">
        <f>VLOOKUP(U77,模板计算相关数据!A:N,2,0)</f>
        <v>1</v>
      </c>
      <c r="X77" s="3" t="s">
        <v>151</v>
      </c>
      <c r="Y77" s="3" t="s">
        <v>234</v>
      </c>
      <c r="Z77" s="100">
        <v>10</v>
      </c>
      <c r="AA77" s="2">
        <v>0.5</v>
      </c>
      <c r="AB77" s="2">
        <v>1</v>
      </c>
      <c r="AC77" s="2">
        <v>1</v>
      </c>
      <c r="AD77" s="95">
        <v>0</v>
      </c>
      <c r="AE77" s="95">
        <v>0</v>
      </c>
      <c r="AF77" s="95">
        <v>0</v>
      </c>
      <c r="AG77" s="95">
        <v>0</v>
      </c>
      <c r="AH77" s="95">
        <v>0</v>
      </c>
      <c r="AI77" s="95">
        <v>0</v>
      </c>
      <c r="AJ77" s="3">
        <f>INT(VLOOKUP(U77,模板计算相关数据!A:N,4,0)*VLOOKUP(U77,模板计算相关数据!A:N,14,0)*(1+MAX(0,(VLOOKUP(U77,模板计算相关数据!A:N,7,0)-AQ77))*VLOOKUP(U77,模板计算相关数据!A:N,8,0))*(1-(AL77+AM77)*0.5/((AL77+AM77)*0.5+(VLOOKUP(U77,模板计算相关数据!A:N,2,0)+模板计算相关数据!$AC$27)*模板计算相关数据!$AC$28))*Q77*Z77)</f>
        <v>3511</v>
      </c>
      <c r="AK77" s="3">
        <f>INT(VLOOKUP(U77,模板计算相关数据!A:N,3,0)/模板计算相关数据!$W$35/(1+MAX(0,(AO77/10000-VLOOKUP(U77,模板计算相关数据!A:N,9,0)))*AP77/10000)/(1-VLOOKUP(U77,模板计算相关数据!A:N,5,0)/(VLOOKUP(U77,模板计算相关数据!A:N,5,0)+(VLOOKUP(U77,模板计算相关数据!A:N,2,0)+模板计算相关数据!$AC$27)*模板计算相关数据!$AC$28))/S77*AA77)</f>
        <v>41</v>
      </c>
      <c r="AL77" s="3">
        <f>INT(VLOOKUP(U77,模板计算相关数据!A:N,5,0)*VLOOKUP(X77,模板计算相关数据!$P$4:$T$7,4,0)*VLOOKUP(Y77,模板计算相关数据!$P$22:$U$30,4,0)*AB77)</f>
        <v>153</v>
      </c>
      <c r="AM77" s="3">
        <f>INT(VLOOKUP(U77,模板计算相关数据!A:N,6,0)*VLOOKUP(X77,模板计算相关数据!$P$4:$T$7,4,0)*VLOOKUP(Y77,模板计算相关数据!$P$22:$U$30,5,0)*AC77)</f>
        <v>277</v>
      </c>
      <c r="AN77" s="3">
        <f>VLOOKUP(U77,模板计算相关数据!A:N,10,0)*0.5*VLOOKUP(Y77,模板计算相关数据!$P$22:$U$30,6,0)+AD77</f>
        <v>225</v>
      </c>
      <c r="AO77" s="3">
        <f>VLOOKUP(INT(VLOOKUP(U77,模板计算相关数据!A:N,2,0)/30)+1,模板计算相关数据!$O$35:$U$40,3,0)+AE77</f>
        <v>0</v>
      </c>
      <c r="AP77" s="3">
        <f>VLOOKUP(INT(VLOOKUP(U77,模板计算相关数据!A:N,2,0)/30)+1,模板计算相关数据!$O$35:$U$40,4,0)+AF77</f>
        <v>5000</v>
      </c>
      <c r="AQ77" s="3">
        <f>VLOOKUP(INT(VLOOKUP(U77,模板计算相关数据!A:N,2,0)/30)+1,模板计算相关数据!$O$35:$U$40,5,0)+AG77</f>
        <v>0</v>
      </c>
      <c r="AR77" s="3">
        <f>VLOOKUP(INT(VLOOKUP(U77,模板计算相关数据!A:N,2,0)/30)+1,模板计算相关数据!$O$35:$U$40,6,0)+AH77</f>
        <v>0</v>
      </c>
      <c r="AS77" s="3">
        <f>VLOOKUP(INT(VLOOKUP(U77,模板计算相关数据!A:N,2,0)/30)+1,模板计算相关数据!$O$35:$U$40,7,0)+AI77</f>
        <v>0</v>
      </c>
      <c r="AT77" s="3">
        <f>VLOOKUP(INT(VLOOKUP(U77,模板计算相关数据!A:N,2,0)/30)+1,模板计算相关数据!$O$35:$V$40,8,0)</f>
        <v>0</v>
      </c>
      <c r="AU77" s="87"/>
    </row>
    <row r="78" spans="1:47" s="9" customFormat="1" x14ac:dyDescent="0.2">
      <c r="A78" s="3">
        <v>270</v>
      </c>
      <c r="B78" s="3"/>
      <c r="C78" s="87" t="s">
        <v>990</v>
      </c>
      <c r="D78" s="69" t="s">
        <v>1660</v>
      </c>
      <c r="E78" s="2"/>
      <c r="F78" s="3">
        <v>1</v>
      </c>
      <c r="G78" s="3">
        <v>1001301</v>
      </c>
      <c r="H78" s="3">
        <v>2</v>
      </c>
      <c r="I78" s="3">
        <v>5</v>
      </c>
      <c r="J78" s="3">
        <v>6</v>
      </c>
      <c r="K78" s="3"/>
      <c r="L78" s="2" t="s">
        <v>1674</v>
      </c>
      <c r="M78" s="2"/>
      <c r="N78" s="2">
        <v>1</v>
      </c>
      <c r="O78" s="69"/>
      <c r="P78" s="3" t="s">
        <v>1615</v>
      </c>
      <c r="Q78" s="95">
        <f t="shared" si="3"/>
        <v>5</v>
      </c>
      <c r="R78" s="133">
        <f>IF(P78=模板计算相关数据!$W$24,VLOOKUP(X78,模板计算相关数据!$P$47:$T$50,2,0),VLOOKUP(X78,模板计算相关数据!$P$4:$U$7,3,0))</f>
        <v>5</v>
      </c>
      <c r="S78" s="62">
        <f t="shared" si="4"/>
        <v>6.6666666666666661</v>
      </c>
      <c r="T78" s="133">
        <f>IF(P78=模板计算相关数据!$W$24,VLOOKUP(X78,模板计算相关数据!$P$47:$T$50,5,0),VLOOKUP(X78,模板计算相关数据!$P$4:$U$7,6,0))</f>
        <v>6.6666666666666661</v>
      </c>
      <c r="U78" s="3">
        <v>1</v>
      </c>
      <c r="V78" s="95">
        <f t="shared" si="5"/>
        <v>1</v>
      </c>
      <c r="W78" s="29">
        <f>VLOOKUP(U78,模板计算相关数据!A:N,2,0)</f>
        <v>1</v>
      </c>
      <c r="X78" s="3" t="s">
        <v>151</v>
      </c>
      <c r="Y78" s="3" t="s">
        <v>234</v>
      </c>
      <c r="Z78" s="100">
        <v>10</v>
      </c>
      <c r="AA78" s="2">
        <v>0.5</v>
      </c>
      <c r="AB78" s="2">
        <v>1</v>
      </c>
      <c r="AC78" s="2">
        <v>1</v>
      </c>
      <c r="AD78" s="95">
        <v>0</v>
      </c>
      <c r="AE78" s="95">
        <v>0</v>
      </c>
      <c r="AF78" s="95">
        <v>0</v>
      </c>
      <c r="AG78" s="95">
        <v>0</v>
      </c>
      <c r="AH78" s="95">
        <v>0</v>
      </c>
      <c r="AI78" s="95">
        <v>0</v>
      </c>
      <c r="AJ78" s="3">
        <f>INT(VLOOKUP(U78,模板计算相关数据!A:N,4,0)*VLOOKUP(U78,模板计算相关数据!A:N,14,0)*(1+MAX(0,(VLOOKUP(U78,模板计算相关数据!A:N,7,0)-AQ78))*VLOOKUP(U78,模板计算相关数据!A:N,8,0))*(1-(AL78+AM78)*0.5/((AL78+AM78)*0.5+(VLOOKUP(U78,模板计算相关数据!A:N,2,0)+模板计算相关数据!$AC$27)*模板计算相关数据!$AC$28))*Q78*Z78)</f>
        <v>3511</v>
      </c>
      <c r="AK78" s="3">
        <f>INT(VLOOKUP(U78,模板计算相关数据!A:N,3,0)/模板计算相关数据!$W$35/(1+MAX(0,(AO78/10000-VLOOKUP(U78,模板计算相关数据!A:N,9,0)))*AP78/10000)/(1-VLOOKUP(U78,模板计算相关数据!A:N,5,0)/(VLOOKUP(U78,模板计算相关数据!A:N,5,0)+(VLOOKUP(U78,模板计算相关数据!A:N,2,0)+模板计算相关数据!$AC$27)*模板计算相关数据!$AC$28))/S78*AA78)</f>
        <v>41</v>
      </c>
      <c r="AL78" s="3">
        <f>INT(VLOOKUP(U78,模板计算相关数据!A:N,5,0)*VLOOKUP(X78,模板计算相关数据!$P$4:$T$7,4,0)*VLOOKUP(Y78,模板计算相关数据!$P$22:$U$30,4,0)*AB78)</f>
        <v>153</v>
      </c>
      <c r="AM78" s="3">
        <f>INT(VLOOKUP(U78,模板计算相关数据!A:N,6,0)*VLOOKUP(X78,模板计算相关数据!$P$4:$T$7,4,0)*VLOOKUP(Y78,模板计算相关数据!$P$22:$U$30,5,0)*AC78)</f>
        <v>277</v>
      </c>
      <c r="AN78" s="3">
        <f>VLOOKUP(U78,模板计算相关数据!A:N,10,0)*0.5*VLOOKUP(Y78,模板计算相关数据!$P$22:$U$30,6,0)+AD78</f>
        <v>225</v>
      </c>
      <c r="AO78" s="3">
        <f>VLOOKUP(INT(VLOOKUP(U78,模板计算相关数据!A:N,2,0)/30)+1,模板计算相关数据!$O$35:$U$40,3,0)+AE78</f>
        <v>0</v>
      </c>
      <c r="AP78" s="3">
        <f>VLOOKUP(INT(VLOOKUP(U78,模板计算相关数据!A:N,2,0)/30)+1,模板计算相关数据!$O$35:$U$40,4,0)+AF78</f>
        <v>5000</v>
      </c>
      <c r="AQ78" s="3">
        <f>VLOOKUP(INT(VLOOKUP(U78,模板计算相关数据!A:N,2,0)/30)+1,模板计算相关数据!$O$35:$U$40,5,0)+AG78</f>
        <v>0</v>
      </c>
      <c r="AR78" s="3">
        <f>VLOOKUP(INT(VLOOKUP(U78,模板计算相关数据!A:N,2,0)/30)+1,模板计算相关数据!$O$35:$U$40,6,0)+AH78</f>
        <v>0</v>
      </c>
      <c r="AS78" s="3">
        <f>VLOOKUP(INT(VLOOKUP(U78,模板计算相关数据!A:N,2,0)/30)+1,模板计算相关数据!$O$35:$U$40,7,0)+AI78</f>
        <v>0</v>
      </c>
      <c r="AT78" s="3">
        <f>VLOOKUP(INT(VLOOKUP(U78,模板计算相关数据!A:N,2,0)/30)+1,模板计算相关数据!$O$35:$V$40,8,0)</f>
        <v>0</v>
      </c>
      <c r="AU78" s="87"/>
    </row>
    <row r="79" spans="1:47" s="9" customFormat="1" x14ac:dyDescent="0.2">
      <c r="A79" s="3">
        <v>271</v>
      </c>
      <c r="B79" s="3"/>
      <c r="C79" s="87" t="s">
        <v>1675</v>
      </c>
      <c r="D79" s="69" t="s">
        <v>1660</v>
      </c>
      <c r="E79" s="2"/>
      <c r="F79" s="3">
        <v>1</v>
      </c>
      <c r="G79" s="3">
        <v>1002801</v>
      </c>
      <c r="H79" s="3">
        <v>2</v>
      </c>
      <c r="I79" s="3">
        <v>5</v>
      </c>
      <c r="J79" s="3">
        <v>6</v>
      </c>
      <c r="K79" s="3"/>
      <c r="L79" s="2" t="s">
        <v>1676</v>
      </c>
      <c r="M79" s="2"/>
      <c r="N79" s="2">
        <v>1</v>
      </c>
      <c r="O79" s="69"/>
      <c r="P79" s="3" t="s">
        <v>1615</v>
      </c>
      <c r="Q79" s="95">
        <f t="shared" si="3"/>
        <v>5</v>
      </c>
      <c r="R79" s="133">
        <f>IF(P79=模板计算相关数据!$W$24,VLOOKUP(X79,模板计算相关数据!$P$47:$T$50,2,0),VLOOKUP(X79,模板计算相关数据!$P$4:$U$7,3,0))</f>
        <v>5</v>
      </c>
      <c r="S79" s="62">
        <f t="shared" si="4"/>
        <v>6.6666666666666661</v>
      </c>
      <c r="T79" s="133">
        <f>IF(P79=模板计算相关数据!$W$24,VLOOKUP(X79,模板计算相关数据!$P$47:$T$50,5,0),VLOOKUP(X79,模板计算相关数据!$P$4:$U$7,6,0))</f>
        <v>6.6666666666666661</v>
      </c>
      <c r="U79" s="3">
        <v>1</v>
      </c>
      <c r="V79" s="95">
        <f t="shared" si="5"/>
        <v>1</v>
      </c>
      <c r="W79" s="29">
        <f>VLOOKUP(U79,模板计算相关数据!A:N,2,0)</f>
        <v>1</v>
      </c>
      <c r="X79" s="3" t="s">
        <v>151</v>
      </c>
      <c r="Y79" s="3" t="s">
        <v>234</v>
      </c>
      <c r="Z79" s="100">
        <v>10</v>
      </c>
      <c r="AA79" s="2">
        <v>0.5</v>
      </c>
      <c r="AB79" s="2">
        <v>1</v>
      </c>
      <c r="AC79" s="2">
        <v>1</v>
      </c>
      <c r="AD79" s="95">
        <v>0</v>
      </c>
      <c r="AE79" s="95">
        <v>0</v>
      </c>
      <c r="AF79" s="95">
        <v>0</v>
      </c>
      <c r="AG79" s="95">
        <v>0</v>
      </c>
      <c r="AH79" s="95">
        <v>0</v>
      </c>
      <c r="AI79" s="95">
        <v>0</v>
      </c>
      <c r="AJ79" s="3">
        <f>INT(VLOOKUP(U79,模板计算相关数据!A:N,4,0)*VLOOKUP(U79,模板计算相关数据!A:N,14,0)*(1+MAX(0,(VLOOKUP(U79,模板计算相关数据!A:N,7,0)-AQ79))*VLOOKUP(U79,模板计算相关数据!A:N,8,0))*(1-(AL79+AM79)*0.5/((AL79+AM79)*0.5+(VLOOKUP(U79,模板计算相关数据!A:N,2,0)+模板计算相关数据!$AC$27)*模板计算相关数据!$AC$28))*Q79*Z79)</f>
        <v>3511</v>
      </c>
      <c r="AK79" s="3">
        <f>INT(VLOOKUP(U79,模板计算相关数据!A:N,3,0)/模板计算相关数据!$W$35/(1+MAX(0,(AO79/10000-VLOOKUP(U79,模板计算相关数据!A:N,9,0)))*AP79/10000)/(1-VLOOKUP(U79,模板计算相关数据!A:N,5,0)/(VLOOKUP(U79,模板计算相关数据!A:N,5,0)+(VLOOKUP(U79,模板计算相关数据!A:N,2,0)+模板计算相关数据!$AC$27)*模板计算相关数据!$AC$28))/S79*AA79)</f>
        <v>41</v>
      </c>
      <c r="AL79" s="3">
        <f>INT(VLOOKUP(U79,模板计算相关数据!A:N,5,0)*VLOOKUP(X79,模板计算相关数据!$P$4:$T$7,4,0)*VLOOKUP(Y79,模板计算相关数据!$P$22:$U$30,4,0)*AB79)</f>
        <v>153</v>
      </c>
      <c r="AM79" s="3">
        <f>INT(VLOOKUP(U79,模板计算相关数据!A:N,6,0)*VLOOKUP(X79,模板计算相关数据!$P$4:$T$7,4,0)*VLOOKUP(Y79,模板计算相关数据!$P$22:$U$30,5,0)*AC79)</f>
        <v>277</v>
      </c>
      <c r="AN79" s="3">
        <f>VLOOKUP(U79,模板计算相关数据!A:N,10,0)*0.5*VLOOKUP(Y79,模板计算相关数据!$P$22:$U$30,6,0)+AD79</f>
        <v>225</v>
      </c>
      <c r="AO79" s="3">
        <f>VLOOKUP(INT(VLOOKUP(U79,模板计算相关数据!A:N,2,0)/30)+1,模板计算相关数据!$O$35:$U$40,3,0)+AE79</f>
        <v>0</v>
      </c>
      <c r="AP79" s="3">
        <f>VLOOKUP(INT(VLOOKUP(U79,模板计算相关数据!A:N,2,0)/30)+1,模板计算相关数据!$O$35:$U$40,4,0)+AF79</f>
        <v>5000</v>
      </c>
      <c r="AQ79" s="3">
        <f>VLOOKUP(INT(VLOOKUP(U79,模板计算相关数据!A:N,2,0)/30)+1,模板计算相关数据!$O$35:$U$40,5,0)+AG79</f>
        <v>0</v>
      </c>
      <c r="AR79" s="3">
        <f>VLOOKUP(INT(VLOOKUP(U79,模板计算相关数据!A:N,2,0)/30)+1,模板计算相关数据!$O$35:$U$40,6,0)+AH79</f>
        <v>0</v>
      </c>
      <c r="AS79" s="3">
        <f>VLOOKUP(INT(VLOOKUP(U79,模板计算相关数据!A:N,2,0)/30)+1,模板计算相关数据!$O$35:$U$40,7,0)+AI79</f>
        <v>0</v>
      </c>
      <c r="AT79" s="3">
        <f>VLOOKUP(INT(VLOOKUP(U79,模板计算相关数据!A:N,2,0)/30)+1,模板计算相关数据!$O$35:$V$40,8,0)</f>
        <v>0</v>
      </c>
      <c r="AU79" s="87"/>
    </row>
    <row r="80" spans="1:47" s="9" customFormat="1" x14ac:dyDescent="0.2">
      <c r="A80" s="3">
        <v>272</v>
      </c>
      <c r="B80" s="3"/>
      <c r="C80" s="87" t="s">
        <v>1677</v>
      </c>
      <c r="D80" s="69" t="s">
        <v>1660</v>
      </c>
      <c r="E80" s="2"/>
      <c r="F80" s="3">
        <v>1</v>
      </c>
      <c r="G80" s="3">
        <v>1003001</v>
      </c>
      <c r="H80" s="3">
        <v>2</v>
      </c>
      <c r="I80" s="3">
        <v>5</v>
      </c>
      <c r="J80" s="3">
        <v>6</v>
      </c>
      <c r="K80" s="3"/>
      <c r="L80" s="2" t="s">
        <v>1678</v>
      </c>
      <c r="M80" s="2"/>
      <c r="N80" s="2">
        <v>1</v>
      </c>
      <c r="O80" s="69"/>
      <c r="P80" s="3" t="s">
        <v>1615</v>
      </c>
      <c r="Q80" s="95">
        <f t="shared" si="3"/>
        <v>5</v>
      </c>
      <c r="R80" s="133">
        <f>IF(P80=模板计算相关数据!$W$24,VLOOKUP(X80,模板计算相关数据!$P$47:$T$50,2,0),VLOOKUP(X80,模板计算相关数据!$P$4:$U$7,3,0))</f>
        <v>5</v>
      </c>
      <c r="S80" s="62">
        <f t="shared" si="4"/>
        <v>6.6666666666666661</v>
      </c>
      <c r="T80" s="133">
        <f>IF(P80=模板计算相关数据!$W$24,VLOOKUP(X80,模板计算相关数据!$P$47:$T$50,5,0),VLOOKUP(X80,模板计算相关数据!$P$4:$U$7,6,0))</f>
        <v>6.6666666666666661</v>
      </c>
      <c r="U80" s="3">
        <v>1</v>
      </c>
      <c r="V80" s="95">
        <f t="shared" si="5"/>
        <v>1</v>
      </c>
      <c r="W80" s="29">
        <f>VLOOKUP(U80,模板计算相关数据!A:N,2,0)</f>
        <v>1</v>
      </c>
      <c r="X80" s="3" t="s">
        <v>151</v>
      </c>
      <c r="Y80" s="3" t="s">
        <v>234</v>
      </c>
      <c r="Z80" s="100">
        <v>10</v>
      </c>
      <c r="AA80" s="2">
        <v>0.5</v>
      </c>
      <c r="AB80" s="2">
        <v>1</v>
      </c>
      <c r="AC80" s="2">
        <v>1</v>
      </c>
      <c r="AD80" s="95">
        <v>0</v>
      </c>
      <c r="AE80" s="95">
        <v>0</v>
      </c>
      <c r="AF80" s="95">
        <v>0</v>
      </c>
      <c r="AG80" s="95">
        <v>0</v>
      </c>
      <c r="AH80" s="95">
        <v>0</v>
      </c>
      <c r="AI80" s="95">
        <v>0</v>
      </c>
      <c r="AJ80" s="3">
        <f>INT(VLOOKUP(U80,模板计算相关数据!A:N,4,0)*VLOOKUP(U80,模板计算相关数据!A:N,14,0)*(1+MAX(0,(VLOOKUP(U80,模板计算相关数据!A:N,7,0)-AQ80))*VLOOKUP(U80,模板计算相关数据!A:N,8,0))*(1-(AL80+AM80)*0.5/((AL80+AM80)*0.5+(VLOOKUP(U80,模板计算相关数据!A:N,2,0)+模板计算相关数据!$AC$27)*模板计算相关数据!$AC$28))*Q80*Z80)</f>
        <v>3511</v>
      </c>
      <c r="AK80" s="3">
        <f>INT(VLOOKUP(U80,模板计算相关数据!A:N,3,0)/模板计算相关数据!$W$35/(1+MAX(0,(AO80/10000-VLOOKUP(U80,模板计算相关数据!A:N,9,0)))*AP80/10000)/(1-VLOOKUP(U80,模板计算相关数据!A:N,5,0)/(VLOOKUP(U80,模板计算相关数据!A:N,5,0)+(VLOOKUP(U80,模板计算相关数据!A:N,2,0)+模板计算相关数据!$AC$27)*模板计算相关数据!$AC$28))/S80*AA80)</f>
        <v>41</v>
      </c>
      <c r="AL80" s="3">
        <f>INT(VLOOKUP(U80,模板计算相关数据!A:N,5,0)*VLOOKUP(X80,模板计算相关数据!$P$4:$T$7,4,0)*VLOOKUP(Y80,模板计算相关数据!$P$22:$U$30,4,0)*AB80)</f>
        <v>153</v>
      </c>
      <c r="AM80" s="3">
        <f>INT(VLOOKUP(U80,模板计算相关数据!A:N,6,0)*VLOOKUP(X80,模板计算相关数据!$P$4:$T$7,4,0)*VLOOKUP(Y80,模板计算相关数据!$P$22:$U$30,5,0)*AC80)</f>
        <v>277</v>
      </c>
      <c r="AN80" s="3">
        <f>VLOOKUP(U80,模板计算相关数据!A:N,10,0)*0.5*VLOOKUP(Y80,模板计算相关数据!$P$22:$U$30,6,0)+AD80</f>
        <v>225</v>
      </c>
      <c r="AO80" s="3">
        <f>VLOOKUP(INT(VLOOKUP(U80,模板计算相关数据!A:N,2,0)/30)+1,模板计算相关数据!$O$35:$U$40,3,0)+AE80</f>
        <v>0</v>
      </c>
      <c r="AP80" s="3">
        <f>VLOOKUP(INT(VLOOKUP(U80,模板计算相关数据!A:N,2,0)/30)+1,模板计算相关数据!$O$35:$U$40,4,0)+AF80</f>
        <v>5000</v>
      </c>
      <c r="AQ80" s="3">
        <f>VLOOKUP(INT(VLOOKUP(U80,模板计算相关数据!A:N,2,0)/30)+1,模板计算相关数据!$O$35:$U$40,5,0)+AG80</f>
        <v>0</v>
      </c>
      <c r="AR80" s="3">
        <f>VLOOKUP(INT(VLOOKUP(U80,模板计算相关数据!A:N,2,0)/30)+1,模板计算相关数据!$O$35:$U$40,6,0)+AH80</f>
        <v>0</v>
      </c>
      <c r="AS80" s="3">
        <f>VLOOKUP(INT(VLOOKUP(U80,模板计算相关数据!A:N,2,0)/30)+1,模板计算相关数据!$O$35:$U$40,7,0)+AI80</f>
        <v>0</v>
      </c>
      <c r="AT80" s="3">
        <f>VLOOKUP(INT(VLOOKUP(U80,模板计算相关数据!A:N,2,0)/30)+1,模板计算相关数据!$O$35:$V$40,8,0)</f>
        <v>0</v>
      </c>
      <c r="AU80" s="87"/>
    </row>
    <row r="81" spans="1:47" s="9" customFormat="1" x14ac:dyDescent="0.2">
      <c r="A81" s="3">
        <v>273</v>
      </c>
      <c r="B81" s="3"/>
      <c r="C81" s="87" t="s">
        <v>1679</v>
      </c>
      <c r="D81" s="69" t="s">
        <v>1660</v>
      </c>
      <c r="E81" s="2"/>
      <c r="F81" s="3">
        <v>1</v>
      </c>
      <c r="G81" s="3">
        <v>1003201</v>
      </c>
      <c r="H81" s="3">
        <v>2</v>
      </c>
      <c r="I81" s="3">
        <v>5</v>
      </c>
      <c r="J81" s="3">
        <v>6</v>
      </c>
      <c r="K81" s="3"/>
      <c r="L81" s="2" t="s">
        <v>1680</v>
      </c>
      <c r="M81" s="2"/>
      <c r="N81" s="2">
        <v>1</v>
      </c>
      <c r="O81" s="69"/>
      <c r="P81" s="3" t="s">
        <v>1615</v>
      </c>
      <c r="Q81" s="95">
        <f t="shared" si="3"/>
        <v>5</v>
      </c>
      <c r="R81" s="133">
        <f>IF(P81=模板计算相关数据!$W$24,VLOOKUP(X81,模板计算相关数据!$P$47:$T$50,2,0),VLOOKUP(X81,模板计算相关数据!$P$4:$U$7,3,0))</f>
        <v>5</v>
      </c>
      <c r="S81" s="62">
        <f t="shared" si="4"/>
        <v>6.6666666666666661</v>
      </c>
      <c r="T81" s="133">
        <f>IF(P81=模板计算相关数据!$W$24,VLOOKUP(X81,模板计算相关数据!$P$47:$T$50,5,0),VLOOKUP(X81,模板计算相关数据!$P$4:$U$7,6,0))</f>
        <v>6.6666666666666661</v>
      </c>
      <c r="U81" s="3">
        <v>1</v>
      </c>
      <c r="V81" s="95">
        <f t="shared" si="5"/>
        <v>1</v>
      </c>
      <c r="W81" s="29">
        <f>VLOOKUP(U81,模板计算相关数据!A:N,2,0)</f>
        <v>1</v>
      </c>
      <c r="X81" s="3" t="s">
        <v>151</v>
      </c>
      <c r="Y81" s="3" t="s">
        <v>234</v>
      </c>
      <c r="Z81" s="100">
        <v>10</v>
      </c>
      <c r="AA81" s="2">
        <v>0.5</v>
      </c>
      <c r="AB81" s="2">
        <v>1</v>
      </c>
      <c r="AC81" s="2">
        <v>1</v>
      </c>
      <c r="AD81" s="95">
        <v>0</v>
      </c>
      <c r="AE81" s="95">
        <v>0</v>
      </c>
      <c r="AF81" s="95">
        <v>0</v>
      </c>
      <c r="AG81" s="95">
        <v>0</v>
      </c>
      <c r="AH81" s="95">
        <v>0</v>
      </c>
      <c r="AI81" s="95">
        <v>0</v>
      </c>
      <c r="AJ81" s="3">
        <f>INT(VLOOKUP(U81,模板计算相关数据!A:N,4,0)*VLOOKUP(U81,模板计算相关数据!A:N,14,0)*(1+MAX(0,(VLOOKUP(U81,模板计算相关数据!A:N,7,0)-AQ81))*VLOOKUP(U81,模板计算相关数据!A:N,8,0))*(1-(AL81+AM81)*0.5/((AL81+AM81)*0.5+(VLOOKUP(U81,模板计算相关数据!A:N,2,0)+模板计算相关数据!$AC$27)*模板计算相关数据!$AC$28))*Q81*Z81)</f>
        <v>3511</v>
      </c>
      <c r="AK81" s="3">
        <f>INT(VLOOKUP(U81,模板计算相关数据!A:N,3,0)/模板计算相关数据!$W$35/(1+MAX(0,(AO81/10000-VLOOKUP(U81,模板计算相关数据!A:N,9,0)))*AP81/10000)/(1-VLOOKUP(U81,模板计算相关数据!A:N,5,0)/(VLOOKUP(U81,模板计算相关数据!A:N,5,0)+(VLOOKUP(U81,模板计算相关数据!A:N,2,0)+模板计算相关数据!$AC$27)*模板计算相关数据!$AC$28))/S81*AA81)</f>
        <v>41</v>
      </c>
      <c r="AL81" s="3">
        <f>INT(VLOOKUP(U81,模板计算相关数据!A:N,5,0)*VLOOKUP(X81,模板计算相关数据!$P$4:$T$7,4,0)*VLOOKUP(Y81,模板计算相关数据!$P$22:$U$30,4,0)*AB81)</f>
        <v>153</v>
      </c>
      <c r="AM81" s="3">
        <f>INT(VLOOKUP(U81,模板计算相关数据!A:N,6,0)*VLOOKUP(X81,模板计算相关数据!$P$4:$T$7,4,0)*VLOOKUP(Y81,模板计算相关数据!$P$22:$U$30,5,0)*AC81)</f>
        <v>277</v>
      </c>
      <c r="AN81" s="3">
        <f>VLOOKUP(U81,模板计算相关数据!A:N,10,0)*0.5*VLOOKUP(Y81,模板计算相关数据!$P$22:$U$30,6,0)+AD81</f>
        <v>225</v>
      </c>
      <c r="AO81" s="3">
        <f>VLOOKUP(INT(VLOOKUP(U81,模板计算相关数据!A:N,2,0)/30)+1,模板计算相关数据!$O$35:$U$40,3,0)+AE81</f>
        <v>0</v>
      </c>
      <c r="AP81" s="3">
        <f>VLOOKUP(INT(VLOOKUP(U81,模板计算相关数据!A:N,2,0)/30)+1,模板计算相关数据!$O$35:$U$40,4,0)+AF81</f>
        <v>5000</v>
      </c>
      <c r="AQ81" s="3">
        <f>VLOOKUP(INT(VLOOKUP(U81,模板计算相关数据!A:N,2,0)/30)+1,模板计算相关数据!$O$35:$U$40,5,0)+AG81</f>
        <v>0</v>
      </c>
      <c r="AR81" s="3">
        <f>VLOOKUP(INT(VLOOKUP(U81,模板计算相关数据!A:N,2,0)/30)+1,模板计算相关数据!$O$35:$U$40,6,0)+AH81</f>
        <v>0</v>
      </c>
      <c r="AS81" s="3">
        <f>VLOOKUP(INT(VLOOKUP(U81,模板计算相关数据!A:N,2,0)/30)+1,模板计算相关数据!$O$35:$U$40,7,0)+AI81</f>
        <v>0</v>
      </c>
      <c r="AT81" s="3">
        <f>VLOOKUP(INT(VLOOKUP(U81,模板计算相关数据!A:N,2,0)/30)+1,模板计算相关数据!$O$35:$V$40,8,0)</f>
        <v>0</v>
      </c>
      <c r="AU81" s="87"/>
    </row>
    <row r="82" spans="1:47" s="9" customFormat="1" x14ac:dyDescent="0.2">
      <c r="A82" s="3">
        <v>274</v>
      </c>
      <c r="B82" s="3"/>
      <c r="C82" s="87" t="s">
        <v>1681</v>
      </c>
      <c r="D82" s="69" t="s">
        <v>1660</v>
      </c>
      <c r="E82" s="2"/>
      <c r="F82" s="3">
        <v>1</v>
      </c>
      <c r="G82" s="3">
        <v>1003301</v>
      </c>
      <c r="H82" s="3">
        <v>2</v>
      </c>
      <c r="I82" s="3">
        <v>5</v>
      </c>
      <c r="J82" s="3">
        <v>6</v>
      </c>
      <c r="K82" s="3"/>
      <c r="L82" s="2" t="s">
        <v>1682</v>
      </c>
      <c r="M82" s="2"/>
      <c r="N82" s="2">
        <v>1</v>
      </c>
      <c r="O82" s="69"/>
      <c r="P82" s="3" t="s">
        <v>1615</v>
      </c>
      <c r="Q82" s="95">
        <f t="shared" si="3"/>
        <v>5</v>
      </c>
      <c r="R82" s="133">
        <f>IF(P82=模板计算相关数据!$W$24,VLOOKUP(X82,模板计算相关数据!$P$47:$T$50,2,0),VLOOKUP(X82,模板计算相关数据!$P$4:$U$7,3,0))</f>
        <v>5</v>
      </c>
      <c r="S82" s="62">
        <f t="shared" si="4"/>
        <v>6.6666666666666661</v>
      </c>
      <c r="T82" s="133">
        <f>IF(P82=模板计算相关数据!$W$24,VLOOKUP(X82,模板计算相关数据!$P$47:$T$50,5,0),VLOOKUP(X82,模板计算相关数据!$P$4:$U$7,6,0))</f>
        <v>6.6666666666666661</v>
      </c>
      <c r="U82" s="3">
        <v>1</v>
      </c>
      <c r="V82" s="95">
        <f t="shared" si="5"/>
        <v>1</v>
      </c>
      <c r="W82" s="29">
        <f>VLOOKUP(U82,模板计算相关数据!A:N,2,0)</f>
        <v>1</v>
      </c>
      <c r="X82" s="3" t="s">
        <v>151</v>
      </c>
      <c r="Y82" s="3" t="s">
        <v>234</v>
      </c>
      <c r="Z82" s="100">
        <v>10</v>
      </c>
      <c r="AA82" s="2">
        <v>0.5</v>
      </c>
      <c r="AB82" s="2">
        <v>1</v>
      </c>
      <c r="AC82" s="2">
        <v>1</v>
      </c>
      <c r="AD82" s="95">
        <v>0</v>
      </c>
      <c r="AE82" s="95">
        <v>0</v>
      </c>
      <c r="AF82" s="95">
        <v>0</v>
      </c>
      <c r="AG82" s="95">
        <v>0</v>
      </c>
      <c r="AH82" s="95">
        <v>0</v>
      </c>
      <c r="AI82" s="95">
        <v>0</v>
      </c>
      <c r="AJ82" s="3">
        <f>INT(VLOOKUP(U82,模板计算相关数据!A:N,4,0)*VLOOKUP(U82,模板计算相关数据!A:N,14,0)*(1+MAX(0,(VLOOKUP(U82,模板计算相关数据!A:N,7,0)-AQ82))*VLOOKUP(U82,模板计算相关数据!A:N,8,0))*(1-(AL82+AM82)*0.5/((AL82+AM82)*0.5+(VLOOKUP(U82,模板计算相关数据!A:N,2,0)+模板计算相关数据!$AC$27)*模板计算相关数据!$AC$28))*Q82*Z82)</f>
        <v>3511</v>
      </c>
      <c r="AK82" s="3">
        <f>INT(VLOOKUP(U82,模板计算相关数据!A:N,3,0)/模板计算相关数据!$W$35/(1+MAX(0,(AO82/10000-VLOOKUP(U82,模板计算相关数据!A:N,9,0)))*AP82/10000)/(1-VLOOKUP(U82,模板计算相关数据!A:N,5,0)/(VLOOKUP(U82,模板计算相关数据!A:N,5,0)+(VLOOKUP(U82,模板计算相关数据!A:N,2,0)+模板计算相关数据!$AC$27)*模板计算相关数据!$AC$28))/S82*AA82)</f>
        <v>41</v>
      </c>
      <c r="AL82" s="3">
        <f>INT(VLOOKUP(U82,模板计算相关数据!A:N,5,0)*VLOOKUP(X82,模板计算相关数据!$P$4:$T$7,4,0)*VLOOKUP(Y82,模板计算相关数据!$P$22:$U$30,4,0)*AB82)</f>
        <v>153</v>
      </c>
      <c r="AM82" s="3">
        <f>INT(VLOOKUP(U82,模板计算相关数据!A:N,6,0)*VLOOKUP(X82,模板计算相关数据!$P$4:$T$7,4,0)*VLOOKUP(Y82,模板计算相关数据!$P$22:$U$30,5,0)*AC82)</f>
        <v>277</v>
      </c>
      <c r="AN82" s="3">
        <f>VLOOKUP(U82,模板计算相关数据!A:N,10,0)*0.5*VLOOKUP(Y82,模板计算相关数据!$P$22:$U$30,6,0)+AD82</f>
        <v>225</v>
      </c>
      <c r="AO82" s="3">
        <f>VLOOKUP(INT(VLOOKUP(U82,模板计算相关数据!A:N,2,0)/30)+1,模板计算相关数据!$O$35:$U$40,3,0)+AE82</f>
        <v>0</v>
      </c>
      <c r="AP82" s="3">
        <f>VLOOKUP(INT(VLOOKUP(U82,模板计算相关数据!A:N,2,0)/30)+1,模板计算相关数据!$O$35:$U$40,4,0)+AF82</f>
        <v>5000</v>
      </c>
      <c r="AQ82" s="3">
        <f>VLOOKUP(INT(VLOOKUP(U82,模板计算相关数据!A:N,2,0)/30)+1,模板计算相关数据!$O$35:$U$40,5,0)+AG82</f>
        <v>0</v>
      </c>
      <c r="AR82" s="3">
        <f>VLOOKUP(INT(VLOOKUP(U82,模板计算相关数据!A:N,2,0)/30)+1,模板计算相关数据!$O$35:$U$40,6,0)+AH82</f>
        <v>0</v>
      </c>
      <c r="AS82" s="3">
        <f>VLOOKUP(INT(VLOOKUP(U82,模板计算相关数据!A:N,2,0)/30)+1,模板计算相关数据!$O$35:$U$40,7,0)+AI82</f>
        <v>0</v>
      </c>
      <c r="AT82" s="3">
        <f>VLOOKUP(INT(VLOOKUP(U82,模板计算相关数据!A:N,2,0)/30)+1,模板计算相关数据!$O$35:$V$40,8,0)</f>
        <v>0</v>
      </c>
      <c r="AU82" s="87"/>
    </row>
    <row r="83" spans="1:47" s="9" customFormat="1" x14ac:dyDescent="0.2">
      <c r="A83" s="3">
        <v>275</v>
      </c>
      <c r="B83" s="3"/>
      <c r="C83" s="87" t="s">
        <v>1683</v>
      </c>
      <c r="D83" s="69" t="s">
        <v>1660</v>
      </c>
      <c r="E83" s="2"/>
      <c r="F83" s="3">
        <v>1</v>
      </c>
      <c r="G83" s="3">
        <v>1003401</v>
      </c>
      <c r="H83" s="3">
        <v>2</v>
      </c>
      <c r="I83" s="3">
        <v>5</v>
      </c>
      <c r="J83" s="3">
        <v>6</v>
      </c>
      <c r="K83" s="3"/>
      <c r="L83" s="2" t="s">
        <v>1684</v>
      </c>
      <c r="M83" s="2"/>
      <c r="N83" s="2">
        <v>1</v>
      </c>
      <c r="O83" s="69"/>
      <c r="P83" s="3" t="s">
        <v>1615</v>
      </c>
      <c r="Q83" s="95">
        <f t="shared" si="3"/>
        <v>5</v>
      </c>
      <c r="R83" s="133">
        <f>IF(P83=模板计算相关数据!$W$24,VLOOKUP(X83,模板计算相关数据!$P$47:$T$50,2,0),VLOOKUP(X83,模板计算相关数据!$P$4:$U$7,3,0))</f>
        <v>5</v>
      </c>
      <c r="S83" s="62">
        <f t="shared" si="4"/>
        <v>6.6666666666666661</v>
      </c>
      <c r="T83" s="133">
        <f>IF(P83=模板计算相关数据!$W$24,VLOOKUP(X83,模板计算相关数据!$P$47:$T$50,5,0),VLOOKUP(X83,模板计算相关数据!$P$4:$U$7,6,0))</f>
        <v>6.6666666666666661</v>
      </c>
      <c r="U83" s="3">
        <v>1</v>
      </c>
      <c r="V83" s="95">
        <f t="shared" si="5"/>
        <v>1</v>
      </c>
      <c r="W83" s="29">
        <f>VLOOKUP(U83,模板计算相关数据!A:N,2,0)</f>
        <v>1</v>
      </c>
      <c r="X83" s="3" t="s">
        <v>151</v>
      </c>
      <c r="Y83" s="3" t="s">
        <v>234</v>
      </c>
      <c r="Z83" s="100">
        <v>10</v>
      </c>
      <c r="AA83" s="2">
        <v>0.5</v>
      </c>
      <c r="AB83" s="2">
        <v>1</v>
      </c>
      <c r="AC83" s="2">
        <v>1</v>
      </c>
      <c r="AD83" s="95">
        <v>0</v>
      </c>
      <c r="AE83" s="95">
        <v>0</v>
      </c>
      <c r="AF83" s="95">
        <v>0</v>
      </c>
      <c r="AG83" s="95">
        <v>0</v>
      </c>
      <c r="AH83" s="95">
        <v>0</v>
      </c>
      <c r="AI83" s="95">
        <v>0</v>
      </c>
      <c r="AJ83" s="3">
        <f>INT(VLOOKUP(U83,模板计算相关数据!A:N,4,0)*VLOOKUP(U83,模板计算相关数据!A:N,14,0)*(1+MAX(0,(VLOOKUP(U83,模板计算相关数据!A:N,7,0)-AQ83))*VLOOKUP(U83,模板计算相关数据!A:N,8,0))*(1-(AL83+AM83)*0.5/((AL83+AM83)*0.5+(VLOOKUP(U83,模板计算相关数据!A:N,2,0)+模板计算相关数据!$AC$27)*模板计算相关数据!$AC$28))*Q83*Z83)</f>
        <v>3511</v>
      </c>
      <c r="AK83" s="3">
        <f>INT(VLOOKUP(U83,模板计算相关数据!A:N,3,0)/模板计算相关数据!$W$35/(1+MAX(0,(AO83/10000-VLOOKUP(U83,模板计算相关数据!A:N,9,0)))*AP83/10000)/(1-VLOOKUP(U83,模板计算相关数据!A:N,5,0)/(VLOOKUP(U83,模板计算相关数据!A:N,5,0)+(VLOOKUP(U83,模板计算相关数据!A:N,2,0)+模板计算相关数据!$AC$27)*模板计算相关数据!$AC$28))/S83*AA83)</f>
        <v>41</v>
      </c>
      <c r="AL83" s="3">
        <f>INT(VLOOKUP(U83,模板计算相关数据!A:N,5,0)*VLOOKUP(X83,模板计算相关数据!$P$4:$T$7,4,0)*VLOOKUP(Y83,模板计算相关数据!$P$22:$U$30,4,0)*AB83)</f>
        <v>153</v>
      </c>
      <c r="AM83" s="3">
        <f>INT(VLOOKUP(U83,模板计算相关数据!A:N,6,0)*VLOOKUP(X83,模板计算相关数据!$P$4:$T$7,4,0)*VLOOKUP(Y83,模板计算相关数据!$P$22:$U$30,5,0)*AC83)</f>
        <v>277</v>
      </c>
      <c r="AN83" s="3">
        <f>VLOOKUP(U83,模板计算相关数据!A:N,10,0)*0.5*VLOOKUP(Y83,模板计算相关数据!$P$22:$U$30,6,0)+AD83</f>
        <v>225</v>
      </c>
      <c r="AO83" s="3">
        <f>VLOOKUP(INT(VLOOKUP(U83,模板计算相关数据!A:N,2,0)/30)+1,模板计算相关数据!$O$35:$U$40,3,0)+AE83</f>
        <v>0</v>
      </c>
      <c r="AP83" s="3">
        <f>VLOOKUP(INT(VLOOKUP(U83,模板计算相关数据!A:N,2,0)/30)+1,模板计算相关数据!$O$35:$U$40,4,0)+AF83</f>
        <v>5000</v>
      </c>
      <c r="AQ83" s="3">
        <f>VLOOKUP(INT(VLOOKUP(U83,模板计算相关数据!A:N,2,0)/30)+1,模板计算相关数据!$O$35:$U$40,5,0)+AG83</f>
        <v>0</v>
      </c>
      <c r="AR83" s="3">
        <f>VLOOKUP(INT(VLOOKUP(U83,模板计算相关数据!A:N,2,0)/30)+1,模板计算相关数据!$O$35:$U$40,6,0)+AH83</f>
        <v>0</v>
      </c>
      <c r="AS83" s="3">
        <f>VLOOKUP(INT(VLOOKUP(U83,模板计算相关数据!A:N,2,0)/30)+1,模板计算相关数据!$O$35:$U$40,7,0)+AI83</f>
        <v>0</v>
      </c>
      <c r="AT83" s="3">
        <f>VLOOKUP(INT(VLOOKUP(U83,模板计算相关数据!A:N,2,0)/30)+1,模板计算相关数据!$O$35:$V$40,8,0)</f>
        <v>0</v>
      </c>
      <c r="AU83" s="87"/>
    </row>
    <row r="84" spans="1:47" s="9" customFormat="1" x14ac:dyDescent="0.2">
      <c r="A84" s="3">
        <v>276</v>
      </c>
      <c r="B84" s="3"/>
      <c r="C84" s="87" t="s">
        <v>1685</v>
      </c>
      <c r="D84" s="69" t="s">
        <v>1660</v>
      </c>
      <c r="E84" s="2"/>
      <c r="F84" s="3">
        <v>1</v>
      </c>
      <c r="G84" s="3">
        <v>1003501</v>
      </c>
      <c r="H84" s="3">
        <v>2</v>
      </c>
      <c r="I84" s="3">
        <v>5</v>
      </c>
      <c r="J84" s="3">
        <v>6</v>
      </c>
      <c r="K84" s="3"/>
      <c r="L84" s="2" t="s">
        <v>1686</v>
      </c>
      <c r="M84" s="2"/>
      <c r="N84" s="2">
        <v>1</v>
      </c>
      <c r="O84" s="69"/>
      <c r="P84" s="3" t="s">
        <v>1615</v>
      </c>
      <c r="Q84" s="95">
        <f t="shared" si="3"/>
        <v>5</v>
      </c>
      <c r="R84" s="133">
        <f>IF(P84=模板计算相关数据!$W$24,VLOOKUP(X84,模板计算相关数据!$P$47:$T$50,2,0),VLOOKUP(X84,模板计算相关数据!$P$4:$U$7,3,0))</f>
        <v>5</v>
      </c>
      <c r="S84" s="62">
        <f t="shared" si="4"/>
        <v>6.6666666666666661</v>
      </c>
      <c r="T84" s="133">
        <f>IF(P84=模板计算相关数据!$W$24,VLOOKUP(X84,模板计算相关数据!$P$47:$T$50,5,0),VLOOKUP(X84,模板计算相关数据!$P$4:$U$7,6,0))</f>
        <v>6.6666666666666661</v>
      </c>
      <c r="U84" s="3">
        <v>1</v>
      </c>
      <c r="V84" s="95">
        <f t="shared" si="5"/>
        <v>1</v>
      </c>
      <c r="W84" s="29">
        <f>VLOOKUP(U84,模板计算相关数据!A:N,2,0)</f>
        <v>1</v>
      </c>
      <c r="X84" s="3" t="s">
        <v>151</v>
      </c>
      <c r="Y84" s="3" t="s">
        <v>234</v>
      </c>
      <c r="Z84" s="100">
        <v>10</v>
      </c>
      <c r="AA84" s="2">
        <v>0.5</v>
      </c>
      <c r="AB84" s="2">
        <v>1</v>
      </c>
      <c r="AC84" s="2">
        <v>1</v>
      </c>
      <c r="AD84" s="95">
        <v>0</v>
      </c>
      <c r="AE84" s="95">
        <v>0</v>
      </c>
      <c r="AF84" s="95">
        <v>0</v>
      </c>
      <c r="AG84" s="95">
        <v>0</v>
      </c>
      <c r="AH84" s="95">
        <v>0</v>
      </c>
      <c r="AI84" s="95">
        <v>0</v>
      </c>
      <c r="AJ84" s="3">
        <f>INT(VLOOKUP(U84,模板计算相关数据!A:N,4,0)*VLOOKUP(U84,模板计算相关数据!A:N,14,0)*(1+MAX(0,(VLOOKUP(U84,模板计算相关数据!A:N,7,0)-AQ84))*VLOOKUP(U84,模板计算相关数据!A:N,8,0))*(1-(AL84+AM84)*0.5/((AL84+AM84)*0.5+(VLOOKUP(U84,模板计算相关数据!A:N,2,0)+模板计算相关数据!$AC$27)*模板计算相关数据!$AC$28))*Q84*Z84)</f>
        <v>3511</v>
      </c>
      <c r="AK84" s="3">
        <f>INT(VLOOKUP(U84,模板计算相关数据!A:N,3,0)/模板计算相关数据!$W$35/(1+MAX(0,(AO84/10000-VLOOKUP(U84,模板计算相关数据!A:N,9,0)))*AP84/10000)/(1-VLOOKUP(U84,模板计算相关数据!A:N,5,0)/(VLOOKUP(U84,模板计算相关数据!A:N,5,0)+(VLOOKUP(U84,模板计算相关数据!A:N,2,0)+模板计算相关数据!$AC$27)*模板计算相关数据!$AC$28))/S84*AA84)</f>
        <v>41</v>
      </c>
      <c r="AL84" s="3">
        <f>INT(VLOOKUP(U84,模板计算相关数据!A:N,5,0)*VLOOKUP(X84,模板计算相关数据!$P$4:$T$7,4,0)*VLOOKUP(Y84,模板计算相关数据!$P$22:$U$30,4,0)*AB84)</f>
        <v>153</v>
      </c>
      <c r="AM84" s="3">
        <f>INT(VLOOKUP(U84,模板计算相关数据!A:N,6,0)*VLOOKUP(X84,模板计算相关数据!$P$4:$T$7,4,0)*VLOOKUP(Y84,模板计算相关数据!$P$22:$U$30,5,0)*AC84)</f>
        <v>277</v>
      </c>
      <c r="AN84" s="3">
        <f>VLOOKUP(U84,模板计算相关数据!A:N,10,0)*0.5*VLOOKUP(Y84,模板计算相关数据!$P$22:$U$30,6,0)+AD84</f>
        <v>225</v>
      </c>
      <c r="AO84" s="3">
        <f>VLOOKUP(INT(VLOOKUP(U84,模板计算相关数据!A:N,2,0)/30)+1,模板计算相关数据!$O$35:$U$40,3,0)+AE84</f>
        <v>0</v>
      </c>
      <c r="AP84" s="3">
        <f>VLOOKUP(INT(VLOOKUP(U84,模板计算相关数据!A:N,2,0)/30)+1,模板计算相关数据!$O$35:$U$40,4,0)+AF84</f>
        <v>5000</v>
      </c>
      <c r="AQ84" s="3">
        <f>VLOOKUP(INT(VLOOKUP(U84,模板计算相关数据!A:N,2,0)/30)+1,模板计算相关数据!$O$35:$U$40,5,0)+AG84</f>
        <v>0</v>
      </c>
      <c r="AR84" s="3">
        <f>VLOOKUP(INT(VLOOKUP(U84,模板计算相关数据!A:N,2,0)/30)+1,模板计算相关数据!$O$35:$U$40,6,0)+AH84</f>
        <v>0</v>
      </c>
      <c r="AS84" s="3">
        <f>VLOOKUP(INT(VLOOKUP(U84,模板计算相关数据!A:N,2,0)/30)+1,模板计算相关数据!$O$35:$U$40,7,0)+AI84</f>
        <v>0</v>
      </c>
      <c r="AT84" s="3">
        <f>VLOOKUP(INT(VLOOKUP(U84,模板计算相关数据!A:N,2,0)/30)+1,模板计算相关数据!$O$35:$V$40,8,0)</f>
        <v>0</v>
      </c>
      <c r="AU84" s="87"/>
    </row>
    <row r="85" spans="1:47" s="9" customFormat="1" x14ac:dyDescent="0.2">
      <c r="A85" s="3">
        <v>277</v>
      </c>
      <c r="B85" s="3"/>
      <c r="C85" s="87" t="s">
        <v>1746</v>
      </c>
      <c r="D85" s="69" t="s">
        <v>1660</v>
      </c>
      <c r="E85" s="2"/>
      <c r="F85" s="3">
        <v>1</v>
      </c>
      <c r="G85" s="3">
        <v>1001401</v>
      </c>
      <c r="H85" s="3">
        <v>2</v>
      </c>
      <c r="I85" s="3">
        <v>5</v>
      </c>
      <c r="J85" s="3">
        <v>6</v>
      </c>
      <c r="K85" s="3"/>
      <c r="L85" s="2" t="s">
        <v>1687</v>
      </c>
      <c r="M85" s="2"/>
      <c r="N85" s="2">
        <v>1</v>
      </c>
      <c r="O85" s="69"/>
      <c r="P85" s="3" t="s">
        <v>1615</v>
      </c>
      <c r="Q85" s="95">
        <f t="shared" si="3"/>
        <v>5</v>
      </c>
      <c r="R85" s="133">
        <f>IF(P85=模板计算相关数据!$W$24,VLOOKUP(X85,模板计算相关数据!$P$47:$T$50,2,0),VLOOKUP(X85,模板计算相关数据!$P$4:$U$7,3,0))</f>
        <v>5</v>
      </c>
      <c r="S85" s="62">
        <f t="shared" si="4"/>
        <v>6.6666666666666661</v>
      </c>
      <c r="T85" s="133">
        <f>IF(P85=模板计算相关数据!$W$24,VLOOKUP(X85,模板计算相关数据!$P$47:$T$50,5,0),VLOOKUP(X85,模板计算相关数据!$P$4:$U$7,6,0))</f>
        <v>6.6666666666666661</v>
      </c>
      <c r="U85" s="3">
        <v>1</v>
      </c>
      <c r="V85" s="95">
        <f t="shared" si="5"/>
        <v>1</v>
      </c>
      <c r="W85" s="29">
        <f>VLOOKUP(U85,模板计算相关数据!A:N,2,0)</f>
        <v>1</v>
      </c>
      <c r="X85" s="3" t="s">
        <v>151</v>
      </c>
      <c r="Y85" s="3" t="s">
        <v>234</v>
      </c>
      <c r="Z85" s="100">
        <v>10</v>
      </c>
      <c r="AA85" s="2">
        <v>0.5</v>
      </c>
      <c r="AB85" s="2">
        <v>1</v>
      </c>
      <c r="AC85" s="2">
        <v>1</v>
      </c>
      <c r="AD85" s="95">
        <v>0</v>
      </c>
      <c r="AE85" s="95">
        <v>0</v>
      </c>
      <c r="AF85" s="95">
        <v>0</v>
      </c>
      <c r="AG85" s="95">
        <v>0</v>
      </c>
      <c r="AH85" s="95">
        <v>0</v>
      </c>
      <c r="AI85" s="95">
        <v>0</v>
      </c>
      <c r="AJ85" s="3">
        <f>INT(VLOOKUP(U85,模板计算相关数据!A:N,4,0)*VLOOKUP(U85,模板计算相关数据!A:N,14,0)*(1+MAX(0,(VLOOKUP(U85,模板计算相关数据!A:N,7,0)-AQ85))*VLOOKUP(U85,模板计算相关数据!A:N,8,0))*(1-(AL85+AM85)*0.5/((AL85+AM85)*0.5+(VLOOKUP(U85,模板计算相关数据!A:N,2,0)+模板计算相关数据!$AC$27)*模板计算相关数据!$AC$28))*Q85*Z85)</f>
        <v>3511</v>
      </c>
      <c r="AK85" s="3">
        <f>INT(VLOOKUP(U85,模板计算相关数据!A:N,3,0)/模板计算相关数据!$W$35/(1+MAX(0,(AO85/10000-VLOOKUP(U85,模板计算相关数据!A:N,9,0)))*AP85/10000)/(1-VLOOKUP(U85,模板计算相关数据!A:N,5,0)/(VLOOKUP(U85,模板计算相关数据!A:N,5,0)+(VLOOKUP(U85,模板计算相关数据!A:N,2,0)+模板计算相关数据!$AC$27)*模板计算相关数据!$AC$28))/S85*AA85)</f>
        <v>41</v>
      </c>
      <c r="AL85" s="3">
        <f>INT(VLOOKUP(U85,模板计算相关数据!A:N,5,0)*VLOOKUP(X85,模板计算相关数据!$P$4:$T$7,4,0)*VLOOKUP(Y85,模板计算相关数据!$P$22:$U$30,4,0)*AB85)</f>
        <v>153</v>
      </c>
      <c r="AM85" s="3">
        <f>INT(VLOOKUP(U85,模板计算相关数据!A:N,6,0)*VLOOKUP(X85,模板计算相关数据!$P$4:$T$7,4,0)*VLOOKUP(Y85,模板计算相关数据!$P$22:$U$30,5,0)*AC85)</f>
        <v>277</v>
      </c>
      <c r="AN85" s="3">
        <f>VLOOKUP(U85,模板计算相关数据!A:N,10,0)*0.5*VLOOKUP(Y85,模板计算相关数据!$P$22:$U$30,6,0)+AD85</f>
        <v>225</v>
      </c>
      <c r="AO85" s="3">
        <f>VLOOKUP(INT(VLOOKUP(U85,模板计算相关数据!A:N,2,0)/30)+1,模板计算相关数据!$O$35:$U$40,3,0)+AE85</f>
        <v>0</v>
      </c>
      <c r="AP85" s="3">
        <f>VLOOKUP(INT(VLOOKUP(U85,模板计算相关数据!A:N,2,0)/30)+1,模板计算相关数据!$O$35:$U$40,4,0)+AF85</f>
        <v>5000</v>
      </c>
      <c r="AQ85" s="3">
        <f>VLOOKUP(INT(VLOOKUP(U85,模板计算相关数据!A:N,2,0)/30)+1,模板计算相关数据!$O$35:$U$40,5,0)+AG85</f>
        <v>0</v>
      </c>
      <c r="AR85" s="3">
        <f>VLOOKUP(INT(VLOOKUP(U85,模板计算相关数据!A:N,2,0)/30)+1,模板计算相关数据!$O$35:$U$40,6,0)+AH85</f>
        <v>0</v>
      </c>
      <c r="AS85" s="3">
        <f>VLOOKUP(INT(VLOOKUP(U85,模板计算相关数据!A:N,2,0)/30)+1,模板计算相关数据!$O$35:$U$40,7,0)+AI85</f>
        <v>0</v>
      </c>
      <c r="AT85" s="3">
        <f>VLOOKUP(INT(VLOOKUP(U85,模板计算相关数据!A:N,2,0)/30)+1,模板计算相关数据!$O$35:$V$40,8,0)</f>
        <v>0</v>
      </c>
      <c r="AU85" s="87"/>
    </row>
    <row r="86" spans="1:47" s="9" customFormat="1" x14ac:dyDescent="0.2">
      <c r="A86" s="3">
        <v>278</v>
      </c>
      <c r="B86" s="3"/>
      <c r="C86" s="87" t="s">
        <v>1688</v>
      </c>
      <c r="D86" s="69" t="s">
        <v>1660</v>
      </c>
      <c r="E86" s="2"/>
      <c r="F86" s="3">
        <v>1</v>
      </c>
      <c r="G86" s="3">
        <v>1003601</v>
      </c>
      <c r="H86" s="3">
        <v>2</v>
      </c>
      <c r="I86" s="3">
        <v>5</v>
      </c>
      <c r="J86" s="3">
        <v>6</v>
      </c>
      <c r="K86" s="3"/>
      <c r="L86" s="2" t="s">
        <v>1689</v>
      </c>
      <c r="M86" s="2"/>
      <c r="N86" s="2">
        <v>1</v>
      </c>
      <c r="O86" s="69"/>
      <c r="P86" s="3" t="s">
        <v>1615</v>
      </c>
      <c r="Q86" s="95">
        <f t="shared" si="3"/>
        <v>5</v>
      </c>
      <c r="R86" s="133">
        <f>IF(P86=模板计算相关数据!$W$24,VLOOKUP(X86,模板计算相关数据!$P$47:$T$50,2,0),VLOOKUP(X86,模板计算相关数据!$P$4:$U$7,3,0))</f>
        <v>5</v>
      </c>
      <c r="S86" s="62">
        <f t="shared" si="4"/>
        <v>6.6666666666666661</v>
      </c>
      <c r="T86" s="133">
        <f>IF(P86=模板计算相关数据!$W$24,VLOOKUP(X86,模板计算相关数据!$P$47:$T$50,5,0),VLOOKUP(X86,模板计算相关数据!$P$4:$U$7,6,0))</f>
        <v>6.6666666666666661</v>
      </c>
      <c r="U86" s="3">
        <v>1</v>
      </c>
      <c r="V86" s="95">
        <f t="shared" si="5"/>
        <v>1</v>
      </c>
      <c r="W86" s="29">
        <f>VLOOKUP(U86,模板计算相关数据!A:N,2,0)</f>
        <v>1</v>
      </c>
      <c r="X86" s="3" t="s">
        <v>151</v>
      </c>
      <c r="Y86" s="3" t="s">
        <v>234</v>
      </c>
      <c r="Z86" s="100">
        <v>10</v>
      </c>
      <c r="AA86" s="2">
        <v>0.5</v>
      </c>
      <c r="AB86" s="2">
        <v>1</v>
      </c>
      <c r="AC86" s="2">
        <v>1</v>
      </c>
      <c r="AD86" s="95">
        <v>0</v>
      </c>
      <c r="AE86" s="95">
        <v>0</v>
      </c>
      <c r="AF86" s="95">
        <v>0</v>
      </c>
      <c r="AG86" s="95">
        <v>0</v>
      </c>
      <c r="AH86" s="95">
        <v>0</v>
      </c>
      <c r="AI86" s="95">
        <v>0</v>
      </c>
      <c r="AJ86" s="3">
        <f>INT(VLOOKUP(U86,模板计算相关数据!A:N,4,0)*VLOOKUP(U86,模板计算相关数据!A:N,14,0)*(1+MAX(0,(VLOOKUP(U86,模板计算相关数据!A:N,7,0)-AQ86))*VLOOKUP(U86,模板计算相关数据!A:N,8,0))*(1-(AL86+AM86)*0.5/((AL86+AM86)*0.5+(VLOOKUP(U86,模板计算相关数据!A:N,2,0)+模板计算相关数据!$AC$27)*模板计算相关数据!$AC$28))*Q86*Z86)</f>
        <v>3511</v>
      </c>
      <c r="AK86" s="3">
        <f>INT(VLOOKUP(U86,模板计算相关数据!A:N,3,0)/模板计算相关数据!$W$35/(1+MAX(0,(AO86/10000-VLOOKUP(U86,模板计算相关数据!A:N,9,0)))*AP86/10000)/(1-VLOOKUP(U86,模板计算相关数据!A:N,5,0)/(VLOOKUP(U86,模板计算相关数据!A:N,5,0)+(VLOOKUP(U86,模板计算相关数据!A:N,2,0)+模板计算相关数据!$AC$27)*模板计算相关数据!$AC$28))/S86*AA86)</f>
        <v>41</v>
      </c>
      <c r="AL86" s="3">
        <f>INT(VLOOKUP(U86,模板计算相关数据!A:N,5,0)*VLOOKUP(X86,模板计算相关数据!$P$4:$T$7,4,0)*VLOOKUP(Y86,模板计算相关数据!$P$22:$U$30,4,0)*AB86)</f>
        <v>153</v>
      </c>
      <c r="AM86" s="3">
        <f>INT(VLOOKUP(U86,模板计算相关数据!A:N,6,0)*VLOOKUP(X86,模板计算相关数据!$P$4:$T$7,4,0)*VLOOKUP(Y86,模板计算相关数据!$P$22:$U$30,5,0)*AC86)</f>
        <v>277</v>
      </c>
      <c r="AN86" s="3">
        <f>VLOOKUP(U86,模板计算相关数据!A:N,10,0)*0.5*VLOOKUP(Y86,模板计算相关数据!$P$22:$U$30,6,0)+AD86</f>
        <v>225</v>
      </c>
      <c r="AO86" s="3">
        <f>VLOOKUP(INT(VLOOKUP(U86,模板计算相关数据!A:N,2,0)/30)+1,模板计算相关数据!$O$35:$U$40,3,0)+AE86</f>
        <v>0</v>
      </c>
      <c r="AP86" s="3">
        <f>VLOOKUP(INT(VLOOKUP(U86,模板计算相关数据!A:N,2,0)/30)+1,模板计算相关数据!$O$35:$U$40,4,0)+AF86</f>
        <v>5000</v>
      </c>
      <c r="AQ86" s="3">
        <f>VLOOKUP(INT(VLOOKUP(U86,模板计算相关数据!A:N,2,0)/30)+1,模板计算相关数据!$O$35:$U$40,5,0)+AG86</f>
        <v>0</v>
      </c>
      <c r="AR86" s="3">
        <f>VLOOKUP(INT(VLOOKUP(U86,模板计算相关数据!A:N,2,0)/30)+1,模板计算相关数据!$O$35:$U$40,6,0)+AH86</f>
        <v>0</v>
      </c>
      <c r="AS86" s="3">
        <f>VLOOKUP(INT(VLOOKUP(U86,模板计算相关数据!A:N,2,0)/30)+1,模板计算相关数据!$O$35:$U$40,7,0)+AI86</f>
        <v>0</v>
      </c>
      <c r="AT86" s="3">
        <f>VLOOKUP(INT(VLOOKUP(U86,模板计算相关数据!A:N,2,0)/30)+1,模板计算相关数据!$O$35:$V$40,8,0)</f>
        <v>0</v>
      </c>
      <c r="AU86" s="87"/>
    </row>
    <row r="87" spans="1:47" s="9" customFormat="1" x14ac:dyDescent="0.2">
      <c r="A87" s="3">
        <v>279</v>
      </c>
      <c r="B87" s="3"/>
      <c r="C87" s="87" t="s">
        <v>1826</v>
      </c>
      <c r="D87" s="69" t="s">
        <v>1660</v>
      </c>
      <c r="E87" s="2"/>
      <c r="F87" s="3">
        <v>1</v>
      </c>
      <c r="G87" s="3">
        <v>1004001</v>
      </c>
      <c r="H87" s="3">
        <v>2</v>
      </c>
      <c r="I87" s="3">
        <v>5</v>
      </c>
      <c r="J87" s="3">
        <v>6</v>
      </c>
      <c r="K87" s="3"/>
      <c r="L87" s="2" t="s">
        <v>1690</v>
      </c>
      <c r="M87" s="2"/>
      <c r="N87" s="2">
        <v>1</v>
      </c>
      <c r="O87" s="69"/>
      <c r="P87" s="3" t="s">
        <v>1615</v>
      </c>
      <c r="Q87" s="95">
        <f t="shared" si="3"/>
        <v>5</v>
      </c>
      <c r="R87" s="133">
        <f>IF(P87=模板计算相关数据!$W$24,VLOOKUP(X87,模板计算相关数据!$P$47:$T$50,2,0),VLOOKUP(X87,模板计算相关数据!$P$4:$U$7,3,0))</f>
        <v>5</v>
      </c>
      <c r="S87" s="62">
        <f t="shared" si="4"/>
        <v>6.6666666666666661</v>
      </c>
      <c r="T87" s="133">
        <f>IF(P87=模板计算相关数据!$W$24,VLOOKUP(X87,模板计算相关数据!$P$47:$T$50,5,0),VLOOKUP(X87,模板计算相关数据!$P$4:$U$7,6,0))</f>
        <v>6.6666666666666661</v>
      </c>
      <c r="U87" s="3">
        <v>1</v>
      </c>
      <c r="V87" s="95">
        <f t="shared" si="5"/>
        <v>1</v>
      </c>
      <c r="W87" s="29">
        <f>VLOOKUP(U87,模板计算相关数据!A:N,2,0)</f>
        <v>1</v>
      </c>
      <c r="X87" s="3" t="s">
        <v>151</v>
      </c>
      <c r="Y87" s="3" t="s">
        <v>234</v>
      </c>
      <c r="Z87" s="100">
        <v>10</v>
      </c>
      <c r="AA87" s="2">
        <v>0.5</v>
      </c>
      <c r="AB87" s="2">
        <v>1</v>
      </c>
      <c r="AC87" s="2">
        <v>1</v>
      </c>
      <c r="AD87" s="95">
        <v>0</v>
      </c>
      <c r="AE87" s="95">
        <v>0</v>
      </c>
      <c r="AF87" s="95">
        <v>0</v>
      </c>
      <c r="AG87" s="95">
        <v>0</v>
      </c>
      <c r="AH87" s="95">
        <v>0</v>
      </c>
      <c r="AI87" s="95">
        <v>0</v>
      </c>
      <c r="AJ87" s="3">
        <f>INT(VLOOKUP(U87,模板计算相关数据!A:N,4,0)*VLOOKUP(U87,模板计算相关数据!A:N,14,0)*(1+MAX(0,(VLOOKUP(U87,模板计算相关数据!A:N,7,0)-AQ87))*VLOOKUP(U87,模板计算相关数据!A:N,8,0))*(1-(AL87+AM87)*0.5/((AL87+AM87)*0.5+(VLOOKUP(U87,模板计算相关数据!A:N,2,0)+模板计算相关数据!$AC$27)*模板计算相关数据!$AC$28))*Q87*Z87)</f>
        <v>3511</v>
      </c>
      <c r="AK87" s="3">
        <f>INT(VLOOKUP(U87,模板计算相关数据!A:N,3,0)/模板计算相关数据!$W$35/(1+MAX(0,(AO87/10000-VLOOKUP(U87,模板计算相关数据!A:N,9,0)))*AP87/10000)/(1-VLOOKUP(U87,模板计算相关数据!A:N,5,0)/(VLOOKUP(U87,模板计算相关数据!A:N,5,0)+(VLOOKUP(U87,模板计算相关数据!A:N,2,0)+模板计算相关数据!$AC$27)*模板计算相关数据!$AC$28))/S87*AA87)</f>
        <v>41</v>
      </c>
      <c r="AL87" s="3">
        <f>INT(VLOOKUP(U87,模板计算相关数据!A:N,5,0)*VLOOKUP(X87,模板计算相关数据!$P$4:$T$7,4,0)*VLOOKUP(Y87,模板计算相关数据!$P$22:$U$30,4,0)*AB87)</f>
        <v>153</v>
      </c>
      <c r="AM87" s="3">
        <f>INT(VLOOKUP(U87,模板计算相关数据!A:N,6,0)*VLOOKUP(X87,模板计算相关数据!$P$4:$T$7,4,0)*VLOOKUP(Y87,模板计算相关数据!$P$22:$U$30,5,0)*AC87)</f>
        <v>277</v>
      </c>
      <c r="AN87" s="3">
        <f>VLOOKUP(U87,模板计算相关数据!A:N,10,0)*0.5*VLOOKUP(Y87,模板计算相关数据!$P$22:$U$30,6,0)+AD87</f>
        <v>225</v>
      </c>
      <c r="AO87" s="3">
        <f>VLOOKUP(INT(VLOOKUP(U87,模板计算相关数据!A:N,2,0)/30)+1,模板计算相关数据!$O$35:$U$40,3,0)+AE87</f>
        <v>0</v>
      </c>
      <c r="AP87" s="3">
        <f>VLOOKUP(INT(VLOOKUP(U87,模板计算相关数据!A:N,2,0)/30)+1,模板计算相关数据!$O$35:$U$40,4,0)+AF87</f>
        <v>5000</v>
      </c>
      <c r="AQ87" s="3">
        <f>VLOOKUP(INT(VLOOKUP(U87,模板计算相关数据!A:N,2,0)/30)+1,模板计算相关数据!$O$35:$U$40,5,0)+AG87</f>
        <v>0</v>
      </c>
      <c r="AR87" s="3">
        <f>VLOOKUP(INT(VLOOKUP(U87,模板计算相关数据!A:N,2,0)/30)+1,模板计算相关数据!$O$35:$U$40,6,0)+AH87</f>
        <v>0</v>
      </c>
      <c r="AS87" s="3">
        <f>VLOOKUP(INT(VLOOKUP(U87,模板计算相关数据!A:N,2,0)/30)+1,模板计算相关数据!$O$35:$U$40,7,0)+AI87</f>
        <v>0</v>
      </c>
      <c r="AT87" s="3">
        <f>VLOOKUP(INT(VLOOKUP(U87,模板计算相关数据!A:N,2,0)/30)+1,模板计算相关数据!$O$35:$V$40,8,0)</f>
        <v>0</v>
      </c>
      <c r="AU87" s="87"/>
    </row>
    <row r="88" spans="1:47" s="9" customFormat="1" x14ac:dyDescent="0.2">
      <c r="A88" s="3">
        <v>280</v>
      </c>
      <c r="B88" s="3"/>
      <c r="C88" s="87" t="s">
        <v>1706</v>
      </c>
      <c r="D88" s="69" t="s">
        <v>1660</v>
      </c>
      <c r="E88" s="2"/>
      <c r="F88" s="3">
        <v>1</v>
      </c>
      <c r="G88" s="3">
        <v>1002501</v>
      </c>
      <c r="H88" s="3">
        <v>2</v>
      </c>
      <c r="I88" s="3">
        <v>5</v>
      </c>
      <c r="J88" s="3">
        <v>6</v>
      </c>
      <c r="K88" s="3">
        <v>2</v>
      </c>
      <c r="L88" s="65" t="s">
        <v>1691</v>
      </c>
      <c r="M88" s="2"/>
      <c r="N88" s="2">
        <v>1</v>
      </c>
      <c r="O88" s="69"/>
      <c r="P88" s="3" t="s">
        <v>1615</v>
      </c>
      <c r="Q88" s="95">
        <f t="shared" si="3"/>
        <v>5</v>
      </c>
      <c r="R88" s="133">
        <f>IF(P88=模板计算相关数据!$W$24,VLOOKUP(X88,模板计算相关数据!$P$47:$T$50,2,0),VLOOKUP(X88,模板计算相关数据!$P$4:$U$7,3,0))</f>
        <v>5</v>
      </c>
      <c r="S88" s="62">
        <f t="shared" si="4"/>
        <v>6.6666666666666661</v>
      </c>
      <c r="T88" s="133">
        <f>IF(P88=模板计算相关数据!$W$24,VLOOKUP(X88,模板计算相关数据!$P$47:$T$50,5,0),VLOOKUP(X88,模板计算相关数据!$P$4:$U$7,6,0))</f>
        <v>6.6666666666666661</v>
      </c>
      <c r="U88" s="3">
        <v>1</v>
      </c>
      <c r="V88" s="95">
        <f t="shared" si="5"/>
        <v>1</v>
      </c>
      <c r="W88" s="29">
        <f>VLOOKUP(U88,模板计算相关数据!A:N,2,0)</f>
        <v>1</v>
      </c>
      <c r="X88" s="3" t="s">
        <v>151</v>
      </c>
      <c r="Y88" s="3" t="s">
        <v>234</v>
      </c>
      <c r="Z88" s="100">
        <v>10</v>
      </c>
      <c r="AA88" s="2">
        <v>0.5</v>
      </c>
      <c r="AB88" s="2">
        <v>1</v>
      </c>
      <c r="AC88" s="2">
        <v>1</v>
      </c>
      <c r="AD88" s="95">
        <v>0</v>
      </c>
      <c r="AE88" s="95">
        <v>0</v>
      </c>
      <c r="AF88" s="95">
        <v>0</v>
      </c>
      <c r="AG88" s="95">
        <v>0</v>
      </c>
      <c r="AH88" s="95">
        <v>0</v>
      </c>
      <c r="AI88" s="95">
        <v>0</v>
      </c>
      <c r="AJ88" s="3">
        <f>INT(VLOOKUP(U88,模板计算相关数据!A:N,4,0)*VLOOKUP(U88,模板计算相关数据!A:N,14,0)*(1+MAX(0,(VLOOKUP(U88,模板计算相关数据!A:N,7,0)-AQ88))*VLOOKUP(U88,模板计算相关数据!A:N,8,0))*(1-(AL88+AM88)*0.5/((AL88+AM88)*0.5+(VLOOKUP(U88,模板计算相关数据!A:N,2,0)+模板计算相关数据!$AC$27)*模板计算相关数据!$AC$28))*Q88*Z88)</f>
        <v>3511</v>
      </c>
      <c r="AK88" s="3">
        <f>INT(VLOOKUP(U88,模板计算相关数据!A:N,3,0)/模板计算相关数据!$W$35/(1+MAX(0,(AO88/10000-VLOOKUP(U88,模板计算相关数据!A:N,9,0)))*AP88/10000)/(1-VLOOKUP(U88,模板计算相关数据!A:N,5,0)/(VLOOKUP(U88,模板计算相关数据!A:N,5,0)+(VLOOKUP(U88,模板计算相关数据!A:N,2,0)+模板计算相关数据!$AC$27)*模板计算相关数据!$AC$28))/S88*AA88)</f>
        <v>41</v>
      </c>
      <c r="AL88" s="3">
        <f>INT(VLOOKUP(U88,模板计算相关数据!A:N,5,0)*VLOOKUP(X88,模板计算相关数据!$P$4:$T$7,4,0)*VLOOKUP(Y88,模板计算相关数据!$P$22:$U$30,4,0)*AB88)</f>
        <v>153</v>
      </c>
      <c r="AM88" s="3">
        <f>INT(VLOOKUP(U88,模板计算相关数据!A:N,6,0)*VLOOKUP(X88,模板计算相关数据!$P$4:$T$7,4,0)*VLOOKUP(Y88,模板计算相关数据!$P$22:$U$30,5,0)*AC88)</f>
        <v>277</v>
      </c>
      <c r="AN88" s="3">
        <f>VLOOKUP(U88,模板计算相关数据!A:N,10,0)*0.5*VLOOKUP(Y88,模板计算相关数据!$P$22:$U$30,6,0)+AD88</f>
        <v>225</v>
      </c>
      <c r="AO88" s="3">
        <f>VLOOKUP(INT(VLOOKUP(U88,模板计算相关数据!A:N,2,0)/30)+1,模板计算相关数据!$O$35:$U$40,3,0)+AE88</f>
        <v>0</v>
      </c>
      <c r="AP88" s="3">
        <f>VLOOKUP(INT(VLOOKUP(U88,模板计算相关数据!A:N,2,0)/30)+1,模板计算相关数据!$O$35:$U$40,4,0)+AF88</f>
        <v>5000</v>
      </c>
      <c r="AQ88" s="3">
        <f>VLOOKUP(INT(VLOOKUP(U88,模板计算相关数据!A:N,2,0)/30)+1,模板计算相关数据!$O$35:$U$40,5,0)+AG88</f>
        <v>0</v>
      </c>
      <c r="AR88" s="3">
        <f>VLOOKUP(INT(VLOOKUP(U88,模板计算相关数据!A:N,2,0)/30)+1,模板计算相关数据!$O$35:$U$40,6,0)+AH88</f>
        <v>0</v>
      </c>
      <c r="AS88" s="3">
        <f>VLOOKUP(INT(VLOOKUP(U88,模板计算相关数据!A:N,2,0)/30)+1,模板计算相关数据!$O$35:$U$40,7,0)+AI88</f>
        <v>0</v>
      </c>
      <c r="AT88" s="3">
        <f>VLOOKUP(INT(VLOOKUP(U88,模板计算相关数据!A:N,2,0)/30)+1,模板计算相关数据!$O$35:$V$40,8,0)</f>
        <v>0</v>
      </c>
      <c r="AU88" s="87"/>
    </row>
    <row r="89" spans="1:47" s="9" customFormat="1" x14ac:dyDescent="0.2">
      <c r="A89" s="3">
        <v>281</v>
      </c>
      <c r="B89" s="3"/>
      <c r="C89" s="87" t="s">
        <v>1705</v>
      </c>
      <c r="D89" s="69" t="s">
        <v>1660</v>
      </c>
      <c r="E89" s="2"/>
      <c r="F89" s="3">
        <v>1</v>
      </c>
      <c r="G89" s="3">
        <v>1002601</v>
      </c>
      <c r="H89" s="3">
        <v>2</v>
      </c>
      <c r="I89" s="3">
        <v>5</v>
      </c>
      <c r="J89" s="3">
        <v>6</v>
      </c>
      <c r="K89" s="3"/>
      <c r="L89" s="65" t="s">
        <v>179</v>
      </c>
      <c r="M89" s="2"/>
      <c r="N89" s="2">
        <v>1</v>
      </c>
      <c r="O89" s="69"/>
      <c r="P89" s="3" t="s">
        <v>1615</v>
      </c>
      <c r="Q89" s="95">
        <f t="shared" si="3"/>
        <v>5</v>
      </c>
      <c r="R89" s="133">
        <f>IF(P89=模板计算相关数据!$W$24,VLOOKUP(X89,模板计算相关数据!$P$47:$T$50,2,0),VLOOKUP(X89,模板计算相关数据!$P$4:$U$7,3,0))</f>
        <v>5</v>
      </c>
      <c r="S89" s="62">
        <f t="shared" si="4"/>
        <v>6.6666666666666661</v>
      </c>
      <c r="T89" s="133">
        <f>IF(P89=模板计算相关数据!$W$24,VLOOKUP(X89,模板计算相关数据!$P$47:$T$50,5,0),VLOOKUP(X89,模板计算相关数据!$P$4:$U$7,6,0))</f>
        <v>6.6666666666666661</v>
      </c>
      <c r="U89" s="3">
        <v>1</v>
      </c>
      <c r="V89" s="95">
        <f t="shared" si="5"/>
        <v>1</v>
      </c>
      <c r="W89" s="29">
        <f>VLOOKUP(U89,模板计算相关数据!A:N,2,0)</f>
        <v>1</v>
      </c>
      <c r="X89" s="3" t="s">
        <v>151</v>
      </c>
      <c r="Y89" s="3" t="s">
        <v>234</v>
      </c>
      <c r="Z89" s="100">
        <v>10</v>
      </c>
      <c r="AA89" s="2">
        <v>0.5</v>
      </c>
      <c r="AB89" s="2">
        <v>1</v>
      </c>
      <c r="AC89" s="2">
        <v>1</v>
      </c>
      <c r="AD89" s="95">
        <v>0</v>
      </c>
      <c r="AE89" s="95">
        <v>0</v>
      </c>
      <c r="AF89" s="95">
        <v>0</v>
      </c>
      <c r="AG89" s="95">
        <v>0</v>
      </c>
      <c r="AH89" s="95">
        <v>0</v>
      </c>
      <c r="AI89" s="95">
        <v>0</v>
      </c>
      <c r="AJ89" s="3">
        <f>INT(VLOOKUP(U89,模板计算相关数据!A:N,4,0)*VLOOKUP(U89,模板计算相关数据!A:N,14,0)*(1+MAX(0,(VLOOKUP(U89,模板计算相关数据!A:N,7,0)-AQ89))*VLOOKUP(U89,模板计算相关数据!A:N,8,0))*(1-(AL89+AM89)*0.5/((AL89+AM89)*0.5+(VLOOKUP(U89,模板计算相关数据!A:N,2,0)+模板计算相关数据!$AC$27)*模板计算相关数据!$AC$28))*Q89*Z89)</f>
        <v>3511</v>
      </c>
      <c r="AK89" s="3">
        <f>INT(VLOOKUP(U89,模板计算相关数据!A:N,3,0)/模板计算相关数据!$W$35/(1+MAX(0,(AO89/10000-VLOOKUP(U89,模板计算相关数据!A:N,9,0)))*AP89/10000)/(1-VLOOKUP(U89,模板计算相关数据!A:N,5,0)/(VLOOKUP(U89,模板计算相关数据!A:N,5,0)+(VLOOKUP(U89,模板计算相关数据!A:N,2,0)+模板计算相关数据!$AC$27)*模板计算相关数据!$AC$28))/S89*AA89)</f>
        <v>41</v>
      </c>
      <c r="AL89" s="3">
        <f>INT(VLOOKUP(U89,模板计算相关数据!A:N,5,0)*VLOOKUP(X89,模板计算相关数据!$P$4:$T$7,4,0)*VLOOKUP(Y89,模板计算相关数据!$P$22:$U$30,4,0)*AB89)</f>
        <v>153</v>
      </c>
      <c r="AM89" s="3">
        <f>INT(VLOOKUP(U89,模板计算相关数据!A:N,6,0)*VLOOKUP(X89,模板计算相关数据!$P$4:$T$7,4,0)*VLOOKUP(Y89,模板计算相关数据!$P$22:$U$30,5,0)*AC89)</f>
        <v>277</v>
      </c>
      <c r="AN89" s="3">
        <f>VLOOKUP(U89,模板计算相关数据!A:N,10,0)*0.5*VLOOKUP(Y89,模板计算相关数据!$P$22:$U$30,6,0)+AD89</f>
        <v>225</v>
      </c>
      <c r="AO89" s="3">
        <f>VLOOKUP(INT(VLOOKUP(U89,模板计算相关数据!A:N,2,0)/30)+1,模板计算相关数据!$O$35:$U$40,3,0)+AE89</f>
        <v>0</v>
      </c>
      <c r="AP89" s="3">
        <f>VLOOKUP(INT(VLOOKUP(U89,模板计算相关数据!A:N,2,0)/30)+1,模板计算相关数据!$O$35:$U$40,4,0)+AF89</f>
        <v>5000</v>
      </c>
      <c r="AQ89" s="3">
        <f>VLOOKUP(INT(VLOOKUP(U89,模板计算相关数据!A:N,2,0)/30)+1,模板计算相关数据!$O$35:$U$40,5,0)+AG89</f>
        <v>0</v>
      </c>
      <c r="AR89" s="3">
        <f>VLOOKUP(INT(VLOOKUP(U89,模板计算相关数据!A:N,2,0)/30)+1,模板计算相关数据!$O$35:$U$40,6,0)+AH89</f>
        <v>0</v>
      </c>
      <c r="AS89" s="3">
        <f>VLOOKUP(INT(VLOOKUP(U89,模板计算相关数据!A:N,2,0)/30)+1,模板计算相关数据!$O$35:$U$40,7,0)+AI89</f>
        <v>0</v>
      </c>
      <c r="AT89" s="3">
        <f>VLOOKUP(INT(VLOOKUP(U89,模板计算相关数据!A:N,2,0)/30)+1,模板计算相关数据!$O$35:$V$40,8,0)</f>
        <v>0</v>
      </c>
      <c r="AU89" s="87"/>
    </row>
    <row r="90" spans="1:47" s="9" customFormat="1" x14ac:dyDescent="0.2">
      <c r="A90" s="3">
        <v>282</v>
      </c>
      <c r="B90" s="3"/>
      <c r="C90" s="69" t="s">
        <v>1823</v>
      </c>
      <c r="D90" s="69" t="s">
        <v>1660</v>
      </c>
      <c r="E90" s="2"/>
      <c r="F90" s="3">
        <v>6</v>
      </c>
      <c r="G90" s="3">
        <v>1003701</v>
      </c>
      <c r="H90" s="3">
        <v>6</v>
      </c>
      <c r="I90" s="3">
        <v>4</v>
      </c>
      <c r="J90" s="3">
        <v>3</v>
      </c>
      <c r="K90" s="3">
        <v>1</v>
      </c>
      <c r="L90" s="69" t="s">
        <v>1919</v>
      </c>
      <c r="M90" s="2"/>
      <c r="N90" s="2">
        <v>3</v>
      </c>
      <c r="O90" s="69" t="s">
        <v>1833</v>
      </c>
      <c r="P90" s="3" t="s">
        <v>1615</v>
      </c>
      <c r="Q90" s="95">
        <f t="shared" si="3"/>
        <v>60</v>
      </c>
      <c r="R90" s="133">
        <f>IF(P90=模板计算相关数据!$W$24,VLOOKUP(X90,模板计算相关数据!$P$47:$T$50,2,0),VLOOKUP(X90,模板计算相关数据!$P$4:$U$7,3,0))</f>
        <v>60</v>
      </c>
      <c r="S90" s="62">
        <f t="shared" si="4"/>
        <v>2.0689655172413794</v>
      </c>
      <c r="T90" s="133">
        <f>IF(P90=模板计算相关数据!$W$24,VLOOKUP(X90,模板计算相关数据!$P$47:$T$50,5,0),VLOOKUP(X90,模板计算相关数据!$P$4:$U$7,6,0))</f>
        <v>2.0689655172413794</v>
      </c>
      <c r="U90" s="3">
        <v>1</v>
      </c>
      <c r="V90" s="95">
        <f t="shared" si="5"/>
        <v>1</v>
      </c>
      <c r="W90" s="29">
        <f>VLOOKUP(U90,模板计算相关数据!A:N,2,0)</f>
        <v>1</v>
      </c>
      <c r="X90" s="3" t="s">
        <v>181</v>
      </c>
      <c r="Y90" s="3" t="s">
        <v>223</v>
      </c>
      <c r="Z90" s="100">
        <v>10</v>
      </c>
      <c r="AA90" s="2">
        <v>0.1</v>
      </c>
      <c r="AB90" s="2">
        <v>1</v>
      </c>
      <c r="AC90" s="2">
        <v>1</v>
      </c>
      <c r="AD90" s="95">
        <v>0</v>
      </c>
      <c r="AE90" s="95">
        <v>0</v>
      </c>
      <c r="AF90" s="95">
        <v>0</v>
      </c>
      <c r="AG90" s="95">
        <v>0</v>
      </c>
      <c r="AH90" s="95">
        <v>0</v>
      </c>
      <c r="AI90" s="95">
        <v>0</v>
      </c>
      <c r="AJ90" s="3">
        <f>INT(VLOOKUP(U90,模板计算相关数据!A:N,4,0)*VLOOKUP(U90,模板计算相关数据!A:N,14,0)*(1+MAX(0,(VLOOKUP(U90,模板计算相关数据!A:N,7,0)-AQ90))*VLOOKUP(U90,模板计算相关数据!A:N,8,0))*(1-(AL90+AM90)*0.5/((AL90+AM90)*0.5+(VLOOKUP(U90,模板计算相关数据!A:N,2,0)+模板计算相关数据!$AC$27)*模板计算相关数据!$AC$28))*Q90*Z90)</f>
        <v>33277</v>
      </c>
      <c r="AK90" s="3">
        <f>INT(VLOOKUP(U90,模板计算相关数据!A:N,3,0)/模板计算相关数据!$W$35/(1+MAX(0,(AO90/10000-VLOOKUP(U90,模板计算相关数据!A:N,9,0)))*AP90/10000)/(1-VLOOKUP(U90,模板计算相关数据!A:N,5,0)/(VLOOKUP(U90,模板计算相关数据!A:N,5,0)+(VLOOKUP(U90,模板计算相关数据!A:N,2,0)+模板计算相关数据!$AC$27)*模板计算相关数据!$AC$28))/S90*AA90)</f>
        <v>26</v>
      </c>
      <c r="AL90" s="3">
        <f>INT(VLOOKUP(U90,模板计算相关数据!A:N,5,0)*VLOOKUP(X90,模板计算相关数据!$P$4:$T$7,4,0)*VLOOKUP(Y90,模板计算相关数据!$P$22:$U$30,4,0)*AB90)</f>
        <v>400</v>
      </c>
      <c r="AM90" s="3">
        <f>INT(VLOOKUP(U90,模板计算相关数据!A:N,6,0)*VLOOKUP(X90,模板计算相关数据!$P$4:$T$7,4,0)*VLOOKUP(Y90,模板计算相关数据!$P$22:$U$30,5,0)*AC90)</f>
        <v>400</v>
      </c>
      <c r="AN90" s="3">
        <f>VLOOKUP(U90,模板计算相关数据!A:N,10,0)*0.5*VLOOKUP(Y90,模板计算相关数据!$P$22:$U$30,6,0)+AD90</f>
        <v>250</v>
      </c>
      <c r="AO90" s="3">
        <f>VLOOKUP(INT(VLOOKUP(U90,模板计算相关数据!A:N,2,0)/30)+1,模板计算相关数据!$O$35:$U$40,3,0)+AE90</f>
        <v>0</v>
      </c>
      <c r="AP90" s="3">
        <f>VLOOKUP(INT(VLOOKUP(U90,模板计算相关数据!A:N,2,0)/30)+1,模板计算相关数据!$O$35:$U$40,4,0)+AF90</f>
        <v>5000</v>
      </c>
      <c r="AQ90" s="3">
        <f>VLOOKUP(INT(VLOOKUP(U90,模板计算相关数据!A:N,2,0)/30)+1,模板计算相关数据!$O$35:$U$40,5,0)+AG90</f>
        <v>0</v>
      </c>
      <c r="AR90" s="3">
        <f>VLOOKUP(INT(VLOOKUP(U90,模板计算相关数据!A:N,2,0)/30)+1,模板计算相关数据!$O$35:$U$40,6,0)+AH90</f>
        <v>0</v>
      </c>
      <c r="AS90" s="3">
        <f>VLOOKUP(INT(VLOOKUP(U90,模板计算相关数据!A:N,2,0)/30)+1,模板计算相关数据!$O$35:$U$40,7,0)+AI90</f>
        <v>0</v>
      </c>
      <c r="AT90" s="3">
        <f>VLOOKUP(INT(VLOOKUP(U90,模板计算相关数据!A:N,2,0)/30)+1,模板计算相关数据!$O$35:$V$40,8,0)</f>
        <v>0</v>
      </c>
      <c r="AU90" s="87"/>
    </row>
    <row r="91" spans="1:47" s="9" customFormat="1" x14ac:dyDescent="0.2">
      <c r="A91" s="3">
        <v>283</v>
      </c>
      <c r="B91" s="3"/>
      <c r="C91" s="87" t="s">
        <v>1711</v>
      </c>
      <c r="D91" s="69" t="s">
        <v>1660</v>
      </c>
      <c r="E91" s="2"/>
      <c r="F91" s="3">
        <v>1</v>
      </c>
      <c r="G91" s="3">
        <v>1003801</v>
      </c>
      <c r="H91" s="3">
        <v>2</v>
      </c>
      <c r="I91" s="3">
        <v>5</v>
      </c>
      <c r="J91" s="3">
        <v>6</v>
      </c>
      <c r="K91" s="3">
        <v>1</v>
      </c>
      <c r="L91" s="2" t="s">
        <v>1692</v>
      </c>
      <c r="M91" s="2"/>
      <c r="N91" s="2">
        <v>3</v>
      </c>
      <c r="O91" s="69" t="s">
        <v>1693</v>
      </c>
      <c r="P91" s="3" t="s">
        <v>1615</v>
      </c>
      <c r="Q91" s="95">
        <f t="shared" si="3"/>
        <v>5</v>
      </c>
      <c r="R91" s="133">
        <f>IF(P91=模板计算相关数据!$W$24,VLOOKUP(X91,模板计算相关数据!$P$47:$T$50,2,0),VLOOKUP(X91,模板计算相关数据!$P$4:$U$7,3,0))</f>
        <v>5</v>
      </c>
      <c r="S91" s="62">
        <f t="shared" si="4"/>
        <v>6.6666666666666661</v>
      </c>
      <c r="T91" s="133">
        <f>IF(P91=模板计算相关数据!$W$24,VLOOKUP(X91,模板计算相关数据!$P$47:$T$50,5,0),VLOOKUP(X91,模板计算相关数据!$P$4:$U$7,6,0))</f>
        <v>6.6666666666666661</v>
      </c>
      <c r="U91" s="3">
        <v>1</v>
      </c>
      <c r="V91" s="95">
        <f t="shared" si="5"/>
        <v>1</v>
      </c>
      <c r="W91" s="29">
        <f>VLOOKUP(U91,模板计算相关数据!A:N,2,0)</f>
        <v>1</v>
      </c>
      <c r="X91" s="3" t="s">
        <v>151</v>
      </c>
      <c r="Y91" s="3" t="s">
        <v>234</v>
      </c>
      <c r="Z91" s="100">
        <v>100</v>
      </c>
      <c r="AA91" s="2">
        <v>0.5</v>
      </c>
      <c r="AB91" s="2">
        <v>1</v>
      </c>
      <c r="AC91" s="2">
        <v>1</v>
      </c>
      <c r="AD91" s="95">
        <v>0</v>
      </c>
      <c r="AE91" s="95">
        <v>0</v>
      </c>
      <c r="AF91" s="95">
        <v>0</v>
      </c>
      <c r="AG91" s="95">
        <v>0</v>
      </c>
      <c r="AH91" s="95">
        <v>0</v>
      </c>
      <c r="AI91" s="95">
        <v>0</v>
      </c>
      <c r="AJ91" s="3">
        <f>INT(VLOOKUP(U91,模板计算相关数据!A:N,4,0)*VLOOKUP(U91,模板计算相关数据!A:N,14,0)*(1+MAX(0,(VLOOKUP(U91,模板计算相关数据!A:N,7,0)-AQ91))*VLOOKUP(U91,模板计算相关数据!A:N,8,0))*(1-(AL91+AM91)*0.5/((AL91+AM91)*0.5+(VLOOKUP(U91,模板计算相关数据!A:N,2,0)+模板计算相关数据!$AC$27)*模板计算相关数据!$AC$28))*Q91*Z91)</f>
        <v>35112</v>
      </c>
      <c r="AK91" s="3">
        <f>INT(VLOOKUP(U91,模板计算相关数据!A:N,3,0)/模板计算相关数据!$W$35/(1+MAX(0,(AO91/10000-VLOOKUP(U91,模板计算相关数据!A:N,9,0)))*AP91/10000)/(1-VLOOKUP(U91,模板计算相关数据!A:N,5,0)/(VLOOKUP(U91,模板计算相关数据!A:N,5,0)+(VLOOKUP(U91,模板计算相关数据!A:N,2,0)+模板计算相关数据!$AC$27)*模板计算相关数据!$AC$28))/S91*AA91)</f>
        <v>41</v>
      </c>
      <c r="AL91" s="3">
        <f>INT(VLOOKUP(U91,模板计算相关数据!A:N,5,0)*VLOOKUP(X91,模板计算相关数据!$P$4:$T$7,4,0)*VLOOKUP(Y91,模板计算相关数据!$P$22:$U$30,4,0)*AB91)</f>
        <v>153</v>
      </c>
      <c r="AM91" s="3">
        <f>INT(VLOOKUP(U91,模板计算相关数据!A:N,6,0)*VLOOKUP(X91,模板计算相关数据!$P$4:$T$7,4,0)*VLOOKUP(Y91,模板计算相关数据!$P$22:$U$30,5,0)*AC91)</f>
        <v>277</v>
      </c>
      <c r="AN91" s="3">
        <f>VLOOKUP(U91,模板计算相关数据!A:N,10,0)*0.5*VLOOKUP(Y91,模板计算相关数据!$P$22:$U$30,6,0)+AD91</f>
        <v>225</v>
      </c>
      <c r="AO91" s="3">
        <f>VLOOKUP(INT(VLOOKUP(U91,模板计算相关数据!A:N,2,0)/30)+1,模板计算相关数据!$O$35:$U$40,3,0)+AE91</f>
        <v>0</v>
      </c>
      <c r="AP91" s="3">
        <f>VLOOKUP(INT(VLOOKUP(U91,模板计算相关数据!A:N,2,0)/30)+1,模板计算相关数据!$O$35:$U$40,4,0)+AF91</f>
        <v>5000</v>
      </c>
      <c r="AQ91" s="3">
        <f>VLOOKUP(INT(VLOOKUP(U91,模板计算相关数据!A:N,2,0)/30)+1,模板计算相关数据!$O$35:$U$40,5,0)+AG91</f>
        <v>0</v>
      </c>
      <c r="AR91" s="3">
        <f>VLOOKUP(INT(VLOOKUP(U91,模板计算相关数据!A:N,2,0)/30)+1,模板计算相关数据!$O$35:$U$40,6,0)+AH91</f>
        <v>0</v>
      </c>
      <c r="AS91" s="3">
        <f>VLOOKUP(INT(VLOOKUP(U91,模板计算相关数据!A:N,2,0)/30)+1,模板计算相关数据!$O$35:$U$40,7,0)+AI91</f>
        <v>0</v>
      </c>
      <c r="AT91" s="3">
        <f>VLOOKUP(INT(VLOOKUP(U91,模板计算相关数据!A:N,2,0)/30)+1,模板计算相关数据!$O$35:$V$40,8,0)</f>
        <v>0</v>
      </c>
      <c r="AU91" s="87"/>
    </row>
    <row r="92" spans="1:47" s="9" customFormat="1" x14ac:dyDescent="0.2">
      <c r="A92" s="64">
        <v>284</v>
      </c>
      <c r="B92" s="64"/>
      <c r="C92" s="87" t="s">
        <v>1712</v>
      </c>
      <c r="D92" s="88" t="s">
        <v>1660</v>
      </c>
      <c r="E92" s="2"/>
      <c r="F92" s="3">
        <v>1</v>
      </c>
      <c r="G92" s="3">
        <v>1003901</v>
      </c>
      <c r="H92" s="3">
        <v>2</v>
      </c>
      <c r="I92" s="3">
        <v>5</v>
      </c>
      <c r="J92" s="3">
        <v>6</v>
      </c>
      <c r="K92" s="3">
        <v>1</v>
      </c>
      <c r="L92" s="2" t="s">
        <v>1694</v>
      </c>
      <c r="M92" s="2"/>
      <c r="N92" s="2">
        <v>3</v>
      </c>
      <c r="O92" s="69" t="s">
        <v>1695</v>
      </c>
      <c r="P92" s="3" t="s">
        <v>1615</v>
      </c>
      <c r="Q92" s="95">
        <f t="shared" si="3"/>
        <v>5</v>
      </c>
      <c r="R92" s="133">
        <f>IF(P92=模板计算相关数据!$W$24,VLOOKUP(X92,模板计算相关数据!$P$47:$T$50,2,0),VLOOKUP(X92,模板计算相关数据!$P$4:$U$7,3,0))</f>
        <v>5</v>
      </c>
      <c r="S92" s="62">
        <f t="shared" si="4"/>
        <v>6.6666666666666661</v>
      </c>
      <c r="T92" s="133">
        <f>IF(P92=模板计算相关数据!$W$24,VLOOKUP(X92,模板计算相关数据!$P$47:$T$50,5,0),VLOOKUP(X92,模板计算相关数据!$P$4:$U$7,6,0))</f>
        <v>6.6666666666666661</v>
      </c>
      <c r="U92" s="3">
        <v>1</v>
      </c>
      <c r="V92" s="95">
        <f t="shared" si="5"/>
        <v>1</v>
      </c>
      <c r="W92" s="29">
        <f>VLOOKUP(U92,模板计算相关数据!A:N,2,0)</f>
        <v>1</v>
      </c>
      <c r="X92" s="3" t="s">
        <v>151</v>
      </c>
      <c r="Y92" s="3" t="s">
        <v>234</v>
      </c>
      <c r="Z92" s="100">
        <v>100</v>
      </c>
      <c r="AA92" s="2">
        <v>0.5</v>
      </c>
      <c r="AB92" s="2">
        <v>1</v>
      </c>
      <c r="AC92" s="2">
        <v>1</v>
      </c>
      <c r="AD92" s="95">
        <v>0</v>
      </c>
      <c r="AE92" s="95">
        <v>0</v>
      </c>
      <c r="AF92" s="95">
        <v>0</v>
      </c>
      <c r="AG92" s="95">
        <v>0</v>
      </c>
      <c r="AH92" s="95">
        <v>0</v>
      </c>
      <c r="AI92" s="95">
        <v>0</v>
      </c>
      <c r="AJ92" s="3">
        <f>INT(VLOOKUP(U92,模板计算相关数据!A:N,4,0)*VLOOKUP(U92,模板计算相关数据!A:N,14,0)*(1+MAX(0,(VLOOKUP(U92,模板计算相关数据!A:N,7,0)-AQ92))*VLOOKUP(U92,模板计算相关数据!A:N,8,0))*(1-(AL92+AM92)*0.5/((AL92+AM92)*0.5+(VLOOKUP(U92,模板计算相关数据!A:N,2,0)+模板计算相关数据!$AC$27)*模板计算相关数据!$AC$28))*Q92*Z92)</f>
        <v>35112</v>
      </c>
      <c r="AK92" s="3">
        <f>INT(VLOOKUP(U92,模板计算相关数据!A:N,3,0)/模板计算相关数据!$W$35/(1+MAX(0,(AO92/10000-VLOOKUP(U92,模板计算相关数据!A:N,9,0)))*AP92/10000)/(1-VLOOKUP(U92,模板计算相关数据!A:N,5,0)/(VLOOKUP(U92,模板计算相关数据!A:N,5,0)+(VLOOKUP(U92,模板计算相关数据!A:N,2,0)+模板计算相关数据!$AC$27)*模板计算相关数据!$AC$28))/S92*AA92)</f>
        <v>41</v>
      </c>
      <c r="AL92" s="3">
        <f>INT(VLOOKUP(U92,模板计算相关数据!A:N,5,0)*VLOOKUP(X92,模板计算相关数据!$P$4:$T$7,4,0)*VLOOKUP(Y92,模板计算相关数据!$P$22:$U$30,4,0)*AB92)</f>
        <v>153</v>
      </c>
      <c r="AM92" s="3">
        <f>INT(VLOOKUP(U92,模板计算相关数据!A:N,6,0)*VLOOKUP(X92,模板计算相关数据!$P$4:$T$7,4,0)*VLOOKUP(Y92,模板计算相关数据!$P$22:$U$30,5,0)*AC92)</f>
        <v>277</v>
      </c>
      <c r="AN92" s="3">
        <f>VLOOKUP(U92,模板计算相关数据!A:N,10,0)*0.5*VLOOKUP(Y92,模板计算相关数据!$P$22:$U$30,6,0)+AD92</f>
        <v>225</v>
      </c>
      <c r="AO92" s="3">
        <f>VLOOKUP(INT(VLOOKUP(U92,模板计算相关数据!A:N,2,0)/30)+1,模板计算相关数据!$O$35:$U$40,3,0)+AE92</f>
        <v>0</v>
      </c>
      <c r="AP92" s="3">
        <f>VLOOKUP(INT(VLOOKUP(U92,模板计算相关数据!A:N,2,0)/30)+1,模板计算相关数据!$O$35:$U$40,4,0)+AF92</f>
        <v>5000</v>
      </c>
      <c r="AQ92" s="3">
        <f>VLOOKUP(INT(VLOOKUP(U92,模板计算相关数据!A:N,2,0)/30)+1,模板计算相关数据!$O$35:$U$40,5,0)+AG92</f>
        <v>0</v>
      </c>
      <c r="AR92" s="3">
        <f>VLOOKUP(INT(VLOOKUP(U92,模板计算相关数据!A:N,2,0)/30)+1,模板计算相关数据!$O$35:$U$40,6,0)+AH92</f>
        <v>0</v>
      </c>
      <c r="AS92" s="3">
        <f>VLOOKUP(INT(VLOOKUP(U92,模板计算相关数据!A:N,2,0)/30)+1,模板计算相关数据!$O$35:$U$40,7,0)+AI92</f>
        <v>0</v>
      </c>
      <c r="AT92" s="3">
        <f>VLOOKUP(INT(VLOOKUP(U92,模板计算相关数据!A:N,2,0)/30)+1,模板计算相关数据!$O$35:$V$40,8,0)</f>
        <v>0</v>
      </c>
      <c r="AU92" s="87"/>
    </row>
    <row r="93" spans="1:47" s="9" customFormat="1" x14ac:dyDescent="0.2">
      <c r="A93" s="3">
        <v>285</v>
      </c>
      <c r="B93" s="3"/>
      <c r="C93" s="87" t="s">
        <v>1696</v>
      </c>
      <c r="D93" s="69" t="s">
        <v>1660</v>
      </c>
      <c r="E93" s="2"/>
      <c r="F93" s="3">
        <v>1</v>
      </c>
      <c r="G93" s="3">
        <v>1006101</v>
      </c>
      <c r="H93" s="3">
        <v>2</v>
      </c>
      <c r="I93" s="3">
        <v>5</v>
      </c>
      <c r="J93" s="3">
        <v>6</v>
      </c>
      <c r="K93" s="3"/>
      <c r="L93" s="69" t="s">
        <v>1768</v>
      </c>
      <c r="M93" s="2"/>
      <c r="N93" s="2">
        <v>1</v>
      </c>
      <c r="O93" s="69"/>
      <c r="P93" s="3" t="s">
        <v>1615</v>
      </c>
      <c r="Q93" s="95">
        <f t="shared" si="3"/>
        <v>5</v>
      </c>
      <c r="R93" s="133">
        <f>IF(P93=模板计算相关数据!$W$24,VLOOKUP(X93,模板计算相关数据!$P$47:$T$50,2,0),VLOOKUP(X93,模板计算相关数据!$P$4:$U$7,3,0))</f>
        <v>5</v>
      </c>
      <c r="S93" s="62">
        <f t="shared" si="4"/>
        <v>6.6666666666666661</v>
      </c>
      <c r="T93" s="133">
        <f>IF(P93=模板计算相关数据!$W$24,VLOOKUP(X93,模板计算相关数据!$P$47:$T$50,5,0),VLOOKUP(X93,模板计算相关数据!$P$4:$U$7,6,0))</f>
        <v>6.6666666666666661</v>
      </c>
      <c r="U93" s="3">
        <v>1</v>
      </c>
      <c r="V93" s="95">
        <f t="shared" si="5"/>
        <v>1</v>
      </c>
      <c r="W93" s="29">
        <f>VLOOKUP(U93,模板计算相关数据!A:N,2,0)</f>
        <v>1</v>
      </c>
      <c r="X93" s="3" t="s">
        <v>151</v>
      </c>
      <c r="Y93" s="3" t="s">
        <v>234</v>
      </c>
      <c r="Z93" s="100">
        <v>10</v>
      </c>
      <c r="AA93" s="2">
        <v>0.5</v>
      </c>
      <c r="AB93" s="2">
        <v>0.5</v>
      </c>
      <c r="AC93" s="2">
        <v>0.5</v>
      </c>
      <c r="AD93" s="95">
        <v>600</v>
      </c>
      <c r="AE93" s="95">
        <v>0</v>
      </c>
      <c r="AF93" s="95">
        <v>0</v>
      </c>
      <c r="AG93" s="95">
        <v>0</v>
      </c>
      <c r="AH93" s="95">
        <v>0</v>
      </c>
      <c r="AI93" s="95">
        <v>0</v>
      </c>
      <c r="AJ93" s="3">
        <f>INT(VLOOKUP(U93,模板计算相关数据!A:N,4,0)*VLOOKUP(U93,模板计算相关数据!A:N,14,0)*(1+MAX(0,(VLOOKUP(U93,模板计算相关数据!A:N,7,0)-AQ93))*VLOOKUP(U93,模板计算相关数据!A:N,8,0))*(1-(AL93+AM93)*0.5/((AL93+AM93)*0.5+(VLOOKUP(U93,模板计算相关数据!A:N,2,0)+模板计算相关数据!$AC$27)*模板计算相关数据!$AC$28))*Q93*Z93)</f>
        <v>4157</v>
      </c>
      <c r="AK93" s="3">
        <f>INT(VLOOKUP(U93,模板计算相关数据!A:N,3,0)/模板计算相关数据!$W$35/(1+MAX(0,(AO93/10000-VLOOKUP(U93,模板计算相关数据!A:N,9,0)))*AP93/10000)/(1-VLOOKUP(U93,模板计算相关数据!A:N,5,0)/(VLOOKUP(U93,模板计算相关数据!A:N,5,0)+(VLOOKUP(U93,模板计算相关数据!A:N,2,0)+模板计算相关数据!$AC$27)*模板计算相关数据!$AC$28))/S93*AA93)</f>
        <v>41</v>
      </c>
      <c r="AL93" s="3">
        <f>INT(VLOOKUP(U93,模板计算相关数据!A:N,5,0)*VLOOKUP(X93,模板计算相关数据!$P$4:$T$7,4,0)*VLOOKUP(Y93,模板计算相关数据!$P$22:$U$30,4,0)*AB93)</f>
        <v>76</v>
      </c>
      <c r="AM93" s="3">
        <f>INT(VLOOKUP(U93,模板计算相关数据!A:N,6,0)*VLOOKUP(X93,模板计算相关数据!$P$4:$T$7,4,0)*VLOOKUP(Y93,模板计算相关数据!$P$22:$U$30,5,0)*AC93)</f>
        <v>138</v>
      </c>
      <c r="AN93" s="3">
        <f>VLOOKUP(U93,模板计算相关数据!A:N,10,0)*0.5*VLOOKUP(Y93,模板计算相关数据!$P$22:$U$30,6,0)+AD93</f>
        <v>825</v>
      </c>
      <c r="AO93" s="3">
        <f>VLOOKUP(INT(VLOOKUP(U93,模板计算相关数据!A:N,2,0)/30)+1,模板计算相关数据!$O$35:$U$40,3,0)+AE93</f>
        <v>0</v>
      </c>
      <c r="AP93" s="3">
        <f>VLOOKUP(INT(VLOOKUP(U93,模板计算相关数据!A:N,2,0)/30)+1,模板计算相关数据!$O$35:$U$40,4,0)+AF93</f>
        <v>5000</v>
      </c>
      <c r="AQ93" s="3">
        <f>VLOOKUP(INT(VLOOKUP(U93,模板计算相关数据!A:N,2,0)/30)+1,模板计算相关数据!$O$35:$U$40,5,0)+AG93</f>
        <v>0</v>
      </c>
      <c r="AR93" s="3">
        <f>VLOOKUP(INT(VLOOKUP(U93,模板计算相关数据!A:N,2,0)/30)+1,模板计算相关数据!$O$35:$U$40,6,0)+AH93</f>
        <v>0</v>
      </c>
      <c r="AS93" s="3">
        <f>VLOOKUP(INT(VLOOKUP(U93,模板计算相关数据!A:N,2,0)/30)+1,模板计算相关数据!$O$35:$U$40,7,0)+AI93</f>
        <v>0</v>
      </c>
      <c r="AT93" s="3">
        <f>VLOOKUP(INT(VLOOKUP(U93,模板计算相关数据!A:N,2,0)/30)+1,模板计算相关数据!$O$35:$V$40,8,0)</f>
        <v>0</v>
      </c>
      <c r="AU93" s="87"/>
    </row>
    <row r="94" spans="1:47" s="9" customFormat="1" x14ac:dyDescent="0.2">
      <c r="A94" s="3">
        <v>286</v>
      </c>
      <c r="B94" s="3"/>
      <c r="C94" s="87" t="s">
        <v>1750</v>
      </c>
      <c r="D94" s="69" t="s">
        <v>1660</v>
      </c>
      <c r="E94" s="2"/>
      <c r="F94" s="3">
        <v>1</v>
      </c>
      <c r="G94" s="3">
        <v>1005901</v>
      </c>
      <c r="H94" s="3">
        <v>2</v>
      </c>
      <c r="I94" s="3">
        <v>5</v>
      </c>
      <c r="J94" s="3">
        <v>6</v>
      </c>
      <c r="K94" s="3"/>
      <c r="L94" s="69" t="s">
        <v>1799</v>
      </c>
      <c r="M94" s="2"/>
      <c r="N94" s="2">
        <v>1</v>
      </c>
      <c r="O94" s="69"/>
      <c r="P94" s="3" t="s">
        <v>1615</v>
      </c>
      <c r="Q94" s="95">
        <f t="shared" si="3"/>
        <v>5</v>
      </c>
      <c r="R94" s="133">
        <f>IF(P94=模板计算相关数据!$W$24,VLOOKUP(X94,模板计算相关数据!$P$47:$T$50,2,0),VLOOKUP(X94,模板计算相关数据!$P$4:$U$7,3,0))</f>
        <v>5</v>
      </c>
      <c r="S94" s="62">
        <f t="shared" si="4"/>
        <v>6.6666666666666661</v>
      </c>
      <c r="T94" s="133">
        <f>IF(P94=模板计算相关数据!$W$24,VLOOKUP(X94,模板计算相关数据!$P$47:$T$50,5,0),VLOOKUP(X94,模板计算相关数据!$P$4:$U$7,6,0))</f>
        <v>6.6666666666666661</v>
      </c>
      <c r="U94" s="3">
        <v>1</v>
      </c>
      <c r="V94" s="95">
        <f t="shared" si="5"/>
        <v>1</v>
      </c>
      <c r="W94" s="29">
        <f>VLOOKUP(U94,模板计算相关数据!A:N,2,0)</f>
        <v>1</v>
      </c>
      <c r="X94" s="3" t="s">
        <v>151</v>
      </c>
      <c r="Y94" s="3" t="s">
        <v>234</v>
      </c>
      <c r="Z94" s="100">
        <v>10</v>
      </c>
      <c r="AA94" s="2">
        <v>0.5</v>
      </c>
      <c r="AB94" s="2">
        <v>1</v>
      </c>
      <c r="AC94" s="2">
        <v>1</v>
      </c>
      <c r="AD94" s="95">
        <v>600</v>
      </c>
      <c r="AE94" s="95">
        <v>0</v>
      </c>
      <c r="AF94" s="95">
        <v>0</v>
      </c>
      <c r="AG94" s="95">
        <v>0</v>
      </c>
      <c r="AH94" s="95">
        <v>0</v>
      </c>
      <c r="AI94" s="95">
        <v>0</v>
      </c>
      <c r="AJ94" s="3">
        <f>INT(VLOOKUP(U94,模板计算相关数据!A:N,4,0)*VLOOKUP(U94,模板计算相关数据!A:N,14,0)*(1+MAX(0,(VLOOKUP(U94,模板计算相关数据!A:N,7,0)-AQ94))*VLOOKUP(U94,模板计算相关数据!A:N,8,0))*(1-(AL94+AM94)*0.5/((AL94+AM94)*0.5+(VLOOKUP(U94,模板计算相关数据!A:N,2,0)+模板计算相关数据!$AC$27)*模板计算相关数据!$AC$28))*Q94*Z94)</f>
        <v>3511</v>
      </c>
      <c r="AK94" s="3">
        <f>INT(VLOOKUP(U94,模板计算相关数据!A:N,3,0)/模板计算相关数据!$W$35/(1+MAX(0,(AO94/10000-VLOOKUP(U94,模板计算相关数据!A:N,9,0)))*AP94/10000)/(1-VLOOKUP(U94,模板计算相关数据!A:N,5,0)/(VLOOKUP(U94,模板计算相关数据!A:N,5,0)+(VLOOKUP(U94,模板计算相关数据!A:N,2,0)+模板计算相关数据!$AC$27)*模板计算相关数据!$AC$28))/S94*AA94)</f>
        <v>41</v>
      </c>
      <c r="AL94" s="3">
        <f>INT(VLOOKUP(U94,模板计算相关数据!A:N,5,0)*VLOOKUP(X94,模板计算相关数据!$P$4:$T$7,4,0)*VLOOKUP(Y94,模板计算相关数据!$P$22:$U$30,4,0)*AB94)</f>
        <v>153</v>
      </c>
      <c r="AM94" s="3">
        <f>INT(VLOOKUP(U94,模板计算相关数据!A:N,6,0)*VLOOKUP(X94,模板计算相关数据!$P$4:$T$7,4,0)*VLOOKUP(Y94,模板计算相关数据!$P$22:$U$30,5,0)*AC94)</f>
        <v>277</v>
      </c>
      <c r="AN94" s="3">
        <f>VLOOKUP(U94,模板计算相关数据!A:N,10,0)*0.5*VLOOKUP(Y94,模板计算相关数据!$P$22:$U$30,6,0)+AD94</f>
        <v>825</v>
      </c>
      <c r="AO94" s="3">
        <f>VLOOKUP(INT(VLOOKUP(U94,模板计算相关数据!A:N,2,0)/30)+1,模板计算相关数据!$O$35:$U$40,3,0)+AE94</f>
        <v>0</v>
      </c>
      <c r="AP94" s="3">
        <f>VLOOKUP(INT(VLOOKUP(U94,模板计算相关数据!A:N,2,0)/30)+1,模板计算相关数据!$O$35:$U$40,4,0)+AF94</f>
        <v>5000</v>
      </c>
      <c r="AQ94" s="3">
        <f>VLOOKUP(INT(VLOOKUP(U94,模板计算相关数据!A:N,2,0)/30)+1,模板计算相关数据!$O$35:$U$40,5,0)+AG94</f>
        <v>0</v>
      </c>
      <c r="AR94" s="3">
        <f>VLOOKUP(INT(VLOOKUP(U94,模板计算相关数据!A:N,2,0)/30)+1,模板计算相关数据!$O$35:$U$40,6,0)+AH94</f>
        <v>0</v>
      </c>
      <c r="AS94" s="3">
        <f>VLOOKUP(INT(VLOOKUP(U94,模板计算相关数据!A:N,2,0)/30)+1,模板计算相关数据!$O$35:$U$40,7,0)+AI94</f>
        <v>0</v>
      </c>
      <c r="AT94" s="3">
        <f>VLOOKUP(INT(VLOOKUP(U94,模板计算相关数据!A:N,2,0)/30)+1,模板计算相关数据!$O$35:$V$40,8,0)</f>
        <v>0</v>
      </c>
      <c r="AU94" s="87"/>
    </row>
    <row r="95" spans="1:47" s="9" customFormat="1" x14ac:dyDescent="0.2">
      <c r="A95" s="3">
        <v>287</v>
      </c>
      <c r="B95" s="3"/>
      <c r="C95" s="87" t="s">
        <v>1697</v>
      </c>
      <c r="D95" s="69" t="s">
        <v>1660</v>
      </c>
      <c r="E95" s="2"/>
      <c r="F95" s="3">
        <v>1</v>
      </c>
      <c r="G95" s="3">
        <v>1006001</v>
      </c>
      <c r="H95" s="3">
        <v>2</v>
      </c>
      <c r="I95" s="3">
        <v>5</v>
      </c>
      <c r="J95" s="3">
        <v>6</v>
      </c>
      <c r="K95" s="3"/>
      <c r="L95" s="69" t="s">
        <v>1800</v>
      </c>
      <c r="M95" s="2"/>
      <c r="N95" s="2">
        <v>1</v>
      </c>
      <c r="O95" s="69"/>
      <c r="P95" s="3" t="s">
        <v>1615</v>
      </c>
      <c r="Q95" s="95">
        <f t="shared" si="3"/>
        <v>5</v>
      </c>
      <c r="R95" s="133">
        <f>IF(P95=模板计算相关数据!$W$24,VLOOKUP(X95,模板计算相关数据!$P$47:$T$50,2,0),VLOOKUP(X95,模板计算相关数据!$P$4:$U$7,3,0))</f>
        <v>5</v>
      </c>
      <c r="S95" s="62">
        <f t="shared" si="4"/>
        <v>6.6666666666666661</v>
      </c>
      <c r="T95" s="133">
        <f>IF(P95=模板计算相关数据!$W$24,VLOOKUP(X95,模板计算相关数据!$P$47:$T$50,5,0),VLOOKUP(X95,模板计算相关数据!$P$4:$U$7,6,0))</f>
        <v>6.6666666666666661</v>
      </c>
      <c r="U95" s="3">
        <v>1</v>
      </c>
      <c r="V95" s="95">
        <f t="shared" si="5"/>
        <v>1</v>
      </c>
      <c r="W95" s="29">
        <f>VLOOKUP(U95,模板计算相关数据!A:N,2,0)</f>
        <v>1</v>
      </c>
      <c r="X95" s="3" t="s">
        <v>151</v>
      </c>
      <c r="Y95" s="3" t="s">
        <v>234</v>
      </c>
      <c r="Z95" s="100">
        <v>10</v>
      </c>
      <c r="AA95" s="2">
        <v>0.5</v>
      </c>
      <c r="AB95" s="2">
        <v>1</v>
      </c>
      <c r="AC95" s="2">
        <v>1</v>
      </c>
      <c r="AD95" s="95">
        <v>0</v>
      </c>
      <c r="AE95" s="95">
        <v>0</v>
      </c>
      <c r="AF95" s="95">
        <v>0</v>
      </c>
      <c r="AG95" s="95">
        <v>0</v>
      </c>
      <c r="AH95" s="95">
        <v>0</v>
      </c>
      <c r="AI95" s="95">
        <v>0</v>
      </c>
      <c r="AJ95" s="3">
        <f>INT(VLOOKUP(U95,模板计算相关数据!A:N,4,0)*VLOOKUP(U95,模板计算相关数据!A:N,14,0)*(1+MAX(0,(VLOOKUP(U95,模板计算相关数据!A:N,7,0)-AQ95))*VLOOKUP(U95,模板计算相关数据!A:N,8,0))*(1-(AL95+AM95)*0.5/((AL95+AM95)*0.5+(VLOOKUP(U95,模板计算相关数据!A:N,2,0)+模板计算相关数据!$AC$27)*模板计算相关数据!$AC$28))*Q95*Z95)</f>
        <v>3511</v>
      </c>
      <c r="AK95" s="3">
        <f>INT(VLOOKUP(U95,模板计算相关数据!A:N,3,0)/模板计算相关数据!$W$35/(1+MAX(0,(AO95/10000-VLOOKUP(U95,模板计算相关数据!A:N,9,0)))*AP95/10000)/(1-VLOOKUP(U95,模板计算相关数据!A:N,5,0)/(VLOOKUP(U95,模板计算相关数据!A:N,5,0)+(VLOOKUP(U95,模板计算相关数据!A:N,2,0)+模板计算相关数据!$AC$27)*模板计算相关数据!$AC$28))/S95*AA95)</f>
        <v>41</v>
      </c>
      <c r="AL95" s="3">
        <f>INT(VLOOKUP(U95,模板计算相关数据!A:N,5,0)*VLOOKUP(X95,模板计算相关数据!$P$4:$T$7,4,0)*VLOOKUP(Y95,模板计算相关数据!$P$22:$U$30,4,0)*AB95)</f>
        <v>153</v>
      </c>
      <c r="AM95" s="3">
        <f>INT(VLOOKUP(U95,模板计算相关数据!A:N,6,0)*VLOOKUP(X95,模板计算相关数据!$P$4:$T$7,4,0)*VLOOKUP(Y95,模板计算相关数据!$P$22:$U$30,5,0)*AC95)</f>
        <v>277</v>
      </c>
      <c r="AN95" s="3">
        <f>VLOOKUP(U95,模板计算相关数据!A:N,10,0)*0.5*VLOOKUP(Y95,模板计算相关数据!$P$22:$U$30,6,0)+AD95</f>
        <v>225</v>
      </c>
      <c r="AO95" s="3">
        <f>VLOOKUP(INT(VLOOKUP(U95,模板计算相关数据!A:N,2,0)/30)+1,模板计算相关数据!$O$35:$U$40,3,0)+AE95</f>
        <v>0</v>
      </c>
      <c r="AP95" s="3">
        <f>VLOOKUP(INT(VLOOKUP(U95,模板计算相关数据!A:N,2,0)/30)+1,模板计算相关数据!$O$35:$U$40,4,0)+AF95</f>
        <v>5000</v>
      </c>
      <c r="AQ95" s="3">
        <f>VLOOKUP(INT(VLOOKUP(U95,模板计算相关数据!A:N,2,0)/30)+1,模板计算相关数据!$O$35:$U$40,5,0)+AG95</f>
        <v>0</v>
      </c>
      <c r="AR95" s="3">
        <f>VLOOKUP(INT(VLOOKUP(U95,模板计算相关数据!A:N,2,0)/30)+1,模板计算相关数据!$O$35:$U$40,6,0)+AH95</f>
        <v>0</v>
      </c>
      <c r="AS95" s="3">
        <f>VLOOKUP(INT(VLOOKUP(U95,模板计算相关数据!A:N,2,0)/30)+1,模板计算相关数据!$O$35:$U$40,7,0)+AI95</f>
        <v>0</v>
      </c>
      <c r="AT95" s="3">
        <f>VLOOKUP(INT(VLOOKUP(U95,模板计算相关数据!A:N,2,0)/30)+1,模板计算相关数据!$O$35:$V$40,8,0)</f>
        <v>0</v>
      </c>
      <c r="AU95" s="87"/>
    </row>
    <row r="96" spans="1:47" s="9" customFormat="1" x14ac:dyDescent="0.2">
      <c r="A96" s="3">
        <v>288</v>
      </c>
      <c r="B96" s="3"/>
      <c r="C96" s="87" t="s">
        <v>1655</v>
      </c>
      <c r="D96" s="69" t="s">
        <v>1660</v>
      </c>
      <c r="E96" s="2"/>
      <c r="F96" s="3">
        <v>1</v>
      </c>
      <c r="G96" s="3">
        <v>100501</v>
      </c>
      <c r="H96" s="3">
        <v>2</v>
      </c>
      <c r="I96" s="3">
        <v>5</v>
      </c>
      <c r="J96" s="3">
        <v>6</v>
      </c>
      <c r="K96" s="3"/>
      <c r="L96" s="93" t="s">
        <v>1698</v>
      </c>
      <c r="M96" s="2"/>
      <c r="N96" s="2">
        <v>1</v>
      </c>
      <c r="O96" s="69"/>
      <c r="P96" s="3" t="s">
        <v>1615</v>
      </c>
      <c r="Q96" s="95">
        <f t="shared" si="3"/>
        <v>5</v>
      </c>
      <c r="R96" s="133">
        <f>IF(P96=模板计算相关数据!$W$24,VLOOKUP(X96,模板计算相关数据!$P$47:$T$50,2,0),VLOOKUP(X96,模板计算相关数据!$P$4:$U$7,3,0))</f>
        <v>5</v>
      </c>
      <c r="S96" s="62">
        <f t="shared" si="4"/>
        <v>6.6666666666666661</v>
      </c>
      <c r="T96" s="133">
        <f>IF(P96=模板计算相关数据!$W$24,VLOOKUP(X96,模板计算相关数据!$P$47:$T$50,5,0),VLOOKUP(X96,模板计算相关数据!$P$4:$U$7,6,0))</f>
        <v>6.6666666666666661</v>
      </c>
      <c r="U96" s="3">
        <v>1</v>
      </c>
      <c r="V96" s="95">
        <f t="shared" si="5"/>
        <v>1</v>
      </c>
      <c r="W96" s="29">
        <f>VLOOKUP(U96,模板计算相关数据!A:N,2,0)</f>
        <v>1</v>
      </c>
      <c r="X96" s="3" t="s">
        <v>151</v>
      </c>
      <c r="Y96" s="3" t="s">
        <v>234</v>
      </c>
      <c r="Z96" s="100">
        <v>10</v>
      </c>
      <c r="AA96" s="2">
        <v>0.5</v>
      </c>
      <c r="AB96" s="2">
        <v>1</v>
      </c>
      <c r="AC96" s="2">
        <v>1</v>
      </c>
      <c r="AD96" s="95">
        <v>0</v>
      </c>
      <c r="AE96" s="95">
        <v>0</v>
      </c>
      <c r="AF96" s="95">
        <v>0</v>
      </c>
      <c r="AG96" s="95">
        <v>0</v>
      </c>
      <c r="AH96" s="95">
        <v>0</v>
      </c>
      <c r="AI96" s="95">
        <v>0</v>
      </c>
      <c r="AJ96" s="3">
        <f>INT(VLOOKUP(U96,模板计算相关数据!A:N,4,0)*VLOOKUP(U96,模板计算相关数据!A:N,14,0)*(1+MAX(0,(VLOOKUP(U96,模板计算相关数据!A:N,7,0)-AQ96))*VLOOKUP(U96,模板计算相关数据!A:N,8,0))*(1-(AL96+AM96)*0.5/((AL96+AM96)*0.5+(VLOOKUP(U96,模板计算相关数据!A:N,2,0)+模板计算相关数据!$AC$27)*模板计算相关数据!$AC$28))*Q96*Z96)</f>
        <v>3511</v>
      </c>
      <c r="AK96" s="3">
        <f>INT(VLOOKUP(U96,模板计算相关数据!A:N,3,0)/模板计算相关数据!$W$35/(1+MAX(0,(AO96/10000-VLOOKUP(U96,模板计算相关数据!A:N,9,0)))*AP96/10000)/(1-VLOOKUP(U96,模板计算相关数据!A:N,5,0)/(VLOOKUP(U96,模板计算相关数据!A:N,5,0)+(VLOOKUP(U96,模板计算相关数据!A:N,2,0)+模板计算相关数据!$AC$27)*模板计算相关数据!$AC$28))/S96*AA96)</f>
        <v>41</v>
      </c>
      <c r="AL96" s="3">
        <f>INT(VLOOKUP(U96,模板计算相关数据!A:N,5,0)*VLOOKUP(X96,模板计算相关数据!$P$4:$T$7,4,0)*VLOOKUP(Y96,模板计算相关数据!$P$22:$U$30,4,0)*AB96)</f>
        <v>153</v>
      </c>
      <c r="AM96" s="3">
        <f>INT(VLOOKUP(U96,模板计算相关数据!A:N,6,0)*VLOOKUP(X96,模板计算相关数据!$P$4:$T$7,4,0)*VLOOKUP(Y96,模板计算相关数据!$P$22:$U$30,5,0)*AC96)</f>
        <v>277</v>
      </c>
      <c r="AN96" s="3">
        <f>VLOOKUP(U96,模板计算相关数据!A:N,10,0)*0.5*VLOOKUP(Y96,模板计算相关数据!$P$22:$U$30,6,0)+AD96</f>
        <v>225</v>
      </c>
      <c r="AO96" s="3">
        <f>VLOOKUP(INT(VLOOKUP(U96,模板计算相关数据!A:N,2,0)/30)+1,模板计算相关数据!$O$35:$U$40,3,0)+AE96</f>
        <v>0</v>
      </c>
      <c r="AP96" s="3">
        <f>VLOOKUP(INT(VLOOKUP(U96,模板计算相关数据!A:N,2,0)/30)+1,模板计算相关数据!$O$35:$U$40,4,0)+AF96</f>
        <v>5000</v>
      </c>
      <c r="AQ96" s="3">
        <f>VLOOKUP(INT(VLOOKUP(U96,模板计算相关数据!A:N,2,0)/30)+1,模板计算相关数据!$O$35:$U$40,5,0)+AG96</f>
        <v>0</v>
      </c>
      <c r="AR96" s="3">
        <f>VLOOKUP(INT(VLOOKUP(U96,模板计算相关数据!A:N,2,0)/30)+1,模板计算相关数据!$O$35:$U$40,6,0)+AH96</f>
        <v>0</v>
      </c>
      <c r="AS96" s="3">
        <f>VLOOKUP(INT(VLOOKUP(U96,模板计算相关数据!A:N,2,0)/30)+1,模板计算相关数据!$O$35:$U$40,7,0)+AI96</f>
        <v>0</v>
      </c>
      <c r="AT96" s="3">
        <f>VLOOKUP(INT(VLOOKUP(U96,模板计算相关数据!A:N,2,0)/30)+1,模板计算相关数据!$O$35:$V$40,8,0)</f>
        <v>0</v>
      </c>
      <c r="AU96" s="87"/>
    </row>
    <row r="97" spans="1:47" s="9" customFormat="1" x14ac:dyDescent="0.2">
      <c r="A97" s="3">
        <v>289</v>
      </c>
      <c r="B97" s="3"/>
      <c r="C97" s="87" t="s">
        <v>1653</v>
      </c>
      <c r="D97" s="69" t="s">
        <v>1660</v>
      </c>
      <c r="E97" s="2"/>
      <c r="F97" s="3">
        <v>1</v>
      </c>
      <c r="G97" s="3">
        <v>100401</v>
      </c>
      <c r="H97" s="3">
        <v>2</v>
      </c>
      <c r="I97" s="3">
        <v>5</v>
      </c>
      <c r="J97" s="3">
        <v>6</v>
      </c>
      <c r="K97" s="3"/>
      <c r="L97" s="93" t="s">
        <v>1699</v>
      </c>
      <c r="M97" s="2"/>
      <c r="N97" s="2">
        <v>1</v>
      </c>
      <c r="O97" s="69"/>
      <c r="P97" s="3" t="s">
        <v>1615</v>
      </c>
      <c r="Q97" s="95">
        <f t="shared" si="3"/>
        <v>5</v>
      </c>
      <c r="R97" s="133">
        <f>IF(P97=模板计算相关数据!$W$24,VLOOKUP(X97,模板计算相关数据!$P$47:$T$50,2,0),VLOOKUP(X97,模板计算相关数据!$P$4:$U$7,3,0))</f>
        <v>5</v>
      </c>
      <c r="S97" s="62">
        <f t="shared" si="4"/>
        <v>6.6666666666666661</v>
      </c>
      <c r="T97" s="133">
        <f>IF(P97=模板计算相关数据!$W$24,VLOOKUP(X97,模板计算相关数据!$P$47:$T$50,5,0),VLOOKUP(X97,模板计算相关数据!$P$4:$U$7,6,0))</f>
        <v>6.6666666666666661</v>
      </c>
      <c r="U97" s="3">
        <v>1</v>
      </c>
      <c r="V97" s="95">
        <f t="shared" si="5"/>
        <v>1</v>
      </c>
      <c r="W97" s="29">
        <f>VLOOKUP(U97,模板计算相关数据!A:N,2,0)</f>
        <v>1</v>
      </c>
      <c r="X97" s="3" t="s">
        <v>151</v>
      </c>
      <c r="Y97" s="3" t="s">
        <v>234</v>
      </c>
      <c r="Z97" s="100">
        <v>10</v>
      </c>
      <c r="AA97" s="2">
        <v>0.5</v>
      </c>
      <c r="AB97" s="2">
        <v>1</v>
      </c>
      <c r="AC97" s="2">
        <v>1</v>
      </c>
      <c r="AD97" s="95">
        <v>0</v>
      </c>
      <c r="AE97" s="95">
        <v>0</v>
      </c>
      <c r="AF97" s="95">
        <v>0</v>
      </c>
      <c r="AG97" s="95">
        <v>0</v>
      </c>
      <c r="AH97" s="95">
        <v>0</v>
      </c>
      <c r="AI97" s="95">
        <v>0</v>
      </c>
      <c r="AJ97" s="3">
        <f>INT(VLOOKUP(U97,模板计算相关数据!A:N,4,0)*VLOOKUP(U97,模板计算相关数据!A:N,14,0)*(1+MAX(0,(VLOOKUP(U97,模板计算相关数据!A:N,7,0)-AQ97))*VLOOKUP(U97,模板计算相关数据!A:N,8,0))*(1-(AL97+AM97)*0.5/((AL97+AM97)*0.5+(VLOOKUP(U97,模板计算相关数据!A:N,2,0)+模板计算相关数据!$AC$27)*模板计算相关数据!$AC$28))*Q97*Z97)</f>
        <v>3511</v>
      </c>
      <c r="AK97" s="3">
        <f>INT(VLOOKUP(U97,模板计算相关数据!A:N,3,0)/模板计算相关数据!$W$35/(1+MAX(0,(AO97/10000-VLOOKUP(U97,模板计算相关数据!A:N,9,0)))*AP97/10000)/(1-VLOOKUP(U97,模板计算相关数据!A:N,5,0)/(VLOOKUP(U97,模板计算相关数据!A:N,5,0)+(VLOOKUP(U97,模板计算相关数据!A:N,2,0)+模板计算相关数据!$AC$27)*模板计算相关数据!$AC$28))/S97*AA97)</f>
        <v>41</v>
      </c>
      <c r="AL97" s="3">
        <f>INT(VLOOKUP(U97,模板计算相关数据!A:N,5,0)*VLOOKUP(X97,模板计算相关数据!$P$4:$T$7,4,0)*VLOOKUP(Y97,模板计算相关数据!$P$22:$U$30,4,0)*AB97)</f>
        <v>153</v>
      </c>
      <c r="AM97" s="3">
        <f>INT(VLOOKUP(U97,模板计算相关数据!A:N,6,0)*VLOOKUP(X97,模板计算相关数据!$P$4:$T$7,4,0)*VLOOKUP(Y97,模板计算相关数据!$P$22:$U$30,5,0)*AC97)</f>
        <v>277</v>
      </c>
      <c r="AN97" s="3">
        <f>VLOOKUP(U97,模板计算相关数据!A:N,10,0)*0.5*VLOOKUP(Y97,模板计算相关数据!$P$22:$U$30,6,0)+AD97</f>
        <v>225</v>
      </c>
      <c r="AO97" s="3">
        <f>VLOOKUP(INT(VLOOKUP(U97,模板计算相关数据!A:N,2,0)/30)+1,模板计算相关数据!$O$35:$U$40,3,0)+AE97</f>
        <v>0</v>
      </c>
      <c r="AP97" s="3">
        <f>VLOOKUP(INT(VLOOKUP(U97,模板计算相关数据!A:N,2,0)/30)+1,模板计算相关数据!$O$35:$U$40,4,0)+AF97</f>
        <v>5000</v>
      </c>
      <c r="AQ97" s="3">
        <f>VLOOKUP(INT(VLOOKUP(U97,模板计算相关数据!A:N,2,0)/30)+1,模板计算相关数据!$O$35:$U$40,5,0)+AG97</f>
        <v>0</v>
      </c>
      <c r="AR97" s="3">
        <f>VLOOKUP(INT(VLOOKUP(U97,模板计算相关数据!A:N,2,0)/30)+1,模板计算相关数据!$O$35:$U$40,6,0)+AH97</f>
        <v>0</v>
      </c>
      <c r="AS97" s="3">
        <f>VLOOKUP(INT(VLOOKUP(U97,模板计算相关数据!A:N,2,0)/30)+1,模板计算相关数据!$O$35:$U$40,7,0)+AI97</f>
        <v>0</v>
      </c>
      <c r="AT97" s="3">
        <f>VLOOKUP(INT(VLOOKUP(U97,模板计算相关数据!A:N,2,0)/30)+1,模板计算相关数据!$O$35:$V$40,8,0)</f>
        <v>0</v>
      </c>
      <c r="AU97" s="87"/>
    </row>
    <row r="98" spans="1:47" s="9" customFormat="1" x14ac:dyDescent="0.2">
      <c r="A98" s="3">
        <v>290</v>
      </c>
      <c r="B98" s="3"/>
      <c r="C98" s="87" t="s">
        <v>1657</v>
      </c>
      <c r="D98" s="69" t="s">
        <v>1660</v>
      </c>
      <c r="E98" s="2"/>
      <c r="F98" s="3">
        <v>1</v>
      </c>
      <c r="G98" s="3">
        <v>105101</v>
      </c>
      <c r="H98" s="3">
        <v>2</v>
      </c>
      <c r="I98" s="3">
        <v>5</v>
      </c>
      <c r="J98" s="3">
        <v>6</v>
      </c>
      <c r="K98" s="3"/>
      <c r="L98" s="93" t="s">
        <v>1700</v>
      </c>
      <c r="M98" s="2"/>
      <c r="N98" s="2">
        <v>1</v>
      </c>
      <c r="O98" s="69"/>
      <c r="P98" s="3" t="s">
        <v>1615</v>
      </c>
      <c r="Q98" s="95">
        <f t="shared" si="3"/>
        <v>5</v>
      </c>
      <c r="R98" s="133">
        <f>IF(P98=模板计算相关数据!$W$24,VLOOKUP(X98,模板计算相关数据!$P$47:$T$50,2,0),VLOOKUP(X98,模板计算相关数据!$P$4:$U$7,3,0))</f>
        <v>5</v>
      </c>
      <c r="S98" s="62">
        <f t="shared" si="4"/>
        <v>6.6666666666666661</v>
      </c>
      <c r="T98" s="133">
        <f>IF(P98=模板计算相关数据!$W$24,VLOOKUP(X98,模板计算相关数据!$P$47:$T$50,5,0),VLOOKUP(X98,模板计算相关数据!$P$4:$U$7,6,0))</f>
        <v>6.6666666666666661</v>
      </c>
      <c r="U98" s="3">
        <v>1</v>
      </c>
      <c r="V98" s="95">
        <f t="shared" si="5"/>
        <v>1</v>
      </c>
      <c r="W98" s="29">
        <f>VLOOKUP(U98,模板计算相关数据!A:N,2,0)</f>
        <v>1</v>
      </c>
      <c r="X98" s="3" t="s">
        <v>151</v>
      </c>
      <c r="Y98" s="3" t="s">
        <v>234</v>
      </c>
      <c r="Z98" s="100">
        <v>10</v>
      </c>
      <c r="AA98" s="2">
        <v>0.5</v>
      </c>
      <c r="AB98" s="2">
        <v>1</v>
      </c>
      <c r="AC98" s="2">
        <v>1</v>
      </c>
      <c r="AD98" s="95">
        <v>0</v>
      </c>
      <c r="AE98" s="95">
        <v>0</v>
      </c>
      <c r="AF98" s="95">
        <v>0</v>
      </c>
      <c r="AG98" s="95">
        <v>0</v>
      </c>
      <c r="AH98" s="95">
        <v>0</v>
      </c>
      <c r="AI98" s="95">
        <v>0</v>
      </c>
      <c r="AJ98" s="3">
        <f>INT(VLOOKUP(U98,模板计算相关数据!A:N,4,0)*VLOOKUP(U98,模板计算相关数据!A:N,14,0)*(1+MAX(0,(VLOOKUP(U98,模板计算相关数据!A:N,7,0)-AQ98))*VLOOKUP(U98,模板计算相关数据!A:N,8,0))*(1-(AL98+AM98)*0.5/((AL98+AM98)*0.5+(VLOOKUP(U98,模板计算相关数据!A:N,2,0)+模板计算相关数据!$AC$27)*模板计算相关数据!$AC$28))*Q98*Z98)</f>
        <v>3511</v>
      </c>
      <c r="AK98" s="3">
        <f>INT(VLOOKUP(U98,模板计算相关数据!A:N,3,0)/模板计算相关数据!$W$35/(1+MAX(0,(AO98/10000-VLOOKUP(U98,模板计算相关数据!A:N,9,0)))*AP98/10000)/(1-VLOOKUP(U98,模板计算相关数据!A:N,5,0)/(VLOOKUP(U98,模板计算相关数据!A:N,5,0)+(VLOOKUP(U98,模板计算相关数据!A:N,2,0)+模板计算相关数据!$AC$27)*模板计算相关数据!$AC$28))/S98*AA98)</f>
        <v>41</v>
      </c>
      <c r="AL98" s="3">
        <f>INT(VLOOKUP(U98,模板计算相关数据!A:N,5,0)*VLOOKUP(X98,模板计算相关数据!$P$4:$T$7,4,0)*VLOOKUP(Y98,模板计算相关数据!$P$22:$U$30,4,0)*AB98)</f>
        <v>153</v>
      </c>
      <c r="AM98" s="3">
        <f>INT(VLOOKUP(U98,模板计算相关数据!A:N,6,0)*VLOOKUP(X98,模板计算相关数据!$P$4:$T$7,4,0)*VLOOKUP(Y98,模板计算相关数据!$P$22:$U$30,5,0)*AC98)</f>
        <v>277</v>
      </c>
      <c r="AN98" s="3">
        <f>VLOOKUP(U98,模板计算相关数据!A:N,10,0)*0.5*VLOOKUP(Y98,模板计算相关数据!$P$22:$U$30,6,0)+AD98</f>
        <v>225</v>
      </c>
      <c r="AO98" s="3">
        <f>VLOOKUP(INT(VLOOKUP(U98,模板计算相关数据!A:N,2,0)/30)+1,模板计算相关数据!$O$35:$U$40,3,0)+AE98</f>
        <v>0</v>
      </c>
      <c r="AP98" s="3">
        <f>VLOOKUP(INT(VLOOKUP(U98,模板计算相关数据!A:N,2,0)/30)+1,模板计算相关数据!$O$35:$U$40,4,0)+AF98</f>
        <v>5000</v>
      </c>
      <c r="AQ98" s="3">
        <f>VLOOKUP(INT(VLOOKUP(U98,模板计算相关数据!A:N,2,0)/30)+1,模板计算相关数据!$O$35:$U$40,5,0)+AG98</f>
        <v>0</v>
      </c>
      <c r="AR98" s="3">
        <f>VLOOKUP(INT(VLOOKUP(U98,模板计算相关数据!A:N,2,0)/30)+1,模板计算相关数据!$O$35:$U$40,6,0)+AH98</f>
        <v>0</v>
      </c>
      <c r="AS98" s="3">
        <f>VLOOKUP(INT(VLOOKUP(U98,模板计算相关数据!A:N,2,0)/30)+1,模板计算相关数据!$O$35:$U$40,7,0)+AI98</f>
        <v>0</v>
      </c>
      <c r="AT98" s="3">
        <f>VLOOKUP(INT(VLOOKUP(U98,模板计算相关数据!A:N,2,0)/30)+1,模板计算相关数据!$O$35:$V$40,8,0)</f>
        <v>0</v>
      </c>
      <c r="AU98" s="87"/>
    </row>
    <row r="99" spans="1:47" s="9" customFormat="1" x14ac:dyDescent="0.2">
      <c r="A99" s="3">
        <v>291</v>
      </c>
      <c r="B99" s="3"/>
      <c r="C99" s="87" t="s">
        <v>1701</v>
      </c>
      <c r="D99" s="69" t="s">
        <v>1660</v>
      </c>
      <c r="E99" s="2"/>
      <c r="F99" s="3">
        <v>1</v>
      </c>
      <c r="G99" s="3">
        <v>106001</v>
      </c>
      <c r="H99" s="3">
        <v>2</v>
      </c>
      <c r="I99" s="3">
        <v>5</v>
      </c>
      <c r="J99" s="3">
        <v>6</v>
      </c>
      <c r="K99" s="3"/>
      <c r="L99" s="93" t="s">
        <v>1702</v>
      </c>
      <c r="M99" s="2"/>
      <c r="N99" s="2">
        <v>1</v>
      </c>
      <c r="O99" s="69"/>
      <c r="P99" s="3" t="s">
        <v>1615</v>
      </c>
      <c r="Q99" s="95">
        <f t="shared" si="3"/>
        <v>5</v>
      </c>
      <c r="R99" s="133">
        <f>IF(P99=模板计算相关数据!$W$24,VLOOKUP(X99,模板计算相关数据!$P$47:$T$50,2,0),VLOOKUP(X99,模板计算相关数据!$P$4:$U$7,3,0))</f>
        <v>5</v>
      </c>
      <c r="S99" s="62">
        <f t="shared" si="4"/>
        <v>6.6666666666666661</v>
      </c>
      <c r="T99" s="133">
        <f>IF(P99=模板计算相关数据!$W$24,VLOOKUP(X99,模板计算相关数据!$P$47:$T$50,5,0),VLOOKUP(X99,模板计算相关数据!$P$4:$U$7,6,0))</f>
        <v>6.6666666666666661</v>
      </c>
      <c r="U99" s="3">
        <v>1</v>
      </c>
      <c r="V99" s="95">
        <f t="shared" si="5"/>
        <v>1</v>
      </c>
      <c r="W99" s="29">
        <f>VLOOKUP(U99,模板计算相关数据!A:N,2,0)</f>
        <v>1</v>
      </c>
      <c r="X99" s="3" t="s">
        <v>151</v>
      </c>
      <c r="Y99" s="3" t="s">
        <v>234</v>
      </c>
      <c r="Z99" s="100">
        <v>10</v>
      </c>
      <c r="AA99" s="2">
        <v>0.5</v>
      </c>
      <c r="AB99" s="2">
        <v>1</v>
      </c>
      <c r="AC99" s="2">
        <v>1</v>
      </c>
      <c r="AD99" s="95">
        <v>0</v>
      </c>
      <c r="AE99" s="95">
        <v>0</v>
      </c>
      <c r="AF99" s="95">
        <v>0</v>
      </c>
      <c r="AG99" s="95">
        <v>0</v>
      </c>
      <c r="AH99" s="95">
        <v>0</v>
      </c>
      <c r="AI99" s="95">
        <v>0</v>
      </c>
      <c r="AJ99" s="3">
        <f>INT(VLOOKUP(U99,模板计算相关数据!A:N,4,0)*VLOOKUP(U99,模板计算相关数据!A:N,14,0)*(1+MAX(0,(VLOOKUP(U99,模板计算相关数据!A:N,7,0)-AQ99))*VLOOKUP(U99,模板计算相关数据!A:N,8,0))*(1-(AL99+AM99)*0.5/((AL99+AM99)*0.5+(VLOOKUP(U99,模板计算相关数据!A:N,2,0)+模板计算相关数据!$AC$27)*模板计算相关数据!$AC$28))*Q99*Z99)</f>
        <v>3511</v>
      </c>
      <c r="AK99" s="3">
        <f>INT(VLOOKUP(U99,模板计算相关数据!A:N,3,0)/模板计算相关数据!$W$35/(1+MAX(0,(AO99/10000-VLOOKUP(U99,模板计算相关数据!A:N,9,0)))*AP99/10000)/(1-VLOOKUP(U99,模板计算相关数据!A:N,5,0)/(VLOOKUP(U99,模板计算相关数据!A:N,5,0)+(VLOOKUP(U99,模板计算相关数据!A:N,2,0)+模板计算相关数据!$AC$27)*模板计算相关数据!$AC$28))/S99*AA99)</f>
        <v>41</v>
      </c>
      <c r="AL99" s="3">
        <f>INT(VLOOKUP(U99,模板计算相关数据!A:N,5,0)*VLOOKUP(X99,模板计算相关数据!$P$4:$T$7,4,0)*VLOOKUP(Y99,模板计算相关数据!$P$22:$U$30,4,0)*AB99)</f>
        <v>153</v>
      </c>
      <c r="AM99" s="3">
        <f>INT(VLOOKUP(U99,模板计算相关数据!A:N,6,0)*VLOOKUP(X99,模板计算相关数据!$P$4:$T$7,4,0)*VLOOKUP(Y99,模板计算相关数据!$P$22:$U$30,5,0)*AC99)</f>
        <v>277</v>
      </c>
      <c r="AN99" s="3">
        <f>VLOOKUP(U99,模板计算相关数据!A:N,10,0)*0.5*VLOOKUP(Y99,模板计算相关数据!$P$22:$U$30,6,0)+AD99</f>
        <v>225</v>
      </c>
      <c r="AO99" s="3">
        <f>VLOOKUP(INT(VLOOKUP(U99,模板计算相关数据!A:N,2,0)/30)+1,模板计算相关数据!$O$35:$U$40,3,0)+AE99</f>
        <v>0</v>
      </c>
      <c r="AP99" s="3">
        <f>VLOOKUP(INT(VLOOKUP(U99,模板计算相关数据!A:N,2,0)/30)+1,模板计算相关数据!$O$35:$U$40,4,0)+AF99</f>
        <v>5000</v>
      </c>
      <c r="AQ99" s="3">
        <f>VLOOKUP(INT(VLOOKUP(U99,模板计算相关数据!A:N,2,0)/30)+1,模板计算相关数据!$O$35:$U$40,5,0)+AG99</f>
        <v>0</v>
      </c>
      <c r="AR99" s="3">
        <f>VLOOKUP(INT(VLOOKUP(U99,模板计算相关数据!A:N,2,0)/30)+1,模板计算相关数据!$O$35:$U$40,6,0)+AH99</f>
        <v>0</v>
      </c>
      <c r="AS99" s="3">
        <f>VLOOKUP(INT(VLOOKUP(U99,模板计算相关数据!A:N,2,0)/30)+1,模板计算相关数据!$O$35:$U$40,7,0)+AI99</f>
        <v>0</v>
      </c>
      <c r="AT99" s="3">
        <f>VLOOKUP(INT(VLOOKUP(U99,模板计算相关数据!A:N,2,0)/30)+1,模板计算相关数据!$O$35:$V$40,8,0)</f>
        <v>0</v>
      </c>
      <c r="AU99" s="87"/>
    </row>
    <row r="100" spans="1:47" s="9" customFormat="1" x14ac:dyDescent="0.2">
      <c r="A100" s="3">
        <v>292</v>
      </c>
      <c r="B100" s="3"/>
      <c r="C100" s="87" t="s">
        <v>1703</v>
      </c>
      <c r="D100" s="69" t="s">
        <v>1660</v>
      </c>
      <c r="E100" s="2"/>
      <c r="F100" s="3">
        <v>1</v>
      </c>
      <c r="G100" s="3">
        <v>105901</v>
      </c>
      <c r="H100" s="3">
        <v>2</v>
      </c>
      <c r="I100" s="3">
        <v>5</v>
      </c>
      <c r="J100" s="3">
        <v>6</v>
      </c>
      <c r="K100" s="3"/>
      <c r="L100" s="93" t="s">
        <v>1704</v>
      </c>
      <c r="M100" s="2"/>
      <c r="N100" s="2">
        <v>1</v>
      </c>
      <c r="O100" s="69"/>
      <c r="P100" s="3" t="s">
        <v>1615</v>
      </c>
      <c r="Q100" s="95">
        <f t="shared" si="3"/>
        <v>5</v>
      </c>
      <c r="R100" s="133">
        <f>IF(P100=模板计算相关数据!$W$24,VLOOKUP(X100,模板计算相关数据!$P$47:$T$50,2,0),VLOOKUP(X100,模板计算相关数据!$P$4:$U$7,3,0))</f>
        <v>5</v>
      </c>
      <c r="S100" s="62">
        <f t="shared" si="4"/>
        <v>6.6666666666666661</v>
      </c>
      <c r="T100" s="133">
        <f>IF(P100=模板计算相关数据!$W$24,VLOOKUP(X100,模板计算相关数据!$P$47:$T$50,5,0),VLOOKUP(X100,模板计算相关数据!$P$4:$U$7,6,0))</f>
        <v>6.6666666666666661</v>
      </c>
      <c r="U100" s="3">
        <v>1</v>
      </c>
      <c r="V100" s="95">
        <f t="shared" si="5"/>
        <v>1</v>
      </c>
      <c r="W100" s="29">
        <f>VLOOKUP(U100,模板计算相关数据!A:N,2,0)</f>
        <v>1</v>
      </c>
      <c r="X100" s="3" t="s">
        <v>151</v>
      </c>
      <c r="Y100" s="3" t="s">
        <v>234</v>
      </c>
      <c r="Z100" s="100">
        <v>10</v>
      </c>
      <c r="AA100" s="2">
        <v>0.5</v>
      </c>
      <c r="AB100" s="2">
        <v>1</v>
      </c>
      <c r="AC100" s="2">
        <v>1</v>
      </c>
      <c r="AD100" s="95">
        <v>0</v>
      </c>
      <c r="AE100" s="95">
        <v>0</v>
      </c>
      <c r="AF100" s="95">
        <v>0</v>
      </c>
      <c r="AG100" s="95">
        <v>0</v>
      </c>
      <c r="AH100" s="95">
        <v>0</v>
      </c>
      <c r="AI100" s="95">
        <v>0</v>
      </c>
      <c r="AJ100" s="3">
        <f>INT(VLOOKUP(U100,模板计算相关数据!A:N,4,0)*VLOOKUP(U100,模板计算相关数据!A:N,14,0)*(1+MAX(0,(VLOOKUP(U100,模板计算相关数据!A:N,7,0)-AQ100))*VLOOKUP(U100,模板计算相关数据!A:N,8,0))*(1-(AL100+AM100)*0.5/((AL100+AM100)*0.5+(VLOOKUP(U100,模板计算相关数据!A:N,2,0)+模板计算相关数据!$AC$27)*模板计算相关数据!$AC$28))*Q100*Z100)</f>
        <v>3511</v>
      </c>
      <c r="AK100" s="3">
        <f>INT(VLOOKUP(U100,模板计算相关数据!A:N,3,0)/模板计算相关数据!$W$35/(1+MAX(0,(AO100/10000-VLOOKUP(U100,模板计算相关数据!A:N,9,0)))*AP100/10000)/(1-VLOOKUP(U100,模板计算相关数据!A:N,5,0)/(VLOOKUP(U100,模板计算相关数据!A:N,5,0)+(VLOOKUP(U100,模板计算相关数据!A:N,2,0)+模板计算相关数据!$AC$27)*模板计算相关数据!$AC$28))/S100*AA100)</f>
        <v>41</v>
      </c>
      <c r="AL100" s="3">
        <f>INT(VLOOKUP(U100,模板计算相关数据!A:N,5,0)*VLOOKUP(X100,模板计算相关数据!$P$4:$T$7,4,0)*VLOOKUP(Y100,模板计算相关数据!$P$22:$U$30,4,0)*AB100)</f>
        <v>153</v>
      </c>
      <c r="AM100" s="3">
        <f>INT(VLOOKUP(U100,模板计算相关数据!A:N,6,0)*VLOOKUP(X100,模板计算相关数据!$P$4:$T$7,4,0)*VLOOKUP(Y100,模板计算相关数据!$P$22:$U$30,5,0)*AC100)</f>
        <v>277</v>
      </c>
      <c r="AN100" s="3">
        <f>VLOOKUP(U100,模板计算相关数据!A:N,10,0)*0.5*VLOOKUP(Y100,模板计算相关数据!$P$22:$U$30,6,0)+AD100</f>
        <v>225</v>
      </c>
      <c r="AO100" s="3">
        <f>VLOOKUP(INT(VLOOKUP(U100,模板计算相关数据!A:N,2,0)/30)+1,模板计算相关数据!$O$35:$U$40,3,0)+AE100</f>
        <v>0</v>
      </c>
      <c r="AP100" s="3">
        <f>VLOOKUP(INT(VLOOKUP(U100,模板计算相关数据!A:N,2,0)/30)+1,模板计算相关数据!$O$35:$U$40,4,0)+AF100</f>
        <v>5000</v>
      </c>
      <c r="AQ100" s="3">
        <f>VLOOKUP(INT(VLOOKUP(U100,模板计算相关数据!A:N,2,0)/30)+1,模板计算相关数据!$O$35:$U$40,5,0)+AG100</f>
        <v>0</v>
      </c>
      <c r="AR100" s="3">
        <f>VLOOKUP(INT(VLOOKUP(U100,模板计算相关数据!A:N,2,0)/30)+1,模板计算相关数据!$O$35:$U$40,6,0)+AH100</f>
        <v>0</v>
      </c>
      <c r="AS100" s="3">
        <f>VLOOKUP(INT(VLOOKUP(U100,模板计算相关数据!A:N,2,0)/30)+1,模板计算相关数据!$O$35:$U$40,7,0)+AI100</f>
        <v>0</v>
      </c>
      <c r="AT100" s="3">
        <f>VLOOKUP(INT(VLOOKUP(U100,模板计算相关数据!A:N,2,0)/30)+1,模板计算相关数据!$O$35:$V$40,8,0)</f>
        <v>0</v>
      </c>
      <c r="AU100" s="87"/>
    </row>
    <row r="101" spans="1:47" s="9" customFormat="1" x14ac:dyDescent="0.2">
      <c r="A101" s="3">
        <v>293</v>
      </c>
      <c r="B101" s="3"/>
      <c r="C101" s="87" t="s">
        <v>1463</v>
      </c>
      <c r="D101" s="69" t="s">
        <v>1660</v>
      </c>
      <c r="E101" s="2"/>
      <c r="F101" s="3">
        <v>1</v>
      </c>
      <c r="G101" s="3">
        <v>103401</v>
      </c>
      <c r="H101" s="3">
        <v>2</v>
      </c>
      <c r="I101" s="3">
        <v>5</v>
      </c>
      <c r="J101" s="3">
        <v>6</v>
      </c>
      <c r="K101" s="3"/>
      <c r="L101" s="92" t="s">
        <v>875</v>
      </c>
      <c r="M101" s="2"/>
      <c r="N101" s="2">
        <v>1</v>
      </c>
      <c r="O101" s="69"/>
      <c r="P101" s="3" t="s">
        <v>1615</v>
      </c>
      <c r="Q101" s="95">
        <f t="shared" si="3"/>
        <v>5</v>
      </c>
      <c r="R101" s="133">
        <f>IF(P101=模板计算相关数据!$W$24,VLOOKUP(X101,模板计算相关数据!$P$47:$T$50,2,0),VLOOKUP(X101,模板计算相关数据!$P$4:$U$7,3,0))</f>
        <v>5</v>
      </c>
      <c r="S101" s="62">
        <f t="shared" si="4"/>
        <v>6.6666666666666661</v>
      </c>
      <c r="T101" s="133">
        <f>IF(P101=模板计算相关数据!$W$24,VLOOKUP(X101,模板计算相关数据!$P$47:$T$50,5,0),VLOOKUP(X101,模板计算相关数据!$P$4:$U$7,6,0))</f>
        <v>6.6666666666666661</v>
      </c>
      <c r="U101" s="3">
        <v>1</v>
      </c>
      <c r="V101" s="95">
        <f t="shared" si="5"/>
        <v>1</v>
      </c>
      <c r="W101" s="29">
        <f>VLOOKUP(U101,模板计算相关数据!A:N,2,0)</f>
        <v>1</v>
      </c>
      <c r="X101" s="3" t="s">
        <v>151</v>
      </c>
      <c r="Y101" s="3" t="s">
        <v>234</v>
      </c>
      <c r="Z101" s="100">
        <v>10</v>
      </c>
      <c r="AA101" s="2">
        <v>0.5</v>
      </c>
      <c r="AB101" s="2">
        <v>1</v>
      </c>
      <c r="AC101" s="2">
        <v>1</v>
      </c>
      <c r="AD101" s="95">
        <v>0</v>
      </c>
      <c r="AE101" s="95">
        <v>0</v>
      </c>
      <c r="AF101" s="95">
        <v>0</v>
      </c>
      <c r="AG101" s="95">
        <v>0</v>
      </c>
      <c r="AH101" s="95">
        <v>0</v>
      </c>
      <c r="AI101" s="95">
        <v>0</v>
      </c>
      <c r="AJ101" s="3">
        <f>INT(VLOOKUP(U101,模板计算相关数据!A:N,4,0)*VLOOKUP(U101,模板计算相关数据!A:N,14,0)*(1+MAX(0,(VLOOKUP(U101,模板计算相关数据!A:N,7,0)-AQ101))*VLOOKUP(U101,模板计算相关数据!A:N,8,0))*(1-(AL101+AM101)*0.5/((AL101+AM101)*0.5+(VLOOKUP(U101,模板计算相关数据!A:N,2,0)+模板计算相关数据!$AC$27)*模板计算相关数据!$AC$28))*Q101*Z101)</f>
        <v>3511</v>
      </c>
      <c r="AK101" s="3">
        <f>INT(VLOOKUP(U101,模板计算相关数据!A:N,3,0)/模板计算相关数据!$W$35/(1+MAX(0,(AO101/10000-VLOOKUP(U101,模板计算相关数据!A:N,9,0)))*AP101/10000)/(1-VLOOKUP(U101,模板计算相关数据!A:N,5,0)/(VLOOKUP(U101,模板计算相关数据!A:N,5,0)+(VLOOKUP(U101,模板计算相关数据!A:N,2,0)+模板计算相关数据!$AC$27)*模板计算相关数据!$AC$28))/S101*AA101)</f>
        <v>41</v>
      </c>
      <c r="AL101" s="3">
        <f>INT(VLOOKUP(U101,模板计算相关数据!A:N,5,0)*VLOOKUP(X101,模板计算相关数据!$P$4:$T$7,4,0)*VLOOKUP(Y101,模板计算相关数据!$P$22:$U$30,4,0)*AB101)</f>
        <v>153</v>
      </c>
      <c r="AM101" s="3">
        <f>INT(VLOOKUP(U101,模板计算相关数据!A:N,6,0)*VLOOKUP(X101,模板计算相关数据!$P$4:$T$7,4,0)*VLOOKUP(Y101,模板计算相关数据!$P$22:$U$30,5,0)*AC101)</f>
        <v>277</v>
      </c>
      <c r="AN101" s="3">
        <f>VLOOKUP(U101,模板计算相关数据!A:N,10,0)*0.5*VLOOKUP(Y101,模板计算相关数据!$P$22:$U$30,6,0)+AD101</f>
        <v>225</v>
      </c>
      <c r="AO101" s="3">
        <f>VLOOKUP(INT(VLOOKUP(U101,模板计算相关数据!A:N,2,0)/30)+1,模板计算相关数据!$O$35:$U$40,3,0)+AE101</f>
        <v>0</v>
      </c>
      <c r="AP101" s="3">
        <f>VLOOKUP(INT(VLOOKUP(U101,模板计算相关数据!A:N,2,0)/30)+1,模板计算相关数据!$O$35:$U$40,4,0)+AF101</f>
        <v>5000</v>
      </c>
      <c r="AQ101" s="3">
        <f>VLOOKUP(INT(VLOOKUP(U101,模板计算相关数据!A:N,2,0)/30)+1,模板计算相关数据!$O$35:$U$40,5,0)+AG101</f>
        <v>0</v>
      </c>
      <c r="AR101" s="3">
        <f>VLOOKUP(INT(VLOOKUP(U101,模板计算相关数据!A:N,2,0)/30)+1,模板计算相关数据!$O$35:$U$40,6,0)+AH101</f>
        <v>0</v>
      </c>
      <c r="AS101" s="3">
        <f>VLOOKUP(INT(VLOOKUP(U101,模板计算相关数据!A:N,2,0)/30)+1,模板计算相关数据!$O$35:$U$40,7,0)+AI101</f>
        <v>0</v>
      </c>
      <c r="AT101" s="3">
        <f>VLOOKUP(INT(VLOOKUP(U101,模板计算相关数据!A:N,2,0)/30)+1,模板计算相关数据!$O$35:$V$40,8,0)</f>
        <v>0</v>
      </c>
      <c r="AU101" s="87"/>
    </row>
    <row r="102" spans="1:47" s="9" customFormat="1" x14ac:dyDescent="0.2">
      <c r="A102" s="3">
        <v>294</v>
      </c>
      <c r="B102" s="3"/>
      <c r="C102" s="87" t="s">
        <v>1462</v>
      </c>
      <c r="D102" s="69" t="s">
        <v>1660</v>
      </c>
      <c r="E102" s="2"/>
      <c r="F102" s="3">
        <v>1</v>
      </c>
      <c r="G102" s="3">
        <v>101601</v>
      </c>
      <c r="H102" s="3">
        <v>2</v>
      </c>
      <c r="I102" s="3">
        <v>5</v>
      </c>
      <c r="J102" s="3">
        <v>6</v>
      </c>
      <c r="K102" s="3"/>
      <c r="L102" s="94" t="s">
        <v>81</v>
      </c>
      <c r="M102" s="2"/>
      <c r="N102" s="2">
        <v>1</v>
      </c>
      <c r="O102" s="69"/>
      <c r="P102" s="3" t="s">
        <v>1615</v>
      </c>
      <c r="Q102" s="95">
        <f t="shared" si="3"/>
        <v>5</v>
      </c>
      <c r="R102" s="133">
        <f>IF(P102=模板计算相关数据!$W$24,VLOOKUP(X102,模板计算相关数据!$P$47:$T$50,2,0),VLOOKUP(X102,模板计算相关数据!$P$4:$U$7,3,0))</f>
        <v>5</v>
      </c>
      <c r="S102" s="62">
        <f t="shared" si="4"/>
        <v>6.6666666666666661</v>
      </c>
      <c r="T102" s="133">
        <f>IF(P102=模板计算相关数据!$W$24,VLOOKUP(X102,模板计算相关数据!$P$47:$T$50,5,0),VLOOKUP(X102,模板计算相关数据!$P$4:$U$7,6,0))</f>
        <v>6.6666666666666661</v>
      </c>
      <c r="U102" s="3">
        <v>1</v>
      </c>
      <c r="V102" s="95">
        <f t="shared" si="5"/>
        <v>1</v>
      </c>
      <c r="W102" s="29">
        <f>VLOOKUP(U102,模板计算相关数据!A:N,2,0)</f>
        <v>1</v>
      </c>
      <c r="X102" s="3" t="s">
        <v>151</v>
      </c>
      <c r="Y102" s="3" t="s">
        <v>234</v>
      </c>
      <c r="Z102" s="100">
        <v>10</v>
      </c>
      <c r="AA102" s="2">
        <v>0.5</v>
      </c>
      <c r="AB102" s="2">
        <v>1</v>
      </c>
      <c r="AC102" s="2">
        <v>1</v>
      </c>
      <c r="AD102" s="95">
        <v>0</v>
      </c>
      <c r="AE102" s="95">
        <v>0</v>
      </c>
      <c r="AF102" s="95">
        <v>0</v>
      </c>
      <c r="AG102" s="95">
        <v>0</v>
      </c>
      <c r="AH102" s="95">
        <v>0</v>
      </c>
      <c r="AI102" s="95">
        <v>0</v>
      </c>
      <c r="AJ102" s="3">
        <f>INT(VLOOKUP(U102,模板计算相关数据!A:N,4,0)*VLOOKUP(U102,模板计算相关数据!A:N,14,0)*(1+MAX(0,(VLOOKUP(U102,模板计算相关数据!A:N,7,0)-AQ102))*VLOOKUP(U102,模板计算相关数据!A:N,8,0))*(1-(AL102+AM102)*0.5/((AL102+AM102)*0.5+(VLOOKUP(U102,模板计算相关数据!A:N,2,0)+模板计算相关数据!$AC$27)*模板计算相关数据!$AC$28))*Q102*Z102)</f>
        <v>3511</v>
      </c>
      <c r="AK102" s="3">
        <f>INT(VLOOKUP(U102,模板计算相关数据!A:N,3,0)/模板计算相关数据!$W$35/(1+MAX(0,(AO102/10000-VLOOKUP(U102,模板计算相关数据!A:N,9,0)))*AP102/10000)/(1-VLOOKUP(U102,模板计算相关数据!A:N,5,0)/(VLOOKUP(U102,模板计算相关数据!A:N,5,0)+(VLOOKUP(U102,模板计算相关数据!A:N,2,0)+模板计算相关数据!$AC$27)*模板计算相关数据!$AC$28))/S102*AA102)</f>
        <v>41</v>
      </c>
      <c r="AL102" s="3">
        <f>INT(VLOOKUP(U102,模板计算相关数据!A:N,5,0)*VLOOKUP(X102,模板计算相关数据!$P$4:$T$7,4,0)*VLOOKUP(Y102,模板计算相关数据!$P$22:$U$30,4,0)*AB102)</f>
        <v>153</v>
      </c>
      <c r="AM102" s="3">
        <f>INT(VLOOKUP(U102,模板计算相关数据!A:N,6,0)*VLOOKUP(X102,模板计算相关数据!$P$4:$T$7,4,0)*VLOOKUP(Y102,模板计算相关数据!$P$22:$U$30,5,0)*AC102)</f>
        <v>277</v>
      </c>
      <c r="AN102" s="3">
        <f>VLOOKUP(U102,模板计算相关数据!A:N,10,0)*0.5*VLOOKUP(Y102,模板计算相关数据!$P$22:$U$30,6,0)+AD102</f>
        <v>225</v>
      </c>
      <c r="AO102" s="3">
        <f>VLOOKUP(INT(VLOOKUP(U102,模板计算相关数据!A:N,2,0)/30)+1,模板计算相关数据!$O$35:$U$40,3,0)+AE102</f>
        <v>0</v>
      </c>
      <c r="AP102" s="3">
        <f>VLOOKUP(INT(VLOOKUP(U102,模板计算相关数据!A:N,2,0)/30)+1,模板计算相关数据!$O$35:$U$40,4,0)+AF102</f>
        <v>5000</v>
      </c>
      <c r="AQ102" s="3">
        <f>VLOOKUP(INT(VLOOKUP(U102,模板计算相关数据!A:N,2,0)/30)+1,模板计算相关数据!$O$35:$U$40,5,0)+AG102</f>
        <v>0</v>
      </c>
      <c r="AR102" s="3">
        <f>VLOOKUP(INT(VLOOKUP(U102,模板计算相关数据!A:N,2,0)/30)+1,模板计算相关数据!$O$35:$U$40,6,0)+AH102</f>
        <v>0</v>
      </c>
      <c r="AS102" s="3">
        <f>VLOOKUP(INT(VLOOKUP(U102,模板计算相关数据!A:N,2,0)/30)+1,模板计算相关数据!$O$35:$U$40,7,0)+AI102</f>
        <v>0</v>
      </c>
      <c r="AT102" s="3">
        <f>VLOOKUP(INT(VLOOKUP(U102,模板计算相关数据!A:N,2,0)/30)+1,模板计算相关数据!$O$35:$V$40,8,0)</f>
        <v>0</v>
      </c>
      <c r="AU102" s="87"/>
    </row>
    <row r="103" spans="1:47" s="9" customFormat="1" x14ac:dyDescent="0.2">
      <c r="A103" s="3">
        <v>295</v>
      </c>
      <c r="B103" s="3"/>
      <c r="C103" s="87" t="s">
        <v>1460</v>
      </c>
      <c r="D103" s="69" t="s">
        <v>1660</v>
      </c>
      <c r="E103" s="2"/>
      <c r="F103" s="3">
        <v>1</v>
      </c>
      <c r="G103" s="3">
        <v>102101</v>
      </c>
      <c r="H103" s="3">
        <v>2</v>
      </c>
      <c r="I103" s="3">
        <v>5</v>
      </c>
      <c r="J103" s="3">
        <v>6</v>
      </c>
      <c r="K103" s="3"/>
      <c r="L103" s="92" t="s">
        <v>892</v>
      </c>
      <c r="M103" s="2"/>
      <c r="N103" s="2">
        <v>1</v>
      </c>
      <c r="O103" s="69"/>
      <c r="P103" s="3" t="s">
        <v>1615</v>
      </c>
      <c r="Q103" s="95">
        <f t="shared" si="3"/>
        <v>5</v>
      </c>
      <c r="R103" s="133">
        <f>IF(P103=模板计算相关数据!$W$24,VLOOKUP(X103,模板计算相关数据!$P$47:$T$50,2,0),VLOOKUP(X103,模板计算相关数据!$P$4:$U$7,3,0))</f>
        <v>5</v>
      </c>
      <c r="S103" s="62">
        <f t="shared" si="4"/>
        <v>6.6666666666666661</v>
      </c>
      <c r="T103" s="133">
        <f>IF(P103=模板计算相关数据!$W$24,VLOOKUP(X103,模板计算相关数据!$P$47:$T$50,5,0),VLOOKUP(X103,模板计算相关数据!$P$4:$U$7,6,0))</f>
        <v>6.6666666666666661</v>
      </c>
      <c r="U103" s="3">
        <v>1</v>
      </c>
      <c r="V103" s="95">
        <f t="shared" si="5"/>
        <v>1</v>
      </c>
      <c r="W103" s="29">
        <f>VLOOKUP(U103,模板计算相关数据!A:N,2,0)</f>
        <v>1</v>
      </c>
      <c r="X103" s="3" t="s">
        <v>151</v>
      </c>
      <c r="Y103" s="3" t="s">
        <v>234</v>
      </c>
      <c r="Z103" s="100">
        <v>10</v>
      </c>
      <c r="AA103" s="2">
        <v>0.5</v>
      </c>
      <c r="AB103" s="2">
        <v>1</v>
      </c>
      <c r="AC103" s="2">
        <v>1</v>
      </c>
      <c r="AD103" s="95">
        <v>0</v>
      </c>
      <c r="AE103" s="95">
        <v>0</v>
      </c>
      <c r="AF103" s="95">
        <v>0</v>
      </c>
      <c r="AG103" s="95">
        <v>0</v>
      </c>
      <c r="AH103" s="95">
        <v>0</v>
      </c>
      <c r="AI103" s="95">
        <v>0</v>
      </c>
      <c r="AJ103" s="3">
        <f>INT(VLOOKUP(U103,模板计算相关数据!A:N,4,0)*VLOOKUP(U103,模板计算相关数据!A:N,14,0)*(1+MAX(0,(VLOOKUP(U103,模板计算相关数据!A:N,7,0)-AQ103))*VLOOKUP(U103,模板计算相关数据!A:N,8,0))*(1-(AL103+AM103)*0.5/((AL103+AM103)*0.5+(VLOOKUP(U103,模板计算相关数据!A:N,2,0)+模板计算相关数据!$AC$27)*模板计算相关数据!$AC$28))*Q103*Z103)</f>
        <v>3511</v>
      </c>
      <c r="AK103" s="3">
        <f>INT(VLOOKUP(U103,模板计算相关数据!A:N,3,0)/模板计算相关数据!$W$35/(1+MAX(0,(AO103/10000-VLOOKUP(U103,模板计算相关数据!A:N,9,0)))*AP103/10000)/(1-VLOOKUP(U103,模板计算相关数据!A:N,5,0)/(VLOOKUP(U103,模板计算相关数据!A:N,5,0)+(VLOOKUP(U103,模板计算相关数据!A:N,2,0)+模板计算相关数据!$AC$27)*模板计算相关数据!$AC$28))/S103*AA103)</f>
        <v>41</v>
      </c>
      <c r="AL103" s="3">
        <f>INT(VLOOKUP(U103,模板计算相关数据!A:N,5,0)*VLOOKUP(X103,模板计算相关数据!$P$4:$T$7,4,0)*VLOOKUP(Y103,模板计算相关数据!$P$22:$U$30,4,0)*AB103)</f>
        <v>153</v>
      </c>
      <c r="AM103" s="3">
        <f>INT(VLOOKUP(U103,模板计算相关数据!A:N,6,0)*VLOOKUP(X103,模板计算相关数据!$P$4:$T$7,4,0)*VLOOKUP(Y103,模板计算相关数据!$P$22:$U$30,5,0)*AC103)</f>
        <v>277</v>
      </c>
      <c r="AN103" s="3">
        <f>VLOOKUP(U103,模板计算相关数据!A:N,10,0)*0.5*VLOOKUP(Y103,模板计算相关数据!$P$22:$U$30,6,0)+AD103</f>
        <v>225</v>
      </c>
      <c r="AO103" s="3">
        <f>VLOOKUP(INT(VLOOKUP(U103,模板计算相关数据!A:N,2,0)/30)+1,模板计算相关数据!$O$35:$U$40,3,0)+AE103</f>
        <v>0</v>
      </c>
      <c r="AP103" s="3">
        <f>VLOOKUP(INT(VLOOKUP(U103,模板计算相关数据!A:N,2,0)/30)+1,模板计算相关数据!$O$35:$U$40,4,0)+AF103</f>
        <v>5000</v>
      </c>
      <c r="AQ103" s="3">
        <f>VLOOKUP(INT(VLOOKUP(U103,模板计算相关数据!A:N,2,0)/30)+1,模板计算相关数据!$O$35:$U$40,5,0)+AG103</f>
        <v>0</v>
      </c>
      <c r="AR103" s="3">
        <f>VLOOKUP(INT(VLOOKUP(U103,模板计算相关数据!A:N,2,0)/30)+1,模板计算相关数据!$O$35:$U$40,6,0)+AH103</f>
        <v>0</v>
      </c>
      <c r="AS103" s="3">
        <f>VLOOKUP(INT(VLOOKUP(U103,模板计算相关数据!A:N,2,0)/30)+1,模板计算相关数据!$O$35:$U$40,7,0)+AI103</f>
        <v>0</v>
      </c>
      <c r="AT103" s="3">
        <f>VLOOKUP(INT(VLOOKUP(U103,模板计算相关数据!A:N,2,0)/30)+1,模板计算相关数据!$O$35:$V$40,8,0)</f>
        <v>0</v>
      </c>
      <c r="AU103" s="87"/>
    </row>
    <row r="104" spans="1:47" x14ac:dyDescent="0.2">
      <c r="A104" s="3">
        <v>296</v>
      </c>
      <c r="B104" s="3"/>
      <c r="C104" s="69" t="s">
        <v>1801</v>
      </c>
      <c r="D104" s="2" t="s">
        <v>1490</v>
      </c>
      <c r="E104" s="2"/>
      <c r="F104" s="3">
        <v>6</v>
      </c>
      <c r="G104" s="3">
        <v>1006001</v>
      </c>
      <c r="H104" s="3">
        <v>4</v>
      </c>
      <c r="I104" s="2">
        <v>4</v>
      </c>
      <c r="J104" s="3">
        <v>6</v>
      </c>
      <c r="K104" s="2"/>
      <c r="L104" s="69" t="s">
        <v>1893</v>
      </c>
      <c r="M104" s="2"/>
      <c r="N104" s="2">
        <v>1</v>
      </c>
      <c r="O104" s="2"/>
      <c r="P104" s="3" t="s">
        <v>1615</v>
      </c>
      <c r="Q104" s="95">
        <f t="shared" si="3"/>
        <v>5</v>
      </c>
      <c r="R104" s="133">
        <f>IF(P104=模板计算相关数据!$W$24,VLOOKUP(X104,模板计算相关数据!$P$47:$T$50,2,0),VLOOKUP(X104,模板计算相关数据!$P$4:$U$7,3,0))</f>
        <v>5</v>
      </c>
      <c r="S104" s="62">
        <f t="shared" si="4"/>
        <v>6.6666666666666661</v>
      </c>
      <c r="T104" s="133">
        <f>IF(P104=模板计算相关数据!$W$24,VLOOKUP(X104,模板计算相关数据!$P$47:$T$50,5,0),VLOOKUP(X104,模板计算相关数据!$P$4:$U$7,6,0))</f>
        <v>6.6666666666666661</v>
      </c>
      <c r="U104" s="3">
        <v>1</v>
      </c>
      <c r="V104" s="95">
        <f t="shared" si="5"/>
        <v>1</v>
      </c>
      <c r="W104" s="29">
        <f>VLOOKUP(U104,模板计算相关数据!A:N,2,0)</f>
        <v>1</v>
      </c>
      <c r="X104" s="3" t="s">
        <v>151</v>
      </c>
      <c r="Y104" s="3" t="s">
        <v>234</v>
      </c>
      <c r="Z104" s="100">
        <v>5</v>
      </c>
      <c r="AA104" s="2">
        <v>0.5</v>
      </c>
      <c r="AB104" s="2">
        <v>1</v>
      </c>
      <c r="AC104" s="2">
        <v>1</v>
      </c>
      <c r="AD104" s="95">
        <v>4</v>
      </c>
      <c r="AE104" s="95">
        <v>0</v>
      </c>
      <c r="AF104" s="95">
        <v>0</v>
      </c>
      <c r="AG104" s="95">
        <v>0</v>
      </c>
      <c r="AH104" s="95">
        <v>0</v>
      </c>
      <c r="AI104" s="95">
        <v>10000</v>
      </c>
      <c r="AJ104" s="3">
        <f>INT(VLOOKUP(U104,模板计算相关数据!A:N,4,0)*VLOOKUP(U104,模板计算相关数据!A:N,14,0)*(1+MAX(0,(VLOOKUP(U104,模板计算相关数据!A:N,7,0)-AQ104))*VLOOKUP(U104,模板计算相关数据!A:N,8,0))*(1-(AL104+AM104)*0.5/((AL104+AM104)*0.5+(VLOOKUP(U104,模板计算相关数据!A:N,2,0)+模板计算相关数据!$AC$27)*模板计算相关数据!$AC$28))*Q104*Z104)</f>
        <v>1755</v>
      </c>
      <c r="AK104" s="3">
        <f>INT(VLOOKUP(U104,模板计算相关数据!A:N,3,0)/模板计算相关数据!$W$35/(1+MAX(0,(AO104/10000-VLOOKUP(U104,模板计算相关数据!A:N,9,0)))*AP104/10000)/(1-VLOOKUP(U104,模板计算相关数据!A:N,5,0)/(VLOOKUP(U104,模板计算相关数据!A:N,5,0)+(VLOOKUP(U104,模板计算相关数据!A:N,2,0)+模板计算相关数据!$AC$27)*模板计算相关数据!$AC$28))/S104*AA104)</f>
        <v>41</v>
      </c>
      <c r="AL104" s="3">
        <f>INT(VLOOKUP(U104,模板计算相关数据!A:N,5,0)*VLOOKUP(X104,模板计算相关数据!$P$4:$T$7,4,0)*VLOOKUP(Y104,模板计算相关数据!$P$22:$U$30,4,0)*AB104)</f>
        <v>153</v>
      </c>
      <c r="AM104" s="3">
        <f>INT(VLOOKUP(U104,模板计算相关数据!A:N,6,0)*VLOOKUP(X104,模板计算相关数据!$P$4:$T$7,4,0)*VLOOKUP(Y104,模板计算相关数据!$P$22:$U$30,5,0)*AC104)</f>
        <v>277</v>
      </c>
      <c r="AN104" s="3">
        <f>VLOOKUP(U104,模板计算相关数据!A:N,10,0)*0.5*VLOOKUP(Y104,模板计算相关数据!$P$22:$U$30,6,0)+AD104</f>
        <v>229</v>
      </c>
      <c r="AO104" s="3">
        <f>VLOOKUP(INT(VLOOKUP(U104,模板计算相关数据!A:N,2,0)/30)+1,模板计算相关数据!$O$35:$U$40,3,0)+AE104</f>
        <v>0</v>
      </c>
      <c r="AP104" s="3">
        <f>VLOOKUP(INT(VLOOKUP(U104,模板计算相关数据!A:N,2,0)/30)+1,模板计算相关数据!$O$35:$U$40,4,0)+AF104</f>
        <v>5000</v>
      </c>
      <c r="AQ104" s="3">
        <f>VLOOKUP(INT(VLOOKUP(U104,模板计算相关数据!A:N,2,0)/30)+1,模板计算相关数据!$O$35:$U$40,5,0)+AG104</f>
        <v>0</v>
      </c>
      <c r="AR104" s="3">
        <f>VLOOKUP(INT(VLOOKUP(U104,模板计算相关数据!A:N,2,0)/30)+1,模板计算相关数据!$O$35:$U$40,6,0)+AH104</f>
        <v>0</v>
      </c>
      <c r="AS104" s="3">
        <f>VLOOKUP(INT(VLOOKUP(U104,模板计算相关数据!A:N,2,0)/30)+1,模板计算相关数据!$O$35:$U$40,7,0)+AI104</f>
        <v>10000</v>
      </c>
      <c r="AT104" s="3">
        <f>VLOOKUP(INT(VLOOKUP(U104,模板计算相关数据!A:N,2,0)/30)+1,模板计算相关数据!$O$35:$V$40,8,0)</f>
        <v>0</v>
      </c>
      <c r="AU104" s="2"/>
    </row>
    <row r="105" spans="1:47" x14ac:dyDescent="0.2">
      <c r="A105" s="3">
        <v>297</v>
      </c>
      <c r="B105" s="3"/>
      <c r="C105" s="69" t="s">
        <v>1803</v>
      </c>
      <c r="D105" s="2" t="s">
        <v>1490</v>
      </c>
      <c r="E105" s="2"/>
      <c r="F105" s="3">
        <v>6</v>
      </c>
      <c r="G105" s="3">
        <v>1006001</v>
      </c>
      <c r="H105" s="3">
        <v>4</v>
      </c>
      <c r="I105" s="2">
        <v>4</v>
      </c>
      <c r="J105" s="3">
        <v>6</v>
      </c>
      <c r="K105" s="2"/>
      <c r="L105" s="69" t="s">
        <v>1893</v>
      </c>
      <c r="M105" s="2"/>
      <c r="N105" s="2">
        <v>1</v>
      </c>
      <c r="O105" s="2"/>
      <c r="P105" s="3" t="s">
        <v>1615</v>
      </c>
      <c r="Q105" s="95">
        <f t="shared" si="3"/>
        <v>5</v>
      </c>
      <c r="R105" s="133">
        <f>IF(P105=模板计算相关数据!$W$24,VLOOKUP(X105,模板计算相关数据!$P$47:$T$50,2,0),VLOOKUP(X105,模板计算相关数据!$P$4:$U$7,3,0))</f>
        <v>5</v>
      </c>
      <c r="S105" s="62">
        <f t="shared" si="4"/>
        <v>6.6666666666666661</v>
      </c>
      <c r="T105" s="133">
        <f>IF(P105=模板计算相关数据!$W$24,VLOOKUP(X105,模板计算相关数据!$P$47:$T$50,5,0),VLOOKUP(X105,模板计算相关数据!$P$4:$U$7,6,0))</f>
        <v>6.6666666666666661</v>
      </c>
      <c r="U105" s="3">
        <v>1</v>
      </c>
      <c r="V105" s="95">
        <f t="shared" si="5"/>
        <v>1</v>
      </c>
      <c r="W105" s="29">
        <f>VLOOKUP(U105,模板计算相关数据!A:N,2,0)</f>
        <v>1</v>
      </c>
      <c r="X105" s="3" t="s">
        <v>151</v>
      </c>
      <c r="Y105" s="3" t="s">
        <v>234</v>
      </c>
      <c r="Z105" s="100">
        <v>5</v>
      </c>
      <c r="AA105" s="2">
        <v>0.5</v>
      </c>
      <c r="AB105" s="2">
        <v>1</v>
      </c>
      <c r="AC105" s="2">
        <v>1</v>
      </c>
      <c r="AD105" s="95">
        <v>3</v>
      </c>
      <c r="AE105" s="95">
        <v>0</v>
      </c>
      <c r="AF105" s="95">
        <v>0</v>
      </c>
      <c r="AG105" s="95">
        <v>0</v>
      </c>
      <c r="AH105" s="95">
        <v>0</v>
      </c>
      <c r="AI105" s="95">
        <v>10000</v>
      </c>
      <c r="AJ105" s="3">
        <f>INT(VLOOKUP(U105,模板计算相关数据!A:N,4,0)*VLOOKUP(U105,模板计算相关数据!A:N,14,0)*(1+MAX(0,(VLOOKUP(U105,模板计算相关数据!A:N,7,0)-AQ105))*VLOOKUP(U105,模板计算相关数据!A:N,8,0))*(1-(AL105+AM105)*0.5/((AL105+AM105)*0.5+(VLOOKUP(U105,模板计算相关数据!A:N,2,0)+模板计算相关数据!$AC$27)*模板计算相关数据!$AC$28))*Q105*Z105)</f>
        <v>1755</v>
      </c>
      <c r="AK105" s="3">
        <f>INT(VLOOKUP(U105,模板计算相关数据!A:N,3,0)/模板计算相关数据!$W$35/(1+MAX(0,(AO105/10000-VLOOKUP(U105,模板计算相关数据!A:N,9,0)))*AP105/10000)/(1-VLOOKUP(U105,模板计算相关数据!A:N,5,0)/(VLOOKUP(U105,模板计算相关数据!A:N,5,0)+(VLOOKUP(U105,模板计算相关数据!A:N,2,0)+模板计算相关数据!$AC$27)*模板计算相关数据!$AC$28))/S105*AA105)</f>
        <v>41</v>
      </c>
      <c r="AL105" s="3">
        <f>INT(VLOOKUP(U105,模板计算相关数据!A:N,5,0)*VLOOKUP(X105,模板计算相关数据!$P$4:$T$7,4,0)*VLOOKUP(Y105,模板计算相关数据!$P$22:$U$30,4,0)*AB105)</f>
        <v>153</v>
      </c>
      <c r="AM105" s="3">
        <f>INT(VLOOKUP(U105,模板计算相关数据!A:N,6,0)*VLOOKUP(X105,模板计算相关数据!$P$4:$T$7,4,0)*VLOOKUP(Y105,模板计算相关数据!$P$22:$U$30,5,0)*AC105)</f>
        <v>277</v>
      </c>
      <c r="AN105" s="3">
        <f>VLOOKUP(U105,模板计算相关数据!A:N,10,0)*0.5*VLOOKUP(Y105,模板计算相关数据!$P$22:$U$30,6,0)+AD105</f>
        <v>228</v>
      </c>
      <c r="AO105" s="3">
        <f>VLOOKUP(INT(VLOOKUP(U105,模板计算相关数据!A:N,2,0)/30)+1,模板计算相关数据!$O$35:$U$40,3,0)+AE105</f>
        <v>0</v>
      </c>
      <c r="AP105" s="3">
        <f>VLOOKUP(INT(VLOOKUP(U105,模板计算相关数据!A:N,2,0)/30)+1,模板计算相关数据!$O$35:$U$40,4,0)+AF105</f>
        <v>5000</v>
      </c>
      <c r="AQ105" s="3">
        <f>VLOOKUP(INT(VLOOKUP(U105,模板计算相关数据!A:N,2,0)/30)+1,模板计算相关数据!$O$35:$U$40,5,0)+AG105</f>
        <v>0</v>
      </c>
      <c r="AR105" s="3">
        <f>VLOOKUP(INT(VLOOKUP(U105,模板计算相关数据!A:N,2,0)/30)+1,模板计算相关数据!$O$35:$U$40,6,0)+AH105</f>
        <v>0</v>
      </c>
      <c r="AS105" s="3">
        <f>VLOOKUP(INT(VLOOKUP(U105,模板计算相关数据!A:N,2,0)/30)+1,模板计算相关数据!$O$35:$U$40,7,0)+AI105</f>
        <v>10000</v>
      </c>
      <c r="AT105" s="3">
        <f>VLOOKUP(INT(VLOOKUP(U105,模板计算相关数据!A:N,2,0)/30)+1,模板计算相关数据!$O$35:$V$40,8,0)</f>
        <v>0</v>
      </c>
      <c r="AU105" s="2"/>
    </row>
    <row r="106" spans="1:47" x14ac:dyDescent="0.2">
      <c r="A106" s="3">
        <v>298</v>
      </c>
      <c r="B106" s="3"/>
      <c r="C106" s="69" t="s">
        <v>1805</v>
      </c>
      <c r="D106" s="2" t="s">
        <v>1490</v>
      </c>
      <c r="E106" s="2"/>
      <c r="F106" s="3">
        <v>6</v>
      </c>
      <c r="G106" s="3">
        <v>1006001</v>
      </c>
      <c r="H106" s="3">
        <v>4</v>
      </c>
      <c r="I106" s="2">
        <v>4</v>
      </c>
      <c r="J106" s="3">
        <v>6</v>
      </c>
      <c r="K106" s="2"/>
      <c r="L106" s="69" t="s">
        <v>1893</v>
      </c>
      <c r="M106" s="2"/>
      <c r="N106" s="2">
        <v>1</v>
      </c>
      <c r="O106" s="2"/>
      <c r="P106" s="3" t="s">
        <v>1615</v>
      </c>
      <c r="Q106" s="95">
        <f t="shared" si="3"/>
        <v>5</v>
      </c>
      <c r="R106" s="133">
        <f>IF(P106=模板计算相关数据!$W$24,VLOOKUP(X106,模板计算相关数据!$P$47:$T$50,2,0),VLOOKUP(X106,模板计算相关数据!$P$4:$U$7,3,0))</f>
        <v>5</v>
      </c>
      <c r="S106" s="62">
        <f t="shared" si="4"/>
        <v>6.6666666666666661</v>
      </c>
      <c r="T106" s="133">
        <f>IF(P106=模板计算相关数据!$W$24,VLOOKUP(X106,模板计算相关数据!$P$47:$T$50,5,0),VLOOKUP(X106,模板计算相关数据!$P$4:$U$7,6,0))</f>
        <v>6.6666666666666661</v>
      </c>
      <c r="U106" s="3">
        <v>1</v>
      </c>
      <c r="V106" s="95">
        <f t="shared" si="5"/>
        <v>1</v>
      </c>
      <c r="W106" s="29">
        <f>VLOOKUP(U106,模板计算相关数据!A:N,2,0)</f>
        <v>1</v>
      </c>
      <c r="X106" s="3" t="s">
        <v>151</v>
      </c>
      <c r="Y106" s="3" t="s">
        <v>234</v>
      </c>
      <c r="Z106" s="100">
        <v>5</v>
      </c>
      <c r="AA106" s="2">
        <v>0.5</v>
      </c>
      <c r="AB106" s="2">
        <v>1</v>
      </c>
      <c r="AC106" s="2">
        <v>1</v>
      </c>
      <c r="AD106" s="95">
        <v>2</v>
      </c>
      <c r="AE106" s="95">
        <v>0</v>
      </c>
      <c r="AF106" s="95">
        <v>0</v>
      </c>
      <c r="AG106" s="95">
        <v>0</v>
      </c>
      <c r="AH106" s="95">
        <v>0</v>
      </c>
      <c r="AI106" s="95">
        <v>10000</v>
      </c>
      <c r="AJ106" s="3">
        <f>INT(VLOOKUP(U106,模板计算相关数据!A:N,4,0)*VLOOKUP(U106,模板计算相关数据!A:N,14,0)*(1+MAX(0,(VLOOKUP(U106,模板计算相关数据!A:N,7,0)-AQ106))*VLOOKUP(U106,模板计算相关数据!A:N,8,0))*(1-(AL106+AM106)*0.5/((AL106+AM106)*0.5+(VLOOKUP(U106,模板计算相关数据!A:N,2,0)+模板计算相关数据!$AC$27)*模板计算相关数据!$AC$28))*Q106*Z106)</f>
        <v>1755</v>
      </c>
      <c r="AK106" s="3">
        <f>INT(VLOOKUP(U106,模板计算相关数据!A:N,3,0)/模板计算相关数据!$W$35/(1+MAX(0,(AO106/10000-VLOOKUP(U106,模板计算相关数据!A:N,9,0)))*AP106/10000)/(1-VLOOKUP(U106,模板计算相关数据!A:N,5,0)/(VLOOKUP(U106,模板计算相关数据!A:N,5,0)+(VLOOKUP(U106,模板计算相关数据!A:N,2,0)+模板计算相关数据!$AC$27)*模板计算相关数据!$AC$28))/S106*AA106)</f>
        <v>41</v>
      </c>
      <c r="AL106" s="3">
        <f>INT(VLOOKUP(U106,模板计算相关数据!A:N,5,0)*VLOOKUP(X106,模板计算相关数据!$P$4:$T$7,4,0)*VLOOKUP(Y106,模板计算相关数据!$P$22:$U$30,4,0)*AB106)</f>
        <v>153</v>
      </c>
      <c r="AM106" s="3">
        <f>INT(VLOOKUP(U106,模板计算相关数据!A:N,6,0)*VLOOKUP(X106,模板计算相关数据!$P$4:$T$7,4,0)*VLOOKUP(Y106,模板计算相关数据!$P$22:$U$30,5,0)*AC106)</f>
        <v>277</v>
      </c>
      <c r="AN106" s="3">
        <f>VLOOKUP(U106,模板计算相关数据!A:N,10,0)*0.5*VLOOKUP(Y106,模板计算相关数据!$P$22:$U$30,6,0)+AD106</f>
        <v>227</v>
      </c>
      <c r="AO106" s="3">
        <f>VLOOKUP(INT(VLOOKUP(U106,模板计算相关数据!A:N,2,0)/30)+1,模板计算相关数据!$O$35:$U$40,3,0)+AE106</f>
        <v>0</v>
      </c>
      <c r="AP106" s="3">
        <f>VLOOKUP(INT(VLOOKUP(U106,模板计算相关数据!A:N,2,0)/30)+1,模板计算相关数据!$O$35:$U$40,4,0)+AF106</f>
        <v>5000</v>
      </c>
      <c r="AQ106" s="3">
        <f>VLOOKUP(INT(VLOOKUP(U106,模板计算相关数据!A:N,2,0)/30)+1,模板计算相关数据!$O$35:$U$40,5,0)+AG106</f>
        <v>0</v>
      </c>
      <c r="AR106" s="3">
        <f>VLOOKUP(INT(VLOOKUP(U106,模板计算相关数据!A:N,2,0)/30)+1,模板计算相关数据!$O$35:$U$40,6,0)+AH106</f>
        <v>0</v>
      </c>
      <c r="AS106" s="3">
        <f>VLOOKUP(INT(VLOOKUP(U106,模板计算相关数据!A:N,2,0)/30)+1,模板计算相关数据!$O$35:$U$40,7,0)+AI106</f>
        <v>10000</v>
      </c>
      <c r="AT106" s="3">
        <f>VLOOKUP(INT(VLOOKUP(U106,模板计算相关数据!A:N,2,0)/30)+1,模板计算相关数据!$O$35:$V$40,8,0)</f>
        <v>0</v>
      </c>
      <c r="AU106" s="2"/>
    </row>
    <row r="107" spans="1:47" x14ac:dyDescent="0.2">
      <c r="A107" s="3">
        <v>299</v>
      </c>
      <c r="B107" s="3"/>
      <c r="C107" s="69" t="s">
        <v>1806</v>
      </c>
      <c r="D107" s="2" t="s">
        <v>1490</v>
      </c>
      <c r="E107" s="2"/>
      <c r="F107" s="3">
        <v>6</v>
      </c>
      <c r="G107" s="3">
        <v>1006001</v>
      </c>
      <c r="H107" s="3">
        <v>4</v>
      </c>
      <c r="I107" s="2">
        <v>4</v>
      </c>
      <c r="J107" s="3">
        <v>6</v>
      </c>
      <c r="K107" s="2"/>
      <c r="L107" s="69" t="s">
        <v>1893</v>
      </c>
      <c r="M107" s="2"/>
      <c r="N107" s="2">
        <v>1</v>
      </c>
      <c r="O107" s="2"/>
      <c r="P107" s="3" t="s">
        <v>1615</v>
      </c>
      <c r="Q107" s="95">
        <f t="shared" si="3"/>
        <v>5</v>
      </c>
      <c r="R107" s="133">
        <f>IF(P107=模板计算相关数据!$W$24,VLOOKUP(X107,模板计算相关数据!$P$47:$T$50,2,0),VLOOKUP(X107,模板计算相关数据!$P$4:$U$7,3,0))</f>
        <v>5</v>
      </c>
      <c r="S107" s="62">
        <f t="shared" si="4"/>
        <v>6.6666666666666661</v>
      </c>
      <c r="T107" s="133">
        <f>IF(P107=模板计算相关数据!$W$24,VLOOKUP(X107,模板计算相关数据!$P$47:$T$50,5,0),VLOOKUP(X107,模板计算相关数据!$P$4:$U$7,6,0))</f>
        <v>6.6666666666666661</v>
      </c>
      <c r="U107" s="3">
        <v>1</v>
      </c>
      <c r="V107" s="95">
        <f t="shared" si="5"/>
        <v>1</v>
      </c>
      <c r="W107" s="29">
        <f>VLOOKUP(U107,模板计算相关数据!A:N,2,0)</f>
        <v>1</v>
      </c>
      <c r="X107" s="3" t="s">
        <v>151</v>
      </c>
      <c r="Y107" s="3" t="s">
        <v>234</v>
      </c>
      <c r="Z107" s="100">
        <v>5</v>
      </c>
      <c r="AA107" s="2">
        <v>0.5</v>
      </c>
      <c r="AB107" s="2">
        <v>1</v>
      </c>
      <c r="AC107" s="2">
        <v>1</v>
      </c>
      <c r="AD107" s="95">
        <v>1</v>
      </c>
      <c r="AE107" s="95">
        <v>0</v>
      </c>
      <c r="AF107" s="95">
        <v>0</v>
      </c>
      <c r="AG107" s="95">
        <v>0</v>
      </c>
      <c r="AH107" s="95">
        <v>0</v>
      </c>
      <c r="AI107" s="95">
        <v>10000</v>
      </c>
      <c r="AJ107" s="3">
        <f>INT(VLOOKUP(U107,模板计算相关数据!A:N,4,0)*VLOOKUP(U107,模板计算相关数据!A:N,14,0)*(1+MAX(0,(VLOOKUP(U107,模板计算相关数据!A:N,7,0)-AQ107))*VLOOKUP(U107,模板计算相关数据!A:N,8,0))*(1-(AL107+AM107)*0.5/((AL107+AM107)*0.5+(VLOOKUP(U107,模板计算相关数据!A:N,2,0)+模板计算相关数据!$AC$27)*模板计算相关数据!$AC$28))*Q107*Z107)</f>
        <v>1755</v>
      </c>
      <c r="AK107" s="3">
        <f>INT(VLOOKUP(U107,模板计算相关数据!A:N,3,0)/模板计算相关数据!$W$35/(1+MAX(0,(AO107/10000-VLOOKUP(U107,模板计算相关数据!A:N,9,0)))*AP107/10000)/(1-VLOOKUP(U107,模板计算相关数据!A:N,5,0)/(VLOOKUP(U107,模板计算相关数据!A:N,5,0)+(VLOOKUP(U107,模板计算相关数据!A:N,2,0)+模板计算相关数据!$AC$27)*模板计算相关数据!$AC$28))/S107*AA107)</f>
        <v>41</v>
      </c>
      <c r="AL107" s="3">
        <f>INT(VLOOKUP(U107,模板计算相关数据!A:N,5,0)*VLOOKUP(X107,模板计算相关数据!$P$4:$T$7,4,0)*VLOOKUP(Y107,模板计算相关数据!$P$22:$U$30,4,0)*AB107)</f>
        <v>153</v>
      </c>
      <c r="AM107" s="3">
        <f>INT(VLOOKUP(U107,模板计算相关数据!A:N,6,0)*VLOOKUP(X107,模板计算相关数据!$P$4:$T$7,4,0)*VLOOKUP(Y107,模板计算相关数据!$P$22:$U$30,5,0)*AC107)</f>
        <v>277</v>
      </c>
      <c r="AN107" s="3">
        <f>VLOOKUP(U107,模板计算相关数据!A:N,10,0)*0.5*VLOOKUP(Y107,模板计算相关数据!$P$22:$U$30,6,0)+AD107</f>
        <v>226</v>
      </c>
      <c r="AO107" s="3">
        <f>VLOOKUP(INT(VLOOKUP(U107,模板计算相关数据!A:N,2,0)/30)+1,模板计算相关数据!$O$35:$U$40,3,0)+AE107</f>
        <v>0</v>
      </c>
      <c r="AP107" s="3">
        <f>VLOOKUP(INT(VLOOKUP(U107,模板计算相关数据!A:N,2,0)/30)+1,模板计算相关数据!$O$35:$U$40,4,0)+AF107</f>
        <v>5000</v>
      </c>
      <c r="AQ107" s="3">
        <f>VLOOKUP(INT(VLOOKUP(U107,模板计算相关数据!A:N,2,0)/30)+1,模板计算相关数据!$O$35:$U$40,5,0)+AG107</f>
        <v>0</v>
      </c>
      <c r="AR107" s="3">
        <f>VLOOKUP(INT(VLOOKUP(U107,模板计算相关数据!A:N,2,0)/30)+1,模板计算相关数据!$O$35:$U$40,6,0)+AH107</f>
        <v>0</v>
      </c>
      <c r="AS107" s="3">
        <f>VLOOKUP(INT(VLOOKUP(U107,模板计算相关数据!A:N,2,0)/30)+1,模板计算相关数据!$O$35:$U$40,7,0)+AI107</f>
        <v>10000</v>
      </c>
      <c r="AT107" s="3">
        <f>VLOOKUP(INT(VLOOKUP(U107,模板计算相关数据!A:N,2,0)/30)+1,模板计算相关数据!$O$35:$V$40,8,0)</f>
        <v>0</v>
      </c>
      <c r="AU107" s="2"/>
    </row>
    <row r="108" spans="1:47" s="9" customFormat="1" x14ac:dyDescent="0.2">
      <c r="A108" s="3">
        <v>300</v>
      </c>
      <c r="B108" s="3"/>
      <c r="C108" s="87" t="s">
        <v>1862</v>
      </c>
      <c r="D108" s="69" t="s">
        <v>1660</v>
      </c>
      <c r="E108" s="2"/>
      <c r="F108" s="3">
        <v>1</v>
      </c>
      <c r="G108" s="3">
        <v>103601</v>
      </c>
      <c r="H108" s="3">
        <v>2</v>
      </c>
      <c r="I108" s="3">
        <v>5</v>
      </c>
      <c r="J108" s="3">
        <v>6</v>
      </c>
      <c r="K108" s="3"/>
      <c r="L108" s="91" t="s">
        <v>868</v>
      </c>
      <c r="M108" s="2"/>
      <c r="N108" s="2">
        <v>1</v>
      </c>
      <c r="O108" s="69"/>
      <c r="P108" s="3" t="s">
        <v>1615</v>
      </c>
      <c r="Q108" s="95">
        <f t="shared" si="3"/>
        <v>5</v>
      </c>
      <c r="R108" s="133">
        <f>IF(P108=模板计算相关数据!$W$24,VLOOKUP(X108,模板计算相关数据!$P$47:$T$50,2,0),VLOOKUP(X108,模板计算相关数据!$P$4:$U$7,3,0))</f>
        <v>5</v>
      </c>
      <c r="S108" s="62">
        <f t="shared" si="4"/>
        <v>6.6666666666666661</v>
      </c>
      <c r="T108" s="133">
        <f>IF(P108=模板计算相关数据!$W$24,VLOOKUP(X108,模板计算相关数据!$P$47:$T$50,5,0),VLOOKUP(X108,模板计算相关数据!$P$4:$U$7,6,0))</f>
        <v>6.6666666666666661</v>
      </c>
      <c r="U108" s="3">
        <v>1</v>
      </c>
      <c r="V108" s="95">
        <f t="shared" si="5"/>
        <v>1</v>
      </c>
      <c r="W108" s="29">
        <f>VLOOKUP(U108,模板计算相关数据!A:N,2,0)</f>
        <v>1</v>
      </c>
      <c r="X108" s="3" t="s">
        <v>151</v>
      </c>
      <c r="Y108" s="3" t="s">
        <v>234</v>
      </c>
      <c r="Z108" s="100">
        <v>10</v>
      </c>
      <c r="AA108" s="2">
        <v>0.5</v>
      </c>
      <c r="AB108" s="2">
        <v>1</v>
      </c>
      <c r="AC108" s="2">
        <v>1</v>
      </c>
      <c r="AD108" s="95">
        <v>0</v>
      </c>
      <c r="AE108" s="95">
        <v>0</v>
      </c>
      <c r="AF108" s="95">
        <v>0</v>
      </c>
      <c r="AG108" s="95">
        <v>0</v>
      </c>
      <c r="AH108" s="95">
        <v>0</v>
      </c>
      <c r="AI108" s="95">
        <v>0</v>
      </c>
      <c r="AJ108" s="3">
        <f>INT(VLOOKUP(U108,模板计算相关数据!A:N,4,0)*VLOOKUP(U108,模板计算相关数据!A:N,14,0)*(1+MAX(0,(VLOOKUP(U108,模板计算相关数据!A:N,7,0)-AQ108))*VLOOKUP(U108,模板计算相关数据!A:N,8,0))*(1-(AL108+AM108)*0.5/((AL108+AM108)*0.5+(VLOOKUP(U108,模板计算相关数据!A:N,2,0)+模板计算相关数据!$AC$27)*模板计算相关数据!$AC$28))*Q108*Z108)</f>
        <v>3511</v>
      </c>
      <c r="AK108" s="3">
        <f>INT(VLOOKUP(U108,模板计算相关数据!A:N,3,0)/模板计算相关数据!$W$35/(1+MAX(0,(AO108/10000-VLOOKUP(U108,模板计算相关数据!A:N,9,0)))*AP108/10000)/(1-VLOOKUP(U108,模板计算相关数据!A:N,5,0)/(VLOOKUP(U108,模板计算相关数据!A:N,5,0)+(VLOOKUP(U108,模板计算相关数据!A:N,2,0)+模板计算相关数据!$AC$27)*模板计算相关数据!$AC$28))/S108*AA108)</f>
        <v>41</v>
      </c>
      <c r="AL108" s="3">
        <f>INT(VLOOKUP(U108,模板计算相关数据!A:N,5,0)*VLOOKUP(X108,模板计算相关数据!$P$4:$T$7,4,0)*VLOOKUP(Y108,模板计算相关数据!$P$22:$U$30,4,0)*AB108)</f>
        <v>153</v>
      </c>
      <c r="AM108" s="3">
        <f>INT(VLOOKUP(U108,模板计算相关数据!A:N,6,0)*VLOOKUP(X108,模板计算相关数据!$P$4:$T$7,4,0)*VLOOKUP(Y108,模板计算相关数据!$P$22:$U$30,5,0)*AC108)</f>
        <v>277</v>
      </c>
      <c r="AN108" s="3">
        <f>VLOOKUP(U108,模板计算相关数据!A:N,10,0)*0.5*VLOOKUP(Y108,模板计算相关数据!$P$22:$U$30,6,0)+AD108</f>
        <v>225</v>
      </c>
      <c r="AO108" s="3">
        <f>VLOOKUP(INT(VLOOKUP(U108,模板计算相关数据!A:N,2,0)/30)+1,模板计算相关数据!$O$35:$U$40,3,0)+AE108</f>
        <v>0</v>
      </c>
      <c r="AP108" s="3">
        <f>VLOOKUP(INT(VLOOKUP(U108,模板计算相关数据!A:N,2,0)/30)+1,模板计算相关数据!$O$35:$U$40,4,0)+AF108</f>
        <v>5000</v>
      </c>
      <c r="AQ108" s="3">
        <f>VLOOKUP(INT(VLOOKUP(U108,模板计算相关数据!A:N,2,0)/30)+1,模板计算相关数据!$O$35:$U$40,5,0)+AG108</f>
        <v>0</v>
      </c>
      <c r="AR108" s="3">
        <f>VLOOKUP(INT(VLOOKUP(U108,模板计算相关数据!A:N,2,0)/30)+1,模板计算相关数据!$O$35:$U$40,6,0)+AH108</f>
        <v>0</v>
      </c>
      <c r="AS108" s="3">
        <f>VLOOKUP(INT(VLOOKUP(U108,模板计算相关数据!A:N,2,0)/30)+1,模板计算相关数据!$O$35:$U$40,7,0)+AI108</f>
        <v>0</v>
      </c>
      <c r="AT108" s="3">
        <f>VLOOKUP(INT(VLOOKUP(U108,模板计算相关数据!A:N,2,0)/30)+1,模板计算相关数据!$O$35:$V$40,8,0)</f>
        <v>0</v>
      </c>
      <c r="AU108" s="87"/>
    </row>
    <row r="109" spans="1:47" s="9" customFormat="1" x14ac:dyDescent="0.2">
      <c r="A109" s="3">
        <v>301</v>
      </c>
      <c r="B109" s="3"/>
      <c r="C109" s="87" t="s">
        <v>1868</v>
      </c>
      <c r="D109" s="69" t="s">
        <v>1870</v>
      </c>
      <c r="E109" s="2"/>
      <c r="F109" s="3">
        <v>1</v>
      </c>
      <c r="G109" s="3">
        <v>1002401</v>
      </c>
      <c r="H109" s="3">
        <v>2</v>
      </c>
      <c r="I109" s="3">
        <v>5</v>
      </c>
      <c r="J109" s="3">
        <v>6</v>
      </c>
      <c r="K109" s="3">
        <v>1</v>
      </c>
      <c r="L109" s="91" t="s">
        <v>1900</v>
      </c>
      <c r="M109" s="2"/>
      <c r="N109" s="2">
        <v>1</v>
      </c>
      <c r="O109" s="69"/>
      <c r="P109" s="3" t="s">
        <v>1615</v>
      </c>
      <c r="Q109" s="95">
        <f t="shared" si="3"/>
        <v>5</v>
      </c>
      <c r="R109" s="133">
        <f>IF(P109=模板计算相关数据!$W$24,VLOOKUP(X109,模板计算相关数据!$P$47:$T$50,2,0),VLOOKUP(X109,模板计算相关数据!$P$4:$U$7,3,0))</f>
        <v>5</v>
      </c>
      <c r="S109" s="62">
        <f t="shared" si="4"/>
        <v>6.6666666666666661</v>
      </c>
      <c r="T109" s="133">
        <f>IF(P109=模板计算相关数据!$W$24,VLOOKUP(X109,模板计算相关数据!$P$47:$T$50,5,0),VLOOKUP(X109,模板计算相关数据!$P$4:$U$7,6,0))</f>
        <v>6.6666666666666661</v>
      </c>
      <c r="U109" s="3">
        <v>1</v>
      </c>
      <c r="V109" s="95">
        <f t="shared" si="5"/>
        <v>1</v>
      </c>
      <c r="W109" s="29">
        <f>VLOOKUP(U109,模板计算相关数据!A:N,2,0)</f>
        <v>1</v>
      </c>
      <c r="X109" s="3" t="s">
        <v>151</v>
      </c>
      <c r="Y109" s="3" t="s">
        <v>234</v>
      </c>
      <c r="Z109" s="100">
        <v>10</v>
      </c>
      <c r="AA109" s="2">
        <v>0.5</v>
      </c>
      <c r="AB109" s="2">
        <v>1</v>
      </c>
      <c r="AC109" s="2">
        <v>1</v>
      </c>
      <c r="AD109" s="95">
        <v>0</v>
      </c>
      <c r="AE109" s="95">
        <v>0</v>
      </c>
      <c r="AF109" s="95">
        <v>0</v>
      </c>
      <c r="AG109" s="95">
        <v>0</v>
      </c>
      <c r="AH109" s="95">
        <v>0</v>
      </c>
      <c r="AI109" s="95">
        <v>0</v>
      </c>
      <c r="AJ109" s="3">
        <f>INT(VLOOKUP(U109,模板计算相关数据!A:N,4,0)*VLOOKUP(U109,模板计算相关数据!A:N,14,0)*(1+MAX(0,(VLOOKUP(U109,模板计算相关数据!A:N,7,0)-AQ109))*VLOOKUP(U109,模板计算相关数据!A:N,8,0))*(1-(AL109+AM109)*0.5/((AL109+AM109)*0.5+(VLOOKUP(U109,模板计算相关数据!A:N,2,0)+模板计算相关数据!$AC$27)*模板计算相关数据!$AC$28))*Q109*Z109)</f>
        <v>3511</v>
      </c>
      <c r="AK109" s="3">
        <f>INT(VLOOKUP(U109,模板计算相关数据!A:N,3,0)/模板计算相关数据!$W$35/(1+MAX(0,(AO109/10000-VLOOKUP(U109,模板计算相关数据!A:N,9,0)))*AP109/10000)/(1-VLOOKUP(U109,模板计算相关数据!A:N,5,0)/(VLOOKUP(U109,模板计算相关数据!A:N,5,0)+(VLOOKUP(U109,模板计算相关数据!A:N,2,0)+模板计算相关数据!$AC$27)*模板计算相关数据!$AC$28))/S109*AA109)</f>
        <v>41</v>
      </c>
      <c r="AL109" s="3">
        <f>INT(VLOOKUP(U109,模板计算相关数据!A:N,5,0)*VLOOKUP(X109,模板计算相关数据!$P$4:$T$7,4,0)*VLOOKUP(Y109,模板计算相关数据!$P$22:$U$30,4,0)*AB109)</f>
        <v>153</v>
      </c>
      <c r="AM109" s="3">
        <f>INT(VLOOKUP(U109,模板计算相关数据!A:N,6,0)*VLOOKUP(X109,模板计算相关数据!$P$4:$T$7,4,0)*VLOOKUP(Y109,模板计算相关数据!$P$22:$U$30,5,0)*AC109)</f>
        <v>277</v>
      </c>
      <c r="AN109" s="3">
        <f>VLOOKUP(U109,模板计算相关数据!A:N,10,0)*0.5*VLOOKUP(Y109,模板计算相关数据!$P$22:$U$30,6,0)+AD109</f>
        <v>225</v>
      </c>
      <c r="AO109" s="3">
        <f>VLOOKUP(INT(VLOOKUP(U109,模板计算相关数据!A:N,2,0)/30)+1,模板计算相关数据!$O$35:$U$40,3,0)+AE109</f>
        <v>0</v>
      </c>
      <c r="AP109" s="3">
        <f>VLOOKUP(INT(VLOOKUP(U109,模板计算相关数据!A:N,2,0)/30)+1,模板计算相关数据!$O$35:$U$40,4,0)+AF109</f>
        <v>5000</v>
      </c>
      <c r="AQ109" s="3">
        <f>VLOOKUP(INT(VLOOKUP(U109,模板计算相关数据!A:N,2,0)/30)+1,模板计算相关数据!$O$35:$U$40,5,0)+AG109</f>
        <v>0</v>
      </c>
      <c r="AR109" s="3">
        <f>VLOOKUP(INT(VLOOKUP(U109,模板计算相关数据!A:N,2,0)/30)+1,模板计算相关数据!$O$35:$U$40,6,0)+AH109</f>
        <v>0</v>
      </c>
      <c r="AS109" s="3">
        <f>VLOOKUP(INT(VLOOKUP(U109,模板计算相关数据!A:N,2,0)/30)+1,模板计算相关数据!$O$35:$U$40,7,0)+AI109</f>
        <v>0</v>
      </c>
      <c r="AT109" s="3">
        <f>VLOOKUP(INT(VLOOKUP(U109,模板计算相关数据!A:N,2,0)/30)+1,模板计算相关数据!$O$35:$V$40,8,0)</f>
        <v>0</v>
      </c>
      <c r="AU109" s="87"/>
    </row>
    <row r="110" spans="1:47" s="9" customFormat="1" x14ac:dyDescent="0.2">
      <c r="A110" s="3">
        <v>302</v>
      </c>
      <c r="B110" s="3"/>
      <c r="C110" s="87" t="s">
        <v>1897</v>
      </c>
      <c r="D110" s="69" t="s">
        <v>1898</v>
      </c>
      <c r="E110" s="2"/>
      <c r="F110" s="3">
        <v>1</v>
      </c>
      <c r="G110" s="3">
        <v>1002101</v>
      </c>
      <c r="H110" s="3">
        <v>2</v>
      </c>
      <c r="I110" s="3">
        <v>5</v>
      </c>
      <c r="J110" s="3">
        <v>6</v>
      </c>
      <c r="K110" s="3">
        <v>2</v>
      </c>
      <c r="L110" s="91" t="s">
        <v>1899</v>
      </c>
      <c r="M110" s="2"/>
      <c r="N110" s="2">
        <v>1</v>
      </c>
      <c r="O110" s="69"/>
      <c r="P110" s="3" t="s">
        <v>1615</v>
      </c>
      <c r="Q110" s="95">
        <f t="shared" si="3"/>
        <v>5</v>
      </c>
      <c r="R110" s="133">
        <f>IF(P110=[1]模板计算相关数据!$W$24,VLOOKUP(X110,[1]模板计算相关数据!$P$47:$T$50,2,0),VLOOKUP(X110,[1]模板计算相关数据!$P$4:$U$7,3,0))</f>
        <v>5</v>
      </c>
      <c r="S110" s="62">
        <f t="shared" si="4"/>
        <v>6.6666666666666661</v>
      </c>
      <c r="T110" s="133">
        <f>IF(P110=[1]模板计算相关数据!$W$24,VLOOKUP(X110,[1]模板计算相关数据!$P$47:$T$50,5,0),VLOOKUP(X110,[1]模板计算相关数据!$P$4:$U$7,6,0))</f>
        <v>6.6666666666666661</v>
      </c>
      <c r="U110" s="3">
        <v>1</v>
      </c>
      <c r="V110" s="95">
        <f t="shared" si="5"/>
        <v>1</v>
      </c>
      <c r="W110" s="29">
        <f>VLOOKUP(U110,[1]模板计算相关数据!A:N,2,0)</f>
        <v>1</v>
      </c>
      <c r="X110" s="3" t="s">
        <v>151</v>
      </c>
      <c r="Y110" s="3" t="s">
        <v>234</v>
      </c>
      <c r="Z110" s="100">
        <v>10</v>
      </c>
      <c r="AA110" s="2">
        <v>0.5</v>
      </c>
      <c r="AB110" s="2">
        <v>1</v>
      </c>
      <c r="AC110" s="2">
        <v>1</v>
      </c>
      <c r="AD110" s="95">
        <v>0</v>
      </c>
      <c r="AE110" s="95">
        <v>0</v>
      </c>
      <c r="AF110" s="95">
        <v>0</v>
      </c>
      <c r="AG110" s="95">
        <v>0</v>
      </c>
      <c r="AH110" s="95">
        <v>0</v>
      </c>
      <c r="AI110" s="95">
        <v>0</v>
      </c>
      <c r="AJ110" s="3">
        <f>INT(VLOOKUP(U110,模板计算相关数据!A:N,4,0)*VLOOKUP(U110,模板计算相关数据!A:N,14,0)*(1+MAX(0,(VLOOKUP(U110,模板计算相关数据!A:N,7,0)-AQ110))*VLOOKUP(U110,模板计算相关数据!A:N,8,0))*(1-(AL110+AM110)*0.5/((AL110+AM110)*0.5+(VLOOKUP(U110,模板计算相关数据!A:N,2,0)+模板计算相关数据!$AC$27)*模板计算相关数据!$AC$28))*Q110*Z110)</f>
        <v>3511</v>
      </c>
      <c r="AK110" s="3">
        <f>INT(VLOOKUP(U110,模板计算相关数据!A:N,3,0)/模板计算相关数据!$W$35/(1+MAX(0,(AO110/10000-VLOOKUP(U110,模板计算相关数据!A:N,9,0)))*AP110/10000)/(1-VLOOKUP(U110,模板计算相关数据!A:N,5,0)/(VLOOKUP(U110,模板计算相关数据!A:N,5,0)+(VLOOKUP(U110,模板计算相关数据!A:N,2,0)+模板计算相关数据!$AC$27)*模板计算相关数据!$AC$28))/S110*AA110)</f>
        <v>41</v>
      </c>
      <c r="AL110" s="3">
        <f>INT(VLOOKUP(U110,[1]模板计算相关数据!A:N,5,0)*VLOOKUP(X110,[1]模板计算相关数据!$P$4:$T$7,4,0)*VLOOKUP(Y110,[1]模板计算相关数据!$P$22:$U$30,4,0)*AB110)</f>
        <v>153</v>
      </c>
      <c r="AM110" s="3">
        <f>INT(VLOOKUP(U110,[1]模板计算相关数据!A:N,6,0)*VLOOKUP(X110,[1]模板计算相关数据!$P$4:$T$7,4,0)*VLOOKUP(Y110,[1]模板计算相关数据!$P$22:$U$30,5,0)*AC110)</f>
        <v>277</v>
      </c>
      <c r="AN110" s="3">
        <f>VLOOKUP(U110,[1]模板计算相关数据!A:N,10,0)*0.5*VLOOKUP(Y110,[1]模板计算相关数据!$P$22:$U$30,6,0)+AD110</f>
        <v>225</v>
      </c>
      <c r="AO110" s="3">
        <f>VLOOKUP(INT(VLOOKUP(U110,[1]模板计算相关数据!A:N,2,0)/30)+1,[1]模板计算相关数据!$O$35:$U$40,3,0)+AE110</f>
        <v>0</v>
      </c>
      <c r="AP110" s="3">
        <f>VLOOKUP(INT(VLOOKUP(U110,[1]模板计算相关数据!A:N,2,0)/30)+1,[1]模板计算相关数据!$O$35:$U$40,4,0)+AF110</f>
        <v>5000</v>
      </c>
      <c r="AQ110" s="3">
        <f>VLOOKUP(INT(VLOOKUP(U110,[1]模板计算相关数据!A:N,2,0)/30)+1,[1]模板计算相关数据!$O$35:$U$40,5,0)+AG110</f>
        <v>0</v>
      </c>
      <c r="AR110" s="3">
        <f>VLOOKUP(INT(VLOOKUP(U110,[1]模板计算相关数据!A:N,2,0)/30)+1,[1]模板计算相关数据!$O$35:$U$40,6,0)+AH110</f>
        <v>0</v>
      </c>
      <c r="AS110" s="3">
        <f>VLOOKUP(INT(VLOOKUP(U110,[1]模板计算相关数据!A:N,2,0)/30)+1,[1]模板计算相关数据!$O$35:$U$40,7,0)+AI110</f>
        <v>0</v>
      </c>
      <c r="AT110" s="3">
        <f>VLOOKUP(INT(VLOOKUP(U110,[1]模板计算相关数据!A:N,2,0)/30)+1,[1]模板计算相关数据!$O$35:$V$40,8,0)</f>
        <v>0</v>
      </c>
      <c r="AU110" s="87"/>
    </row>
    <row r="111" spans="1:47" s="9" customFormat="1" x14ac:dyDescent="0.2">
      <c r="A111" s="3">
        <v>303</v>
      </c>
      <c r="B111" s="3"/>
      <c r="C111" s="87" t="s">
        <v>1869</v>
      </c>
      <c r="D111" s="69" t="s">
        <v>1870</v>
      </c>
      <c r="E111" s="2"/>
      <c r="F111" s="3">
        <v>1</v>
      </c>
      <c r="G111" s="3">
        <v>1002101</v>
      </c>
      <c r="H111" s="3">
        <v>2</v>
      </c>
      <c r="I111" s="3">
        <v>5</v>
      </c>
      <c r="J111" s="3">
        <v>6</v>
      </c>
      <c r="K111" s="3"/>
      <c r="L111" s="91" t="s">
        <v>1871</v>
      </c>
      <c r="M111" s="2"/>
      <c r="N111" s="2">
        <v>1</v>
      </c>
      <c r="O111" s="69"/>
      <c r="P111" s="3" t="s">
        <v>1615</v>
      </c>
      <c r="Q111" s="95">
        <f t="shared" si="3"/>
        <v>5</v>
      </c>
      <c r="R111" s="133">
        <f>IF(P111=模板计算相关数据!$W$24,VLOOKUP(X111,模板计算相关数据!$P$47:$T$50,2,0),VLOOKUP(X111,模板计算相关数据!$P$4:$U$7,3,0))</f>
        <v>5</v>
      </c>
      <c r="S111" s="62">
        <f t="shared" si="4"/>
        <v>6.6666666666666661</v>
      </c>
      <c r="T111" s="133">
        <f>IF(P111=模板计算相关数据!$W$24,VLOOKUP(X111,模板计算相关数据!$P$47:$T$50,5,0),VLOOKUP(X111,模板计算相关数据!$P$4:$U$7,6,0))</f>
        <v>6.6666666666666661</v>
      </c>
      <c r="U111" s="3">
        <v>1</v>
      </c>
      <c r="V111" s="95">
        <f t="shared" si="5"/>
        <v>1</v>
      </c>
      <c r="W111" s="29">
        <f>VLOOKUP(U111,模板计算相关数据!A:N,2,0)</f>
        <v>1</v>
      </c>
      <c r="X111" s="3" t="s">
        <v>151</v>
      </c>
      <c r="Y111" s="3" t="s">
        <v>234</v>
      </c>
      <c r="Z111" s="100">
        <v>10</v>
      </c>
      <c r="AA111" s="2">
        <v>0.5</v>
      </c>
      <c r="AB111" s="2">
        <v>1</v>
      </c>
      <c r="AC111" s="2">
        <v>1</v>
      </c>
      <c r="AD111" s="95">
        <v>0</v>
      </c>
      <c r="AE111" s="95">
        <v>0</v>
      </c>
      <c r="AF111" s="95">
        <v>0</v>
      </c>
      <c r="AG111" s="95">
        <v>0</v>
      </c>
      <c r="AH111" s="95">
        <v>0</v>
      </c>
      <c r="AI111" s="95">
        <v>0</v>
      </c>
      <c r="AJ111" s="3">
        <f>INT(VLOOKUP(U111,模板计算相关数据!A:N,4,0)*VLOOKUP(U111,模板计算相关数据!A:N,14,0)*(1+MAX(0,(VLOOKUP(U111,模板计算相关数据!A:N,7,0)-AQ111))*VLOOKUP(U111,模板计算相关数据!A:N,8,0))*(1-(AL111+AM111)*0.5/((AL111+AM111)*0.5+(VLOOKUP(U111,模板计算相关数据!A:N,2,0)+模板计算相关数据!$AC$27)*模板计算相关数据!$AC$28))*Q111*Z111)</f>
        <v>3511</v>
      </c>
      <c r="AK111" s="3">
        <f>INT(VLOOKUP(U111,模板计算相关数据!A:N,3,0)/模板计算相关数据!$W$35/(1+MAX(0,(AO111/10000-VLOOKUP(U111,模板计算相关数据!A:N,9,0)))*AP111/10000)/(1-VLOOKUP(U111,模板计算相关数据!A:N,5,0)/(VLOOKUP(U111,模板计算相关数据!A:N,5,0)+(VLOOKUP(U111,模板计算相关数据!A:N,2,0)+模板计算相关数据!$AC$27)*模板计算相关数据!$AC$28))/S111*AA111)</f>
        <v>41</v>
      </c>
      <c r="AL111" s="3">
        <f>INT(VLOOKUP(U111,模板计算相关数据!A:N,5,0)*VLOOKUP(X111,模板计算相关数据!$P$4:$T$7,4,0)*VLOOKUP(Y111,模板计算相关数据!$P$22:$U$30,4,0)*AB111)</f>
        <v>153</v>
      </c>
      <c r="AM111" s="3">
        <f>INT(VLOOKUP(U111,模板计算相关数据!A:N,6,0)*VLOOKUP(X111,模板计算相关数据!$P$4:$T$7,4,0)*VLOOKUP(Y111,模板计算相关数据!$P$22:$U$30,5,0)*AC111)</f>
        <v>277</v>
      </c>
      <c r="AN111" s="3">
        <f>VLOOKUP(U111,模板计算相关数据!A:N,10,0)*0.5*VLOOKUP(Y111,模板计算相关数据!$P$22:$U$30,6,0)+AD111</f>
        <v>225</v>
      </c>
      <c r="AO111" s="3">
        <f>VLOOKUP(INT(VLOOKUP(U111,模板计算相关数据!A:N,2,0)/30)+1,模板计算相关数据!$O$35:$U$40,3,0)+AE111</f>
        <v>0</v>
      </c>
      <c r="AP111" s="3">
        <f>VLOOKUP(INT(VLOOKUP(U111,模板计算相关数据!A:N,2,0)/30)+1,模板计算相关数据!$O$35:$U$40,4,0)+AF111</f>
        <v>5000</v>
      </c>
      <c r="AQ111" s="3">
        <f>VLOOKUP(INT(VLOOKUP(U111,模板计算相关数据!A:N,2,0)/30)+1,模板计算相关数据!$O$35:$U$40,5,0)+AG111</f>
        <v>0</v>
      </c>
      <c r="AR111" s="3">
        <f>VLOOKUP(INT(VLOOKUP(U111,模板计算相关数据!A:N,2,0)/30)+1,模板计算相关数据!$O$35:$U$40,6,0)+AH111</f>
        <v>0</v>
      </c>
      <c r="AS111" s="3">
        <f>VLOOKUP(INT(VLOOKUP(U111,模板计算相关数据!A:N,2,0)/30)+1,模板计算相关数据!$O$35:$U$40,7,0)+AI111</f>
        <v>0</v>
      </c>
      <c r="AT111" s="3">
        <f>VLOOKUP(INT(VLOOKUP(U111,模板计算相关数据!A:N,2,0)/30)+1,模板计算相关数据!$O$35:$V$40,8,0)</f>
        <v>0</v>
      </c>
      <c r="AU111" s="87"/>
    </row>
    <row r="112" spans="1:47" s="9" customFormat="1" x14ac:dyDescent="0.2">
      <c r="A112" s="3">
        <v>304</v>
      </c>
      <c r="B112" s="3"/>
      <c r="C112" s="87" t="s">
        <v>1958</v>
      </c>
      <c r="D112" s="69" t="s">
        <v>1660</v>
      </c>
      <c r="E112" s="2"/>
      <c r="F112" s="3">
        <v>1</v>
      </c>
      <c r="G112" s="3">
        <v>1005701</v>
      </c>
      <c r="H112" s="3">
        <v>2</v>
      </c>
      <c r="I112" s="3">
        <v>5</v>
      </c>
      <c r="J112" s="3">
        <v>6</v>
      </c>
      <c r="K112" s="3"/>
      <c r="L112" s="91" t="s">
        <v>1885</v>
      </c>
      <c r="M112" s="2"/>
      <c r="N112" s="2">
        <v>1</v>
      </c>
      <c r="O112" s="69"/>
      <c r="P112" s="3" t="s">
        <v>1615</v>
      </c>
      <c r="Q112" s="95">
        <f t="shared" si="3"/>
        <v>5</v>
      </c>
      <c r="R112" s="133">
        <f>IF(P112=模板计算相关数据!$W$24,VLOOKUP(X112,模板计算相关数据!$P$47:$T$50,2,0),VLOOKUP(X112,模板计算相关数据!$P$4:$U$7,3,0))</f>
        <v>5</v>
      </c>
      <c r="S112" s="62">
        <f t="shared" si="4"/>
        <v>6.6666666666666661</v>
      </c>
      <c r="T112" s="133">
        <f>IF(P112=模板计算相关数据!$W$24,VLOOKUP(X112,模板计算相关数据!$P$47:$T$50,5,0),VLOOKUP(X112,模板计算相关数据!$P$4:$U$7,6,0))</f>
        <v>6.6666666666666661</v>
      </c>
      <c r="U112" s="3">
        <v>1</v>
      </c>
      <c r="V112" s="95">
        <f t="shared" si="5"/>
        <v>1</v>
      </c>
      <c r="W112" s="29">
        <f>VLOOKUP(U112,模板计算相关数据!A:N,2,0)</f>
        <v>1</v>
      </c>
      <c r="X112" s="3" t="s">
        <v>151</v>
      </c>
      <c r="Y112" s="3" t="s">
        <v>234</v>
      </c>
      <c r="Z112" s="100">
        <v>10</v>
      </c>
      <c r="AA112" s="2">
        <v>0.5</v>
      </c>
      <c r="AB112" s="2">
        <v>1</v>
      </c>
      <c r="AC112" s="2">
        <v>1</v>
      </c>
      <c r="AD112" s="95">
        <v>0</v>
      </c>
      <c r="AE112" s="95">
        <v>0</v>
      </c>
      <c r="AF112" s="95">
        <v>0</v>
      </c>
      <c r="AG112" s="95">
        <v>0</v>
      </c>
      <c r="AH112" s="95">
        <v>0</v>
      </c>
      <c r="AI112" s="95">
        <v>0</v>
      </c>
      <c r="AJ112" s="3">
        <f>INT(VLOOKUP(U112,模板计算相关数据!A:N,4,0)*VLOOKUP(U112,模板计算相关数据!A:N,14,0)*(1+MAX(0,(VLOOKUP(U112,模板计算相关数据!A:N,7,0)-AQ112))*VLOOKUP(U112,模板计算相关数据!A:N,8,0))*(1-(AL112+AM112)*0.5/((AL112+AM112)*0.5+(VLOOKUP(U112,模板计算相关数据!A:N,2,0)+模板计算相关数据!$AC$27)*模板计算相关数据!$AC$28))*Q112*Z112)</f>
        <v>3511</v>
      </c>
      <c r="AK112" s="3">
        <f>INT(VLOOKUP(U112,模板计算相关数据!A:N,3,0)/模板计算相关数据!$W$35/(1+MAX(0,(AO112/10000-VLOOKUP(U112,模板计算相关数据!A:N,9,0)))*AP112/10000)/(1-VLOOKUP(U112,模板计算相关数据!A:N,5,0)/(VLOOKUP(U112,模板计算相关数据!A:N,5,0)+(VLOOKUP(U112,模板计算相关数据!A:N,2,0)+模板计算相关数据!$AC$27)*模板计算相关数据!$AC$28))/S112*AA112)</f>
        <v>41</v>
      </c>
      <c r="AL112" s="3">
        <f>INT(VLOOKUP(U112,模板计算相关数据!A:N,5,0)*VLOOKUP(X112,模板计算相关数据!$P$4:$T$7,4,0)*VLOOKUP(Y112,模板计算相关数据!$P$22:$U$30,4,0)*AB112)</f>
        <v>153</v>
      </c>
      <c r="AM112" s="3">
        <f>INT(VLOOKUP(U112,模板计算相关数据!A:N,6,0)*VLOOKUP(X112,模板计算相关数据!$P$4:$T$7,4,0)*VLOOKUP(Y112,模板计算相关数据!$P$22:$U$30,5,0)*AC112)</f>
        <v>277</v>
      </c>
      <c r="AN112" s="3">
        <f>VLOOKUP(U112,模板计算相关数据!A:N,10,0)*0.5*VLOOKUP(Y112,模板计算相关数据!$P$22:$U$30,6,0)+AD112</f>
        <v>225</v>
      </c>
      <c r="AO112" s="3">
        <f>VLOOKUP(INT(VLOOKUP(U112,模板计算相关数据!A:N,2,0)/30)+1,模板计算相关数据!$O$35:$U$40,3,0)+AE112</f>
        <v>0</v>
      </c>
      <c r="AP112" s="3">
        <f>VLOOKUP(INT(VLOOKUP(U112,模板计算相关数据!A:N,2,0)/30)+1,模板计算相关数据!$O$35:$U$40,4,0)+AF112</f>
        <v>5000</v>
      </c>
      <c r="AQ112" s="3">
        <f>VLOOKUP(INT(VLOOKUP(U112,模板计算相关数据!A:N,2,0)/30)+1,模板计算相关数据!$O$35:$U$40,5,0)+AG112</f>
        <v>0</v>
      </c>
      <c r="AR112" s="3">
        <f>VLOOKUP(INT(VLOOKUP(U112,模板计算相关数据!A:N,2,0)/30)+1,模板计算相关数据!$O$35:$U$40,6,0)+AH112</f>
        <v>0</v>
      </c>
      <c r="AS112" s="3">
        <f>VLOOKUP(INT(VLOOKUP(U112,模板计算相关数据!A:N,2,0)/30)+1,模板计算相关数据!$O$35:$U$40,7,0)+AI112</f>
        <v>0</v>
      </c>
      <c r="AT112" s="3">
        <f>VLOOKUP(INT(VLOOKUP(U112,模板计算相关数据!A:N,2,0)/30)+1,模板计算相关数据!$O$35:$V$40,8,0)</f>
        <v>0</v>
      </c>
      <c r="AU112" s="87"/>
    </row>
    <row r="113" spans="1:47" s="9" customFormat="1" x14ac:dyDescent="0.2">
      <c r="A113" s="3">
        <v>305</v>
      </c>
      <c r="B113" s="3"/>
      <c r="C113" s="87" t="s">
        <v>1959</v>
      </c>
      <c r="D113" s="69" t="s">
        <v>1660</v>
      </c>
      <c r="E113" s="2"/>
      <c r="F113" s="3">
        <v>1</v>
      </c>
      <c r="G113" s="3">
        <v>1005801</v>
      </c>
      <c r="H113" s="3">
        <v>2</v>
      </c>
      <c r="I113" s="3">
        <v>5</v>
      </c>
      <c r="J113" s="3">
        <v>6</v>
      </c>
      <c r="K113" s="3">
        <v>2</v>
      </c>
      <c r="L113" s="91" t="s">
        <v>1887</v>
      </c>
      <c r="M113" s="2"/>
      <c r="N113" s="2">
        <v>1</v>
      </c>
      <c r="O113" s="69"/>
      <c r="P113" s="3" t="s">
        <v>1615</v>
      </c>
      <c r="Q113" s="95">
        <f t="shared" si="3"/>
        <v>5</v>
      </c>
      <c r="R113" s="133">
        <f>IF(P113=模板计算相关数据!$W$24,VLOOKUP(X113,模板计算相关数据!$P$47:$T$50,2,0),VLOOKUP(X113,模板计算相关数据!$P$4:$U$7,3,0))</f>
        <v>5</v>
      </c>
      <c r="S113" s="62">
        <f t="shared" si="4"/>
        <v>6.6666666666666661</v>
      </c>
      <c r="T113" s="133">
        <f>IF(P113=模板计算相关数据!$W$24,VLOOKUP(X113,模板计算相关数据!$P$47:$T$50,5,0),VLOOKUP(X113,模板计算相关数据!$P$4:$U$7,6,0))</f>
        <v>6.6666666666666661</v>
      </c>
      <c r="U113" s="3">
        <v>1</v>
      </c>
      <c r="V113" s="95">
        <f t="shared" si="5"/>
        <v>1</v>
      </c>
      <c r="W113" s="29">
        <f>VLOOKUP(U113,模板计算相关数据!A:N,2,0)</f>
        <v>1</v>
      </c>
      <c r="X113" s="3" t="s">
        <v>151</v>
      </c>
      <c r="Y113" s="3" t="s">
        <v>234</v>
      </c>
      <c r="Z113" s="100">
        <v>10</v>
      </c>
      <c r="AA113" s="2">
        <v>0.5</v>
      </c>
      <c r="AB113" s="2">
        <v>1</v>
      </c>
      <c r="AC113" s="2">
        <v>1</v>
      </c>
      <c r="AD113" s="95">
        <v>0</v>
      </c>
      <c r="AE113" s="95">
        <v>0</v>
      </c>
      <c r="AF113" s="95">
        <v>0</v>
      </c>
      <c r="AG113" s="95">
        <v>0</v>
      </c>
      <c r="AH113" s="95">
        <v>0</v>
      </c>
      <c r="AI113" s="95">
        <v>0</v>
      </c>
      <c r="AJ113" s="3">
        <f>INT(VLOOKUP(U113,模板计算相关数据!A:N,4,0)*VLOOKUP(U113,模板计算相关数据!A:N,14,0)*(1+MAX(0,(VLOOKUP(U113,模板计算相关数据!A:N,7,0)-AQ113))*VLOOKUP(U113,模板计算相关数据!A:N,8,0))*(1-(AL113+AM113)*0.5/((AL113+AM113)*0.5+(VLOOKUP(U113,模板计算相关数据!A:N,2,0)+模板计算相关数据!$AC$27)*模板计算相关数据!$AC$28))*Q113*Z113)</f>
        <v>3511</v>
      </c>
      <c r="AK113" s="3">
        <f>INT(VLOOKUP(U113,模板计算相关数据!A:N,3,0)/模板计算相关数据!$W$35/(1+MAX(0,(AO113/10000-VLOOKUP(U113,模板计算相关数据!A:N,9,0)))*AP113/10000)/(1-VLOOKUP(U113,模板计算相关数据!A:N,5,0)/(VLOOKUP(U113,模板计算相关数据!A:N,5,0)+(VLOOKUP(U113,模板计算相关数据!A:N,2,0)+模板计算相关数据!$AC$27)*模板计算相关数据!$AC$28))/S113*AA113)</f>
        <v>41</v>
      </c>
      <c r="AL113" s="3">
        <f>INT(VLOOKUP(U113,模板计算相关数据!A:N,5,0)*VLOOKUP(X113,模板计算相关数据!$P$4:$T$7,4,0)*VLOOKUP(Y113,模板计算相关数据!$P$22:$U$30,4,0)*AB113)</f>
        <v>153</v>
      </c>
      <c r="AM113" s="3">
        <f>INT(VLOOKUP(U113,模板计算相关数据!A:N,6,0)*VLOOKUP(X113,模板计算相关数据!$P$4:$T$7,4,0)*VLOOKUP(Y113,模板计算相关数据!$P$22:$U$30,5,0)*AC113)</f>
        <v>277</v>
      </c>
      <c r="AN113" s="3">
        <f>VLOOKUP(U113,模板计算相关数据!A:N,10,0)*0.5*VLOOKUP(Y113,模板计算相关数据!$P$22:$U$30,6,0)+AD113</f>
        <v>225</v>
      </c>
      <c r="AO113" s="3">
        <f>VLOOKUP(INT(VLOOKUP(U113,模板计算相关数据!A:N,2,0)/30)+1,模板计算相关数据!$O$35:$U$40,3,0)+AE113</f>
        <v>0</v>
      </c>
      <c r="AP113" s="3">
        <f>VLOOKUP(INT(VLOOKUP(U113,模板计算相关数据!A:N,2,0)/30)+1,模板计算相关数据!$O$35:$U$40,4,0)+AF113</f>
        <v>5000</v>
      </c>
      <c r="AQ113" s="3">
        <f>VLOOKUP(INT(VLOOKUP(U113,模板计算相关数据!A:N,2,0)/30)+1,模板计算相关数据!$O$35:$U$40,5,0)+AG113</f>
        <v>0</v>
      </c>
      <c r="AR113" s="3">
        <f>VLOOKUP(INT(VLOOKUP(U113,模板计算相关数据!A:N,2,0)/30)+1,模板计算相关数据!$O$35:$U$40,6,0)+AH113</f>
        <v>0</v>
      </c>
      <c r="AS113" s="3">
        <f>VLOOKUP(INT(VLOOKUP(U113,模板计算相关数据!A:N,2,0)/30)+1,模板计算相关数据!$O$35:$U$40,7,0)+AI113</f>
        <v>0</v>
      </c>
      <c r="AT113" s="3">
        <f>VLOOKUP(INT(VLOOKUP(U113,模板计算相关数据!A:N,2,0)/30)+1,模板计算相关数据!$O$35:$V$40,8,0)</f>
        <v>0</v>
      </c>
      <c r="AU113" s="87"/>
    </row>
    <row r="114" spans="1:47" s="9" customFormat="1" x14ac:dyDescent="0.2">
      <c r="A114" s="127">
        <v>306</v>
      </c>
      <c r="B114" s="127"/>
      <c r="C114" s="87" t="s">
        <v>1890</v>
      </c>
      <c r="D114" s="69" t="s">
        <v>1660</v>
      </c>
      <c r="E114" s="2"/>
      <c r="F114" s="3">
        <v>1</v>
      </c>
      <c r="G114" s="3">
        <v>1005601</v>
      </c>
      <c r="H114" s="3">
        <v>2</v>
      </c>
      <c r="I114" s="3">
        <v>5</v>
      </c>
      <c r="J114" s="3">
        <v>6</v>
      </c>
      <c r="K114" s="3">
        <v>3</v>
      </c>
      <c r="L114" s="141" t="s">
        <v>1944</v>
      </c>
      <c r="M114" s="2"/>
      <c r="N114" s="2">
        <v>1</v>
      </c>
      <c r="O114" s="69"/>
      <c r="P114" s="3" t="s">
        <v>1615</v>
      </c>
      <c r="Q114" s="95">
        <f t="shared" si="3"/>
        <v>5</v>
      </c>
      <c r="R114" s="133">
        <f>IF(P114=模板计算相关数据!$W$24,VLOOKUP(X114,模板计算相关数据!$P$47:$T$50,2,0),VLOOKUP(X114,模板计算相关数据!$P$4:$U$7,3,0))</f>
        <v>5</v>
      </c>
      <c r="S114" s="62">
        <f t="shared" si="4"/>
        <v>6.6666666666666661</v>
      </c>
      <c r="T114" s="133">
        <f>IF(P114=模板计算相关数据!$W$24,VLOOKUP(X114,模板计算相关数据!$P$47:$T$50,5,0),VLOOKUP(X114,模板计算相关数据!$P$4:$U$7,6,0))</f>
        <v>6.6666666666666661</v>
      </c>
      <c r="U114" s="3">
        <v>1</v>
      </c>
      <c r="V114" s="95">
        <f t="shared" si="5"/>
        <v>1</v>
      </c>
      <c r="W114" s="29">
        <f>VLOOKUP(U114,模板计算相关数据!A:N,2,0)</f>
        <v>1</v>
      </c>
      <c r="X114" s="3" t="s">
        <v>151</v>
      </c>
      <c r="Y114" s="3" t="s">
        <v>234</v>
      </c>
      <c r="Z114" s="100">
        <v>10</v>
      </c>
      <c r="AA114" s="2">
        <v>0.5</v>
      </c>
      <c r="AB114" s="2">
        <v>1</v>
      </c>
      <c r="AC114" s="2">
        <v>1</v>
      </c>
      <c r="AD114" s="95">
        <v>0</v>
      </c>
      <c r="AE114" s="95">
        <v>0</v>
      </c>
      <c r="AF114" s="95">
        <v>0</v>
      </c>
      <c r="AG114" s="95">
        <v>0</v>
      </c>
      <c r="AH114" s="95">
        <v>0</v>
      </c>
      <c r="AI114" s="95">
        <v>0</v>
      </c>
      <c r="AJ114" s="3">
        <f>INT(VLOOKUP(U114,模板计算相关数据!A:N,4,0)*VLOOKUP(U114,模板计算相关数据!A:N,14,0)*(1+MAX(0,(VLOOKUP(U114,模板计算相关数据!A:N,7,0)-AQ114))*VLOOKUP(U114,模板计算相关数据!A:N,8,0))*(1-(AL114+AM114)*0.5/((AL114+AM114)*0.5+(VLOOKUP(U114,模板计算相关数据!A:N,2,0)+模板计算相关数据!$AC$27)*模板计算相关数据!$AC$28))*Q114*Z114)</f>
        <v>3511</v>
      </c>
      <c r="AK114" s="3">
        <f>INT(VLOOKUP(U114,模板计算相关数据!A:N,3,0)/模板计算相关数据!$W$35/(1+MAX(0,(AO114/10000-VLOOKUP(U114,模板计算相关数据!A:N,9,0)))*AP114/10000)/(1-VLOOKUP(U114,模板计算相关数据!A:N,5,0)/(VLOOKUP(U114,模板计算相关数据!A:N,5,0)+(VLOOKUP(U114,模板计算相关数据!A:N,2,0)+模板计算相关数据!$AC$27)*模板计算相关数据!$AC$28))/S114*AA114)</f>
        <v>41</v>
      </c>
      <c r="AL114" s="3">
        <f>INT(VLOOKUP(U114,模板计算相关数据!A:N,5,0)*VLOOKUP(X114,模板计算相关数据!$P$4:$T$7,4,0)*VLOOKUP(Y114,模板计算相关数据!$P$22:$U$30,4,0)*AB114)</f>
        <v>153</v>
      </c>
      <c r="AM114" s="3">
        <f>INT(VLOOKUP(U114,模板计算相关数据!A:N,6,0)*VLOOKUP(X114,模板计算相关数据!$P$4:$T$7,4,0)*VLOOKUP(Y114,模板计算相关数据!$P$22:$U$30,5,0)*AC114)</f>
        <v>277</v>
      </c>
      <c r="AN114" s="3">
        <f>VLOOKUP(U114,模板计算相关数据!A:N,10,0)*0.5*VLOOKUP(Y114,模板计算相关数据!$P$22:$U$30,6,0)+AD114</f>
        <v>225</v>
      </c>
      <c r="AO114" s="3">
        <f>VLOOKUP(INT(VLOOKUP(U114,模板计算相关数据!A:N,2,0)/30)+1,模板计算相关数据!$O$35:$U$40,3,0)+AE114</f>
        <v>0</v>
      </c>
      <c r="AP114" s="3">
        <f>VLOOKUP(INT(VLOOKUP(U114,模板计算相关数据!A:N,2,0)/30)+1,模板计算相关数据!$O$35:$U$40,4,0)+AF114</f>
        <v>5000</v>
      </c>
      <c r="AQ114" s="3">
        <f>VLOOKUP(INT(VLOOKUP(U114,模板计算相关数据!A:N,2,0)/30)+1,模板计算相关数据!$O$35:$U$40,5,0)+AG114</f>
        <v>0</v>
      </c>
      <c r="AR114" s="3">
        <f>VLOOKUP(INT(VLOOKUP(U114,模板计算相关数据!A:N,2,0)/30)+1,模板计算相关数据!$O$35:$U$40,6,0)+AH114</f>
        <v>0</v>
      </c>
      <c r="AS114" s="3">
        <f>VLOOKUP(INT(VLOOKUP(U114,模板计算相关数据!A:N,2,0)/30)+1,模板计算相关数据!$O$35:$U$40,7,0)+AI114</f>
        <v>0</v>
      </c>
      <c r="AT114" s="3">
        <f>VLOOKUP(INT(VLOOKUP(U114,模板计算相关数据!A:N,2,0)/30)+1,模板计算相关数据!$O$35:$V$40,8,0)</f>
        <v>0</v>
      </c>
      <c r="AU114" s="87"/>
    </row>
    <row r="115" spans="1:47" s="9" customFormat="1" x14ac:dyDescent="0.2">
      <c r="A115" s="3">
        <v>307</v>
      </c>
      <c r="B115" s="3"/>
      <c r="C115" s="87" t="s">
        <v>1891</v>
      </c>
      <c r="D115" s="69" t="s">
        <v>1660</v>
      </c>
      <c r="E115" s="2"/>
      <c r="F115" s="3">
        <v>1</v>
      </c>
      <c r="G115" s="3">
        <v>1006801</v>
      </c>
      <c r="H115" s="3">
        <v>2</v>
      </c>
      <c r="I115" s="3">
        <v>5</v>
      </c>
      <c r="J115" s="3">
        <v>6</v>
      </c>
      <c r="K115" s="3"/>
      <c r="L115" s="91" t="s">
        <v>1905</v>
      </c>
      <c r="M115" s="2"/>
      <c r="N115" s="2">
        <v>1</v>
      </c>
      <c r="O115" s="69"/>
      <c r="P115" s="3" t="s">
        <v>1615</v>
      </c>
      <c r="Q115" s="95">
        <f t="shared" si="3"/>
        <v>5</v>
      </c>
      <c r="R115" s="133">
        <f>IF(P115=模板计算相关数据!$W$24,VLOOKUP(X115,模板计算相关数据!$P$47:$T$50,2,0),VLOOKUP(X115,模板计算相关数据!$P$4:$U$7,3,0))</f>
        <v>5</v>
      </c>
      <c r="S115" s="62">
        <f t="shared" si="4"/>
        <v>6.6666666666666661</v>
      </c>
      <c r="T115" s="133">
        <f>IF(P115=模板计算相关数据!$W$24,VLOOKUP(X115,模板计算相关数据!$P$47:$T$50,5,0),VLOOKUP(X115,模板计算相关数据!$P$4:$U$7,6,0))</f>
        <v>6.6666666666666661</v>
      </c>
      <c r="U115" s="3">
        <v>1</v>
      </c>
      <c r="V115" s="95">
        <f t="shared" si="5"/>
        <v>1</v>
      </c>
      <c r="W115" s="29">
        <f>VLOOKUP(U115,模板计算相关数据!A:N,2,0)</f>
        <v>1</v>
      </c>
      <c r="X115" s="3" t="s">
        <v>151</v>
      </c>
      <c r="Y115" s="3" t="s">
        <v>234</v>
      </c>
      <c r="Z115" s="100">
        <v>10</v>
      </c>
      <c r="AA115" s="2">
        <v>0.5</v>
      </c>
      <c r="AB115" s="2">
        <v>1</v>
      </c>
      <c r="AC115" s="2">
        <v>1</v>
      </c>
      <c r="AD115" s="95">
        <v>0</v>
      </c>
      <c r="AE115" s="95">
        <v>0</v>
      </c>
      <c r="AF115" s="95">
        <v>0</v>
      </c>
      <c r="AG115" s="95">
        <v>0</v>
      </c>
      <c r="AH115" s="95">
        <v>0</v>
      </c>
      <c r="AI115" s="95">
        <v>0</v>
      </c>
      <c r="AJ115" s="3">
        <f>INT(VLOOKUP(U115,模板计算相关数据!A:N,4,0)*VLOOKUP(U115,模板计算相关数据!A:N,14,0)*(1+MAX(0,(VLOOKUP(U115,模板计算相关数据!A:N,7,0)-AQ115))*VLOOKUP(U115,模板计算相关数据!A:N,8,0))*(1-(AL115+AM115)*0.5/((AL115+AM115)*0.5+(VLOOKUP(U115,模板计算相关数据!A:N,2,0)+模板计算相关数据!$AC$27)*模板计算相关数据!$AC$28))*Q115*Z115)</f>
        <v>3511</v>
      </c>
      <c r="AK115" s="3">
        <f>INT(VLOOKUP(U115,模板计算相关数据!A:N,3,0)/模板计算相关数据!$W$35/(1+MAX(0,(AO115/10000-VLOOKUP(U115,模板计算相关数据!A:N,9,0)))*AP115/10000)/(1-VLOOKUP(U115,模板计算相关数据!A:N,5,0)/(VLOOKUP(U115,模板计算相关数据!A:N,5,0)+(VLOOKUP(U115,模板计算相关数据!A:N,2,0)+模板计算相关数据!$AC$27)*模板计算相关数据!$AC$28))/S115*AA115)</f>
        <v>41</v>
      </c>
      <c r="AL115" s="3">
        <f>INT(VLOOKUP(U115,模板计算相关数据!A:N,5,0)*VLOOKUP(X115,模板计算相关数据!$P$4:$T$7,4,0)*VLOOKUP(Y115,模板计算相关数据!$P$22:$U$30,4,0)*AB115)</f>
        <v>153</v>
      </c>
      <c r="AM115" s="3">
        <f>INT(VLOOKUP(U115,模板计算相关数据!A:N,6,0)*VLOOKUP(X115,模板计算相关数据!$P$4:$T$7,4,0)*VLOOKUP(Y115,模板计算相关数据!$P$22:$U$30,5,0)*AC115)</f>
        <v>277</v>
      </c>
      <c r="AN115" s="3">
        <f>VLOOKUP(U115,模板计算相关数据!A:N,10,0)*0.5*VLOOKUP(Y115,模板计算相关数据!$P$22:$U$30,6,0)+AD115</f>
        <v>225</v>
      </c>
      <c r="AO115" s="3">
        <f>VLOOKUP(INT(VLOOKUP(U115,模板计算相关数据!A:N,2,0)/30)+1,模板计算相关数据!$O$35:$U$40,3,0)+AE115</f>
        <v>0</v>
      </c>
      <c r="AP115" s="3">
        <f>VLOOKUP(INT(VLOOKUP(U115,模板计算相关数据!A:N,2,0)/30)+1,模板计算相关数据!$O$35:$U$40,4,0)+AF115</f>
        <v>5000</v>
      </c>
      <c r="AQ115" s="3">
        <f>VLOOKUP(INT(VLOOKUP(U115,模板计算相关数据!A:N,2,0)/30)+1,模板计算相关数据!$O$35:$U$40,5,0)+AG115</f>
        <v>0</v>
      </c>
      <c r="AR115" s="3">
        <f>VLOOKUP(INT(VLOOKUP(U115,模板计算相关数据!A:N,2,0)/30)+1,模板计算相关数据!$O$35:$U$40,6,0)+AH115</f>
        <v>0</v>
      </c>
      <c r="AS115" s="3">
        <f>VLOOKUP(INT(VLOOKUP(U115,模板计算相关数据!A:N,2,0)/30)+1,模板计算相关数据!$O$35:$U$40,7,0)+AI115</f>
        <v>0</v>
      </c>
      <c r="AT115" s="3">
        <f>VLOOKUP(INT(VLOOKUP(U115,模板计算相关数据!A:N,2,0)/30)+1,模板计算相关数据!$O$35:$V$40,8,0)</f>
        <v>0</v>
      </c>
      <c r="AU115" s="87"/>
    </row>
    <row r="116" spans="1:47" s="9" customFormat="1" x14ac:dyDescent="0.2">
      <c r="A116" s="3">
        <v>308</v>
      </c>
      <c r="B116" s="3"/>
      <c r="C116" s="87" t="s">
        <v>1892</v>
      </c>
      <c r="D116" s="69" t="s">
        <v>1660</v>
      </c>
      <c r="E116" s="2"/>
      <c r="F116" s="3">
        <v>1</v>
      </c>
      <c r="G116" s="3">
        <v>1006701</v>
      </c>
      <c r="H116" s="3">
        <v>2</v>
      </c>
      <c r="I116" s="3">
        <v>5</v>
      </c>
      <c r="J116" s="3">
        <v>6</v>
      </c>
      <c r="K116" s="3">
        <v>2</v>
      </c>
      <c r="L116" s="91" t="s">
        <v>1922</v>
      </c>
      <c r="M116" s="2"/>
      <c r="N116" s="2">
        <v>1</v>
      </c>
      <c r="O116" s="69"/>
      <c r="P116" s="3" t="s">
        <v>1615</v>
      </c>
      <c r="Q116" s="95">
        <f t="shared" si="3"/>
        <v>5</v>
      </c>
      <c r="R116" s="133">
        <f>IF(P116=模板计算相关数据!$W$24,VLOOKUP(X116,模板计算相关数据!$P$47:$T$50,2,0),VLOOKUP(X116,模板计算相关数据!$P$4:$U$7,3,0))</f>
        <v>5</v>
      </c>
      <c r="S116" s="62">
        <f t="shared" si="4"/>
        <v>6.6666666666666661</v>
      </c>
      <c r="T116" s="133">
        <f>IF(P116=模板计算相关数据!$W$24,VLOOKUP(X116,模板计算相关数据!$P$47:$T$50,5,0),VLOOKUP(X116,模板计算相关数据!$P$4:$U$7,6,0))</f>
        <v>6.6666666666666661</v>
      </c>
      <c r="U116" s="3">
        <v>1</v>
      </c>
      <c r="V116" s="95">
        <f t="shared" si="5"/>
        <v>1</v>
      </c>
      <c r="W116" s="29">
        <f>VLOOKUP(U116,模板计算相关数据!A:N,2,0)</f>
        <v>1</v>
      </c>
      <c r="X116" s="3" t="s">
        <v>151</v>
      </c>
      <c r="Y116" s="3" t="s">
        <v>234</v>
      </c>
      <c r="Z116" s="100">
        <v>10</v>
      </c>
      <c r="AA116" s="2">
        <v>0.5</v>
      </c>
      <c r="AB116" s="2">
        <v>1</v>
      </c>
      <c r="AC116" s="2">
        <v>1</v>
      </c>
      <c r="AD116" s="95">
        <v>0</v>
      </c>
      <c r="AE116" s="95">
        <v>0</v>
      </c>
      <c r="AF116" s="95">
        <v>0</v>
      </c>
      <c r="AG116" s="95">
        <v>0</v>
      </c>
      <c r="AH116" s="95">
        <v>0</v>
      </c>
      <c r="AI116" s="95">
        <v>0</v>
      </c>
      <c r="AJ116" s="3">
        <f>INT(VLOOKUP(U116,模板计算相关数据!A:N,4,0)*VLOOKUP(U116,模板计算相关数据!A:N,14,0)*(1+MAX(0,(VLOOKUP(U116,模板计算相关数据!A:N,7,0)-AQ116))*VLOOKUP(U116,模板计算相关数据!A:N,8,0))*(1-(AL116+AM116)*0.5/((AL116+AM116)*0.5+(VLOOKUP(U116,模板计算相关数据!A:N,2,0)+模板计算相关数据!$AC$27)*模板计算相关数据!$AC$28))*Q116*Z116)</f>
        <v>3511</v>
      </c>
      <c r="AK116" s="3">
        <f>INT(VLOOKUP(U116,模板计算相关数据!A:N,3,0)/模板计算相关数据!$W$35/(1+MAX(0,(AO116/10000-VLOOKUP(U116,模板计算相关数据!A:N,9,0)))*AP116/10000)/(1-VLOOKUP(U116,模板计算相关数据!A:N,5,0)/(VLOOKUP(U116,模板计算相关数据!A:N,5,0)+(VLOOKUP(U116,模板计算相关数据!A:N,2,0)+模板计算相关数据!$AC$27)*模板计算相关数据!$AC$28))/S116*AA116)</f>
        <v>41</v>
      </c>
      <c r="AL116" s="3">
        <f>INT(VLOOKUP(U116,模板计算相关数据!A:N,5,0)*VLOOKUP(X116,模板计算相关数据!$P$4:$T$7,4,0)*VLOOKUP(Y116,模板计算相关数据!$P$22:$U$30,4,0)*AB116)</f>
        <v>153</v>
      </c>
      <c r="AM116" s="3">
        <f>INT(VLOOKUP(U116,模板计算相关数据!A:N,6,0)*VLOOKUP(X116,模板计算相关数据!$P$4:$T$7,4,0)*VLOOKUP(Y116,模板计算相关数据!$P$22:$U$30,5,0)*AC116)</f>
        <v>277</v>
      </c>
      <c r="AN116" s="3">
        <f>VLOOKUP(U116,模板计算相关数据!A:N,10,0)*0.5*VLOOKUP(Y116,模板计算相关数据!$P$22:$U$30,6,0)+AD116</f>
        <v>225</v>
      </c>
      <c r="AO116" s="3">
        <f>VLOOKUP(INT(VLOOKUP(U116,模板计算相关数据!A:N,2,0)/30)+1,模板计算相关数据!$O$35:$U$40,3,0)+AE116</f>
        <v>0</v>
      </c>
      <c r="AP116" s="3">
        <f>VLOOKUP(INT(VLOOKUP(U116,模板计算相关数据!A:N,2,0)/30)+1,模板计算相关数据!$O$35:$U$40,4,0)+AF116</f>
        <v>5000</v>
      </c>
      <c r="AQ116" s="3">
        <f>VLOOKUP(INT(VLOOKUP(U116,模板计算相关数据!A:N,2,0)/30)+1,模板计算相关数据!$O$35:$U$40,5,0)+AG116</f>
        <v>0</v>
      </c>
      <c r="AR116" s="3">
        <f>VLOOKUP(INT(VLOOKUP(U116,模板计算相关数据!A:N,2,0)/30)+1,模板计算相关数据!$O$35:$U$40,6,0)+AH116</f>
        <v>0</v>
      </c>
      <c r="AS116" s="3">
        <f>VLOOKUP(INT(VLOOKUP(U116,模板计算相关数据!A:N,2,0)/30)+1,模板计算相关数据!$O$35:$U$40,7,0)+AI116</f>
        <v>0</v>
      </c>
      <c r="AT116" s="3">
        <f>VLOOKUP(INT(VLOOKUP(U116,模板计算相关数据!A:N,2,0)/30)+1,模板计算相关数据!$O$35:$V$40,8,0)</f>
        <v>0</v>
      </c>
      <c r="AU116" s="87"/>
    </row>
    <row r="117" spans="1:47" s="9" customFormat="1" x14ac:dyDescent="0.2">
      <c r="A117" s="85">
        <v>309</v>
      </c>
      <c r="B117" s="85"/>
      <c r="C117" s="87" t="s">
        <v>1895</v>
      </c>
      <c r="D117" s="69" t="s">
        <v>1660</v>
      </c>
      <c r="E117" s="2"/>
      <c r="F117" s="3">
        <v>1</v>
      </c>
      <c r="G117" s="3">
        <v>101501</v>
      </c>
      <c r="H117" s="3">
        <v>2</v>
      </c>
      <c r="I117" s="3">
        <v>5</v>
      </c>
      <c r="J117" s="3">
        <v>6</v>
      </c>
      <c r="K117" s="3"/>
      <c r="L117" s="91" t="s">
        <v>866</v>
      </c>
      <c r="M117" s="2"/>
      <c r="N117" s="2">
        <v>1</v>
      </c>
      <c r="O117" s="69"/>
      <c r="P117" s="3" t="s">
        <v>1615</v>
      </c>
      <c r="Q117" s="95">
        <f t="shared" si="3"/>
        <v>5</v>
      </c>
      <c r="R117" s="133">
        <f>IF(P117=模板计算相关数据!$W$24,VLOOKUP(X117,模板计算相关数据!$P$47:$T$50,2,0),VLOOKUP(X117,模板计算相关数据!$P$4:$U$7,3,0))</f>
        <v>5</v>
      </c>
      <c r="S117" s="62">
        <f t="shared" si="4"/>
        <v>6.6666666666666661</v>
      </c>
      <c r="T117" s="133">
        <f>IF(P117=模板计算相关数据!$W$24,VLOOKUP(X117,模板计算相关数据!$P$47:$T$50,5,0),VLOOKUP(X117,模板计算相关数据!$P$4:$U$7,6,0))</f>
        <v>6.6666666666666661</v>
      </c>
      <c r="U117" s="3">
        <v>1</v>
      </c>
      <c r="V117" s="95">
        <f t="shared" si="5"/>
        <v>1</v>
      </c>
      <c r="W117" s="29">
        <f>VLOOKUP(U117,模板计算相关数据!A:N,2,0)</f>
        <v>1</v>
      </c>
      <c r="X117" s="3" t="s">
        <v>151</v>
      </c>
      <c r="Y117" s="3" t="s">
        <v>234</v>
      </c>
      <c r="Z117" s="100">
        <v>10</v>
      </c>
      <c r="AA117" s="2">
        <v>0.5</v>
      </c>
      <c r="AB117" s="2">
        <v>1</v>
      </c>
      <c r="AC117" s="2">
        <v>1</v>
      </c>
      <c r="AD117" s="95">
        <v>0</v>
      </c>
      <c r="AE117" s="95">
        <v>0</v>
      </c>
      <c r="AF117" s="95">
        <v>0</v>
      </c>
      <c r="AG117" s="95">
        <v>0</v>
      </c>
      <c r="AH117" s="95">
        <v>0</v>
      </c>
      <c r="AI117" s="95">
        <v>0</v>
      </c>
      <c r="AJ117" s="3">
        <f>INT(VLOOKUP(U117,模板计算相关数据!A:N,4,0)*VLOOKUP(U117,模板计算相关数据!A:N,14,0)*(1+MAX(0,(VLOOKUP(U117,模板计算相关数据!A:N,7,0)-AQ117))*VLOOKUP(U117,模板计算相关数据!A:N,8,0))*(1-(AL117+AM117)*0.5/((AL117+AM117)*0.5+(VLOOKUP(U117,模板计算相关数据!A:N,2,0)+模板计算相关数据!$AC$27)*模板计算相关数据!$AC$28))*Q117*Z117)</f>
        <v>3511</v>
      </c>
      <c r="AK117" s="3">
        <f>INT(VLOOKUP(U117,模板计算相关数据!A:N,3,0)/模板计算相关数据!$W$35/(1+MAX(0,(AO117/10000-VLOOKUP(U117,模板计算相关数据!A:N,9,0)))*AP117/10000)/(1-VLOOKUP(U117,模板计算相关数据!A:N,5,0)/(VLOOKUP(U117,模板计算相关数据!A:N,5,0)+(VLOOKUP(U117,模板计算相关数据!A:N,2,0)+模板计算相关数据!$AC$27)*模板计算相关数据!$AC$28))/S117*AA117)</f>
        <v>41</v>
      </c>
      <c r="AL117" s="3">
        <f>INT(VLOOKUP(U117,模板计算相关数据!A:N,5,0)*VLOOKUP(X117,模板计算相关数据!$P$4:$T$7,4,0)*VLOOKUP(Y117,模板计算相关数据!$P$22:$U$30,4,0)*AB117)</f>
        <v>153</v>
      </c>
      <c r="AM117" s="3">
        <f>INT(VLOOKUP(U117,模板计算相关数据!A:N,6,0)*VLOOKUP(X117,模板计算相关数据!$P$4:$T$7,4,0)*VLOOKUP(Y117,模板计算相关数据!$P$22:$U$30,5,0)*AC117)</f>
        <v>277</v>
      </c>
      <c r="AN117" s="3">
        <f>VLOOKUP(U117,模板计算相关数据!A:N,10,0)*0.5*VLOOKUP(Y117,模板计算相关数据!$P$22:$U$30,6,0)+AD117</f>
        <v>225</v>
      </c>
      <c r="AO117" s="3">
        <f>VLOOKUP(INT(VLOOKUP(U117,模板计算相关数据!A:N,2,0)/30)+1,模板计算相关数据!$O$35:$U$40,3,0)+AE117</f>
        <v>0</v>
      </c>
      <c r="AP117" s="3">
        <f>VLOOKUP(INT(VLOOKUP(U117,模板计算相关数据!A:N,2,0)/30)+1,模板计算相关数据!$O$35:$U$40,4,0)+AF117</f>
        <v>5000</v>
      </c>
      <c r="AQ117" s="3">
        <f>VLOOKUP(INT(VLOOKUP(U117,模板计算相关数据!A:N,2,0)/30)+1,模板计算相关数据!$O$35:$U$40,5,0)+AG117</f>
        <v>0</v>
      </c>
      <c r="AR117" s="3">
        <f>VLOOKUP(INT(VLOOKUP(U117,模板计算相关数据!A:N,2,0)/30)+1,模板计算相关数据!$O$35:$U$40,6,0)+AH117</f>
        <v>0</v>
      </c>
      <c r="AS117" s="3">
        <f>VLOOKUP(INT(VLOOKUP(U117,模板计算相关数据!A:N,2,0)/30)+1,模板计算相关数据!$O$35:$U$40,7,0)+AI117</f>
        <v>0</v>
      </c>
      <c r="AT117" s="3">
        <f>VLOOKUP(INT(VLOOKUP(U117,模板计算相关数据!A:N,2,0)/30)+1,模板计算相关数据!$O$35:$V$40,8,0)</f>
        <v>0</v>
      </c>
      <c r="AU117" s="87"/>
    </row>
    <row r="118" spans="1:47" s="9" customFormat="1" x14ac:dyDescent="0.2">
      <c r="A118" s="140">
        <v>310</v>
      </c>
      <c r="B118" s="140"/>
      <c r="C118" s="87" t="s">
        <v>1912</v>
      </c>
      <c r="D118" s="69" t="s">
        <v>1660</v>
      </c>
      <c r="E118" s="2"/>
      <c r="F118" s="3">
        <v>1</v>
      </c>
      <c r="G118" s="3">
        <v>1006901</v>
      </c>
      <c r="H118" s="3">
        <v>2</v>
      </c>
      <c r="I118" s="3">
        <v>5</v>
      </c>
      <c r="J118" s="3">
        <v>6</v>
      </c>
      <c r="K118" s="3">
        <v>2</v>
      </c>
      <c r="L118" s="69" t="s">
        <v>1907</v>
      </c>
      <c r="M118" s="2"/>
      <c r="N118" s="2">
        <v>1</v>
      </c>
      <c r="O118" s="69"/>
      <c r="P118" s="3" t="s">
        <v>1615</v>
      </c>
      <c r="Q118" s="95">
        <f t="shared" si="3"/>
        <v>5</v>
      </c>
      <c r="R118" s="133">
        <f>IF(P118=模板计算相关数据!$W$24,VLOOKUP(X118,模板计算相关数据!$P$47:$T$50,2,0),VLOOKUP(X118,模板计算相关数据!$P$4:$U$7,3,0))</f>
        <v>5</v>
      </c>
      <c r="S118" s="62">
        <f t="shared" si="4"/>
        <v>6.6666666666666661</v>
      </c>
      <c r="T118" s="133">
        <f>IF(P118=模板计算相关数据!$W$24,VLOOKUP(X118,模板计算相关数据!$P$47:$T$50,5,0),VLOOKUP(X118,模板计算相关数据!$P$4:$U$7,6,0))</f>
        <v>6.6666666666666661</v>
      </c>
      <c r="U118" s="3">
        <v>1</v>
      </c>
      <c r="V118" s="95">
        <f t="shared" si="5"/>
        <v>1</v>
      </c>
      <c r="W118" s="29">
        <f>VLOOKUP(U118,模板计算相关数据!A:N,2,0)</f>
        <v>1</v>
      </c>
      <c r="X118" s="3" t="s">
        <v>151</v>
      </c>
      <c r="Y118" s="3" t="s">
        <v>234</v>
      </c>
      <c r="Z118" s="100">
        <v>10</v>
      </c>
      <c r="AA118" s="2">
        <v>0.1</v>
      </c>
      <c r="AB118" s="2">
        <v>1</v>
      </c>
      <c r="AC118" s="2">
        <v>1</v>
      </c>
      <c r="AD118" s="95">
        <v>0</v>
      </c>
      <c r="AE118" s="95">
        <v>0</v>
      </c>
      <c r="AF118" s="95">
        <v>0</v>
      </c>
      <c r="AG118" s="95">
        <v>0</v>
      </c>
      <c r="AH118" s="95">
        <v>0</v>
      </c>
      <c r="AI118" s="95">
        <v>0</v>
      </c>
      <c r="AJ118" s="3">
        <f>INT(VLOOKUP(U118,模板计算相关数据!A:N,4,0)*VLOOKUP(U118,模板计算相关数据!A:N,14,0)*(1+MAX(0,(VLOOKUP(U118,模板计算相关数据!A:N,7,0)-AQ118))*VLOOKUP(U118,模板计算相关数据!A:N,8,0))*(1-(AL118+AM118)*0.5/((AL118+AM118)*0.5+(VLOOKUP(U118,模板计算相关数据!A:N,2,0)+模板计算相关数据!$AC$27)*模板计算相关数据!$AC$28))*Q118*Z118)</f>
        <v>3511</v>
      </c>
      <c r="AK118" s="3">
        <f>INT(VLOOKUP(U118,模板计算相关数据!A:N,3,0)/模板计算相关数据!$W$35/(1+MAX(0,(AO118/10000-VLOOKUP(U118,模板计算相关数据!A:N,9,0)))*AP118/10000)/(1-VLOOKUP(U118,模板计算相关数据!A:N,5,0)/(VLOOKUP(U118,模板计算相关数据!A:N,5,0)+(VLOOKUP(U118,模板计算相关数据!A:N,2,0)+模板计算相关数据!$AC$27)*模板计算相关数据!$AC$28))/S118*AA118)</f>
        <v>8</v>
      </c>
      <c r="AL118" s="3">
        <f>INT(VLOOKUP(U118,模板计算相关数据!A:N,5,0)*VLOOKUP(X118,模板计算相关数据!$P$4:$T$7,4,0)*VLOOKUP(Y118,模板计算相关数据!$P$22:$U$30,4,0)*AB118)</f>
        <v>153</v>
      </c>
      <c r="AM118" s="3">
        <f>INT(VLOOKUP(U118,模板计算相关数据!A:N,6,0)*VLOOKUP(X118,模板计算相关数据!$P$4:$T$7,4,0)*VLOOKUP(Y118,模板计算相关数据!$P$22:$U$30,5,0)*AC118)</f>
        <v>277</v>
      </c>
      <c r="AN118" s="3">
        <f>VLOOKUP(U118,模板计算相关数据!A:N,10,0)*0.5*VLOOKUP(Y118,模板计算相关数据!$P$22:$U$30,6,0)+AD118</f>
        <v>225</v>
      </c>
      <c r="AO118" s="3">
        <f>VLOOKUP(INT(VLOOKUP(U118,模板计算相关数据!A:N,2,0)/30)+1,模板计算相关数据!$O$35:$U$40,3,0)+AE118</f>
        <v>0</v>
      </c>
      <c r="AP118" s="3">
        <f>VLOOKUP(INT(VLOOKUP(U118,模板计算相关数据!A:N,2,0)/30)+1,模板计算相关数据!$O$35:$U$40,4,0)+AF118</f>
        <v>5000</v>
      </c>
      <c r="AQ118" s="3">
        <f>VLOOKUP(INT(VLOOKUP(U118,模板计算相关数据!A:N,2,0)/30)+1,模板计算相关数据!$O$35:$U$40,5,0)+AG118</f>
        <v>0</v>
      </c>
      <c r="AR118" s="3">
        <f>VLOOKUP(INT(VLOOKUP(U118,模板计算相关数据!A:N,2,0)/30)+1,模板计算相关数据!$O$35:$U$40,6,0)+AH118</f>
        <v>0</v>
      </c>
      <c r="AS118" s="3">
        <f>VLOOKUP(INT(VLOOKUP(U118,模板计算相关数据!A:N,2,0)/30)+1,模板计算相关数据!$O$35:$U$40,7,0)+AI118</f>
        <v>0</v>
      </c>
      <c r="AT118" s="3">
        <f>VLOOKUP(INT(VLOOKUP(U118,模板计算相关数据!A:N,2,0)/30)+1,模板计算相关数据!$O$35:$V$40,8,0)</f>
        <v>0</v>
      </c>
      <c r="AU118" s="87"/>
    </row>
    <row r="119" spans="1:47" s="9" customFormat="1" x14ac:dyDescent="0.2">
      <c r="A119" s="140">
        <v>311</v>
      </c>
      <c r="B119" s="140"/>
      <c r="C119" s="87" t="s">
        <v>1908</v>
      </c>
      <c r="D119" s="69" t="s">
        <v>1660</v>
      </c>
      <c r="E119" s="2"/>
      <c r="F119" s="3">
        <v>1</v>
      </c>
      <c r="G119" s="3">
        <v>1007001</v>
      </c>
      <c r="H119" s="3">
        <v>2</v>
      </c>
      <c r="I119" s="3">
        <v>5</v>
      </c>
      <c r="J119" s="3">
        <v>6</v>
      </c>
      <c r="K119" s="3">
        <v>2</v>
      </c>
      <c r="L119" s="141" t="s">
        <v>868</v>
      </c>
      <c r="M119" s="2"/>
      <c r="N119" s="2">
        <v>1</v>
      </c>
      <c r="O119" s="69"/>
      <c r="P119" s="3" t="s">
        <v>1615</v>
      </c>
      <c r="Q119" s="95">
        <f t="shared" si="3"/>
        <v>5</v>
      </c>
      <c r="R119" s="133">
        <f>IF(P119=模板计算相关数据!$W$24,VLOOKUP(X119,模板计算相关数据!$P$47:$T$50,2,0),VLOOKUP(X119,模板计算相关数据!$P$4:$U$7,3,0))</f>
        <v>5</v>
      </c>
      <c r="S119" s="62">
        <f t="shared" si="4"/>
        <v>6.6666666666666661</v>
      </c>
      <c r="T119" s="133">
        <f>IF(P119=模板计算相关数据!$W$24,VLOOKUP(X119,模板计算相关数据!$P$47:$T$50,5,0),VLOOKUP(X119,模板计算相关数据!$P$4:$U$7,6,0))</f>
        <v>6.6666666666666661</v>
      </c>
      <c r="U119" s="3">
        <v>1</v>
      </c>
      <c r="V119" s="95">
        <f t="shared" si="5"/>
        <v>1</v>
      </c>
      <c r="W119" s="29">
        <f>VLOOKUP(U119,模板计算相关数据!A:N,2,0)</f>
        <v>1</v>
      </c>
      <c r="X119" s="3" t="s">
        <v>151</v>
      </c>
      <c r="Y119" s="3" t="s">
        <v>234</v>
      </c>
      <c r="Z119" s="100">
        <v>10</v>
      </c>
      <c r="AA119" s="2">
        <v>0.1</v>
      </c>
      <c r="AB119" s="2">
        <v>1</v>
      </c>
      <c r="AC119" s="2">
        <v>1</v>
      </c>
      <c r="AD119" s="95">
        <v>0</v>
      </c>
      <c r="AE119" s="95">
        <v>0</v>
      </c>
      <c r="AF119" s="95">
        <v>0</v>
      </c>
      <c r="AG119" s="95">
        <v>0</v>
      </c>
      <c r="AH119" s="95">
        <v>0</v>
      </c>
      <c r="AI119" s="95">
        <v>0</v>
      </c>
      <c r="AJ119" s="3">
        <f>INT(VLOOKUP(U119,模板计算相关数据!A:N,4,0)*VLOOKUP(U119,模板计算相关数据!A:N,14,0)*(1+MAX(0,(VLOOKUP(U119,模板计算相关数据!A:N,7,0)-AQ119))*VLOOKUP(U119,模板计算相关数据!A:N,8,0))*(1-(AL119+AM119)*0.5/((AL119+AM119)*0.5+(VLOOKUP(U119,模板计算相关数据!A:N,2,0)+模板计算相关数据!$AC$27)*模板计算相关数据!$AC$28))*Q119*Z119)</f>
        <v>3511</v>
      </c>
      <c r="AK119" s="3">
        <f>INT(VLOOKUP(U119,模板计算相关数据!A:N,3,0)/模板计算相关数据!$W$35/(1+MAX(0,(AO119/10000-VLOOKUP(U119,模板计算相关数据!A:N,9,0)))*AP119/10000)/(1-VLOOKUP(U119,模板计算相关数据!A:N,5,0)/(VLOOKUP(U119,模板计算相关数据!A:N,5,0)+(VLOOKUP(U119,模板计算相关数据!A:N,2,0)+模板计算相关数据!$AC$27)*模板计算相关数据!$AC$28))/S119*AA119)</f>
        <v>8</v>
      </c>
      <c r="AL119" s="3">
        <f>INT(VLOOKUP(U119,模板计算相关数据!A:N,5,0)*VLOOKUP(X119,模板计算相关数据!$P$4:$T$7,4,0)*VLOOKUP(Y119,模板计算相关数据!$P$22:$U$30,4,0)*AB119)</f>
        <v>153</v>
      </c>
      <c r="AM119" s="3">
        <f>INT(VLOOKUP(U119,模板计算相关数据!A:N,6,0)*VLOOKUP(X119,模板计算相关数据!$P$4:$T$7,4,0)*VLOOKUP(Y119,模板计算相关数据!$P$22:$U$30,5,0)*AC119)</f>
        <v>277</v>
      </c>
      <c r="AN119" s="3">
        <f>VLOOKUP(U119,模板计算相关数据!A:N,10,0)*0.5*VLOOKUP(Y119,模板计算相关数据!$P$22:$U$30,6,0)+AD119</f>
        <v>225</v>
      </c>
      <c r="AO119" s="3">
        <f>VLOOKUP(INT(VLOOKUP(U119,模板计算相关数据!A:N,2,0)/30)+1,模板计算相关数据!$O$35:$U$40,3,0)+AE119</f>
        <v>0</v>
      </c>
      <c r="AP119" s="3">
        <f>VLOOKUP(INT(VLOOKUP(U119,模板计算相关数据!A:N,2,0)/30)+1,模板计算相关数据!$O$35:$U$40,4,0)+AF119</f>
        <v>5000</v>
      </c>
      <c r="AQ119" s="3">
        <f>VLOOKUP(INT(VLOOKUP(U119,模板计算相关数据!A:N,2,0)/30)+1,模板计算相关数据!$O$35:$U$40,5,0)+AG119</f>
        <v>0</v>
      </c>
      <c r="AR119" s="3">
        <f>VLOOKUP(INT(VLOOKUP(U119,模板计算相关数据!A:N,2,0)/30)+1,模板计算相关数据!$O$35:$U$40,6,0)+AH119</f>
        <v>0</v>
      </c>
      <c r="AS119" s="3">
        <f>VLOOKUP(INT(VLOOKUP(U119,模板计算相关数据!A:N,2,0)/30)+1,模板计算相关数据!$O$35:$U$40,7,0)+AI119</f>
        <v>0</v>
      </c>
      <c r="AT119" s="3">
        <f>VLOOKUP(INT(VLOOKUP(U119,模板计算相关数据!A:N,2,0)/30)+1,模板计算相关数据!$O$35:$V$40,8,0)</f>
        <v>0</v>
      </c>
      <c r="AU119" s="87"/>
    </row>
    <row r="120" spans="1:47" s="9" customFormat="1" x14ac:dyDescent="0.2">
      <c r="A120" s="140">
        <v>312</v>
      </c>
      <c r="B120" s="140"/>
      <c r="C120" s="87" t="s">
        <v>1909</v>
      </c>
      <c r="D120" s="69" t="s">
        <v>1660</v>
      </c>
      <c r="E120" s="2"/>
      <c r="F120" s="3">
        <v>1</v>
      </c>
      <c r="G120" s="3">
        <v>1007101</v>
      </c>
      <c r="H120" s="3">
        <v>2</v>
      </c>
      <c r="I120" s="3">
        <v>5</v>
      </c>
      <c r="J120" s="3">
        <v>6</v>
      </c>
      <c r="K120" s="3">
        <v>2</v>
      </c>
      <c r="L120" s="141" t="s">
        <v>868</v>
      </c>
      <c r="M120" s="2"/>
      <c r="N120" s="2">
        <v>1</v>
      </c>
      <c r="O120" s="69"/>
      <c r="P120" s="3" t="s">
        <v>1615</v>
      </c>
      <c r="Q120" s="95">
        <f t="shared" si="3"/>
        <v>5</v>
      </c>
      <c r="R120" s="133">
        <f>IF(P120=模板计算相关数据!$W$24,VLOOKUP(X120,模板计算相关数据!$P$47:$T$50,2,0),VLOOKUP(X120,模板计算相关数据!$P$4:$U$7,3,0))</f>
        <v>5</v>
      </c>
      <c r="S120" s="62">
        <f t="shared" si="4"/>
        <v>6.6666666666666661</v>
      </c>
      <c r="T120" s="133">
        <f>IF(P120=模板计算相关数据!$W$24,VLOOKUP(X120,模板计算相关数据!$P$47:$T$50,5,0),VLOOKUP(X120,模板计算相关数据!$P$4:$U$7,6,0))</f>
        <v>6.6666666666666661</v>
      </c>
      <c r="U120" s="3">
        <v>1</v>
      </c>
      <c r="V120" s="95">
        <f t="shared" si="5"/>
        <v>1</v>
      </c>
      <c r="W120" s="29">
        <f>VLOOKUP(U120,模板计算相关数据!A:N,2,0)</f>
        <v>1</v>
      </c>
      <c r="X120" s="3" t="s">
        <v>151</v>
      </c>
      <c r="Y120" s="3" t="s">
        <v>234</v>
      </c>
      <c r="Z120" s="100">
        <v>10</v>
      </c>
      <c r="AA120" s="2">
        <v>0.1</v>
      </c>
      <c r="AB120" s="2">
        <v>1</v>
      </c>
      <c r="AC120" s="2">
        <v>1</v>
      </c>
      <c r="AD120" s="95">
        <v>0</v>
      </c>
      <c r="AE120" s="95">
        <v>0</v>
      </c>
      <c r="AF120" s="95">
        <v>0</v>
      </c>
      <c r="AG120" s="95">
        <v>0</v>
      </c>
      <c r="AH120" s="95">
        <v>0</v>
      </c>
      <c r="AI120" s="95">
        <v>0</v>
      </c>
      <c r="AJ120" s="3">
        <f>INT(VLOOKUP(U120,模板计算相关数据!A:N,4,0)*VLOOKUP(U120,模板计算相关数据!A:N,14,0)*(1+MAX(0,(VLOOKUP(U120,模板计算相关数据!A:N,7,0)-AQ120))*VLOOKUP(U120,模板计算相关数据!A:N,8,0))*(1-(AL120+AM120)*0.5/((AL120+AM120)*0.5+(VLOOKUP(U120,模板计算相关数据!A:N,2,0)+模板计算相关数据!$AC$27)*模板计算相关数据!$AC$28))*Q120*Z120)</f>
        <v>3511</v>
      </c>
      <c r="AK120" s="3">
        <f>INT(VLOOKUP(U120,模板计算相关数据!A:N,3,0)/模板计算相关数据!$W$35/(1+MAX(0,(AO120/10000-VLOOKUP(U120,模板计算相关数据!A:N,9,0)))*AP120/10000)/(1-VLOOKUP(U120,模板计算相关数据!A:N,5,0)/(VLOOKUP(U120,模板计算相关数据!A:N,5,0)+(VLOOKUP(U120,模板计算相关数据!A:N,2,0)+模板计算相关数据!$AC$27)*模板计算相关数据!$AC$28))/S120*AA120)</f>
        <v>8</v>
      </c>
      <c r="AL120" s="3">
        <f>INT(VLOOKUP(U120,模板计算相关数据!A:N,5,0)*VLOOKUP(X120,模板计算相关数据!$P$4:$T$7,4,0)*VLOOKUP(Y120,模板计算相关数据!$P$22:$U$30,4,0)*AB120)</f>
        <v>153</v>
      </c>
      <c r="AM120" s="3">
        <f>INT(VLOOKUP(U120,模板计算相关数据!A:N,6,0)*VLOOKUP(X120,模板计算相关数据!$P$4:$T$7,4,0)*VLOOKUP(Y120,模板计算相关数据!$P$22:$U$30,5,0)*AC120)</f>
        <v>277</v>
      </c>
      <c r="AN120" s="3">
        <f>VLOOKUP(U120,模板计算相关数据!A:N,10,0)*0.5*VLOOKUP(Y120,模板计算相关数据!$P$22:$U$30,6,0)+AD120</f>
        <v>225</v>
      </c>
      <c r="AO120" s="3">
        <f>VLOOKUP(INT(VLOOKUP(U120,模板计算相关数据!A:N,2,0)/30)+1,模板计算相关数据!$O$35:$U$40,3,0)+AE120</f>
        <v>0</v>
      </c>
      <c r="AP120" s="3">
        <f>VLOOKUP(INT(VLOOKUP(U120,模板计算相关数据!A:N,2,0)/30)+1,模板计算相关数据!$O$35:$U$40,4,0)+AF120</f>
        <v>5000</v>
      </c>
      <c r="AQ120" s="3">
        <f>VLOOKUP(INT(VLOOKUP(U120,模板计算相关数据!A:N,2,0)/30)+1,模板计算相关数据!$O$35:$U$40,5,0)+AG120</f>
        <v>0</v>
      </c>
      <c r="AR120" s="3">
        <f>VLOOKUP(INT(VLOOKUP(U120,模板计算相关数据!A:N,2,0)/30)+1,模板计算相关数据!$O$35:$U$40,6,0)+AH120</f>
        <v>0</v>
      </c>
      <c r="AS120" s="3">
        <f>VLOOKUP(INT(VLOOKUP(U120,模板计算相关数据!A:N,2,0)/30)+1,模板计算相关数据!$O$35:$U$40,7,0)+AI120</f>
        <v>0</v>
      </c>
      <c r="AT120" s="3">
        <f>VLOOKUP(INT(VLOOKUP(U120,模板计算相关数据!A:N,2,0)/30)+1,模板计算相关数据!$O$35:$V$40,8,0)</f>
        <v>0</v>
      </c>
      <c r="AU120" s="87"/>
    </row>
    <row r="121" spans="1:47" s="9" customFormat="1" x14ac:dyDescent="0.2">
      <c r="A121" s="140">
        <v>313</v>
      </c>
      <c r="B121" s="140"/>
      <c r="C121" s="87" t="s">
        <v>1910</v>
      </c>
      <c r="D121" s="69" t="s">
        <v>1660</v>
      </c>
      <c r="E121" s="2"/>
      <c r="F121" s="3">
        <v>1</v>
      </c>
      <c r="G121" s="3">
        <v>1007201</v>
      </c>
      <c r="H121" s="3">
        <v>2</v>
      </c>
      <c r="I121" s="3">
        <v>5</v>
      </c>
      <c r="J121" s="3">
        <v>6</v>
      </c>
      <c r="K121" s="3">
        <v>2</v>
      </c>
      <c r="L121" s="141" t="s">
        <v>868</v>
      </c>
      <c r="M121" s="2"/>
      <c r="N121" s="2">
        <v>1</v>
      </c>
      <c r="O121" s="69"/>
      <c r="P121" s="3" t="s">
        <v>1615</v>
      </c>
      <c r="Q121" s="95">
        <f t="shared" si="3"/>
        <v>5</v>
      </c>
      <c r="R121" s="133">
        <f>IF(P121=模板计算相关数据!$W$24,VLOOKUP(X121,模板计算相关数据!$P$47:$T$50,2,0),VLOOKUP(X121,模板计算相关数据!$P$4:$U$7,3,0))</f>
        <v>5</v>
      </c>
      <c r="S121" s="62">
        <f t="shared" si="4"/>
        <v>6.6666666666666661</v>
      </c>
      <c r="T121" s="133">
        <f>IF(P121=模板计算相关数据!$W$24,VLOOKUP(X121,模板计算相关数据!$P$47:$T$50,5,0),VLOOKUP(X121,模板计算相关数据!$P$4:$U$7,6,0))</f>
        <v>6.6666666666666661</v>
      </c>
      <c r="U121" s="3">
        <v>1</v>
      </c>
      <c r="V121" s="95">
        <f t="shared" si="5"/>
        <v>1</v>
      </c>
      <c r="W121" s="29">
        <f>VLOOKUP(U121,模板计算相关数据!A:N,2,0)</f>
        <v>1</v>
      </c>
      <c r="X121" s="3" t="s">
        <v>151</v>
      </c>
      <c r="Y121" s="3" t="s">
        <v>234</v>
      </c>
      <c r="Z121" s="100">
        <v>10</v>
      </c>
      <c r="AA121" s="2">
        <v>0.1</v>
      </c>
      <c r="AB121" s="2">
        <v>1</v>
      </c>
      <c r="AC121" s="2">
        <v>1</v>
      </c>
      <c r="AD121" s="95">
        <v>0</v>
      </c>
      <c r="AE121" s="95">
        <v>0</v>
      </c>
      <c r="AF121" s="95">
        <v>0</v>
      </c>
      <c r="AG121" s="95">
        <v>0</v>
      </c>
      <c r="AH121" s="95">
        <v>0</v>
      </c>
      <c r="AI121" s="95">
        <v>0</v>
      </c>
      <c r="AJ121" s="3">
        <f>INT(VLOOKUP(U121,模板计算相关数据!A:N,4,0)*VLOOKUP(U121,模板计算相关数据!A:N,14,0)*(1+MAX(0,(VLOOKUP(U121,模板计算相关数据!A:N,7,0)-AQ121))*VLOOKUP(U121,模板计算相关数据!A:N,8,0))*(1-(AL121+AM121)*0.5/((AL121+AM121)*0.5+(VLOOKUP(U121,模板计算相关数据!A:N,2,0)+模板计算相关数据!$AC$27)*模板计算相关数据!$AC$28))*Q121*Z121)</f>
        <v>3511</v>
      </c>
      <c r="AK121" s="3">
        <f>INT(VLOOKUP(U121,模板计算相关数据!A:N,3,0)/模板计算相关数据!$W$35/(1+MAX(0,(AO121/10000-VLOOKUP(U121,模板计算相关数据!A:N,9,0)))*AP121/10000)/(1-VLOOKUP(U121,模板计算相关数据!A:N,5,0)/(VLOOKUP(U121,模板计算相关数据!A:N,5,0)+(VLOOKUP(U121,模板计算相关数据!A:N,2,0)+模板计算相关数据!$AC$27)*模板计算相关数据!$AC$28))/S121*AA121)</f>
        <v>8</v>
      </c>
      <c r="AL121" s="3">
        <f>INT(VLOOKUP(U121,模板计算相关数据!A:N,5,0)*VLOOKUP(X121,模板计算相关数据!$P$4:$T$7,4,0)*VLOOKUP(Y121,模板计算相关数据!$P$22:$U$30,4,0)*AB121)</f>
        <v>153</v>
      </c>
      <c r="AM121" s="3">
        <f>INT(VLOOKUP(U121,模板计算相关数据!A:N,6,0)*VLOOKUP(X121,模板计算相关数据!$P$4:$T$7,4,0)*VLOOKUP(Y121,模板计算相关数据!$P$22:$U$30,5,0)*AC121)</f>
        <v>277</v>
      </c>
      <c r="AN121" s="3">
        <f>VLOOKUP(U121,模板计算相关数据!A:N,10,0)*0.5*VLOOKUP(Y121,模板计算相关数据!$P$22:$U$30,6,0)+AD121</f>
        <v>225</v>
      </c>
      <c r="AO121" s="3">
        <f>VLOOKUP(INT(VLOOKUP(U121,模板计算相关数据!A:N,2,0)/30)+1,模板计算相关数据!$O$35:$U$40,3,0)+AE121</f>
        <v>0</v>
      </c>
      <c r="AP121" s="3">
        <f>VLOOKUP(INT(VLOOKUP(U121,模板计算相关数据!A:N,2,0)/30)+1,模板计算相关数据!$O$35:$U$40,4,0)+AF121</f>
        <v>5000</v>
      </c>
      <c r="AQ121" s="3">
        <f>VLOOKUP(INT(VLOOKUP(U121,模板计算相关数据!A:N,2,0)/30)+1,模板计算相关数据!$O$35:$U$40,5,0)+AG121</f>
        <v>0</v>
      </c>
      <c r="AR121" s="3">
        <f>VLOOKUP(INT(VLOOKUP(U121,模板计算相关数据!A:N,2,0)/30)+1,模板计算相关数据!$O$35:$U$40,6,0)+AH121</f>
        <v>0</v>
      </c>
      <c r="AS121" s="3">
        <f>VLOOKUP(INT(VLOOKUP(U121,模板计算相关数据!A:N,2,0)/30)+1,模板计算相关数据!$O$35:$U$40,7,0)+AI121</f>
        <v>0</v>
      </c>
      <c r="AT121" s="3">
        <f>VLOOKUP(INT(VLOOKUP(U121,模板计算相关数据!A:N,2,0)/30)+1,模板计算相关数据!$O$35:$V$40,8,0)</f>
        <v>0</v>
      </c>
      <c r="AU121" s="87"/>
    </row>
    <row r="122" spans="1:47" s="9" customFormat="1" x14ac:dyDescent="0.2">
      <c r="A122" s="140">
        <v>314</v>
      </c>
      <c r="B122" s="140"/>
      <c r="C122" s="87" t="s">
        <v>1911</v>
      </c>
      <c r="D122" s="69" t="s">
        <v>1660</v>
      </c>
      <c r="E122" s="2"/>
      <c r="F122" s="3">
        <v>1</v>
      </c>
      <c r="G122" s="3">
        <v>1007301</v>
      </c>
      <c r="H122" s="3">
        <v>2</v>
      </c>
      <c r="I122" s="3">
        <v>5</v>
      </c>
      <c r="J122" s="3">
        <v>6</v>
      </c>
      <c r="K122" s="3">
        <v>2</v>
      </c>
      <c r="L122" s="141" t="s">
        <v>868</v>
      </c>
      <c r="M122" s="2"/>
      <c r="N122" s="2">
        <v>1</v>
      </c>
      <c r="O122" s="69"/>
      <c r="P122" s="3" t="s">
        <v>1615</v>
      </c>
      <c r="Q122" s="95">
        <f t="shared" si="3"/>
        <v>5</v>
      </c>
      <c r="R122" s="133">
        <f>IF(P122=模板计算相关数据!$W$24,VLOOKUP(X122,模板计算相关数据!$P$47:$T$50,2,0),VLOOKUP(X122,模板计算相关数据!$P$4:$U$7,3,0))</f>
        <v>5</v>
      </c>
      <c r="S122" s="62">
        <f t="shared" si="4"/>
        <v>6.6666666666666661</v>
      </c>
      <c r="T122" s="133">
        <f>IF(P122=模板计算相关数据!$W$24,VLOOKUP(X122,模板计算相关数据!$P$47:$T$50,5,0),VLOOKUP(X122,模板计算相关数据!$P$4:$U$7,6,0))</f>
        <v>6.6666666666666661</v>
      </c>
      <c r="U122" s="3">
        <v>1</v>
      </c>
      <c r="V122" s="95">
        <f t="shared" si="5"/>
        <v>1</v>
      </c>
      <c r="W122" s="29">
        <f>VLOOKUP(U122,模板计算相关数据!A:N,2,0)</f>
        <v>1</v>
      </c>
      <c r="X122" s="3" t="s">
        <v>151</v>
      </c>
      <c r="Y122" s="3" t="s">
        <v>234</v>
      </c>
      <c r="Z122" s="100">
        <v>10</v>
      </c>
      <c r="AA122" s="2">
        <v>0.1</v>
      </c>
      <c r="AB122" s="2">
        <v>1</v>
      </c>
      <c r="AC122" s="2">
        <v>1</v>
      </c>
      <c r="AD122" s="95">
        <v>0</v>
      </c>
      <c r="AE122" s="95">
        <v>0</v>
      </c>
      <c r="AF122" s="95">
        <v>0</v>
      </c>
      <c r="AG122" s="95">
        <v>0</v>
      </c>
      <c r="AH122" s="95">
        <v>0</v>
      </c>
      <c r="AI122" s="95">
        <v>0</v>
      </c>
      <c r="AJ122" s="3">
        <f>INT(VLOOKUP(U122,模板计算相关数据!A:N,4,0)*VLOOKUP(U122,模板计算相关数据!A:N,14,0)*(1+MAX(0,(VLOOKUP(U122,模板计算相关数据!A:N,7,0)-AQ122))*VLOOKUP(U122,模板计算相关数据!A:N,8,0))*(1-(AL122+AM122)*0.5/((AL122+AM122)*0.5+(VLOOKUP(U122,模板计算相关数据!A:N,2,0)+模板计算相关数据!$AC$27)*模板计算相关数据!$AC$28))*Q122*Z122)</f>
        <v>3511</v>
      </c>
      <c r="AK122" s="3">
        <f>INT(VLOOKUP(U122,模板计算相关数据!A:N,3,0)/模板计算相关数据!$W$35/(1+MAX(0,(AO122/10000-VLOOKUP(U122,模板计算相关数据!A:N,9,0)))*AP122/10000)/(1-VLOOKUP(U122,模板计算相关数据!A:N,5,0)/(VLOOKUP(U122,模板计算相关数据!A:N,5,0)+(VLOOKUP(U122,模板计算相关数据!A:N,2,0)+模板计算相关数据!$AC$27)*模板计算相关数据!$AC$28))/S122*AA122)</f>
        <v>8</v>
      </c>
      <c r="AL122" s="3">
        <f>INT(VLOOKUP(U122,模板计算相关数据!A:N,5,0)*VLOOKUP(X122,模板计算相关数据!$P$4:$T$7,4,0)*VLOOKUP(Y122,模板计算相关数据!$P$22:$U$30,4,0)*AB122)</f>
        <v>153</v>
      </c>
      <c r="AM122" s="3">
        <f>INT(VLOOKUP(U122,模板计算相关数据!A:N,6,0)*VLOOKUP(X122,模板计算相关数据!$P$4:$T$7,4,0)*VLOOKUP(Y122,模板计算相关数据!$P$22:$U$30,5,0)*AC122)</f>
        <v>277</v>
      </c>
      <c r="AN122" s="3">
        <f>VLOOKUP(U122,模板计算相关数据!A:N,10,0)*0.5*VLOOKUP(Y122,模板计算相关数据!$P$22:$U$30,6,0)+AD122</f>
        <v>225</v>
      </c>
      <c r="AO122" s="3">
        <f>VLOOKUP(INT(VLOOKUP(U122,模板计算相关数据!A:N,2,0)/30)+1,模板计算相关数据!$O$35:$U$40,3,0)+AE122</f>
        <v>0</v>
      </c>
      <c r="AP122" s="3">
        <f>VLOOKUP(INT(VLOOKUP(U122,模板计算相关数据!A:N,2,0)/30)+1,模板计算相关数据!$O$35:$U$40,4,0)+AF122</f>
        <v>5000</v>
      </c>
      <c r="AQ122" s="3">
        <f>VLOOKUP(INT(VLOOKUP(U122,模板计算相关数据!A:N,2,0)/30)+1,模板计算相关数据!$O$35:$U$40,5,0)+AG122</f>
        <v>0</v>
      </c>
      <c r="AR122" s="3">
        <f>VLOOKUP(INT(VLOOKUP(U122,模板计算相关数据!A:N,2,0)/30)+1,模板计算相关数据!$O$35:$U$40,6,0)+AH122</f>
        <v>0</v>
      </c>
      <c r="AS122" s="3">
        <f>VLOOKUP(INT(VLOOKUP(U122,模板计算相关数据!A:N,2,0)/30)+1,模板计算相关数据!$O$35:$U$40,7,0)+AI122</f>
        <v>0</v>
      </c>
      <c r="AT122" s="3">
        <f>VLOOKUP(INT(VLOOKUP(U122,模板计算相关数据!A:N,2,0)/30)+1,模板计算相关数据!$O$35:$V$40,8,0)</f>
        <v>0</v>
      </c>
      <c r="AU122" s="87"/>
    </row>
    <row r="123" spans="1:47" s="9" customFormat="1" x14ac:dyDescent="0.2">
      <c r="A123" s="140">
        <v>315</v>
      </c>
      <c r="B123" s="140"/>
      <c r="C123" s="87" t="s">
        <v>1913</v>
      </c>
      <c r="D123" s="69" t="s">
        <v>1660</v>
      </c>
      <c r="E123" s="2"/>
      <c r="F123" s="3">
        <v>1</v>
      </c>
      <c r="G123" s="3">
        <v>103301</v>
      </c>
      <c r="H123" s="3">
        <v>2</v>
      </c>
      <c r="I123" s="3">
        <v>5</v>
      </c>
      <c r="J123" s="3">
        <v>6</v>
      </c>
      <c r="K123" s="3">
        <v>2</v>
      </c>
      <c r="L123" s="141" t="s">
        <v>868</v>
      </c>
      <c r="M123" s="2"/>
      <c r="N123" s="2">
        <v>1</v>
      </c>
      <c r="O123" s="69"/>
      <c r="P123" s="3" t="s">
        <v>1615</v>
      </c>
      <c r="Q123" s="95">
        <f t="shared" si="3"/>
        <v>5</v>
      </c>
      <c r="R123" s="133">
        <f>IF(P123=模板计算相关数据!$W$24,VLOOKUP(X123,模板计算相关数据!$P$47:$T$50,2,0),VLOOKUP(X123,模板计算相关数据!$P$4:$U$7,3,0))</f>
        <v>5</v>
      </c>
      <c r="S123" s="62">
        <f t="shared" si="4"/>
        <v>6.6666666666666661</v>
      </c>
      <c r="T123" s="133">
        <f>IF(P123=模板计算相关数据!$W$24,VLOOKUP(X123,模板计算相关数据!$P$47:$T$50,5,0),VLOOKUP(X123,模板计算相关数据!$P$4:$U$7,6,0))</f>
        <v>6.6666666666666661</v>
      </c>
      <c r="U123" s="3">
        <v>1</v>
      </c>
      <c r="V123" s="95">
        <f t="shared" si="5"/>
        <v>1</v>
      </c>
      <c r="W123" s="29">
        <f>VLOOKUP(U123,模板计算相关数据!A:N,2,0)</f>
        <v>1</v>
      </c>
      <c r="X123" s="3" t="s">
        <v>151</v>
      </c>
      <c r="Y123" s="3" t="s">
        <v>234</v>
      </c>
      <c r="Z123" s="100">
        <v>10</v>
      </c>
      <c r="AA123" s="2">
        <v>0.1</v>
      </c>
      <c r="AB123" s="2">
        <v>1</v>
      </c>
      <c r="AC123" s="2">
        <v>1</v>
      </c>
      <c r="AD123" s="95">
        <v>0</v>
      </c>
      <c r="AE123" s="95">
        <v>0</v>
      </c>
      <c r="AF123" s="95">
        <v>0</v>
      </c>
      <c r="AG123" s="95">
        <v>0</v>
      </c>
      <c r="AH123" s="95">
        <v>0</v>
      </c>
      <c r="AI123" s="95">
        <v>0</v>
      </c>
      <c r="AJ123" s="3">
        <f>INT(VLOOKUP(U123,模板计算相关数据!A:N,4,0)*VLOOKUP(U123,模板计算相关数据!A:N,14,0)*(1+MAX(0,(VLOOKUP(U123,模板计算相关数据!A:N,7,0)-AQ123))*VLOOKUP(U123,模板计算相关数据!A:N,8,0))*(1-(AL123+AM123)*0.5/((AL123+AM123)*0.5+(VLOOKUP(U123,模板计算相关数据!A:N,2,0)+模板计算相关数据!$AC$27)*模板计算相关数据!$AC$28))*Q123*Z123)</f>
        <v>3511</v>
      </c>
      <c r="AK123" s="3">
        <f>INT(VLOOKUP(U123,模板计算相关数据!A:N,3,0)/模板计算相关数据!$W$35/(1+MAX(0,(AO123/10000-VLOOKUP(U123,模板计算相关数据!A:N,9,0)))*AP123/10000)/(1-VLOOKUP(U123,模板计算相关数据!A:N,5,0)/(VLOOKUP(U123,模板计算相关数据!A:N,5,0)+(VLOOKUP(U123,模板计算相关数据!A:N,2,0)+模板计算相关数据!$AC$27)*模板计算相关数据!$AC$28))/S123*AA123)</f>
        <v>8</v>
      </c>
      <c r="AL123" s="3">
        <f>INT(VLOOKUP(U123,模板计算相关数据!A:N,5,0)*VLOOKUP(X123,模板计算相关数据!$P$4:$T$7,4,0)*VLOOKUP(Y123,模板计算相关数据!$P$22:$U$30,4,0)*AB123)</f>
        <v>153</v>
      </c>
      <c r="AM123" s="3">
        <f>INT(VLOOKUP(U123,模板计算相关数据!A:N,6,0)*VLOOKUP(X123,模板计算相关数据!$P$4:$T$7,4,0)*VLOOKUP(Y123,模板计算相关数据!$P$22:$U$30,5,0)*AC123)</f>
        <v>277</v>
      </c>
      <c r="AN123" s="3">
        <f>VLOOKUP(U123,模板计算相关数据!A:N,10,0)*0.5*VLOOKUP(Y123,模板计算相关数据!$P$22:$U$30,6,0)+AD123</f>
        <v>225</v>
      </c>
      <c r="AO123" s="3">
        <f>VLOOKUP(INT(VLOOKUP(U123,模板计算相关数据!A:N,2,0)/30)+1,模板计算相关数据!$O$35:$U$40,3,0)+AE123</f>
        <v>0</v>
      </c>
      <c r="AP123" s="3">
        <f>VLOOKUP(INT(VLOOKUP(U123,模板计算相关数据!A:N,2,0)/30)+1,模板计算相关数据!$O$35:$U$40,4,0)+AF123</f>
        <v>5000</v>
      </c>
      <c r="AQ123" s="3">
        <f>VLOOKUP(INT(VLOOKUP(U123,模板计算相关数据!A:N,2,0)/30)+1,模板计算相关数据!$O$35:$U$40,5,0)+AG123</f>
        <v>0</v>
      </c>
      <c r="AR123" s="3">
        <f>VLOOKUP(INT(VLOOKUP(U123,模板计算相关数据!A:N,2,0)/30)+1,模板计算相关数据!$O$35:$U$40,6,0)+AH123</f>
        <v>0</v>
      </c>
      <c r="AS123" s="3">
        <f>VLOOKUP(INT(VLOOKUP(U123,模板计算相关数据!A:N,2,0)/30)+1,模板计算相关数据!$O$35:$U$40,7,0)+AI123</f>
        <v>0</v>
      </c>
      <c r="AT123" s="3">
        <f>VLOOKUP(INT(VLOOKUP(U123,模板计算相关数据!A:N,2,0)/30)+1,模板计算相关数据!$O$35:$V$40,8,0)</f>
        <v>0</v>
      </c>
      <c r="AU123" s="87"/>
    </row>
    <row r="124" spans="1:47" s="9" customFormat="1" x14ac:dyDescent="0.2">
      <c r="A124" s="140">
        <v>316</v>
      </c>
      <c r="B124" s="140"/>
      <c r="C124" s="87" t="s">
        <v>1914</v>
      </c>
      <c r="D124" s="69" t="s">
        <v>1660</v>
      </c>
      <c r="E124" s="2"/>
      <c r="F124" s="3">
        <v>1</v>
      </c>
      <c r="G124" s="3">
        <v>104201</v>
      </c>
      <c r="H124" s="3">
        <v>2</v>
      </c>
      <c r="I124" s="3">
        <v>5</v>
      </c>
      <c r="J124" s="3">
        <v>6</v>
      </c>
      <c r="K124" s="3">
        <v>2</v>
      </c>
      <c r="L124" s="141" t="s">
        <v>868</v>
      </c>
      <c r="M124" s="2"/>
      <c r="N124" s="2">
        <v>1</v>
      </c>
      <c r="O124" s="69"/>
      <c r="P124" s="3" t="s">
        <v>1615</v>
      </c>
      <c r="Q124" s="95">
        <f t="shared" si="3"/>
        <v>5</v>
      </c>
      <c r="R124" s="133">
        <f>IF(P124=模板计算相关数据!$W$24,VLOOKUP(X124,模板计算相关数据!$P$47:$T$50,2,0),VLOOKUP(X124,模板计算相关数据!$P$4:$U$7,3,0))</f>
        <v>5</v>
      </c>
      <c r="S124" s="62">
        <f t="shared" si="4"/>
        <v>6.6666666666666661</v>
      </c>
      <c r="T124" s="133">
        <f>IF(P124=模板计算相关数据!$W$24,VLOOKUP(X124,模板计算相关数据!$P$47:$T$50,5,0),VLOOKUP(X124,模板计算相关数据!$P$4:$U$7,6,0))</f>
        <v>6.6666666666666661</v>
      </c>
      <c r="U124" s="3">
        <v>1</v>
      </c>
      <c r="V124" s="95">
        <f t="shared" si="5"/>
        <v>1</v>
      </c>
      <c r="W124" s="29">
        <f>VLOOKUP(U124,模板计算相关数据!A:N,2,0)</f>
        <v>1</v>
      </c>
      <c r="X124" s="3" t="s">
        <v>151</v>
      </c>
      <c r="Y124" s="3" t="s">
        <v>234</v>
      </c>
      <c r="Z124" s="100">
        <v>10</v>
      </c>
      <c r="AA124" s="2">
        <v>0.1</v>
      </c>
      <c r="AB124" s="2">
        <v>1</v>
      </c>
      <c r="AC124" s="2">
        <v>1</v>
      </c>
      <c r="AD124" s="95">
        <v>0</v>
      </c>
      <c r="AE124" s="95">
        <v>0</v>
      </c>
      <c r="AF124" s="95">
        <v>0</v>
      </c>
      <c r="AG124" s="95">
        <v>0</v>
      </c>
      <c r="AH124" s="95">
        <v>0</v>
      </c>
      <c r="AI124" s="95">
        <v>0</v>
      </c>
      <c r="AJ124" s="3">
        <f>INT(VLOOKUP(U124,模板计算相关数据!A:N,4,0)*VLOOKUP(U124,模板计算相关数据!A:N,14,0)*(1+MAX(0,(VLOOKUP(U124,模板计算相关数据!A:N,7,0)-AQ124))*VLOOKUP(U124,模板计算相关数据!A:N,8,0))*(1-(AL124+AM124)*0.5/((AL124+AM124)*0.5+(VLOOKUP(U124,模板计算相关数据!A:N,2,0)+模板计算相关数据!$AC$27)*模板计算相关数据!$AC$28))*Q124*Z124)</f>
        <v>3511</v>
      </c>
      <c r="AK124" s="3">
        <f>INT(VLOOKUP(U124,模板计算相关数据!A:N,3,0)/模板计算相关数据!$W$35/(1+MAX(0,(AO124/10000-VLOOKUP(U124,模板计算相关数据!A:N,9,0)))*AP124/10000)/(1-VLOOKUP(U124,模板计算相关数据!A:N,5,0)/(VLOOKUP(U124,模板计算相关数据!A:N,5,0)+(VLOOKUP(U124,模板计算相关数据!A:N,2,0)+模板计算相关数据!$AC$27)*模板计算相关数据!$AC$28))/S124*AA124)</f>
        <v>8</v>
      </c>
      <c r="AL124" s="3">
        <f>INT(VLOOKUP(U124,模板计算相关数据!A:N,5,0)*VLOOKUP(X124,模板计算相关数据!$P$4:$T$7,4,0)*VLOOKUP(Y124,模板计算相关数据!$P$22:$U$30,4,0)*AB124)</f>
        <v>153</v>
      </c>
      <c r="AM124" s="3">
        <f>INT(VLOOKUP(U124,模板计算相关数据!A:N,6,0)*VLOOKUP(X124,模板计算相关数据!$P$4:$T$7,4,0)*VLOOKUP(Y124,模板计算相关数据!$P$22:$U$30,5,0)*AC124)</f>
        <v>277</v>
      </c>
      <c r="AN124" s="3">
        <f>VLOOKUP(U124,模板计算相关数据!A:N,10,0)*0.5*VLOOKUP(Y124,模板计算相关数据!$P$22:$U$30,6,0)+AD124</f>
        <v>225</v>
      </c>
      <c r="AO124" s="3">
        <f>VLOOKUP(INT(VLOOKUP(U124,模板计算相关数据!A:N,2,0)/30)+1,模板计算相关数据!$O$35:$U$40,3,0)+AE124</f>
        <v>0</v>
      </c>
      <c r="AP124" s="3">
        <f>VLOOKUP(INT(VLOOKUP(U124,模板计算相关数据!A:N,2,0)/30)+1,模板计算相关数据!$O$35:$U$40,4,0)+AF124</f>
        <v>5000</v>
      </c>
      <c r="AQ124" s="3">
        <f>VLOOKUP(INT(VLOOKUP(U124,模板计算相关数据!A:N,2,0)/30)+1,模板计算相关数据!$O$35:$U$40,5,0)+AG124</f>
        <v>0</v>
      </c>
      <c r="AR124" s="3">
        <f>VLOOKUP(INT(VLOOKUP(U124,模板计算相关数据!A:N,2,0)/30)+1,模板计算相关数据!$O$35:$U$40,6,0)+AH124</f>
        <v>0</v>
      </c>
      <c r="AS124" s="3">
        <f>VLOOKUP(INT(VLOOKUP(U124,模板计算相关数据!A:N,2,0)/30)+1,模板计算相关数据!$O$35:$U$40,7,0)+AI124</f>
        <v>0</v>
      </c>
      <c r="AT124" s="3">
        <f>VLOOKUP(INT(VLOOKUP(U124,模板计算相关数据!A:N,2,0)/30)+1,模板计算相关数据!$O$35:$V$40,8,0)</f>
        <v>0</v>
      </c>
      <c r="AU124" s="87"/>
    </row>
    <row r="125" spans="1:47" s="9" customFormat="1" x14ac:dyDescent="0.2">
      <c r="A125" s="140">
        <v>317</v>
      </c>
      <c r="B125" s="140"/>
      <c r="C125" s="87" t="s">
        <v>1915</v>
      </c>
      <c r="D125" s="69" t="s">
        <v>1660</v>
      </c>
      <c r="E125" s="2"/>
      <c r="F125" s="3">
        <v>1</v>
      </c>
      <c r="G125" s="3">
        <v>100301</v>
      </c>
      <c r="H125" s="3">
        <v>2</v>
      </c>
      <c r="I125" s="3">
        <v>5</v>
      </c>
      <c r="J125" s="3">
        <v>6</v>
      </c>
      <c r="K125" s="3">
        <v>2</v>
      </c>
      <c r="L125" s="141" t="s">
        <v>868</v>
      </c>
      <c r="M125" s="2"/>
      <c r="N125" s="2">
        <v>1</v>
      </c>
      <c r="O125" s="69"/>
      <c r="P125" s="3" t="s">
        <v>1615</v>
      </c>
      <c r="Q125" s="95">
        <f t="shared" si="3"/>
        <v>5</v>
      </c>
      <c r="R125" s="133">
        <f>IF(P125=模板计算相关数据!$W$24,VLOOKUP(X125,模板计算相关数据!$P$47:$T$50,2,0),VLOOKUP(X125,模板计算相关数据!$P$4:$U$7,3,0))</f>
        <v>5</v>
      </c>
      <c r="S125" s="62">
        <f t="shared" si="4"/>
        <v>6.6666666666666661</v>
      </c>
      <c r="T125" s="133">
        <f>IF(P125=模板计算相关数据!$W$24,VLOOKUP(X125,模板计算相关数据!$P$47:$T$50,5,0),VLOOKUP(X125,模板计算相关数据!$P$4:$U$7,6,0))</f>
        <v>6.6666666666666661</v>
      </c>
      <c r="U125" s="3">
        <v>1</v>
      </c>
      <c r="V125" s="95">
        <f t="shared" si="5"/>
        <v>1</v>
      </c>
      <c r="W125" s="29">
        <f>VLOOKUP(U125,模板计算相关数据!A:N,2,0)</f>
        <v>1</v>
      </c>
      <c r="X125" s="3" t="s">
        <v>151</v>
      </c>
      <c r="Y125" s="3" t="s">
        <v>234</v>
      </c>
      <c r="Z125" s="100">
        <v>10</v>
      </c>
      <c r="AA125" s="2">
        <v>0.1</v>
      </c>
      <c r="AB125" s="2">
        <v>1</v>
      </c>
      <c r="AC125" s="2">
        <v>1</v>
      </c>
      <c r="AD125" s="95">
        <v>0</v>
      </c>
      <c r="AE125" s="95">
        <v>0</v>
      </c>
      <c r="AF125" s="95">
        <v>0</v>
      </c>
      <c r="AG125" s="95">
        <v>0</v>
      </c>
      <c r="AH125" s="95">
        <v>0</v>
      </c>
      <c r="AI125" s="95">
        <v>0</v>
      </c>
      <c r="AJ125" s="3">
        <f>INT(VLOOKUP(U125,模板计算相关数据!A:N,4,0)*VLOOKUP(U125,模板计算相关数据!A:N,14,0)*(1+MAX(0,(VLOOKUP(U125,模板计算相关数据!A:N,7,0)-AQ125))*VLOOKUP(U125,模板计算相关数据!A:N,8,0))*(1-(AL125+AM125)*0.5/((AL125+AM125)*0.5+(VLOOKUP(U125,模板计算相关数据!A:N,2,0)+模板计算相关数据!$AC$27)*模板计算相关数据!$AC$28))*Q125*Z125)</f>
        <v>3511</v>
      </c>
      <c r="AK125" s="3">
        <f>INT(VLOOKUP(U125,模板计算相关数据!A:N,3,0)/模板计算相关数据!$W$35/(1+MAX(0,(AO125/10000-VLOOKUP(U125,模板计算相关数据!A:N,9,0)))*AP125/10000)/(1-VLOOKUP(U125,模板计算相关数据!A:N,5,0)/(VLOOKUP(U125,模板计算相关数据!A:N,5,0)+(VLOOKUP(U125,模板计算相关数据!A:N,2,0)+模板计算相关数据!$AC$27)*模板计算相关数据!$AC$28))/S125*AA125)</f>
        <v>8</v>
      </c>
      <c r="AL125" s="3">
        <f>INT(VLOOKUP(U125,模板计算相关数据!A:N,5,0)*VLOOKUP(X125,模板计算相关数据!$P$4:$T$7,4,0)*VLOOKUP(Y125,模板计算相关数据!$P$22:$U$30,4,0)*AB125)</f>
        <v>153</v>
      </c>
      <c r="AM125" s="3">
        <f>INT(VLOOKUP(U125,模板计算相关数据!A:N,6,0)*VLOOKUP(X125,模板计算相关数据!$P$4:$T$7,4,0)*VLOOKUP(Y125,模板计算相关数据!$P$22:$U$30,5,0)*AC125)</f>
        <v>277</v>
      </c>
      <c r="AN125" s="3">
        <f>VLOOKUP(U125,模板计算相关数据!A:N,10,0)*0.5*VLOOKUP(Y125,模板计算相关数据!$P$22:$U$30,6,0)+AD125</f>
        <v>225</v>
      </c>
      <c r="AO125" s="3">
        <f>VLOOKUP(INT(VLOOKUP(U125,模板计算相关数据!A:N,2,0)/30)+1,模板计算相关数据!$O$35:$U$40,3,0)+AE125</f>
        <v>0</v>
      </c>
      <c r="AP125" s="3">
        <f>VLOOKUP(INT(VLOOKUP(U125,模板计算相关数据!A:N,2,0)/30)+1,模板计算相关数据!$O$35:$U$40,4,0)+AF125</f>
        <v>5000</v>
      </c>
      <c r="AQ125" s="3">
        <f>VLOOKUP(INT(VLOOKUP(U125,模板计算相关数据!A:N,2,0)/30)+1,模板计算相关数据!$O$35:$U$40,5,0)+AG125</f>
        <v>0</v>
      </c>
      <c r="AR125" s="3">
        <f>VLOOKUP(INT(VLOOKUP(U125,模板计算相关数据!A:N,2,0)/30)+1,模板计算相关数据!$O$35:$U$40,6,0)+AH125</f>
        <v>0</v>
      </c>
      <c r="AS125" s="3">
        <f>VLOOKUP(INT(VLOOKUP(U125,模板计算相关数据!A:N,2,0)/30)+1,模板计算相关数据!$O$35:$U$40,7,0)+AI125</f>
        <v>0</v>
      </c>
      <c r="AT125" s="3">
        <f>VLOOKUP(INT(VLOOKUP(U125,模板计算相关数据!A:N,2,0)/30)+1,模板计算相关数据!$O$35:$V$40,8,0)</f>
        <v>0</v>
      </c>
      <c r="AU125" s="87"/>
    </row>
    <row r="126" spans="1:47" s="9" customFormat="1" x14ac:dyDescent="0.2">
      <c r="A126" s="85">
        <v>318</v>
      </c>
      <c r="B126" s="85"/>
      <c r="C126" s="87" t="s">
        <v>1917</v>
      </c>
      <c r="D126" s="69" t="s">
        <v>1660</v>
      </c>
      <c r="E126" s="2"/>
      <c r="F126" s="3">
        <v>1</v>
      </c>
      <c r="G126" s="3">
        <v>105501</v>
      </c>
      <c r="H126" s="3">
        <v>2</v>
      </c>
      <c r="I126" s="3">
        <v>5</v>
      </c>
      <c r="J126" s="3">
        <v>6</v>
      </c>
      <c r="K126" s="3">
        <v>2</v>
      </c>
      <c r="L126" s="61" t="s">
        <v>853</v>
      </c>
      <c r="M126" s="2"/>
      <c r="N126" s="2">
        <v>1</v>
      </c>
      <c r="O126" s="69"/>
      <c r="P126" s="3" t="s">
        <v>1615</v>
      </c>
      <c r="Q126" s="95">
        <f t="shared" si="3"/>
        <v>5</v>
      </c>
      <c r="R126" s="133">
        <f>IF(P126=模板计算相关数据!$W$24,VLOOKUP(X126,模板计算相关数据!$P$47:$T$50,2,0),VLOOKUP(X126,模板计算相关数据!$P$4:$U$7,3,0))</f>
        <v>5</v>
      </c>
      <c r="S126" s="62">
        <f t="shared" si="4"/>
        <v>6.6666666666666661</v>
      </c>
      <c r="T126" s="133">
        <f>IF(P126=模板计算相关数据!$W$24,VLOOKUP(X126,模板计算相关数据!$P$47:$T$50,5,0),VLOOKUP(X126,模板计算相关数据!$P$4:$U$7,6,0))</f>
        <v>6.6666666666666661</v>
      </c>
      <c r="U126" s="3">
        <v>1</v>
      </c>
      <c r="V126" s="95">
        <f t="shared" si="5"/>
        <v>1</v>
      </c>
      <c r="W126" s="29">
        <f>VLOOKUP(U126,模板计算相关数据!A:N,2,0)</f>
        <v>1</v>
      </c>
      <c r="X126" s="3" t="s">
        <v>151</v>
      </c>
      <c r="Y126" s="3" t="s">
        <v>234</v>
      </c>
      <c r="Z126" s="100">
        <v>10</v>
      </c>
      <c r="AA126" s="2">
        <v>0.1</v>
      </c>
      <c r="AB126" s="2">
        <v>1</v>
      </c>
      <c r="AC126" s="2">
        <v>1</v>
      </c>
      <c r="AD126" s="95">
        <v>0</v>
      </c>
      <c r="AE126" s="95">
        <v>0</v>
      </c>
      <c r="AF126" s="95">
        <v>0</v>
      </c>
      <c r="AG126" s="95">
        <v>0</v>
      </c>
      <c r="AH126" s="95">
        <v>0</v>
      </c>
      <c r="AI126" s="95">
        <v>0</v>
      </c>
      <c r="AJ126" s="3">
        <f>INT(VLOOKUP(U126,模板计算相关数据!A:N,4,0)*VLOOKUP(U126,模板计算相关数据!A:N,14,0)*(1+MAX(0,(VLOOKUP(U126,模板计算相关数据!A:N,7,0)-AQ126))*VLOOKUP(U126,模板计算相关数据!A:N,8,0))*(1-(AL126+AM126)*0.5/((AL126+AM126)*0.5+(VLOOKUP(U126,模板计算相关数据!A:N,2,0)+模板计算相关数据!$AC$27)*模板计算相关数据!$AC$28))*Q126*Z126)</f>
        <v>3511</v>
      </c>
      <c r="AK126" s="3">
        <f>INT(VLOOKUP(U126,模板计算相关数据!A:N,3,0)/模板计算相关数据!$W$35/(1+MAX(0,(AO126/10000-VLOOKUP(U126,模板计算相关数据!A:N,9,0)))*AP126/10000)/(1-VLOOKUP(U126,模板计算相关数据!A:N,5,0)/(VLOOKUP(U126,模板计算相关数据!A:N,5,0)+(VLOOKUP(U126,模板计算相关数据!A:N,2,0)+模板计算相关数据!$AC$27)*模板计算相关数据!$AC$28))/S126*AA126)</f>
        <v>8</v>
      </c>
      <c r="AL126" s="3">
        <f>INT(VLOOKUP(U126,模板计算相关数据!A:N,5,0)*VLOOKUP(X126,模板计算相关数据!$P$4:$T$7,4,0)*VLOOKUP(Y126,模板计算相关数据!$P$22:$U$30,4,0)*AB126)</f>
        <v>153</v>
      </c>
      <c r="AM126" s="3">
        <f>INT(VLOOKUP(U126,模板计算相关数据!A:N,6,0)*VLOOKUP(X126,模板计算相关数据!$P$4:$T$7,4,0)*VLOOKUP(Y126,模板计算相关数据!$P$22:$U$30,5,0)*AC126)</f>
        <v>277</v>
      </c>
      <c r="AN126" s="3">
        <f>VLOOKUP(U126,模板计算相关数据!A:N,10,0)*0.5*VLOOKUP(Y126,模板计算相关数据!$P$22:$U$30,6,0)+AD126</f>
        <v>225</v>
      </c>
      <c r="AO126" s="3">
        <f>VLOOKUP(INT(VLOOKUP(U126,模板计算相关数据!A:N,2,0)/30)+1,模板计算相关数据!$O$35:$U$40,3,0)+AE126</f>
        <v>0</v>
      </c>
      <c r="AP126" s="3">
        <f>VLOOKUP(INT(VLOOKUP(U126,模板计算相关数据!A:N,2,0)/30)+1,模板计算相关数据!$O$35:$U$40,4,0)+AF126</f>
        <v>5000</v>
      </c>
      <c r="AQ126" s="3">
        <f>VLOOKUP(INT(VLOOKUP(U126,模板计算相关数据!A:N,2,0)/30)+1,模板计算相关数据!$O$35:$U$40,5,0)+AG126</f>
        <v>0</v>
      </c>
      <c r="AR126" s="3">
        <f>VLOOKUP(INT(VLOOKUP(U126,模板计算相关数据!A:N,2,0)/30)+1,模板计算相关数据!$O$35:$U$40,6,0)+AH126</f>
        <v>0</v>
      </c>
      <c r="AS126" s="3">
        <f>VLOOKUP(INT(VLOOKUP(U126,模板计算相关数据!A:N,2,0)/30)+1,模板计算相关数据!$O$35:$U$40,7,0)+AI126</f>
        <v>0</v>
      </c>
      <c r="AT126" s="3">
        <f>VLOOKUP(INT(VLOOKUP(U126,模板计算相关数据!A:N,2,0)/30)+1,模板计算相关数据!$O$35:$V$40,8,0)</f>
        <v>0</v>
      </c>
      <c r="AU126" s="87"/>
    </row>
    <row r="127" spans="1:47" s="9" customFormat="1" x14ac:dyDescent="0.2">
      <c r="A127" s="85">
        <v>319</v>
      </c>
      <c r="B127" s="85"/>
      <c r="C127" s="87" t="s">
        <v>829</v>
      </c>
      <c r="D127" s="69" t="s">
        <v>1660</v>
      </c>
      <c r="E127" s="2"/>
      <c r="F127" s="3">
        <v>1</v>
      </c>
      <c r="G127" s="3">
        <v>105601</v>
      </c>
      <c r="H127" s="3">
        <v>2</v>
      </c>
      <c r="I127" s="3">
        <v>5</v>
      </c>
      <c r="J127" s="3">
        <v>6</v>
      </c>
      <c r="K127" s="3">
        <v>2</v>
      </c>
      <c r="L127" s="68" t="s">
        <v>1924</v>
      </c>
      <c r="M127" s="2"/>
      <c r="N127" s="2">
        <v>1</v>
      </c>
      <c r="O127" s="69"/>
      <c r="P127" s="3" t="s">
        <v>1615</v>
      </c>
      <c r="Q127" s="95">
        <f t="shared" si="3"/>
        <v>5</v>
      </c>
      <c r="R127" s="133">
        <f>IF(P127=模板计算相关数据!$W$24,VLOOKUP(X127,模板计算相关数据!$P$47:$T$50,2,0),VLOOKUP(X127,模板计算相关数据!$P$4:$U$7,3,0))</f>
        <v>5</v>
      </c>
      <c r="S127" s="62">
        <f t="shared" si="4"/>
        <v>6.6666666666666661</v>
      </c>
      <c r="T127" s="133">
        <f>IF(P127=模板计算相关数据!$W$24,VLOOKUP(X127,模板计算相关数据!$P$47:$T$50,5,0),VLOOKUP(X127,模板计算相关数据!$P$4:$U$7,6,0))</f>
        <v>6.6666666666666661</v>
      </c>
      <c r="U127" s="3">
        <v>1</v>
      </c>
      <c r="V127" s="95">
        <f t="shared" si="5"/>
        <v>1</v>
      </c>
      <c r="W127" s="29">
        <f>VLOOKUP(U127,模板计算相关数据!A:N,2,0)</f>
        <v>1</v>
      </c>
      <c r="X127" s="3" t="s">
        <v>151</v>
      </c>
      <c r="Y127" s="3" t="s">
        <v>234</v>
      </c>
      <c r="Z127" s="100">
        <v>10</v>
      </c>
      <c r="AA127" s="2">
        <v>0.1</v>
      </c>
      <c r="AB127" s="2">
        <v>1</v>
      </c>
      <c r="AC127" s="2">
        <v>1</v>
      </c>
      <c r="AD127" s="95">
        <v>0</v>
      </c>
      <c r="AE127" s="95">
        <v>0</v>
      </c>
      <c r="AF127" s="95">
        <v>0</v>
      </c>
      <c r="AG127" s="95">
        <v>0</v>
      </c>
      <c r="AH127" s="95">
        <v>0</v>
      </c>
      <c r="AI127" s="95">
        <v>0</v>
      </c>
      <c r="AJ127" s="3">
        <f>INT(VLOOKUP(U127,模板计算相关数据!A:N,4,0)*VLOOKUP(U127,模板计算相关数据!A:N,14,0)*(1+MAX(0,(VLOOKUP(U127,模板计算相关数据!A:N,7,0)-AQ127))*VLOOKUP(U127,模板计算相关数据!A:N,8,0))*(1-(AL127+AM127)*0.5/((AL127+AM127)*0.5+(VLOOKUP(U127,模板计算相关数据!A:N,2,0)+模板计算相关数据!$AC$27)*模板计算相关数据!$AC$28))*Q127*Z127)</f>
        <v>3511</v>
      </c>
      <c r="AK127" s="3">
        <f>INT(VLOOKUP(U127,模板计算相关数据!A:N,3,0)/模板计算相关数据!$W$35/(1+MAX(0,(AO127/10000-VLOOKUP(U127,模板计算相关数据!A:N,9,0)))*AP127/10000)/(1-VLOOKUP(U127,模板计算相关数据!A:N,5,0)/(VLOOKUP(U127,模板计算相关数据!A:N,5,0)+(VLOOKUP(U127,模板计算相关数据!A:N,2,0)+模板计算相关数据!$AC$27)*模板计算相关数据!$AC$28))/S127*AA127)</f>
        <v>8</v>
      </c>
      <c r="AL127" s="3">
        <f>INT(VLOOKUP(U127,模板计算相关数据!A:N,5,0)*VLOOKUP(X127,模板计算相关数据!$P$4:$T$7,4,0)*VLOOKUP(Y127,模板计算相关数据!$P$22:$U$30,4,0)*AB127)</f>
        <v>153</v>
      </c>
      <c r="AM127" s="3">
        <f>INT(VLOOKUP(U127,模板计算相关数据!A:N,6,0)*VLOOKUP(X127,模板计算相关数据!$P$4:$T$7,4,0)*VLOOKUP(Y127,模板计算相关数据!$P$22:$U$30,5,0)*AC127)</f>
        <v>277</v>
      </c>
      <c r="AN127" s="3">
        <f>VLOOKUP(U127,模板计算相关数据!A:N,10,0)*0.5*VLOOKUP(Y127,模板计算相关数据!$P$22:$U$30,6,0)+AD127</f>
        <v>225</v>
      </c>
      <c r="AO127" s="3">
        <f>VLOOKUP(INT(VLOOKUP(U127,模板计算相关数据!A:N,2,0)/30)+1,模板计算相关数据!$O$35:$U$40,3,0)+AE127</f>
        <v>0</v>
      </c>
      <c r="AP127" s="3">
        <f>VLOOKUP(INT(VLOOKUP(U127,模板计算相关数据!A:N,2,0)/30)+1,模板计算相关数据!$O$35:$U$40,4,0)+AF127</f>
        <v>5000</v>
      </c>
      <c r="AQ127" s="3">
        <f>VLOOKUP(INT(VLOOKUP(U127,模板计算相关数据!A:N,2,0)/30)+1,模板计算相关数据!$O$35:$U$40,5,0)+AG127</f>
        <v>0</v>
      </c>
      <c r="AR127" s="3">
        <f>VLOOKUP(INT(VLOOKUP(U127,模板计算相关数据!A:N,2,0)/30)+1,模板计算相关数据!$O$35:$U$40,6,0)+AH127</f>
        <v>0</v>
      </c>
      <c r="AS127" s="3">
        <f>VLOOKUP(INT(VLOOKUP(U127,模板计算相关数据!A:N,2,0)/30)+1,模板计算相关数据!$O$35:$U$40,7,0)+AI127</f>
        <v>0</v>
      </c>
      <c r="AT127" s="3">
        <f>VLOOKUP(INT(VLOOKUP(U127,模板计算相关数据!A:N,2,0)/30)+1,模板计算相关数据!$O$35:$V$40,8,0)</f>
        <v>0</v>
      </c>
      <c r="AU127" s="87"/>
    </row>
    <row r="128" spans="1:47" s="9" customFormat="1" x14ac:dyDescent="0.2">
      <c r="A128" s="140">
        <v>320</v>
      </c>
      <c r="B128" s="140"/>
      <c r="C128" s="87" t="s">
        <v>1940</v>
      </c>
      <c r="D128" s="69" t="s">
        <v>1660</v>
      </c>
      <c r="E128" s="2"/>
      <c r="F128" s="3">
        <v>1</v>
      </c>
      <c r="G128" s="3">
        <v>103201</v>
      </c>
      <c r="H128" s="3">
        <v>2</v>
      </c>
      <c r="I128" s="3">
        <v>5</v>
      </c>
      <c r="J128" s="3">
        <v>6</v>
      </c>
      <c r="K128" s="3">
        <v>2</v>
      </c>
      <c r="L128" s="141" t="s">
        <v>853</v>
      </c>
      <c r="M128" s="2"/>
      <c r="N128" s="2">
        <v>1</v>
      </c>
      <c r="O128" s="69"/>
      <c r="P128" s="3" t="s">
        <v>1615</v>
      </c>
      <c r="Q128" s="95">
        <f t="shared" ref="Q128:Q131" si="6">R128</f>
        <v>5</v>
      </c>
      <c r="R128" s="133">
        <f>IF(P128=模板计算相关数据!$W$24,VLOOKUP(X128,模板计算相关数据!$P$47:$T$50,2,0),VLOOKUP(X128,模板计算相关数据!$P$4:$U$7,3,0))</f>
        <v>5</v>
      </c>
      <c r="S128" s="62">
        <f t="shared" ref="S128:S131" si="7">T128</f>
        <v>6.6666666666666661</v>
      </c>
      <c r="T128" s="133">
        <f>IF(P128=模板计算相关数据!$W$24,VLOOKUP(X128,模板计算相关数据!$P$47:$T$50,5,0),VLOOKUP(X128,模板计算相关数据!$P$4:$U$7,6,0))</f>
        <v>6.6666666666666661</v>
      </c>
      <c r="U128" s="3">
        <v>1</v>
      </c>
      <c r="V128" s="95">
        <f t="shared" si="5"/>
        <v>1</v>
      </c>
      <c r="W128" s="29">
        <f>VLOOKUP(U128,模板计算相关数据!A:N,2,0)</f>
        <v>1</v>
      </c>
      <c r="X128" s="3" t="s">
        <v>151</v>
      </c>
      <c r="Y128" s="3" t="s">
        <v>234</v>
      </c>
      <c r="Z128" s="100">
        <v>10</v>
      </c>
      <c r="AA128" s="2">
        <v>0.1</v>
      </c>
      <c r="AB128" s="2">
        <v>1</v>
      </c>
      <c r="AC128" s="2">
        <v>1</v>
      </c>
      <c r="AD128" s="95">
        <v>0</v>
      </c>
      <c r="AE128" s="95">
        <v>0</v>
      </c>
      <c r="AF128" s="95">
        <v>0</v>
      </c>
      <c r="AG128" s="95">
        <v>0</v>
      </c>
      <c r="AH128" s="95">
        <v>0</v>
      </c>
      <c r="AI128" s="95">
        <v>0</v>
      </c>
      <c r="AJ128" s="3">
        <f>INT(VLOOKUP(U128,模板计算相关数据!A:N,4,0)*VLOOKUP(U128,模板计算相关数据!A:N,14,0)*(1+MAX(0,(VLOOKUP(U128,模板计算相关数据!A:N,7,0)-AQ128))*VLOOKUP(U128,模板计算相关数据!A:N,8,0))*(1-(AL128+AM128)*0.5/((AL128+AM128)*0.5+(VLOOKUP(U128,模板计算相关数据!A:N,2,0)+模板计算相关数据!$AC$27)*模板计算相关数据!$AC$28))*Q128*Z128)</f>
        <v>3511</v>
      </c>
      <c r="AK128" s="3">
        <f>INT(VLOOKUP(U128,模板计算相关数据!A:N,3,0)/模板计算相关数据!$W$35/(1+MAX(0,(AO128/10000-VLOOKUP(U128,模板计算相关数据!A:N,9,0)))*AP128/10000)/(1-VLOOKUP(U128,模板计算相关数据!A:N,5,0)/(VLOOKUP(U128,模板计算相关数据!A:N,5,0)+(VLOOKUP(U128,模板计算相关数据!A:N,2,0)+模板计算相关数据!$AC$27)*模板计算相关数据!$AC$28))/S128*AA128)</f>
        <v>8</v>
      </c>
      <c r="AL128" s="3">
        <f>INT(VLOOKUP(U128,模板计算相关数据!A:N,5,0)*VLOOKUP(X128,模板计算相关数据!$P$4:$T$7,4,0)*VLOOKUP(Y128,模板计算相关数据!$P$22:$U$30,4,0)*AB128)</f>
        <v>153</v>
      </c>
      <c r="AM128" s="3">
        <f>INT(VLOOKUP(U128,模板计算相关数据!A:N,6,0)*VLOOKUP(X128,模板计算相关数据!$P$4:$T$7,4,0)*VLOOKUP(Y128,模板计算相关数据!$P$22:$U$30,5,0)*AC128)</f>
        <v>277</v>
      </c>
      <c r="AN128" s="3">
        <f>VLOOKUP(U128,模板计算相关数据!A:N,10,0)*0.5*VLOOKUP(Y128,模板计算相关数据!$P$22:$U$30,6,0)+AD128</f>
        <v>225</v>
      </c>
      <c r="AO128" s="3">
        <f>VLOOKUP(INT(VLOOKUP(U128,模板计算相关数据!A:N,2,0)/30)+1,模板计算相关数据!$O$35:$U$40,3,0)+AE128</f>
        <v>0</v>
      </c>
      <c r="AP128" s="3">
        <f>VLOOKUP(INT(VLOOKUP(U128,模板计算相关数据!A:N,2,0)/30)+1,模板计算相关数据!$O$35:$U$40,4,0)+AF128</f>
        <v>5000</v>
      </c>
      <c r="AQ128" s="3">
        <f>VLOOKUP(INT(VLOOKUP(U128,模板计算相关数据!A:N,2,0)/30)+1,模板计算相关数据!$O$35:$U$40,5,0)+AG128</f>
        <v>0</v>
      </c>
      <c r="AR128" s="3">
        <f>VLOOKUP(INT(VLOOKUP(U128,模板计算相关数据!A:N,2,0)/30)+1,模板计算相关数据!$O$35:$U$40,6,0)+AH128</f>
        <v>0</v>
      </c>
      <c r="AS128" s="3">
        <f>VLOOKUP(INT(VLOOKUP(U128,模板计算相关数据!A:N,2,0)/30)+1,模板计算相关数据!$O$35:$U$40,7,0)+AI128</f>
        <v>0</v>
      </c>
      <c r="AT128" s="3">
        <f>VLOOKUP(INT(VLOOKUP(U128,模板计算相关数据!A:N,2,0)/30)+1,模板计算相关数据!$O$35:$V$40,8,0)</f>
        <v>0</v>
      </c>
      <c r="AU128" s="87"/>
    </row>
    <row r="129" spans="1:47" s="9" customFormat="1" x14ac:dyDescent="0.2">
      <c r="A129" s="140">
        <v>321</v>
      </c>
      <c r="B129" s="140"/>
      <c r="C129" s="87" t="s">
        <v>1941</v>
      </c>
      <c r="D129" s="69" t="s">
        <v>1660</v>
      </c>
      <c r="E129" s="2"/>
      <c r="F129" s="3">
        <v>1</v>
      </c>
      <c r="G129" s="3">
        <v>100101</v>
      </c>
      <c r="H129" s="3">
        <v>2</v>
      </c>
      <c r="I129" s="3">
        <v>5</v>
      </c>
      <c r="J129" s="3">
        <v>6</v>
      </c>
      <c r="K129" s="3">
        <v>2</v>
      </c>
      <c r="L129" s="141" t="s">
        <v>853</v>
      </c>
      <c r="M129" s="2"/>
      <c r="N129" s="2">
        <v>1</v>
      </c>
      <c r="O129" s="69"/>
      <c r="P129" s="3" t="s">
        <v>1615</v>
      </c>
      <c r="Q129" s="95">
        <f t="shared" si="6"/>
        <v>5</v>
      </c>
      <c r="R129" s="133">
        <f>IF(P129=模板计算相关数据!$W$24,VLOOKUP(X129,模板计算相关数据!$P$47:$T$50,2,0),VLOOKUP(X129,模板计算相关数据!$P$4:$U$7,3,0))</f>
        <v>5</v>
      </c>
      <c r="S129" s="62">
        <f t="shared" si="7"/>
        <v>6.6666666666666661</v>
      </c>
      <c r="T129" s="133">
        <f>IF(P129=模板计算相关数据!$W$24,VLOOKUP(X129,模板计算相关数据!$P$47:$T$50,5,0),VLOOKUP(X129,模板计算相关数据!$P$4:$U$7,6,0))</f>
        <v>6.6666666666666661</v>
      </c>
      <c r="U129" s="3">
        <v>1</v>
      </c>
      <c r="V129" s="95">
        <f t="shared" si="5"/>
        <v>1</v>
      </c>
      <c r="W129" s="29">
        <f>VLOOKUP(U129,模板计算相关数据!A:N,2,0)</f>
        <v>1</v>
      </c>
      <c r="X129" s="3" t="s">
        <v>151</v>
      </c>
      <c r="Y129" s="3" t="s">
        <v>234</v>
      </c>
      <c r="Z129" s="100">
        <v>10</v>
      </c>
      <c r="AA129" s="2">
        <v>0.1</v>
      </c>
      <c r="AB129" s="2">
        <v>1</v>
      </c>
      <c r="AC129" s="2">
        <v>1</v>
      </c>
      <c r="AD129" s="95">
        <v>0</v>
      </c>
      <c r="AE129" s="95">
        <v>0</v>
      </c>
      <c r="AF129" s="95">
        <v>0</v>
      </c>
      <c r="AG129" s="95">
        <v>0</v>
      </c>
      <c r="AH129" s="95">
        <v>0</v>
      </c>
      <c r="AI129" s="95">
        <v>0</v>
      </c>
      <c r="AJ129" s="3">
        <f>INT(VLOOKUP(U129,模板计算相关数据!A:N,4,0)*VLOOKUP(U129,模板计算相关数据!A:N,14,0)*(1+MAX(0,(VLOOKUP(U129,模板计算相关数据!A:N,7,0)-AQ129))*VLOOKUP(U129,模板计算相关数据!A:N,8,0))*(1-(AL129+AM129)*0.5/((AL129+AM129)*0.5+(VLOOKUP(U129,模板计算相关数据!A:N,2,0)+模板计算相关数据!$AC$27)*模板计算相关数据!$AC$28))*Q129*Z129)</f>
        <v>3511</v>
      </c>
      <c r="AK129" s="3">
        <f>INT(VLOOKUP(U129,模板计算相关数据!A:N,3,0)/模板计算相关数据!$W$35/(1+MAX(0,(AO129/10000-VLOOKUP(U129,模板计算相关数据!A:N,9,0)))*AP129/10000)/(1-VLOOKUP(U129,模板计算相关数据!A:N,5,0)/(VLOOKUP(U129,模板计算相关数据!A:N,5,0)+(VLOOKUP(U129,模板计算相关数据!A:N,2,0)+模板计算相关数据!$AC$27)*模板计算相关数据!$AC$28))/S129*AA129)</f>
        <v>8</v>
      </c>
      <c r="AL129" s="3">
        <f>INT(VLOOKUP(U129,模板计算相关数据!A:N,5,0)*VLOOKUP(X129,模板计算相关数据!$P$4:$T$7,4,0)*VLOOKUP(Y129,模板计算相关数据!$P$22:$U$30,4,0)*AB129)</f>
        <v>153</v>
      </c>
      <c r="AM129" s="3">
        <f>INT(VLOOKUP(U129,模板计算相关数据!A:N,6,0)*VLOOKUP(X129,模板计算相关数据!$P$4:$T$7,4,0)*VLOOKUP(Y129,模板计算相关数据!$P$22:$U$30,5,0)*AC129)</f>
        <v>277</v>
      </c>
      <c r="AN129" s="3">
        <f>VLOOKUP(U129,模板计算相关数据!A:N,10,0)*0.5*VLOOKUP(Y129,模板计算相关数据!$P$22:$U$30,6,0)+AD129</f>
        <v>225</v>
      </c>
      <c r="AO129" s="3">
        <f>VLOOKUP(INT(VLOOKUP(U129,模板计算相关数据!A:N,2,0)/30)+1,模板计算相关数据!$O$35:$U$40,3,0)+AE129</f>
        <v>0</v>
      </c>
      <c r="AP129" s="3">
        <f>VLOOKUP(INT(VLOOKUP(U129,模板计算相关数据!A:N,2,0)/30)+1,模板计算相关数据!$O$35:$U$40,4,0)+AF129</f>
        <v>5000</v>
      </c>
      <c r="AQ129" s="3">
        <f>VLOOKUP(INT(VLOOKUP(U129,模板计算相关数据!A:N,2,0)/30)+1,模板计算相关数据!$O$35:$U$40,5,0)+AG129</f>
        <v>0</v>
      </c>
      <c r="AR129" s="3">
        <f>VLOOKUP(INT(VLOOKUP(U129,模板计算相关数据!A:N,2,0)/30)+1,模板计算相关数据!$O$35:$U$40,6,0)+AH129</f>
        <v>0</v>
      </c>
      <c r="AS129" s="3">
        <f>VLOOKUP(INT(VLOOKUP(U129,模板计算相关数据!A:N,2,0)/30)+1,模板计算相关数据!$O$35:$U$40,7,0)+AI129</f>
        <v>0</v>
      </c>
      <c r="AT129" s="3">
        <f>VLOOKUP(INT(VLOOKUP(U129,模板计算相关数据!A:N,2,0)/30)+1,模板计算相关数据!$O$35:$V$40,8,0)</f>
        <v>0</v>
      </c>
      <c r="AU129" s="87"/>
    </row>
    <row r="130" spans="1:47" s="9" customFormat="1" x14ac:dyDescent="0.2">
      <c r="A130" s="140">
        <v>322</v>
      </c>
      <c r="B130" s="140"/>
      <c r="C130" s="87" t="s">
        <v>1942</v>
      </c>
      <c r="D130" s="69" t="s">
        <v>1660</v>
      </c>
      <c r="E130" s="2"/>
      <c r="F130" s="3">
        <v>1</v>
      </c>
      <c r="G130" s="3">
        <v>102801</v>
      </c>
      <c r="H130" s="3">
        <v>2</v>
      </c>
      <c r="I130" s="3">
        <v>5</v>
      </c>
      <c r="J130" s="3">
        <v>6</v>
      </c>
      <c r="K130" s="3">
        <v>2</v>
      </c>
      <c r="L130" s="141" t="s">
        <v>853</v>
      </c>
      <c r="M130" s="2"/>
      <c r="N130" s="2">
        <v>1</v>
      </c>
      <c r="O130" s="69"/>
      <c r="P130" s="3" t="s">
        <v>1615</v>
      </c>
      <c r="Q130" s="95">
        <f t="shared" si="6"/>
        <v>5</v>
      </c>
      <c r="R130" s="133">
        <f>IF(P130=模板计算相关数据!$W$24,VLOOKUP(X130,模板计算相关数据!$P$47:$T$50,2,0),VLOOKUP(X130,模板计算相关数据!$P$4:$U$7,3,0))</f>
        <v>5</v>
      </c>
      <c r="S130" s="62">
        <f t="shared" si="7"/>
        <v>6.6666666666666661</v>
      </c>
      <c r="T130" s="133">
        <f>IF(P130=模板计算相关数据!$W$24,VLOOKUP(X130,模板计算相关数据!$P$47:$T$50,5,0),VLOOKUP(X130,模板计算相关数据!$P$4:$U$7,6,0))</f>
        <v>6.6666666666666661</v>
      </c>
      <c r="U130" s="3">
        <v>1</v>
      </c>
      <c r="V130" s="95">
        <f t="shared" si="5"/>
        <v>1</v>
      </c>
      <c r="W130" s="29">
        <f>VLOOKUP(U130,模板计算相关数据!A:N,2,0)</f>
        <v>1</v>
      </c>
      <c r="X130" s="3" t="s">
        <v>151</v>
      </c>
      <c r="Y130" s="3" t="s">
        <v>234</v>
      </c>
      <c r="Z130" s="100">
        <v>10</v>
      </c>
      <c r="AA130" s="2">
        <v>0.1</v>
      </c>
      <c r="AB130" s="2">
        <v>1</v>
      </c>
      <c r="AC130" s="2">
        <v>1</v>
      </c>
      <c r="AD130" s="95">
        <v>0</v>
      </c>
      <c r="AE130" s="95">
        <v>0</v>
      </c>
      <c r="AF130" s="95">
        <v>0</v>
      </c>
      <c r="AG130" s="95">
        <v>0</v>
      </c>
      <c r="AH130" s="95">
        <v>0</v>
      </c>
      <c r="AI130" s="95">
        <v>0</v>
      </c>
      <c r="AJ130" s="3">
        <f>INT(VLOOKUP(U130,模板计算相关数据!A:N,4,0)*VLOOKUP(U130,模板计算相关数据!A:N,14,0)*(1+MAX(0,(VLOOKUP(U130,模板计算相关数据!A:N,7,0)-AQ130))*VLOOKUP(U130,模板计算相关数据!A:N,8,0))*(1-(AL130+AM130)*0.5/((AL130+AM130)*0.5+(VLOOKUP(U130,模板计算相关数据!A:N,2,0)+模板计算相关数据!$AC$27)*模板计算相关数据!$AC$28))*Q130*Z130)</f>
        <v>3511</v>
      </c>
      <c r="AK130" s="3">
        <f>INT(VLOOKUP(U130,模板计算相关数据!A:N,3,0)/模板计算相关数据!$W$35/(1+MAX(0,(AO130/10000-VLOOKUP(U130,模板计算相关数据!A:N,9,0)))*AP130/10000)/(1-VLOOKUP(U130,模板计算相关数据!A:N,5,0)/(VLOOKUP(U130,模板计算相关数据!A:N,5,0)+(VLOOKUP(U130,模板计算相关数据!A:N,2,0)+模板计算相关数据!$AC$27)*模板计算相关数据!$AC$28))/S130*AA130)</f>
        <v>8</v>
      </c>
      <c r="AL130" s="3">
        <f>INT(VLOOKUP(U130,模板计算相关数据!A:N,5,0)*VLOOKUP(X130,模板计算相关数据!$P$4:$T$7,4,0)*VLOOKUP(Y130,模板计算相关数据!$P$22:$U$30,4,0)*AB130)</f>
        <v>153</v>
      </c>
      <c r="AM130" s="3">
        <f>INT(VLOOKUP(U130,模板计算相关数据!A:N,6,0)*VLOOKUP(X130,模板计算相关数据!$P$4:$T$7,4,0)*VLOOKUP(Y130,模板计算相关数据!$P$22:$U$30,5,0)*AC130)</f>
        <v>277</v>
      </c>
      <c r="AN130" s="3">
        <f>VLOOKUP(U130,模板计算相关数据!A:N,10,0)*0.5*VLOOKUP(Y130,模板计算相关数据!$P$22:$U$30,6,0)+AD130</f>
        <v>225</v>
      </c>
      <c r="AO130" s="3">
        <f>VLOOKUP(INT(VLOOKUP(U130,模板计算相关数据!A:N,2,0)/30)+1,模板计算相关数据!$O$35:$U$40,3,0)+AE130</f>
        <v>0</v>
      </c>
      <c r="AP130" s="3">
        <f>VLOOKUP(INT(VLOOKUP(U130,模板计算相关数据!A:N,2,0)/30)+1,模板计算相关数据!$O$35:$U$40,4,0)+AF130</f>
        <v>5000</v>
      </c>
      <c r="AQ130" s="3">
        <f>VLOOKUP(INT(VLOOKUP(U130,模板计算相关数据!A:N,2,0)/30)+1,模板计算相关数据!$O$35:$U$40,5,0)+AG130</f>
        <v>0</v>
      </c>
      <c r="AR130" s="3">
        <f>VLOOKUP(INT(VLOOKUP(U130,模板计算相关数据!A:N,2,0)/30)+1,模板计算相关数据!$O$35:$U$40,6,0)+AH130</f>
        <v>0</v>
      </c>
      <c r="AS130" s="3">
        <f>VLOOKUP(INT(VLOOKUP(U130,模板计算相关数据!A:N,2,0)/30)+1,模板计算相关数据!$O$35:$U$40,7,0)+AI130</f>
        <v>0</v>
      </c>
      <c r="AT130" s="3">
        <f>VLOOKUP(INT(VLOOKUP(U130,模板计算相关数据!A:N,2,0)/30)+1,模板计算相关数据!$O$35:$V$40,8,0)</f>
        <v>0</v>
      </c>
      <c r="AU130" s="87"/>
    </row>
    <row r="131" spans="1:47" s="9" customFormat="1" x14ac:dyDescent="0.2">
      <c r="A131" s="140">
        <v>323</v>
      </c>
      <c r="B131" s="140"/>
      <c r="C131" s="87" t="s">
        <v>1943</v>
      </c>
      <c r="D131" s="69" t="s">
        <v>1660</v>
      </c>
      <c r="E131" s="2"/>
      <c r="F131" s="3">
        <v>1</v>
      </c>
      <c r="G131" s="3">
        <v>1007401</v>
      </c>
      <c r="H131" s="3">
        <v>2</v>
      </c>
      <c r="I131" s="3">
        <v>5</v>
      </c>
      <c r="J131" s="3">
        <v>6</v>
      </c>
      <c r="K131" s="3">
        <v>2</v>
      </c>
      <c r="L131" s="141" t="s">
        <v>853</v>
      </c>
      <c r="M131" s="2"/>
      <c r="N131" s="2">
        <v>1</v>
      </c>
      <c r="O131" s="69"/>
      <c r="P131" s="3" t="s">
        <v>1615</v>
      </c>
      <c r="Q131" s="95">
        <f t="shared" si="6"/>
        <v>5</v>
      </c>
      <c r="R131" s="133">
        <f>IF(P131=模板计算相关数据!$W$24,VLOOKUP(X131,模板计算相关数据!$P$47:$T$50,2,0),VLOOKUP(X131,模板计算相关数据!$P$4:$U$7,3,0))</f>
        <v>5</v>
      </c>
      <c r="S131" s="62">
        <f t="shared" si="7"/>
        <v>6.6666666666666661</v>
      </c>
      <c r="T131" s="133">
        <f>IF(P131=模板计算相关数据!$W$24,VLOOKUP(X131,模板计算相关数据!$P$47:$T$50,5,0),VLOOKUP(X131,模板计算相关数据!$P$4:$U$7,6,0))</f>
        <v>6.6666666666666661</v>
      </c>
      <c r="U131" s="3">
        <v>1</v>
      </c>
      <c r="V131" s="95">
        <f t="shared" si="5"/>
        <v>1</v>
      </c>
      <c r="W131" s="29">
        <f>VLOOKUP(U131,模板计算相关数据!A:N,2,0)</f>
        <v>1</v>
      </c>
      <c r="X131" s="3" t="s">
        <v>151</v>
      </c>
      <c r="Y131" s="3" t="s">
        <v>234</v>
      </c>
      <c r="Z131" s="100">
        <v>10</v>
      </c>
      <c r="AA131" s="2">
        <v>0.1</v>
      </c>
      <c r="AB131" s="2">
        <v>1</v>
      </c>
      <c r="AC131" s="2">
        <v>1</v>
      </c>
      <c r="AD131" s="95">
        <v>0</v>
      </c>
      <c r="AE131" s="95">
        <v>0</v>
      </c>
      <c r="AF131" s="95">
        <v>0</v>
      </c>
      <c r="AG131" s="95">
        <v>0</v>
      </c>
      <c r="AH131" s="95">
        <v>0</v>
      </c>
      <c r="AI131" s="95">
        <v>0</v>
      </c>
      <c r="AJ131" s="3">
        <f>INT(VLOOKUP(U131,模板计算相关数据!A:N,4,0)*VLOOKUP(U131,模板计算相关数据!A:N,14,0)*(1+MAX(0,(VLOOKUP(U131,模板计算相关数据!A:N,7,0)-AQ131))*VLOOKUP(U131,模板计算相关数据!A:N,8,0))*(1-(AL131+AM131)*0.5/((AL131+AM131)*0.5+(VLOOKUP(U131,模板计算相关数据!A:N,2,0)+模板计算相关数据!$AC$27)*模板计算相关数据!$AC$28))*Q131*Z131)</f>
        <v>3511</v>
      </c>
      <c r="AK131" s="3">
        <f>INT(VLOOKUP(U131,模板计算相关数据!A:N,3,0)/模板计算相关数据!$W$35/(1+MAX(0,(AO131/10000-VLOOKUP(U131,模板计算相关数据!A:N,9,0)))*AP131/10000)/(1-VLOOKUP(U131,模板计算相关数据!A:N,5,0)/(VLOOKUP(U131,模板计算相关数据!A:N,5,0)+(VLOOKUP(U131,模板计算相关数据!A:N,2,0)+模板计算相关数据!$AC$27)*模板计算相关数据!$AC$28))/S131*AA131)</f>
        <v>8</v>
      </c>
      <c r="AL131" s="3">
        <f>INT(VLOOKUP(U131,模板计算相关数据!A:N,5,0)*VLOOKUP(X131,模板计算相关数据!$P$4:$T$7,4,0)*VLOOKUP(Y131,模板计算相关数据!$P$22:$U$30,4,0)*AB131)</f>
        <v>153</v>
      </c>
      <c r="AM131" s="3">
        <f>INT(VLOOKUP(U131,模板计算相关数据!A:N,6,0)*VLOOKUP(X131,模板计算相关数据!$P$4:$T$7,4,0)*VLOOKUP(Y131,模板计算相关数据!$P$22:$U$30,5,0)*AC131)</f>
        <v>277</v>
      </c>
      <c r="AN131" s="3">
        <f>VLOOKUP(U131,模板计算相关数据!A:N,10,0)*0.5*VLOOKUP(Y131,模板计算相关数据!$P$22:$U$30,6,0)+AD131</f>
        <v>225</v>
      </c>
      <c r="AO131" s="3">
        <f>VLOOKUP(INT(VLOOKUP(U131,模板计算相关数据!A:N,2,0)/30)+1,模板计算相关数据!$O$35:$U$40,3,0)+AE131</f>
        <v>0</v>
      </c>
      <c r="AP131" s="3">
        <f>VLOOKUP(INT(VLOOKUP(U131,模板计算相关数据!A:N,2,0)/30)+1,模板计算相关数据!$O$35:$U$40,4,0)+AF131</f>
        <v>5000</v>
      </c>
      <c r="AQ131" s="3">
        <f>VLOOKUP(INT(VLOOKUP(U131,模板计算相关数据!A:N,2,0)/30)+1,模板计算相关数据!$O$35:$U$40,5,0)+AG131</f>
        <v>0</v>
      </c>
      <c r="AR131" s="3">
        <f>VLOOKUP(INT(VLOOKUP(U131,模板计算相关数据!A:N,2,0)/30)+1,模板计算相关数据!$O$35:$U$40,6,0)+AH131</f>
        <v>0</v>
      </c>
      <c r="AS131" s="3">
        <f>VLOOKUP(INT(VLOOKUP(U131,模板计算相关数据!A:N,2,0)/30)+1,模板计算相关数据!$O$35:$U$40,7,0)+AI131</f>
        <v>0</v>
      </c>
      <c r="AT131" s="3">
        <f>VLOOKUP(INT(VLOOKUP(U131,模板计算相关数据!A:N,2,0)/30)+1,模板计算相关数据!$O$35:$V$40,8,0)</f>
        <v>0</v>
      </c>
      <c r="AU131" s="87"/>
    </row>
    <row r="132" spans="1:47" s="9" customFormat="1" x14ac:dyDescent="0.2">
      <c r="A132" s="62">
        <v>324</v>
      </c>
      <c r="B132" s="62"/>
      <c r="C132" s="69" t="s">
        <v>1953</v>
      </c>
      <c r="D132" s="69" t="s">
        <v>1954</v>
      </c>
      <c r="E132" s="2"/>
      <c r="F132" s="3">
        <v>1</v>
      </c>
      <c r="G132" s="3">
        <v>1000701</v>
      </c>
      <c r="H132" s="3">
        <v>1</v>
      </c>
      <c r="I132" s="3">
        <v>5</v>
      </c>
      <c r="J132" s="3">
        <v>6</v>
      </c>
      <c r="K132" s="3"/>
      <c r="L132" s="91" t="s">
        <v>1955</v>
      </c>
      <c r="M132" s="2"/>
      <c r="N132" s="2">
        <v>2</v>
      </c>
      <c r="O132" s="69"/>
      <c r="P132" s="3" t="s">
        <v>1615</v>
      </c>
      <c r="Q132" s="95">
        <f>R132</f>
        <v>4.417254901960785</v>
      </c>
      <c r="R132" s="133">
        <f>IF(P132=模板计算相关数据!$AB$24,VLOOKUP(X132,模板计算相关数据!$P$47:$T$50,2,0),VLOOKUP(X132,模板计算相关数据!$P$4:$U$7,3,0))*VLOOKUP(Y132,模板计算相关数据!$P$22:$X$30,8,0)</f>
        <v>4.417254901960785</v>
      </c>
      <c r="S132" s="62">
        <f>T132</f>
        <v>5.4285280003474252</v>
      </c>
      <c r="T132" s="133">
        <f>IF(P132=模板计算相关数据!$AB$24,VLOOKUP(X132,模板计算相关数据!$P$47:$T$50,5,0),VLOOKUP(X132,模板计算相关数据!$P$4:$U$7,6,0))*VLOOKUP(Y132,模板计算相关数据!$P$22:$X$30,9,0)</f>
        <v>5.4285280003474252</v>
      </c>
      <c r="U132" s="95">
        <v>2</v>
      </c>
      <c r="V132" s="95">
        <f t="shared" si="5"/>
        <v>1</v>
      </c>
      <c r="W132" s="29">
        <f>VLOOKUP(U132,模板计算相关数据!A:N,2,0)</f>
        <v>1</v>
      </c>
      <c r="X132" s="3" t="s">
        <v>151</v>
      </c>
      <c r="Y132" s="3" t="s">
        <v>152</v>
      </c>
      <c r="Z132" s="100">
        <v>10</v>
      </c>
      <c r="AA132" s="2">
        <v>0.5</v>
      </c>
      <c r="AB132" s="2">
        <v>1</v>
      </c>
      <c r="AC132" s="2">
        <v>1</v>
      </c>
      <c r="AD132" s="95">
        <v>0</v>
      </c>
      <c r="AE132" s="95">
        <v>0</v>
      </c>
      <c r="AF132" s="95">
        <v>0</v>
      </c>
      <c r="AG132" s="95">
        <v>0</v>
      </c>
      <c r="AH132" s="95">
        <v>0</v>
      </c>
      <c r="AI132" s="95">
        <v>0</v>
      </c>
      <c r="AJ132" s="3">
        <f>INT(VLOOKUP(U132,模板计算相关数据!A:N,4,0)*VLOOKUP(U132,模板计算相关数据!A:N,14,0)*(1+MAX(0,(VLOOKUP(U132,模板计算相关数据!A:N,7,0)-AQ132))*VLOOKUP(U132,模板计算相关数据!A:N,8,0))*(1-(AL132+AM132)*0.5/((AL132+AM132)*0.5+(VLOOKUP(U132,模板计算相关数据!A:N,2,0)+模板计算相关数据!$AC$27)*模板计算相关数据!$AC$28))*Q132*Z132)</f>
        <v>3747</v>
      </c>
      <c r="AK132" s="3">
        <f>INT(VLOOKUP(U132,模板计算相关数据!A:N,3,0)/模板计算相关数据!$W$35/(1+MAX(0,(AO132/10000-VLOOKUP(U132,模板计算相关数据!A:N,9,0)))*AP132/10000)/(1-VLOOKUP(U132,模板计算相关数据!A:N,5,0)/(VLOOKUP(U132,模板计算相关数据!A:N,5,0)+(VLOOKUP(U132,模板计算相关数据!A:N,2,0)+模板计算相关数据!$AC$27)*模板计算相关数据!$AC$28))/S132*AA132)</f>
        <v>51</v>
      </c>
      <c r="AL132" s="3">
        <f>INT(VLOOKUP(U132,模板计算相关数据!A:N,5,0)*VLOOKUP(X132,模板计算相关数据!$P$4:$T$7,4,0)*VLOOKUP(Y132,模板计算相关数据!$P$22:$U$30,4,0)*AB132)</f>
        <v>230</v>
      </c>
      <c r="AM132" s="3">
        <f>INT(VLOOKUP(U132,模板计算相关数据!A:N,6,0)*VLOOKUP(X132,模板计算相关数据!$P$4:$T$7,4,0)*VLOOKUP(Y132,模板计算相关数据!$P$22:$U$30,5,0)*AC132)</f>
        <v>136</v>
      </c>
      <c r="AN132" s="3">
        <f>VLOOKUP(U132,模板计算相关数据!A:N,10,0)*0.5*VLOOKUP(Y132,模板计算相关数据!$P$22:$U$30,6,0)+AD132</f>
        <v>250</v>
      </c>
      <c r="AO132" s="3">
        <f>VLOOKUP(INT(VLOOKUP(U132,模板计算相关数据!A:N,2,0)/30)+1,模板计算相关数据!$O$35:$U$40,3,0)+AE132</f>
        <v>0</v>
      </c>
      <c r="AP132" s="3">
        <f>VLOOKUP(INT(VLOOKUP(U132,模板计算相关数据!A:N,2,0)/30)+1,模板计算相关数据!$O$35:$U$40,4,0)+AF132</f>
        <v>5000</v>
      </c>
      <c r="AQ132" s="3">
        <f>VLOOKUP(INT(VLOOKUP(U132,模板计算相关数据!A:N,2,0)/30)+1,模板计算相关数据!$O$35:$U$40,5,0)+AG132</f>
        <v>0</v>
      </c>
      <c r="AR132" s="3">
        <f>VLOOKUP(INT(VLOOKUP(U132,模板计算相关数据!A:N,2,0)/30)+1,模板计算相关数据!$O$35:$U$40,6,0)+AH132</f>
        <v>0</v>
      </c>
      <c r="AS132" s="3">
        <f>VLOOKUP(INT(VLOOKUP(U132,模板计算相关数据!A:N,2,0)/30)+1,模板计算相关数据!$O$35:$U$40,7,0)+AI132</f>
        <v>0</v>
      </c>
      <c r="AT132" s="3">
        <f>VLOOKUP(INT(VLOOKUP(U132,模板计算相关数据!A:N,2,0)/30)+1,模板计算相关数据!$O$35:$V$40,8,0)</f>
        <v>0</v>
      </c>
      <c r="AU132" s="87"/>
    </row>
    <row r="133" spans="1:47" s="9" customFormat="1" x14ac:dyDescent="0.2">
      <c r="A133" s="3">
        <v>10018</v>
      </c>
      <c r="B133" s="3"/>
      <c r="C133" s="69" t="s">
        <v>941</v>
      </c>
      <c r="D133" s="69" t="s">
        <v>1031</v>
      </c>
      <c r="E133" s="2"/>
      <c r="F133" s="3">
        <v>1</v>
      </c>
      <c r="G133" s="3">
        <v>1001801</v>
      </c>
      <c r="H133" s="3">
        <v>5</v>
      </c>
      <c r="I133" s="3">
        <v>4</v>
      </c>
      <c r="J133" s="3">
        <v>1</v>
      </c>
      <c r="K133" s="3"/>
      <c r="L133" s="91" t="s">
        <v>922</v>
      </c>
      <c r="M133" s="2"/>
      <c r="N133" s="2">
        <v>2</v>
      </c>
      <c r="O133" s="2"/>
      <c r="P133" s="3" t="s">
        <v>1615</v>
      </c>
      <c r="Q133" s="95">
        <f t="shared" si="3"/>
        <v>5.7709803921568623</v>
      </c>
      <c r="R133" s="133">
        <f>IF(P133=模板计算相关数据!$AB$24,VLOOKUP(X133,模板计算相关数据!$P$47:$T$50,2,0),VLOOKUP(X133,模板计算相关数据!$P$4:$U$7,3,0))*VLOOKUP(Y133,模板计算相关数据!$P$22:$X$30,8,0)</f>
        <v>5.7709803921568623</v>
      </c>
      <c r="S133" s="62">
        <f t="shared" si="4"/>
        <v>6.4077918749198997</v>
      </c>
      <c r="T133" s="133">
        <f>IF(P133=模板计算相关数据!$AB$24,VLOOKUP(X133,模板计算相关数据!$P$47:$T$50,5,0),VLOOKUP(X133,模板计算相关数据!$P$4:$U$7,6,0))*VLOOKUP(Y133,模板计算相关数据!$P$22:$X$30,9,0)</f>
        <v>6.4077918749198997</v>
      </c>
      <c r="U133" s="95">
        <v>2</v>
      </c>
      <c r="V133" s="95">
        <f t="shared" si="5"/>
        <v>1</v>
      </c>
      <c r="W133" s="29">
        <f>VLOOKUP(U133,模板计算相关数据!A:N,2,0)</f>
        <v>1</v>
      </c>
      <c r="X133" s="3" t="s">
        <v>151</v>
      </c>
      <c r="Y133" s="3" t="s">
        <v>159</v>
      </c>
      <c r="Z133" s="100">
        <v>10</v>
      </c>
      <c r="AA133" s="2">
        <v>0.5</v>
      </c>
      <c r="AB133" s="2">
        <v>1</v>
      </c>
      <c r="AC133" s="2">
        <v>1</v>
      </c>
      <c r="AD133" s="95">
        <v>0</v>
      </c>
      <c r="AE133" s="95">
        <v>0</v>
      </c>
      <c r="AF133" s="95">
        <v>0</v>
      </c>
      <c r="AG133" s="95">
        <v>0</v>
      </c>
      <c r="AH133" s="95">
        <v>0</v>
      </c>
      <c r="AI133" s="95">
        <v>0</v>
      </c>
      <c r="AJ133" s="3">
        <f>INT(VLOOKUP(U133,模板计算相关数据!A:N,4,0)*VLOOKUP(U133,模板计算相关数据!A:N,14,0)*(1+MAX(0,(VLOOKUP(U133,模板计算相关数据!A:N,7,0)-AQ133))*VLOOKUP(U133,模板计算相关数据!A:N,8,0))*(1-(AL133+AM133)*0.5/((AL133+AM133)*0.5+(VLOOKUP(U133,模板计算相关数据!A:N,2,0)+模板计算相关数据!$AC$27)*模板计算相关数据!$AC$28))*Q133*Z133)</f>
        <v>4741</v>
      </c>
      <c r="AK133" s="3">
        <f>INT(VLOOKUP(U133,模板计算相关数据!A:N,3,0)/模板计算相关数据!$W$35/(1+MAX(0,(AO133/10000-VLOOKUP(U133,模板计算相关数据!A:N,9,0)))*AP133/10000)/(1-VLOOKUP(U133,模板计算相关数据!A:N,5,0)/(VLOOKUP(U133,模板计算相关数据!A:N,5,0)+(VLOOKUP(U133,模板计算相关数据!A:N,2,0)+模板计算相关数据!$AC$27)*模板计算相关数据!$AC$28))/S133*AA133)</f>
        <v>43</v>
      </c>
      <c r="AL133" s="3">
        <f>INT(VLOOKUP(U133,模板计算相关数据!A:N,5,0)*VLOOKUP(X133,模板计算相关数据!$P$4:$T$7,4,0)*VLOOKUP(Y133,模板计算相关数据!$P$22:$U$30,4,0)*AB133)</f>
        <v>264</v>
      </c>
      <c r="AM133" s="3">
        <f>INT(VLOOKUP(U133,模板计算相关数据!A:N,6,0)*VLOOKUP(X133,模板计算相关数据!$P$4:$T$7,4,0)*VLOOKUP(Y133,模板计算相关数据!$P$22:$U$30,5,0)*AC133)</f>
        <v>145</v>
      </c>
      <c r="AN133" s="3">
        <f>VLOOKUP(U133,模板计算相关数据!A:N,10,0)*0.5*VLOOKUP(Y133,模板计算相关数据!$P$22:$U$30,6,0)+AD133</f>
        <v>275</v>
      </c>
      <c r="AO133" s="3">
        <f>VLOOKUP(INT(VLOOKUP(U133,模板计算相关数据!A:N,2,0)/30)+1,模板计算相关数据!$O$35:$U$40,3,0)+AE133</f>
        <v>0</v>
      </c>
      <c r="AP133" s="3">
        <f>VLOOKUP(INT(VLOOKUP(U133,模板计算相关数据!A:N,2,0)/30)+1,模板计算相关数据!$O$35:$U$40,4,0)+AF133</f>
        <v>5000</v>
      </c>
      <c r="AQ133" s="3">
        <f>VLOOKUP(INT(VLOOKUP(U133,模板计算相关数据!A:N,2,0)/30)+1,模板计算相关数据!$O$35:$U$40,5,0)+AG133</f>
        <v>0</v>
      </c>
      <c r="AR133" s="3">
        <f>VLOOKUP(INT(VLOOKUP(U133,模板计算相关数据!A:N,2,0)/30)+1,模板计算相关数据!$O$35:$U$40,6,0)+AH133</f>
        <v>0</v>
      </c>
      <c r="AS133" s="3">
        <f>VLOOKUP(INT(VLOOKUP(U133,模板计算相关数据!A:N,2,0)/30)+1,模板计算相关数据!$O$35:$U$40,7,0)+AI133</f>
        <v>0</v>
      </c>
      <c r="AT133" s="3">
        <f>VLOOKUP(INT(VLOOKUP(U133,模板计算相关数据!A:N,2,0)/30)+1,模板计算相关数据!$O$35:$V$40,8,0)</f>
        <v>0</v>
      </c>
      <c r="AU133" s="102"/>
    </row>
    <row r="134" spans="1:47" s="9" customFormat="1" x14ac:dyDescent="0.2">
      <c r="A134" s="3">
        <v>10019</v>
      </c>
      <c r="B134" s="3"/>
      <c r="C134" s="69" t="s">
        <v>942</v>
      </c>
      <c r="D134" s="69" t="s">
        <v>1031</v>
      </c>
      <c r="E134" s="2"/>
      <c r="F134" s="3">
        <v>1</v>
      </c>
      <c r="G134" s="3">
        <v>1001901</v>
      </c>
      <c r="H134" s="3">
        <v>3</v>
      </c>
      <c r="I134" s="3">
        <v>4</v>
      </c>
      <c r="J134" s="3">
        <v>1</v>
      </c>
      <c r="K134" s="3"/>
      <c r="L134" s="91" t="s">
        <v>923</v>
      </c>
      <c r="M134" s="2"/>
      <c r="N134" s="2">
        <v>2</v>
      </c>
      <c r="O134" s="2"/>
      <c r="P134" s="3" t="s">
        <v>1615</v>
      </c>
      <c r="Q134" s="95">
        <f t="shared" si="3"/>
        <v>5.6000000000000014</v>
      </c>
      <c r="R134" s="133">
        <f>IF(P134=模板计算相关数据!$AB$24,VLOOKUP(X134,模板计算相关数据!$P$47:$T$50,2,0),VLOOKUP(X134,模板计算相关数据!$P$4:$U$7,3,0))*VLOOKUP(Y134,模板计算相关数据!$P$22:$X$30,8,0)</f>
        <v>5.6000000000000014</v>
      </c>
      <c r="S134" s="62">
        <f t="shared" si="4"/>
        <v>6.6693344004268367</v>
      </c>
      <c r="T134" s="133">
        <f>IF(P134=模板计算相关数据!$AB$24,VLOOKUP(X134,模板计算相关数据!$P$47:$T$50,5,0),VLOOKUP(X134,模板计算相关数据!$P$4:$U$7,6,0))*VLOOKUP(Y134,模板计算相关数据!$P$22:$X$30,9,0)</f>
        <v>6.6693344004268367</v>
      </c>
      <c r="U134" s="95">
        <v>2</v>
      </c>
      <c r="V134" s="95">
        <f t="shared" si="5"/>
        <v>1</v>
      </c>
      <c r="W134" s="29">
        <f>VLOOKUP(U134,模板计算相关数据!A:N,2,0)</f>
        <v>1</v>
      </c>
      <c r="X134" s="3" t="s">
        <v>151</v>
      </c>
      <c r="Y134" s="3" t="s">
        <v>255</v>
      </c>
      <c r="Z134" s="100">
        <v>10</v>
      </c>
      <c r="AA134" s="2">
        <v>0.5</v>
      </c>
      <c r="AB134" s="2">
        <v>1</v>
      </c>
      <c r="AC134" s="2">
        <v>1</v>
      </c>
      <c r="AD134" s="95">
        <v>0</v>
      </c>
      <c r="AE134" s="95">
        <v>0</v>
      </c>
      <c r="AF134" s="95">
        <v>0</v>
      </c>
      <c r="AG134" s="95">
        <v>0</v>
      </c>
      <c r="AH134" s="95">
        <v>0</v>
      </c>
      <c r="AI134" s="95">
        <v>0</v>
      </c>
      <c r="AJ134" s="3">
        <f>INT(VLOOKUP(U134,模板计算相关数据!A:N,4,0)*VLOOKUP(U134,模板计算相关数据!A:N,14,0)*(1+MAX(0,(VLOOKUP(U134,模板计算相关数据!A:N,7,0)-AQ134))*VLOOKUP(U134,模板计算相关数据!A:N,8,0))*(1-(AL134+AM134)*0.5/((AL134+AM134)*0.5+(VLOOKUP(U134,模板计算相关数据!A:N,2,0)+模板计算相关数据!$AC$27)*模板计算相关数据!$AC$28))*Q134*Z134)</f>
        <v>4545</v>
      </c>
      <c r="AK134" s="3">
        <f>INT(VLOOKUP(U134,模板计算相关数据!A:N,3,0)/模板计算相关数据!$W$35/(1+MAX(0,(AO134/10000-VLOOKUP(U134,模板计算相关数据!A:N,9,0)))*AP134/10000)/(1-VLOOKUP(U134,模板计算相关数据!A:N,5,0)/(VLOOKUP(U134,模板计算相关数据!A:N,5,0)+(VLOOKUP(U134,模板计算相关数据!A:N,2,0)+模板计算相关数据!$AC$27)*模板计算相关数据!$AC$28))/S134*AA134)</f>
        <v>41</v>
      </c>
      <c r="AL134" s="3">
        <f>INT(VLOOKUP(U134,模板计算相关数据!A:N,5,0)*VLOOKUP(X134,模板计算相关数据!$P$4:$T$7,4,0)*VLOOKUP(Y134,模板计算相关数据!$P$22:$U$30,4,0)*AB134)</f>
        <v>149</v>
      </c>
      <c r="AM134" s="3">
        <f>INT(VLOOKUP(U134,模板计算相关数据!A:N,6,0)*VLOOKUP(X134,模板计算相关数据!$P$4:$T$7,4,0)*VLOOKUP(Y134,模板计算相关数据!$P$22:$U$30,5,0)*AC134)</f>
        <v>277</v>
      </c>
      <c r="AN134" s="3">
        <f>VLOOKUP(U134,模板计算相关数据!A:N,10,0)*0.5*VLOOKUP(Y134,模板计算相关数据!$P$22:$U$30,6,0)+AD134</f>
        <v>225</v>
      </c>
      <c r="AO134" s="3">
        <f>VLOOKUP(INT(VLOOKUP(U134,模板计算相关数据!A:N,2,0)/30)+1,模板计算相关数据!$O$35:$U$40,3,0)+AE134</f>
        <v>0</v>
      </c>
      <c r="AP134" s="3">
        <f>VLOOKUP(INT(VLOOKUP(U134,模板计算相关数据!A:N,2,0)/30)+1,模板计算相关数据!$O$35:$U$40,4,0)+AF134</f>
        <v>5000</v>
      </c>
      <c r="AQ134" s="3">
        <f>VLOOKUP(INT(VLOOKUP(U134,模板计算相关数据!A:N,2,0)/30)+1,模板计算相关数据!$O$35:$U$40,5,0)+AG134</f>
        <v>0</v>
      </c>
      <c r="AR134" s="3">
        <f>VLOOKUP(INT(VLOOKUP(U134,模板计算相关数据!A:N,2,0)/30)+1,模板计算相关数据!$O$35:$U$40,6,0)+AH134</f>
        <v>0</v>
      </c>
      <c r="AS134" s="3">
        <f>VLOOKUP(INT(VLOOKUP(U134,模板计算相关数据!A:N,2,0)/30)+1,模板计算相关数据!$O$35:$U$40,7,0)+AI134</f>
        <v>0</v>
      </c>
      <c r="AT134" s="3">
        <f>VLOOKUP(INT(VLOOKUP(U134,模板计算相关数据!A:N,2,0)/30)+1,模板计算相关数据!$O$35:$V$40,8,0)</f>
        <v>0</v>
      </c>
      <c r="AU134" s="102"/>
    </row>
    <row r="135" spans="1:47" s="9" customFormat="1" x14ac:dyDescent="0.2">
      <c r="A135" s="3">
        <v>10020</v>
      </c>
      <c r="B135" s="3"/>
      <c r="C135" s="69" t="s">
        <v>943</v>
      </c>
      <c r="D135" s="69" t="s">
        <v>1031</v>
      </c>
      <c r="E135" s="2"/>
      <c r="F135" s="3">
        <v>1</v>
      </c>
      <c r="G135" s="3">
        <v>1002001</v>
      </c>
      <c r="H135" s="3">
        <v>1</v>
      </c>
      <c r="I135" s="3">
        <v>4</v>
      </c>
      <c r="J135" s="3">
        <v>1</v>
      </c>
      <c r="K135" s="3"/>
      <c r="L135" s="91" t="s">
        <v>924</v>
      </c>
      <c r="M135" s="2"/>
      <c r="N135" s="2">
        <v>2</v>
      </c>
      <c r="O135" s="2"/>
      <c r="P135" s="3" t="s">
        <v>1615</v>
      </c>
      <c r="Q135" s="95">
        <f t="shared" si="3"/>
        <v>4.417254901960785</v>
      </c>
      <c r="R135" s="133">
        <f>IF(P135=模板计算相关数据!$AB$24,VLOOKUP(X135,模板计算相关数据!$P$47:$T$50,2,0),VLOOKUP(X135,模板计算相关数据!$P$4:$U$7,3,0))*VLOOKUP(Y135,模板计算相关数据!$P$22:$X$30,8,0)</f>
        <v>4.417254901960785</v>
      </c>
      <c r="S135" s="62">
        <f t="shared" si="4"/>
        <v>5.4285280003474252</v>
      </c>
      <c r="T135" s="133">
        <f>IF(P135=模板计算相关数据!$AB$24,VLOOKUP(X135,模板计算相关数据!$P$47:$T$50,5,0),VLOOKUP(X135,模板计算相关数据!$P$4:$U$7,6,0))*VLOOKUP(Y135,模板计算相关数据!$P$22:$X$30,9,0)</f>
        <v>5.4285280003474252</v>
      </c>
      <c r="U135" s="95">
        <v>2</v>
      </c>
      <c r="V135" s="95">
        <f t="shared" ref="V135:V160" si="8">W135</f>
        <v>1</v>
      </c>
      <c r="W135" s="29">
        <f>VLOOKUP(U135,模板计算相关数据!A:N,2,0)</f>
        <v>1</v>
      </c>
      <c r="X135" s="3" t="s">
        <v>151</v>
      </c>
      <c r="Y135" s="3" t="s">
        <v>152</v>
      </c>
      <c r="Z135" s="100">
        <v>10</v>
      </c>
      <c r="AA135" s="2">
        <v>0.5</v>
      </c>
      <c r="AB135" s="2">
        <v>1</v>
      </c>
      <c r="AC135" s="2">
        <v>1</v>
      </c>
      <c r="AD135" s="95">
        <v>0</v>
      </c>
      <c r="AE135" s="95">
        <v>0</v>
      </c>
      <c r="AF135" s="95">
        <v>0</v>
      </c>
      <c r="AG135" s="95">
        <v>0</v>
      </c>
      <c r="AH135" s="95">
        <v>0</v>
      </c>
      <c r="AI135" s="95">
        <v>0</v>
      </c>
      <c r="AJ135" s="3">
        <f>INT(VLOOKUP(U135,模板计算相关数据!A:N,4,0)*VLOOKUP(U135,模板计算相关数据!A:N,14,0)*(1+MAX(0,(VLOOKUP(U135,模板计算相关数据!A:N,7,0)-AQ135))*VLOOKUP(U135,模板计算相关数据!A:N,8,0))*(1-(AL135+AM135)*0.5/((AL135+AM135)*0.5+(VLOOKUP(U135,模板计算相关数据!A:N,2,0)+模板计算相关数据!$AC$27)*模板计算相关数据!$AC$28))*Q135*Z135)</f>
        <v>3747</v>
      </c>
      <c r="AK135" s="3">
        <f>INT(VLOOKUP(U135,模板计算相关数据!A:N,3,0)/模板计算相关数据!$W$35/(1+MAX(0,(AO135/10000-VLOOKUP(U135,模板计算相关数据!A:N,9,0)))*AP135/10000)/(1-VLOOKUP(U135,模板计算相关数据!A:N,5,0)/(VLOOKUP(U135,模板计算相关数据!A:N,5,0)+(VLOOKUP(U135,模板计算相关数据!A:N,2,0)+模板计算相关数据!$AC$27)*模板计算相关数据!$AC$28))/S135*AA135)</f>
        <v>51</v>
      </c>
      <c r="AL135" s="3">
        <f>INT(VLOOKUP(U135,模板计算相关数据!A:N,5,0)*VLOOKUP(X135,模板计算相关数据!$P$4:$T$7,4,0)*VLOOKUP(Y135,模板计算相关数据!$P$22:$U$30,4,0)*AB135)</f>
        <v>230</v>
      </c>
      <c r="AM135" s="3">
        <f>INT(VLOOKUP(U135,模板计算相关数据!A:N,6,0)*VLOOKUP(X135,模板计算相关数据!$P$4:$T$7,4,0)*VLOOKUP(Y135,模板计算相关数据!$P$22:$U$30,5,0)*AC135)</f>
        <v>136</v>
      </c>
      <c r="AN135" s="3">
        <f>VLOOKUP(U135,模板计算相关数据!A:N,10,0)*0.5*VLOOKUP(Y135,模板计算相关数据!$P$22:$U$30,6,0)+AD135</f>
        <v>250</v>
      </c>
      <c r="AO135" s="3">
        <f>VLOOKUP(INT(VLOOKUP(U135,模板计算相关数据!A:N,2,0)/30)+1,模板计算相关数据!$O$35:$U$40,3,0)+AE135</f>
        <v>0</v>
      </c>
      <c r="AP135" s="3">
        <f>VLOOKUP(INT(VLOOKUP(U135,模板计算相关数据!A:N,2,0)/30)+1,模板计算相关数据!$O$35:$U$40,4,0)+AF135</f>
        <v>5000</v>
      </c>
      <c r="AQ135" s="3">
        <f>VLOOKUP(INT(VLOOKUP(U135,模板计算相关数据!A:N,2,0)/30)+1,模板计算相关数据!$O$35:$U$40,5,0)+AG135</f>
        <v>0</v>
      </c>
      <c r="AR135" s="3">
        <f>VLOOKUP(INT(VLOOKUP(U135,模板计算相关数据!A:N,2,0)/30)+1,模板计算相关数据!$O$35:$U$40,6,0)+AH135</f>
        <v>0</v>
      </c>
      <c r="AS135" s="3">
        <f>VLOOKUP(INT(VLOOKUP(U135,模板计算相关数据!A:N,2,0)/30)+1,模板计算相关数据!$O$35:$U$40,7,0)+AI135</f>
        <v>0</v>
      </c>
      <c r="AT135" s="3">
        <f>VLOOKUP(INT(VLOOKUP(U135,模板计算相关数据!A:N,2,0)/30)+1,模板计算相关数据!$O$35:$V$40,8,0)</f>
        <v>0</v>
      </c>
      <c r="AU135" s="102"/>
    </row>
    <row r="136" spans="1:47" s="9" customFormat="1" x14ac:dyDescent="0.2">
      <c r="A136" s="3">
        <v>10021</v>
      </c>
      <c r="B136" s="3"/>
      <c r="C136" s="69" t="s">
        <v>936</v>
      </c>
      <c r="D136" s="69" t="s">
        <v>1031</v>
      </c>
      <c r="E136" s="2"/>
      <c r="F136" s="3">
        <v>1</v>
      </c>
      <c r="G136" s="3">
        <v>100901</v>
      </c>
      <c r="H136" s="3">
        <v>1</v>
      </c>
      <c r="I136" s="3">
        <v>4</v>
      </c>
      <c r="J136" s="3">
        <v>1</v>
      </c>
      <c r="K136" s="3"/>
      <c r="L136" s="91" t="s">
        <v>937</v>
      </c>
      <c r="M136" s="2"/>
      <c r="N136" s="2">
        <v>2</v>
      </c>
      <c r="O136" s="2"/>
      <c r="P136" s="3" t="s">
        <v>1615</v>
      </c>
      <c r="Q136" s="95">
        <f t="shared" si="3"/>
        <v>4.417254901960785</v>
      </c>
      <c r="R136" s="133">
        <f>IF(P136=模板计算相关数据!$AB$24,VLOOKUP(X136,模板计算相关数据!$P$47:$T$50,2,0),VLOOKUP(X136,模板计算相关数据!$P$4:$U$7,3,0))*VLOOKUP(Y136,模板计算相关数据!$P$22:$X$30,8,0)</f>
        <v>4.417254901960785</v>
      </c>
      <c r="S136" s="62">
        <f t="shared" si="4"/>
        <v>5.4285280003474252</v>
      </c>
      <c r="T136" s="133">
        <f>IF(P136=模板计算相关数据!$AB$24,VLOOKUP(X136,模板计算相关数据!$P$47:$T$50,5,0),VLOOKUP(X136,模板计算相关数据!$P$4:$U$7,6,0))*VLOOKUP(Y136,模板计算相关数据!$P$22:$X$30,9,0)</f>
        <v>5.4285280003474252</v>
      </c>
      <c r="U136" s="95">
        <v>2</v>
      </c>
      <c r="V136" s="95">
        <f t="shared" si="8"/>
        <v>1</v>
      </c>
      <c r="W136" s="29">
        <f>VLOOKUP(U136,模板计算相关数据!A:N,2,0)</f>
        <v>1</v>
      </c>
      <c r="X136" s="3" t="s">
        <v>151</v>
      </c>
      <c r="Y136" s="3" t="s">
        <v>152</v>
      </c>
      <c r="Z136" s="100">
        <v>10</v>
      </c>
      <c r="AA136" s="2">
        <v>0.2</v>
      </c>
      <c r="AB136" s="2">
        <v>1</v>
      </c>
      <c r="AC136" s="2">
        <v>1</v>
      </c>
      <c r="AD136" s="95">
        <v>0</v>
      </c>
      <c r="AE136" s="95">
        <v>0</v>
      </c>
      <c r="AF136" s="95">
        <v>0</v>
      </c>
      <c r="AG136" s="95">
        <v>0</v>
      </c>
      <c r="AH136" s="95">
        <v>0</v>
      </c>
      <c r="AI136" s="95">
        <v>0</v>
      </c>
      <c r="AJ136" s="3">
        <f>INT(VLOOKUP(U136,模板计算相关数据!A:N,4,0)*VLOOKUP(U136,模板计算相关数据!A:N,14,0)*(1+MAX(0,(VLOOKUP(U136,模板计算相关数据!A:N,7,0)-AQ136))*VLOOKUP(U136,模板计算相关数据!A:N,8,0))*(1-(AL136+AM136)*0.5/((AL136+AM136)*0.5+(VLOOKUP(U136,模板计算相关数据!A:N,2,0)+模板计算相关数据!$AC$27)*模板计算相关数据!$AC$28))*Q136*Z136)</f>
        <v>3747</v>
      </c>
      <c r="AK136" s="3">
        <f>INT(VLOOKUP(U136,模板计算相关数据!A:N,3,0)/模板计算相关数据!$W$35/(1+MAX(0,(AO136/10000-VLOOKUP(U136,模板计算相关数据!A:N,9,0)))*AP136/10000)/(1-VLOOKUP(U136,模板计算相关数据!A:N,5,0)/(VLOOKUP(U136,模板计算相关数据!A:N,5,0)+(VLOOKUP(U136,模板计算相关数据!A:N,2,0)+模板计算相关数据!$AC$27)*模板计算相关数据!$AC$28))/S136*AA136)</f>
        <v>20</v>
      </c>
      <c r="AL136" s="3">
        <f>INT(VLOOKUP(U136,模板计算相关数据!A:N,5,0)*VLOOKUP(X136,模板计算相关数据!$P$4:$T$7,4,0)*VLOOKUP(Y136,模板计算相关数据!$P$22:$U$30,4,0)*AB136)</f>
        <v>230</v>
      </c>
      <c r="AM136" s="3">
        <f>INT(VLOOKUP(U136,模板计算相关数据!A:N,6,0)*VLOOKUP(X136,模板计算相关数据!$P$4:$T$7,4,0)*VLOOKUP(Y136,模板计算相关数据!$P$22:$U$30,5,0)*AC136)</f>
        <v>136</v>
      </c>
      <c r="AN136" s="3">
        <f>VLOOKUP(U136,模板计算相关数据!A:N,10,0)*0.5*VLOOKUP(Y136,模板计算相关数据!$P$22:$U$30,6,0)+AD136</f>
        <v>250</v>
      </c>
      <c r="AO136" s="3">
        <f>VLOOKUP(INT(VLOOKUP(U136,模板计算相关数据!A:N,2,0)/30)+1,模板计算相关数据!$O$35:$U$40,3,0)+AE136</f>
        <v>0</v>
      </c>
      <c r="AP136" s="3">
        <f>VLOOKUP(INT(VLOOKUP(U136,模板计算相关数据!A:N,2,0)/30)+1,模板计算相关数据!$O$35:$U$40,4,0)+AF136</f>
        <v>5000</v>
      </c>
      <c r="AQ136" s="3">
        <f>VLOOKUP(INT(VLOOKUP(U136,模板计算相关数据!A:N,2,0)/30)+1,模板计算相关数据!$O$35:$U$40,5,0)+AG136</f>
        <v>0</v>
      </c>
      <c r="AR136" s="3">
        <f>VLOOKUP(INT(VLOOKUP(U136,模板计算相关数据!A:N,2,0)/30)+1,模板计算相关数据!$O$35:$U$40,6,0)+AH136</f>
        <v>0</v>
      </c>
      <c r="AS136" s="3">
        <f>VLOOKUP(INT(VLOOKUP(U136,模板计算相关数据!A:N,2,0)/30)+1,模板计算相关数据!$O$35:$U$40,7,0)+AI136</f>
        <v>0</v>
      </c>
      <c r="AT136" s="3">
        <f>VLOOKUP(INT(VLOOKUP(U136,模板计算相关数据!A:N,2,0)/30)+1,模板计算相关数据!$O$35:$V$40,8,0)</f>
        <v>0</v>
      </c>
      <c r="AU136" s="102"/>
    </row>
    <row r="137" spans="1:47" x14ac:dyDescent="0.2">
      <c r="A137" s="85">
        <v>10022</v>
      </c>
      <c r="B137" s="85"/>
      <c r="C137" s="2" t="s">
        <v>84</v>
      </c>
      <c r="D137" s="69" t="s">
        <v>1332</v>
      </c>
      <c r="E137" s="2">
        <v>2</v>
      </c>
      <c r="F137" s="3">
        <v>1</v>
      </c>
      <c r="G137" s="3">
        <v>101101</v>
      </c>
      <c r="H137" s="3">
        <v>1</v>
      </c>
      <c r="I137" s="3">
        <v>2</v>
      </c>
      <c r="J137" s="3">
        <v>4</v>
      </c>
      <c r="K137" s="3"/>
      <c r="L137" s="91" t="s">
        <v>1333</v>
      </c>
      <c r="M137" s="3"/>
      <c r="N137" s="2">
        <v>2</v>
      </c>
      <c r="O137" s="2"/>
      <c r="P137" s="3" t="s">
        <v>1615</v>
      </c>
      <c r="Q137" s="95">
        <f t="shared" si="3"/>
        <v>17.66901960784314</v>
      </c>
      <c r="R137" s="133">
        <f>IF(P137=模板计算相关数据!$AB$24,VLOOKUP(X137,模板计算相关数据!$P$47:$T$50,2,0),VLOOKUP(X137,模板计算相关数据!$P$4:$U$7,3,0))*VLOOKUP(Y137,模板计算相关数据!$P$22:$X$30,8,0)</f>
        <v>17.66901960784314</v>
      </c>
      <c r="S137" s="62">
        <f t="shared" si="4"/>
        <v>2.9610152729167778</v>
      </c>
      <c r="T137" s="133">
        <f>IF(P137=模板计算相关数据!$AB$24,VLOOKUP(X137,模板计算相关数据!$P$47:$T$50,5,0),VLOOKUP(X137,模板计算相关数据!$P$4:$U$7,6,0))*VLOOKUP(Y137,模板计算相关数据!$P$22:$X$30,9,0)</f>
        <v>2.9610152729167778</v>
      </c>
      <c r="U137" s="95">
        <v>2</v>
      </c>
      <c r="V137" s="95">
        <f t="shared" si="8"/>
        <v>1</v>
      </c>
      <c r="W137" s="29">
        <f>VLOOKUP(U137,模板计算相关数据!A:N,2,0)</f>
        <v>1</v>
      </c>
      <c r="X137" s="3" t="s">
        <v>178</v>
      </c>
      <c r="Y137" s="3" t="s">
        <v>152</v>
      </c>
      <c r="Z137" s="101">
        <v>3</v>
      </c>
      <c r="AA137" s="95">
        <v>0.2</v>
      </c>
      <c r="AB137" s="95">
        <v>1</v>
      </c>
      <c r="AC137" s="95">
        <v>1</v>
      </c>
      <c r="AD137" s="95">
        <v>0</v>
      </c>
      <c r="AE137" s="95">
        <v>0</v>
      </c>
      <c r="AF137" s="95">
        <v>0</v>
      </c>
      <c r="AG137" s="95">
        <v>0</v>
      </c>
      <c r="AH137" s="95">
        <v>0</v>
      </c>
      <c r="AI137" s="95">
        <v>5000</v>
      </c>
      <c r="AJ137" s="3">
        <f>INT(VLOOKUP(U137,模板计算相关数据!A:N,4,0)*VLOOKUP(U137,模板计算相关数据!A:N,14,0)*(1+MAX(0,(VLOOKUP(U137,模板计算相关数据!A:N,7,0)-AQ137))*VLOOKUP(U137,模板计算相关数据!A:N,8,0))*(1-(AL137+AM137)*0.5/((AL137+AM137)*0.5+(VLOOKUP(U137,模板计算相关数据!A:N,2,0)+模板计算相关数据!$AC$27)*模板计算相关数据!$AC$28))*Q137*Z137)</f>
        <v>3946</v>
      </c>
      <c r="AK137" s="3">
        <f>INT(VLOOKUP(U137,模板计算相关数据!A:N,3,0)/模板计算相关数据!$W$35/(1+MAX(0,(AO137/10000-VLOOKUP(U137,模板计算相关数据!A:N,9,0)))*AP137/10000)/(1-VLOOKUP(U137,模板计算相关数据!A:N,5,0)/(VLOOKUP(U137,模板计算相关数据!A:N,5,0)+(VLOOKUP(U137,模板计算相关数据!A:N,2,0)+模板计算相关数据!$AC$27)*模板计算相关数据!$AC$28))/S137*AA137)</f>
        <v>37</v>
      </c>
      <c r="AL137" s="3">
        <f>INT(VLOOKUP(U137,模板计算相关数据!A:N,5,0)*VLOOKUP(X137,模板计算相关数据!$P$4:$T$7,4,0)*VLOOKUP(Y137,模板计算相关数据!$P$22:$U$30,4,0)*AB137)</f>
        <v>346</v>
      </c>
      <c r="AM137" s="3">
        <f>INT(VLOOKUP(U137,模板计算相关数据!A:N,6,0)*VLOOKUP(X137,模板计算相关数据!$P$4:$T$7,4,0)*VLOOKUP(Y137,模板计算相关数据!$P$22:$U$30,5,0)*AC137)</f>
        <v>205</v>
      </c>
      <c r="AN137" s="3">
        <f>VLOOKUP(U137,模板计算相关数据!A:N,10,0)*0.5*VLOOKUP(Y137,模板计算相关数据!$P$22:$U$30,6,0)+AD137</f>
        <v>250</v>
      </c>
      <c r="AO137" s="3">
        <f>VLOOKUP(INT(VLOOKUP(U137,模板计算相关数据!A:N,2,0)/30)+1,模板计算相关数据!$O$35:$U$40,3,0)+AE137</f>
        <v>0</v>
      </c>
      <c r="AP137" s="3">
        <f>VLOOKUP(INT(VLOOKUP(U137,模板计算相关数据!A:N,2,0)/30)+1,模板计算相关数据!$O$35:$U$40,4,0)+AF137</f>
        <v>5000</v>
      </c>
      <c r="AQ137" s="3">
        <f>VLOOKUP(INT(VLOOKUP(U137,模板计算相关数据!A:N,2,0)/30)+1,模板计算相关数据!$O$35:$U$40,5,0)+AG137</f>
        <v>0</v>
      </c>
      <c r="AR137" s="3">
        <f>VLOOKUP(INT(VLOOKUP(U137,模板计算相关数据!A:N,2,0)/30)+1,模板计算相关数据!$O$35:$U$40,6,0)+AH137</f>
        <v>0</v>
      </c>
      <c r="AS137" s="3">
        <f>VLOOKUP(INT(VLOOKUP(U137,模板计算相关数据!A:N,2,0)/30)+1,模板计算相关数据!$O$35:$U$40,7,0)+AI137</f>
        <v>5000</v>
      </c>
      <c r="AT137" s="3">
        <f>VLOOKUP(INT(VLOOKUP(U137,模板计算相关数据!A:N,2,0)/30)+1,模板计算相关数据!$O$35:$V$40,8,0)</f>
        <v>0</v>
      </c>
      <c r="AU137" s="2"/>
    </row>
    <row r="138" spans="1:47" s="143" customFormat="1" x14ac:dyDescent="0.2">
      <c r="A138" s="19">
        <v>10004</v>
      </c>
      <c r="B138" s="19"/>
      <c r="C138" s="19" t="s">
        <v>148</v>
      </c>
      <c r="D138" s="34" t="s">
        <v>1012</v>
      </c>
      <c r="E138" s="19"/>
      <c r="F138" s="45">
        <v>1</v>
      </c>
      <c r="G138" s="45">
        <v>1000701</v>
      </c>
      <c r="H138" s="45">
        <v>1</v>
      </c>
      <c r="I138" s="45">
        <v>5</v>
      </c>
      <c r="J138" s="45">
        <v>6</v>
      </c>
      <c r="K138" s="45"/>
      <c r="L138" s="19" t="s">
        <v>149</v>
      </c>
      <c r="M138" s="19"/>
      <c r="N138" s="19">
        <v>1</v>
      </c>
      <c r="O138" s="19"/>
      <c r="P138" s="45" t="s">
        <v>1613</v>
      </c>
      <c r="Q138" s="19">
        <f>R138</f>
        <v>3.5338039215686279</v>
      </c>
      <c r="R138" s="133">
        <f>IF(P138=模板计算相关数据!$AB$24,VLOOKUP(X138,模板计算相关数据!$P$47:$T$50,2,0),VLOOKUP(X138,模板计算相关数据!$P$4:$U$7,3,0))*VLOOKUP(Y138,模板计算相关数据!$P$22:$X$30,8,0)</f>
        <v>3.5338039215686279</v>
      </c>
      <c r="S138" s="19">
        <v>7</v>
      </c>
      <c r="T138" s="133">
        <f>IF(P138=模板计算相关数据!$AB$24,VLOOKUP(X138,模板计算相关数据!$P$47:$T$50,5,0),VLOOKUP(X138,模板计算相关数据!$P$4:$U$7,6,0))*VLOOKUP(Y138,模板计算相关数据!$P$22:$X$30,9,0)</f>
        <v>7.080688696105339</v>
      </c>
      <c r="U138" s="45">
        <v>65</v>
      </c>
      <c r="V138" s="95">
        <f t="shared" si="8"/>
        <v>36</v>
      </c>
      <c r="W138" s="29">
        <f>VLOOKUP(U138,模板计算相关数据!A:N,2,0)</f>
        <v>36</v>
      </c>
      <c r="X138" s="45" t="s">
        <v>151</v>
      </c>
      <c r="Y138" s="45" t="s">
        <v>152</v>
      </c>
      <c r="Z138" s="21">
        <v>1</v>
      </c>
      <c r="AA138" s="19">
        <v>1</v>
      </c>
      <c r="AB138" s="19">
        <v>1</v>
      </c>
      <c r="AC138" s="19">
        <v>1</v>
      </c>
      <c r="AD138" s="142">
        <v>0</v>
      </c>
      <c r="AE138" s="142">
        <v>0</v>
      </c>
      <c r="AF138" s="142">
        <v>0</v>
      </c>
      <c r="AG138" s="142">
        <v>0</v>
      </c>
      <c r="AH138" s="142">
        <v>0</v>
      </c>
      <c r="AI138" s="142">
        <v>0</v>
      </c>
      <c r="AJ138" s="45">
        <f>INT(VLOOKUP(U138,模板计算相关数据!A:N,4,0)*VLOOKUP(U138,模板计算相关数据!A:N,14,0)*(1+MAX(0,(VLOOKUP(U138,模板计算相关数据!A:N,7,0)-AQ138))*VLOOKUP(U138,模板计算相关数据!A:N,8,0))*(1-(AL138+AM138)*0.5/((AL138+AM138)*0.5+(VLOOKUP(U138,模板计算相关数据!A:N,2,0)+模板计算相关数据!$AC$27)*模板计算相关数据!$AC$28))*Q138*Z138)</f>
        <v>2953</v>
      </c>
      <c r="AK138" s="45">
        <f>INT(VLOOKUP(U138,模板计算相关数据!A:N,3,0)/模板计算相关数据!$W$35/(1+MAX(0,(AO138/10000-VLOOKUP(U138,模板计算相关数据!A:N,9,0)))*AP138/10000)/(1-VLOOKUP(U138,模板计算相关数据!A:N,5,0)/(VLOOKUP(U138,模板计算相关数据!A:N,5,0)+(VLOOKUP(U138,模板计算相关数据!A:N,2,0)+模板计算相关数据!$AC$27)*模板计算相关数据!$AC$28))/S138*AA138)</f>
        <v>980</v>
      </c>
      <c r="AL138" s="19">
        <f>INT(VLOOKUP(U138,模板计算相关数据!A:N,5,0)*VLOOKUP(X138,模板计算相关数据!$P$47:$S$50,3,0)*VLOOKUP(Y138,模板计算相关数据!$P$22:$U$30,4,0)*AB138)</f>
        <v>2602</v>
      </c>
      <c r="AM138" s="19">
        <f>INT(VLOOKUP(U138,模板计算相关数据!A:N,6,0)*VLOOKUP(X138,模板计算相关数据!$P$47:$S$50,3,0)*VLOOKUP(Y138,模板计算相关数据!$P$22:$U$30,5,0)*AC138)</f>
        <v>1542</v>
      </c>
      <c r="AN138" s="45">
        <f>INT(VLOOKUP(U138,模板计算相关数据!A:N,10,0)*0.5*VLOOKUP(Y138,模板计算相关数据!$P$22:$U$30,6,0)+AD138)</f>
        <v>250</v>
      </c>
      <c r="AO138" s="45">
        <f>INT(VLOOKUP(INT(VLOOKUP(U138,模板计算相关数据!A:N,2,0)/30)+1,模板计算相关数据!$O$35:$U$40,3,0)+AE138)</f>
        <v>0</v>
      </c>
      <c r="AP138" s="45">
        <f>INT(VLOOKUP(INT(VLOOKUP(U138,模板计算相关数据!A:N,2,0)/30)+1,模板计算相关数据!$O$35:$U$40,4,0)+AF138)</f>
        <v>5000</v>
      </c>
      <c r="AQ138" s="45">
        <f>INT(VLOOKUP(INT(VLOOKUP(U138,模板计算相关数据!A:N,2,0)/30)+1,模板计算相关数据!$O$35:$U$40,5,0)+AG138)</f>
        <v>0</v>
      </c>
      <c r="AR138" s="45">
        <f>INT(VLOOKUP(INT(VLOOKUP(U138,模板计算相关数据!A:N,2,0)/30)+1,模板计算相关数据!$O$35:$U$40,6,0)+AH138)</f>
        <v>0</v>
      </c>
      <c r="AS138" s="45">
        <f>INT(VLOOKUP(INT(VLOOKUP(U138,模板计算相关数据!A:N,2,0)/30)+1,模板计算相关数据!$O$35:$U$40,7,0)+AI138)</f>
        <v>0</v>
      </c>
      <c r="AT138" s="45">
        <f>INT(VLOOKUP(INT(VLOOKUP(U138,模板计算相关数据!A:N,2,0)/30)+1,模板计算相关数据!$O$35:$V$40,8,0))</f>
        <v>0</v>
      </c>
      <c r="AU138" s="19"/>
    </row>
    <row r="139" spans="1:47" s="9" customFormat="1" x14ac:dyDescent="0.2">
      <c r="A139" s="2">
        <v>10005</v>
      </c>
      <c r="B139" s="2"/>
      <c r="C139" s="2" t="s">
        <v>153</v>
      </c>
      <c r="D139" s="69" t="s">
        <v>1012</v>
      </c>
      <c r="E139" s="2"/>
      <c r="F139" s="3">
        <v>3</v>
      </c>
      <c r="G139" s="3">
        <v>1000801</v>
      </c>
      <c r="H139" s="3">
        <v>2</v>
      </c>
      <c r="I139" s="3">
        <v>5</v>
      </c>
      <c r="J139" s="3">
        <v>6</v>
      </c>
      <c r="K139" s="3"/>
      <c r="L139" s="2" t="s">
        <v>154</v>
      </c>
      <c r="M139" s="2"/>
      <c r="N139" s="2">
        <v>1</v>
      </c>
      <c r="O139" s="96"/>
      <c r="P139" s="3" t="s">
        <v>1613</v>
      </c>
      <c r="Q139" s="2">
        <v>8</v>
      </c>
      <c r="R139" s="133">
        <f>IF(P139=模板计算相关数据!$AB$24,VLOOKUP(X139,模板计算相关数据!$P$47:$T$50,2,0),VLOOKUP(X139,模板计算相关数据!$P$4:$U$7,3,0))*VLOOKUP(Y139,模板计算相关数据!$P$22:$X$30,8,0)</f>
        <v>5.5529411764705889</v>
      </c>
      <c r="S139" s="2">
        <v>12</v>
      </c>
      <c r="T139" s="133">
        <f>IF(P139=模板计算相关数据!$AB$24,VLOOKUP(X139,模板计算相关数据!$P$47:$T$50,5,0),VLOOKUP(X139,模板计算相关数据!$P$4:$U$7,6,0))*VLOOKUP(Y139,模板计算相关数据!$P$22:$X$30,9,0)</f>
        <v>10.81871724633354</v>
      </c>
      <c r="U139" s="3">
        <v>65</v>
      </c>
      <c r="V139" s="95">
        <f t="shared" si="8"/>
        <v>36</v>
      </c>
      <c r="W139" s="29">
        <f>VLOOKUP(U139,模板计算相关数据!A:N,2,0)</f>
        <v>36</v>
      </c>
      <c r="X139" s="3" t="s">
        <v>151</v>
      </c>
      <c r="Y139" s="3" t="s">
        <v>155</v>
      </c>
      <c r="Z139" s="100">
        <v>1</v>
      </c>
      <c r="AA139" s="100">
        <v>1</v>
      </c>
      <c r="AB139" s="100">
        <v>1</v>
      </c>
      <c r="AC139" s="100">
        <v>1</v>
      </c>
      <c r="AD139" s="95">
        <v>0</v>
      </c>
      <c r="AE139" s="95">
        <v>0</v>
      </c>
      <c r="AF139" s="95">
        <v>0</v>
      </c>
      <c r="AG139" s="95">
        <v>0</v>
      </c>
      <c r="AH139" s="95">
        <v>0</v>
      </c>
      <c r="AI139" s="95">
        <v>0</v>
      </c>
      <c r="AJ139" s="3">
        <f>INT(VLOOKUP(U139,模板计算相关数据!A:N,4,0)*VLOOKUP(U139,模板计算相关数据!A:N,14,0)*(1+MAX(0,(VLOOKUP(U139,模板计算相关数据!A:N,7,0)-AQ139))*VLOOKUP(U139,模板计算相关数据!A:N,8,0))*(1-(AL139+AM139)*0.5/((AL139+AM139)*0.5+(VLOOKUP(U139,模板计算相关数据!A:N,2,0)+模板计算相关数据!$AC$27)*模板计算相关数据!$AC$28))*Q139*Z139)</f>
        <v>6301</v>
      </c>
      <c r="AK139" s="3">
        <f>INT(VLOOKUP(U139,模板计算相关数据!A:N,3,0)/模板计算相关数据!$W$35/(1+MAX(0,(AO139/10000-VLOOKUP(U139,模板计算相关数据!A:N,9,0)))*AP139/10000)/(1-VLOOKUP(U139,模板计算相关数据!A:N,5,0)/(VLOOKUP(U139,模板计算相关数据!A:N,5,0)+(VLOOKUP(U139,模板计算相关数据!A:N,2,0)+模板计算相关数据!$AC$27)*模板计算相关数据!$AC$28))/S139*AA139)</f>
        <v>572</v>
      </c>
      <c r="AL139" s="2">
        <f>INT(VLOOKUP(U139,模板计算相关数据!A:N,5,0)*VLOOKUP(X139,模板计算相关数据!$P$47:$S$50,3,0)*VLOOKUP(Y139,模板计算相关数据!$P$22:$U$30,4,0)*AB139)</f>
        <v>3132</v>
      </c>
      <c r="AM139" s="2">
        <f>INT(VLOOKUP(U139,模板计算相关数据!A:N,6,0)*VLOOKUP(X139,模板计算相关数据!$P$47:$S$50,3,0)*VLOOKUP(Y139,模板计算相关数据!$P$22:$U$30,5,0)*AC139)</f>
        <v>1734</v>
      </c>
      <c r="AN139" s="3">
        <f>INT(VLOOKUP(U139,模板计算相关数据!A:N,10,0)*0.5*VLOOKUP(Y139,模板计算相关数据!$P$22:$U$30,6,0)+AD139)</f>
        <v>225</v>
      </c>
      <c r="AO139" s="3">
        <f>INT(VLOOKUP(INT(VLOOKUP(U139,模板计算相关数据!A:N,2,0)/30)+1,模板计算相关数据!$O$35:$U$40,3,0)+AE139)</f>
        <v>0</v>
      </c>
      <c r="AP139" s="3">
        <f>INT(VLOOKUP(INT(VLOOKUP(U139,模板计算相关数据!A:N,2,0)/30)+1,模板计算相关数据!$O$35:$U$40,4,0)+AF139)</f>
        <v>5000</v>
      </c>
      <c r="AQ139" s="3">
        <f>INT(VLOOKUP(INT(VLOOKUP(U139,模板计算相关数据!A:N,2,0)/30)+1,模板计算相关数据!$O$35:$U$40,5,0)+AG139)</f>
        <v>0</v>
      </c>
      <c r="AR139" s="3">
        <f>INT(VLOOKUP(INT(VLOOKUP(U139,模板计算相关数据!A:N,2,0)/30)+1,模板计算相关数据!$O$35:$U$40,6,0)+AH139)</f>
        <v>0</v>
      </c>
      <c r="AS139" s="3">
        <f>INT(VLOOKUP(INT(VLOOKUP(U139,模板计算相关数据!A:N,2,0)/30)+1,模板计算相关数据!$O$35:$U$40,7,0)+AI139)</f>
        <v>0</v>
      </c>
      <c r="AT139" s="3">
        <f>INT(VLOOKUP(INT(VLOOKUP(U139,模板计算相关数据!A:N,2,0)/30)+1,模板计算相关数据!$O$35:$V$40,8,0))</f>
        <v>0</v>
      </c>
      <c r="AU139" s="102"/>
    </row>
    <row r="140" spans="1:47" s="9" customFormat="1" x14ac:dyDescent="0.2">
      <c r="A140" s="2">
        <v>10006</v>
      </c>
      <c r="B140" s="2"/>
      <c r="C140" s="2" t="s">
        <v>82</v>
      </c>
      <c r="D140" s="69" t="s">
        <v>1012</v>
      </c>
      <c r="E140" s="2"/>
      <c r="F140" s="3">
        <v>3</v>
      </c>
      <c r="G140" s="3">
        <v>102601</v>
      </c>
      <c r="H140" s="3">
        <v>5</v>
      </c>
      <c r="I140" s="3">
        <v>5</v>
      </c>
      <c r="J140" s="3">
        <v>6</v>
      </c>
      <c r="K140" s="3">
        <v>2</v>
      </c>
      <c r="L140" s="2" t="s">
        <v>156</v>
      </c>
      <c r="M140" s="97"/>
      <c r="N140" s="2">
        <v>1</v>
      </c>
      <c r="O140" s="96"/>
      <c r="P140" s="3" t="s">
        <v>1613</v>
      </c>
      <c r="Q140" s="2">
        <v>8</v>
      </c>
      <c r="R140" s="133">
        <f>IF(P140=模板计算相关数据!$AB$24,VLOOKUP(X140,模板计算相关数据!$P$47:$T$50,2,0),VLOOKUP(X140,模板计算相关数据!$P$4:$U$7,3,0))*VLOOKUP(Y140,模板计算相关数据!$P$22:$X$30,8,0)</f>
        <v>9.2335686274509801</v>
      </c>
      <c r="S140" s="2">
        <f t="shared" ref="S140" si="9">T140</f>
        <v>4.8058439061899252</v>
      </c>
      <c r="T140" s="133">
        <f>IF(P140=模板计算相关数据!$AB$24,VLOOKUP(X140,模板计算相关数据!$P$47:$T$50,5,0),VLOOKUP(X140,模板计算相关数据!$P$4:$U$7,6,0))*VLOOKUP(Y140,模板计算相关数据!$P$22:$X$30,9,0)</f>
        <v>4.8058439061899252</v>
      </c>
      <c r="U140" s="3">
        <v>65</v>
      </c>
      <c r="V140" s="95">
        <f t="shared" si="8"/>
        <v>36</v>
      </c>
      <c r="W140" s="29">
        <f>VLOOKUP(U140,模板计算相关数据!A:N,2,0)</f>
        <v>36</v>
      </c>
      <c r="X140" s="3" t="s">
        <v>158</v>
      </c>
      <c r="Y140" s="3" t="s">
        <v>159</v>
      </c>
      <c r="Z140" s="100">
        <v>1</v>
      </c>
      <c r="AA140" s="100">
        <v>1</v>
      </c>
      <c r="AB140" s="100">
        <v>1</v>
      </c>
      <c r="AC140" s="100">
        <v>1</v>
      </c>
      <c r="AD140" s="95">
        <v>0</v>
      </c>
      <c r="AE140" s="95">
        <v>0</v>
      </c>
      <c r="AF140" s="95">
        <v>0</v>
      </c>
      <c r="AG140" s="95">
        <v>0</v>
      </c>
      <c r="AH140" s="95">
        <v>0</v>
      </c>
      <c r="AI140" s="95">
        <v>0</v>
      </c>
      <c r="AJ140" s="3">
        <f>INT(VLOOKUP(U140,模板计算相关数据!A:N,4,0)*VLOOKUP(U140,模板计算相关数据!A:N,14,0)*(1+MAX(0,(VLOOKUP(U140,模板计算相关数据!A:N,7,0)-AQ140))*VLOOKUP(U140,模板计算相关数据!A:N,8,0))*(1-(AL140+AM140)*0.5/((AL140+AM140)*0.5+(VLOOKUP(U140,模板计算相关数据!A:N,2,0)+模板计算相关数据!$AC$27)*模板计算相关数据!$AC$28))*Q140*Z140)</f>
        <v>5872</v>
      </c>
      <c r="AK140" s="3">
        <f>INT(VLOOKUP(U140,模板计算相关数据!A:N,3,0)/模板计算相关数据!$W$35/(1+MAX(0,(AO140/10000-VLOOKUP(U140,模板计算相关数据!A:N,9,0)))*AP140/10000)/(1-VLOOKUP(U140,模板计算相关数据!A:N,5,0)/(VLOOKUP(U140,模板计算相关数据!A:N,5,0)+(VLOOKUP(U140,模板计算相关数据!A:N,2,0)+模板计算相关数据!$AC$27)*模板计算相关数据!$AC$28))/S140*AA140)</f>
        <v>1428</v>
      </c>
      <c r="AL140" s="2">
        <f>INT(VLOOKUP(U140,模板计算相关数据!A:N,5,0)*VLOOKUP(X140,模板计算相关数据!$P$47:$S$50,3,0)*VLOOKUP(Y140,模板计算相关数据!$P$22:$U$30,4,0)*AB140)</f>
        <v>3734</v>
      </c>
      <c r="AM140" s="2">
        <f>INT(VLOOKUP(U140,模板计算相关数据!A:N,6,0)*VLOOKUP(X140,模板计算相关数据!$P$47:$S$50,3,0)*VLOOKUP(Y140,模板计算相关数据!$P$22:$U$30,5,0)*AC140)</f>
        <v>2048</v>
      </c>
      <c r="AN140" s="3">
        <f>INT(VLOOKUP(U140,模板计算相关数据!A:N,10,0)*0.5*VLOOKUP(Y140,模板计算相关数据!$P$22:$U$30,6,0)+AD140)</f>
        <v>275</v>
      </c>
      <c r="AO140" s="3">
        <f>INT(VLOOKUP(INT(VLOOKUP(U140,模板计算相关数据!A:N,2,0)/30)+1,模板计算相关数据!$O$35:$U$40,3,0)+AE140)</f>
        <v>0</v>
      </c>
      <c r="AP140" s="3">
        <f>INT(VLOOKUP(INT(VLOOKUP(U140,模板计算相关数据!A:N,2,0)/30)+1,模板计算相关数据!$O$35:$U$40,4,0)+AF140)</f>
        <v>5000</v>
      </c>
      <c r="AQ140" s="3">
        <f>INT(VLOOKUP(INT(VLOOKUP(U140,模板计算相关数据!A:N,2,0)/30)+1,模板计算相关数据!$O$35:$U$40,5,0)+AG140)</f>
        <v>0</v>
      </c>
      <c r="AR140" s="3">
        <f>INT(VLOOKUP(INT(VLOOKUP(U140,模板计算相关数据!A:N,2,0)/30)+1,模板计算相关数据!$O$35:$U$40,6,0)+AH140)</f>
        <v>0</v>
      </c>
      <c r="AS140" s="3">
        <f>INT(VLOOKUP(INT(VLOOKUP(U140,模板计算相关数据!A:N,2,0)/30)+1,模板计算相关数据!$O$35:$U$40,7,0)+AI140)</f>
        <v>0</v>
      </c>
      <c r="AT140" s="3">
        <f>INT(VLOOKUP(INT(VLOOKUP(U140,模板计算相关数据!A:N,2,0)/30)+1,模板计算相关数据!$O$35:$V$40,8,0))</f>
        <v>0</v>
      </c>
      <c r="AU140" s="102"/>
    </row>
    <row r="141" spans="1:47" s="9" customFormat="1" x14ac:dyDescent="0.2">
      <c r="A141" s="2">
        <v>10007</v>
      </c>
      <c r="B141" s="2"/>
      <c r="C141" s="2" t="s">
        <v>160</v>
      </c>
      <c r="D141" s="69" t="s">
        <v>1012</v>
      </c>
      <c r="E141" s="2"/>
      <c r="F141" s="3">
        <v>2</v>
      </c>
      <c r="G141" s="3">
        <v>1000401</v>
      </c>
      <c r="H141" s="3">
        <v>4</v>
      </c>
      <c r="I141" s="3">
        <v>5</v>
      </c>
      <c r="J141" s="3">
        <v>6</v>
      </c>
      <c r="K141" s="3"/>
      <c r="L141" s="2" t="s">
        <v>161</v>
      </c>
      <c r="M141" s="2"/>
      <c r="N141" s="2">
        <v>1</v>
      </c>
      <c r="O141" s="96"/>
      <c r="P141" s="3" t="s">
        <v>1613</v>
      </c>
      <c r="Q141" s="2">
        <v>4</v>
      </c>
      <c r="R141" s="133">
        <f>IF(P141=模板计算相关数据!$AB$24,VLOOKUP(X141,模板计算相关数据!$P$47:$T$50,2,0),VLOOKUP(X141,模板计算相关数据!$P$4:$U$7,3,0))*VLOOKUP(Y141,模板计算相关数据!$P$22:$X$30,8,0)</f>
        <v>3.5739607843137255</v>
      </c>
      <c r="S141" s="2">
        <f>T141</f>
        <v>7.1399909464914808</v>
      </c>
      <c r="T141" s="133">
        <f>IF(P141=模板计算相关数据!$AB$24,VLOOKUP(X141,模板计算相关数据!$P$47:$T$50,5,0),VLOOKUP(X141,模板计算相关数据!$P$4:$U$7,6,0))*VLOOKUP(Y141,模板计算相关数据!$P$22:$X$30,9,0)</f>
        <v>7.1399909464914808</v>
      </c>
      <c r="U141" s="3">
        <v>65</v>
      </c>
      <c r="V141" s="95">
        <f t="shared" si="8"/>
        <v>36</v>
      </c>
      <c r="W141" s="29">
        <f>VLOOKUP(U141,模板计算相关数据!A:N,2,0)</f>
        <v>36</v>
      </c>
      <c r="X141" s="3" t="s">
        <v>151</v>
      </c>
      <c r="Y141" s="3" t="s">
        <v>162</v>
      </c>
      <c r="Z141" s="100">
        <v>1</v>
      </c>
      <c r="AA141" s="100">
        <v>1</v>
      </c>
      <c r="AB141" s="100">
        <v>1</v>
      </c>
      <c r="AC141" s="100">
        <v>1</v>
      </c>
      <c r="AD141" s="95">
        <v>0</v>
      </c>
      <c r="AE141" s="95">
        <v>0</v>
      </c>
      <c r="AF141" s="95">
        <v>0</v>
      </c>
      <c r="AG141" s="95">
        <v>0</v>
      </c>
      <c r="AH141" s="95">
        <v>0</v>
      </c>
      <c r="AI141" s="95">
        <v>0</v>
      </c>
      <c r="AJ141" s="3">
        <f>INT(VLOOKUP(U141,模板计算相关数据!A:N,4,0)*VLOOKUP(U141,模板计算相关数据!A:N,14,0)*(1+MAX(0,(VLOOKUP(U141,模板计算相关数据!A:N,7,0)-AQ141))*VLOOKUP(U141,模板计算相关数据!A:N,8,0))*(1-(AL141+AM141)*0.5/((AL141+AM141)*0.5+(VLOOKUP(U141,模板计算相关数据!A:N,2,0)+模板计算相关数据!$AC$27)*模板计算相关数据!$AC$28))*Q141*Z141)</f>
        <v>3343</v>
      </c>
      <c r="AK141" s="3">
        <f>INT(VLOOKUP(U141,模板计算相关数据!A:N,3,0)/模板计算相关数据!$W$35/(1+MAX(0,(AO141/10000-VLOOKUP(U141,模板计算相关数据!A:N,9,0)))*AP141/10000)/(1-VLOOKUP(U141,模板计算相关数据!A:N,5,0)/(VLOOKUP(U141,模板计算相关数据!A:N,5,0)+(VLOOKUP(U141,模板计算相关数据!A:N,2,0)+模板计算相关数据!$AC$27)*模板计算相关数据!$AC$28))/S141*AA141)</f>
        <v>961</v>
      </c>
      <c r="AL141" s="2">
        <f>INT(VLOOKUP(U141,模板计算相关数据!A:N,5,0)*VLOOKUP(X141,模板计算相关数据!$P$47:$S$50,3,0)*VLOOKUP(Y141,模板计算相关数据!$P$22:$U$30,4,0)*AB141)</f>
        <v>1542</v>
      </c>
      <c r="AM141" s="2">
        <f>INT(VLOOKUP(U141,模板计算相关数据!A:N,6,0)*VLOOKUP(X141,模板计算相关数据!$P$47:$S$50,3,0)*VLOOKUP(Y141,模板计算相关数据!$P$22:$U$30,5,0)*AC141)</f>
        <v>2602</v>
      </c>
      <c r="AN141" s="3">
        <f>INT(VLOOKUP(U141,模板计算相关数据!A:N,10,0)*0.5*VLOOKUP(Y141,模板计算相关数据!$P$22:$U$30,6,0)+AD141)</f>
        <v>250</v>
      </c>
      <c r="AO141" s="3">
        <f>INT(VLOOKUP(INT(VLOOKUP(U141,模板计算相关数据!A:N,2,0)/30)+1,模板计算相关数据!$O$35:$U$40,3,0)+AE141)</f>
        <v>0</v>
      </c>
      <c r="AP141" s="3">
        <f>INT(VLOOKUP(INT(VLOOKUP(U141,模板计算相关数据!A:N,2,0)/30)+1,模板计算相关数据!$O$35:$U$40,4,0)+AF141)</f>
        <v>5000</v>
      </c>
      <c r="AQ141" s="3">
        <f>INT(VLOOKUP(INT(VLOOKUP(U141,模板计算相关数据!A:N,2,0)/30)+1,模板计算相关数据!$O$35:$U$40,5,0)+AG141)</f>
        <v>0</v>
      </c>
      <c r="AR141" s="3">
        <f>INT(VLOOKUP(INT(VLOOKUP(U141,模板计算相关数据!A:N,2,0)/30)+1,模板计算相关数据!$O$35:$U$40,6,0)+AH141)</f>
        <v>0</v>
      </c>
      <c r="AS141" s="3">
        <f>INT(VLOOKUP(INT(VLOOKUP(U141,模板计算相关数据!A:N,2,0)/30)+1,模板计算相关数据!$O$35:$U$40,7,0)+AI141)</f>
        <v>0</v>
      </c>
      <c r="AT141" s="3">
        <f>INT(VLOOKUP(INT(VLOOKUP(U141,模板计算相关数据!A:N,2,0)/30)+1,模板计算相关数据!$O$35:$V$40,8,0))</f>
        <v>0</v>
      </c>
      <c r="AU141" s="102"/>
    </row>
    <row r="142" spans="1:47" s="9" customFormat="1" x14ac:dyDescent="0.2">
      <c r="A142" s="2">
        <v>10008</v>
      </c>
      <c r="B142" s="2"/>
      <c r="C142" s="2" t="s">
        <v>163</v>
      </c>
      <c r="D142" s="69" t="s">
        <v>1012</v>
      </c>
      <c r="E142" s="2"/>
      <c r="F142" s="3">
        <v>1</v>
      </c>
      <c r="G142" s="3">
        <v>1000501</v>
      </c>
      <c r="H142" s="3">
        <v>2</v>
      </c>
      <c r="I142" s="3">
        <v>5</v>
      </c>
      <c r="J142" s="3">
        <v>6</v>
      </c>
      <c r="K142" s="3"/>
      <c r="L142" s="2" t="s">
        <v>164</v>
      </c>
      <c r="M142" s="2"/>
      <c r="N142" s="2">
        <v>1</v>
      </c>
      <c r="O142" s="96"/>
      <c r="P142" s="3" t="s">
        <v>1613</v>
      </c>
      <c r="Q142" s="69">
        <v>8</v>
      </c>
      <c r="R142" s="133">
        <f>IF(P142=模板计算相关数据!$AB$24,VLOOKUP(X142,模板计算相关数据!$P$47:$T$50,2,0),VLOOKUP(X142,模板计算相关数据!$P$4:$U$7,3,0))*VLOOKUP(Y142,模板计算相关数据!$P$22:$X$30,8,0)</f>
        <v>5.5529411764705889</v>
      </c>
      <c r="S142" s="2">
        <f>T142</f>
        <v>10.81871724633354</v>
      </c>
      <c r="T142" s="133">
        <f>IF(P142=模板计算相关数据!$AB$24,VLOOKUP(X142,模板计算相关数据!$P$47:$T$50,5,0),VLOOKUP(X142,模板计算相关数据!$P$4:$U$7,6,0))*VLOOKUP(Y142,模板计算相关数据!$P$22:$X$30,9,0)</f>
        <v>10.81871724633354</v>
      </c>
      <c r="U142" s="3">
        <v>65</v>
      </c>
      <c r="V142" s="95">
        <f t="shared" si="8"/>
        <v>36</v>
      </c>
      <c r="W142" s="29">
        <f>VLOOKUP(U142,模板计算相关数据!A:N,2,0)</f>
        <v>36</v>
      </c>
      <c r="X142" s="3" t="s">
        <v>151</v>
      </c>
      <c r="Y142" s="3" t="s">
        <v>155</v>
      </c>
      <c r="Z142" s="100">
        <v>1</v>
      </c>
      <c r="AA142" s="100">
        <v>1</v>
      </c>
      <c r="AB142" s="100">
        <v>1</v>
      </c>
      <c r="AC142" s="100">
        <v>1</v>
      </c>
      <c r="AD142" s="95">
        <v>0</v>
      </c>
      <c r="AE142" s="95">
        <v>0</v>
      </c>
      <c r="AF142" s="95">
        <v>0</v>
      </c>
      <c r="AG142" s="95">
        <v>0</v>
      </c>
      <c r="AH142" s="95">
        <v>0</v>
      </c>
      <c r="AI142" s="95">
        <v>0</v>
      </c>
      <c r="AJ142" s="3">
        <f>INT(VLOOKUP(U142,模板计算相关数据!A:N,4,0)*VLOOKUP(U142,模板计算相关数据!A:N,14,0)*(1+MAX(0,(VLOOKUP(U142,模板计算相关数据!A:N,7,0)-AQ142))*VLOOKUP(U142,模板计算相关数据!A:N,8,0))*(1-(AL142+AM142)*0.5/((AL142+AM142)*0.5+(VLOOKUP(U142,模板计算相关数据!A:N,2,0)+模板计算相关数据!$AC$27)*模板计算相关数据!$AC$28))*Q142*Z142)</f>
        <v>6301</v>
      </c>
      <c r="AK142" s="3">
        <f>INT(VLOOKUP(U142,模板计算相关数据!A:N,3,0)/模板计算相关数据!$W$35/(1+MAX(0,(AO142/10000-VLOOKUP(U142,模板计算相关数据!A:N,9,0)))*AP142/10000)/(1-VLOOKUP(U142,模板计算相关数据!A:N,5,0)/(VLOOKUP(U142,模板计算相关数据!A:N,5,0)+(VLOOKUP(U142,模板计算相关数据!A:N,2,0)+模板计算相关数据!$AC$27)*模板计算相关数据!$AC$28))/S142*AA142)</f>
        <v>634</v>
      </c>
      <c r="AL142" s="2">
        <f>INT(VLOOKUP(U142,模板计算相关数据!A:N,5,0)*VLOOKUP(X142,模板计算相关数据!$P$47:$S$50,3,0)*VLOOKUP(Y142,模板计算相关数据!$P$22:$U$30,4,0)*AB142)</f>
        <v>3132</v>
      </c>
      <c r="AM142" s="2">
        <f>INT(VLOOKUP(U142,模板计算相关数据!A:N,6,0)*VLOOKUP(X142,模板计算相关数据!$P$47:$S$50,3,0)*VLOOKUP(Y142,模板计算相关数据!$P$22:$U$30,5,0)*AC142)</f>
        <v>1734</v>
      </c>
      <c r="AN142" s="3">
        <f>INT(VLOOKUP(U142,模板计算相关数据!A:N,10,0)*0.5*VLOOKUP(Y142,模板计算相关数据!$P$22:$U$30,6,0)+AD142)</f>
        <v>225</v>
      </c>
      <c r="AO142" s="3">
        <f>INT(VLOOKUP(INT(VLOOKUP(U142,模板计算相关数据!A:N,2,0)/30)+1,模板计算相关数据!$O$35:$U$40,3,0)+AE142)</f>
        <v>0</v>
      </c>
      <c r="AP142" s="3">
        <f>INT(VLOOKUP(INT(VLOOKUP(U142,模板计算相关数据!A:N,2,0)/30)+1,模板计算相关数据!$O$35:$U$40,4,0)+AF142)</f>
        <v>5000</v>
      </c>
      <c r="AQ142" s="3">
        <f>INT(VLOOKUP(INT(VLOOKUP(U142,模板计算相关数据!A:N,2,0)/30)+1,模板计算相关数据!$O$35:$U$40,5,0)+AG142)</f>
        <v>0</v>
      </c>
      <c r="AR142" s="3">
        <f>INT(VLOOKUP(INT(VLOOKUP(U142,模板计算相关数据!A:N,2,0)/30)+1,模板计算相关数据!$O$35:$U$40,6,0)+AH142)</f>
        <v>0</v>
      </c>
      <c r="AS142" s="3">
        <f>INT(VLOOKUP(INT(VLOOKUP(U142,模板计算相关数据!A:N,2,0)/30)+1,模板计算相关数据!$O$35:$U$40,7,0)+AI142)</f>
        <v>0</v>
      </c>
      <c r="AT142" s="3">
        <f>INT(VLOOKUP(INT(VLOOKUP(U142,模板计算相关数据!A:N,2,0)/30)+1,模板计算相关数据!$O$35:$V$40,8,0))</f>
        <v>0</v>
      </c>
      <c r="AU142" s="102"/>
    </row>
    <row r="143" spans="1:47" s="9" customFormat="1" x14ac:dyDescent="0.2">
      <c r="A143" s="2">
        <v>10009</v>
      </c>
      <c r="B143" s="2"/>
      <c r="C143" s="2" t="s">
        <v>165</v>
      </c>
      <c r="D143" s="69" t="s">
        <v>1012</v>
      </c>
      <c r="E143" s="2"/>
      <c r="F143" s="3">
        <v>3</v>
      </c>
      <c r="G143" s="3">
        <v>1000601</v>
      </c>
      <c r="H143" s="3">
        <v>1</v>
      </c>
      <c r="I143" s="3">
        <v>5</v>
      </c>
      <c r="J143" s="3">
        <v>6</v>
      </c>
      <c r="K143" s="3">
        <v>2</v>
      </c>
      <c r="L143" s="2" t="s">
        <v>166</v>
      </c>
      <c r="M143" s="2"/>
      <c r="N143" s="2">
        <v>1</v>
      </c>
      <c r="O143" s="96"/>
      <c r="P143" s="3" t="s">
        <v>1613</v>
      </c>
      <c r="Q143" s="2">
        <v>5.5</v>
      </c>
      <c r="R143" s="133">
        <f>IF(P143=模板计算相关数据!$AB$24,VLOOKUP(X143,模板计算相关数据!$P$47:$T$50,2,0),VLOOKUP(X143,模板计算相关数据!$P$4:$U$7,3,0))*VLOOKUP(Y143,模板计算相关数据!$P$22:$X$30,8,0)</f>
        <v>7.0676078431372558</v>
      </c>
      <c r="S143" s="2">
        <v>6</v>
      </c>
      <c r="T143" s="133">
        <f>IF(P143=模板计算相关数据!$AB$24,VLOOKUP(X143,模板计算相关数据!$P$47:$T$50,5,0),VLOOKUP(X143,模板计算相关数据!$P$4:$U$7,6,0))*VLOOKUP(Y143,模板计算相关数据!$P$22:$X$30,9,0)</f>
        <v>4.0713960002605694</v>
      </c>
      <c r="U143" s="3">
        <v>65</v>
      </c>
      <c r="V143" s="95">
        <f t="shared" si="8"/>
        <v>36</v>
      </c>
      <c r="W143" s="29">
        <f>VLOOKUP(U143,模板计算相关数据!A:N,2,0)</f>
        <v>36</v>
      </c>
      <c r="X143" s="3" t="s">
        <v>158</v>
      </c>
      <c r="Y143" s="3" t="s">
        <v>152</v>
      </c>
      <c r="Z143" s="100">
        <v>1</v>
      </c>
      <c r="AA143" s="100">
        <v>1</v>
      </c>
      <c r="AB143" s="100">
        <v>1</v>
      </c>
      <c r="AC143" s="100">
        <v>1</v>
      </c>
      <c r="AD143" s="95">
        <v>0</v>
      </c>
      <c r="AE143" s="95">
        <v>0</v>
      </c>
      <c r="AF143" s="95">
        <v>0</v>
      </c>
      <c r="AG143" s="95">
        <v>0</v>
      </c>
      <c r="AH143" s="95">
        <v>0</v>
      </c>
      <c r="AI143" s="95">
        <v>0</v>
      </c>
      <c r="AJ143" s="3">
        <f>INT(VLOOKUP(U143,模板计算相关数据!A:N,4,0)*VLOOKUP(U143,模板计算相关数据!A:N,14,0)*(1+MAX(0,(VLOOKUP(U143,模板计算相关数据!A:N,7,0)-AQ143))*VLOOKUP(U143,模板计算相关数据!A:N,8,0))*(1-(AL143+AM143)*0.5/((AL143+AM143)*0.5+(VLOOKUP(U143,模板计算相关数据!A:N,2,0)+模板计算相关数据!$AC$27)*模板计算相关数据!$AC$28))*Q143*Z143)</f>
        <v>4226</v>
      </c>
      <c r="AK143" s="3">
        <f>INT(VLOOKUP(U143,模板计算相关数据!A:N,3,0)/模板计算相关数据!$W$35/(1+MAX(0,(AO143/10000-VLOOKUP(U143,模板计算相关数据!A:N,9,0)))*AP143/10000)/(1-VLOOKUP(U143,模板计算相关数据!A:N,5,0)/(VLOOKUP(U143,模板计算相关数据!A:N,5,0)+(VLOOKUP(U143,模板计算相关数据!A:N,2,0)+模板计算相关数据!$AC$27)*模板计算相关数据!$AC$28))/S143*AA143)</f>
        <v>1144</v>
      </c>
      <c r="AL143" s="2">
        <f>INT(VLOOKUP(U143,模板计算相关数据!A:N,5,0)*VLOOKUP(X143,模板计算相关数据!$P$47:$S$50,3,0)*VLOOKUP(Y143,模板计算相关数据!$P$22:$U$30,4,0)*AB143)</f>
        <v>3252</v>
      </c>
      <c r="AM143" s="2">
        <f>INT(VLOOKUP(U143,模板计算相关数据!A:N,6,0)*VLOOKUP(X143,模板计算相关数据!$P$47:$S$50,3,0)*VLOOKUP(Y143,模板计算相关数据!$P$22:$U$30,5,0)*AC143)</f>
        <v>1927</v>
      </c>
      <c r="AN143" s="3">
        <f>INT(VLOOKUP(U143,模板计算相关数据!A:N,10,0)*0.5*VLOOKUP(Y143,模板计算相关数据!$P$22:$U$30,6,0)+AD143)</f>
        <v>250</v>
      </c>
      <c r="AO143" s="3">
        <f>INT(VLOOKUP(INT(VLOOKUP(U143,模板计算相关数据!A:N,2,0)/30)+1,模板计算相关数据!$O$35:$U$40,3,0)+AE143)</f>
        <v>0</v>
      </c>
      <c r="AP143" s="3">
        <f>INT(VLOOKUP(INT(VLOOKUP(U143,模板计算相关数据!A:N,2,0)/30)+1,模板计算相关数据!$O$35:$U$40,4,0)+AF143)</f>
        <v>5000</v>
      </c>
      <c r="AQ143" s="3">
        <f>INT(VLOOKUP(INT(VLOOKUP(U143,模板计算相关数据!A:N,2,0)/30)+1,模板计算相关数据!$O$35:$U$40,5,0)+AG143)</f>
        <v>0</v>
      </c>
      <c r="AR143" s="3">
        <f>INT(VLOOKUP(INT(VLOOKUP(U143,模板计算相关数据!A:N,2,0)/30)+1,模板计算相关数据!$O$35:$U$40,6,0)+AH143)</f>
        <v>0</v>
      </c>
      <c r="AS143" s="3">
        <f>INT(VLOOKUP(INT(VLOOKUP(U143,模板计算相关数据!A:N,2,0)/30)+1,模板计算相关数据!$O$35:$U$40,7,0)+AI143)</f>
        <v>0</v>
      </c>
      <c r="AT143" s="3">
        <f>INT(VLOOKUP(INT(VLOOKUP(U143,模板计算相关数据!A:N,2,0)/30)+1,模板计算相关数据!$O$35:$V$40,8,0))</f>
        <v>0</v>
      </c>
      <c r="AU143" s="102"/>
    </row>
    <row r="144" spans="1:47" s="9" customFormat="1" x14ac:dyDescent="0.2">
      <c r="A144" s="2">
        <v>10010</v>
      </c>
      <c r="B144" s="2"/>
      <c r="C144" s="2" t="s">
        <v>167</v>
      </c>
      <c r="D144" s="69" t="s">
        <v>1012</v>
      </c>
      <c r="E144" s="2"/>
      <c r="F144" s="3">
        <v>1</v>
      </c>
      <c r="G144" s="3">
        <v>1006301</v>
      </c>
      <c r="H144" s="3">
        <v>3</v>
      </c>
      <c r="I144" s="3">
        <v>5</v>
      </c>
      <c r="J144" s="3">
        <v>7</v>
      </c>
      <c r="K144" s="3">
        <v>2</v>
      </c>
      <c r="L144" s="2" t="s">
        <v>168</v>
      </c>
      <c r="M144" s="2" t="s">
        <v>169</v>
      </c>
      <c r="N144" s="2">
        <v>1</v>
      </c>
      <c r="O144" s="96"/>
      <c r="P144" s="3" t="s">
        <v>1613</v>
      </c>
      <c r="Q144" s="2">
        <v>8</v>
      </c>
      <c r="R144" s="133">
        <f>IF(P144=模板计算相关数据!$AB$24,VLOOKUP(X144,模板计算相关数据!$P$47:$T$50,2,0),VLOOKUP(X144,模板计算相关数据!$P$4:$U$7,3,0))*VLOOKUP(Y144,模板计算相关数据!$P$22:$X$30,8,0)</f>
        <v>8.9600000000000026</v>
      </c>
      <c r="S144" s="2">
        <v>6.3</v>
      </c>
      <c r="T144" s="133">
        <f>IF(P144=模板计算相关数据!$AB$24,VLOOKUP(X144,模板计算相关数据!$P$47:$T$50,5,0),VLOOKUP(X144,模板计算相关数据!$P$4:$U$7,6,0))*VLOOKUP(Y144,模板计算相关数据!$P$22:$X$30,9,0)</f>
        <v>5.0020008003201273</v>
      </c>
      <c r="U144" s="3">
        <v>65</v>
      </c>
      <c r="V144" s="95">
        <f t="shared" si="8"/>
        <v>36</v>
      </c>
      <c r="W144" s="29">
        <f>VLOOKUP(U144,模板计算相关数据!A:N,2,0)</f>
        <v>36</v>
      </c>
      <c r="X144" s="3" t="s">
        <v>158</v>
      </c>
      <c r="Y144" s="3" t="s">
        <v>170</v>
      </c>
      <c r="Z144" s="100">
        <v>1</v>
      </c>
      <c r="AA144" s="100">
        <v>1</v>
      </c>
      <c r="AB144" s="100">
        <v>1</v>
      </c>
      <c r="AC144" s="100">
        <v>1</v>
      </c>
      <c r="AD144" s="95">
        <v>0</v>
      </c>
      <c r="AE144" s="95">
        <v>0</v>
      </c>
      <c r="AF144" s="95">
        <v>0</v>
      </c>
      <c r="AG144" s="95">
        <v>0</v>
      </c>
      <c r="AH144" s="95">
        <v>0</v>
      </c>
      <c r="AI144" s="95">
        <v>0</v>
      </c>
      <c r="AJ144" s="3">
        <f>INT(VLOOKUP(U144,模板计算相关数据!A:N,4,0)*VLOOKUP(U144,模板计算相关数据!A:N,14,0)*(1+MAX(0,(VLOOKUP(U144,模板计算相关数据!A:N,7,0)-AQ144))*VLOOKUP(U144,模板计算相关数据!A:N,8,0))*(1-(AL144+AM144)*0.5/((AL144+AM144)*0.5+(VLOOKUP(U144,模板计算相关数据!A:N,2,0)+模板计算相关数据!$AC$27)*模板计算相关数据!$AC$28))*Q144*Z144)</f>
        <v>5769</v>
      </c>
      <c r="AK144" s="3">
        <f>INT(VLOOKUP(U144,模板计算相关数据!A:N,3,0)/模板计算相关数据!$W$35/(1+MAX(0,(AO144/10000-VLOOKUP(U144,模板计算相关数据!A:N,9,0)))*AP144/10000)/(1-VLOOKUP(U144,模板计算相关数据!A:N,5,0)/(VLOOKUP(U144,模板计算相关数据!A:N,5,0)+(VLOOKUP(U144,模板计算相关数据!A:N,2,0)+模板计算相关数据!$AC$27)*模板计算相关数据!$AC$28))/S144*AA144)</f>
        <v>1089</v>
      </c>
      <c r="AL144" s="2">
        <f>INT(VLOOKUP(U144,模板计算相关数据!A:N,5,0)*VLOOKUP(X144,模板计算相关数据!$P$47:$S$50,3,0)*VLOOKUP(Y144,模板计算相关数据!$P$22:$U$30,4,0)*AB144)</f>
        <v>3915</v>
      </c>
      <c r="AM144" s="2">
        <f>INT(VLOOKUP(U144,模板计算相关数据!A:N,6,0)*VLOOKUP(X144,模板计算相关数据!$P$47:$S$50,3,0)*VLOOKUP(Y144,模板计算相关数据!$P$22:$U$30,5,0)*AC144)</f>
        <v>2108</v>
      </c>
      <c r="AN144" s="3">
        <f>INT(VLOOKUP(U144,模板计算相关数据!A:N,10,0)*0.5*VLOOKUP(Y144,模板计算相关数据!$P$22:$U$30,6,0)+AD144)</f>
        <v>225</v>
      </c>
      <c r="AO144" s="3">
        <f>INT(VLOOKUP(INT(VLOOKUP(U144,模板计算相关数据!A:N,2,0)/30)+1,模板计算相关数据!$O$35:$U$40,3,0)+AE144)</f>
        <v>0</v>
      </c>
      <c r="AP144" s="3">
        <f>INT(VLOOKUP(INT(VLOOKUP(U144,模板计算相关数据!A:N,2,0)/30)+1,模板计算相关数据!$O$35:$U$40,4,0)+AF144)</f>
        <v>5000</v>
      </c>
      <c r="AQ144" s="3">
        <f>INT(VLOOKUP(INT(VLOOKUP(U144,模板计算相关数据!A:N,2,0)/30)+1,模板计算相关数据!$O$35:$U$40,5,0)+AG144)</f>
        <v>0</v>
      </c>
      <c r="AR144" s="3">
        <f>INT(VLOOKUP(INT(VLOOKUP(U144,模板计算相关数据!A:N,2,0)/30)+1,模板计算相关数据!$O$35:$U$40,6,0)+AH144)</f>
        <v>0</v>
      </c>
      <c r="AS144" s="3">
        <f>INT(VLOOKUP(INT(VLOOKUP(U144,模板计算相关数据!A:N,2,0)/30)+1,模板计算相关数据!$O$35:$U$40,7,0)+AI144)</f>
        <v>0</v>
      </c>
      <c r="AT144" s="3">
        <f>INT(VLOOKUP(INT(VLOOKUP(U144,模板计算相关数据!A:N,2,0)/30)+1,模板计算相关数据!$O$35:$V$40,8,0))</f>
        <v>0</v>
      </c>
      <c r="AU144" s="102"/>
    </row>
    <row r="145" spans="1:47" s="9" customFormat="1" x14ac:dyDescent="0.2">
      <c r="A145" s="2">
        <v>10011</v>
      </c>
      <c r="B145" s="2"/>
      <c r="C145" s="2" t="s">
        <v>171</v>
      </c>
      <c r="D145" s="69" t="s">
        <v>1012</v>
      </c>
      <c r="E145" s="2"/>
      <c r="F145" s="3">
        <v>3</v>
      </c>
      <c r="G145" s="3">
        <v>1006401</v>
      </c>
      <c r="H145" s="3">
        <v>3</v>
      </c>
      <c r="I145" s="3">
        <v>5</v>
      </c>
      <c r="J145" s="3">
        <v>7</v>
      </c>
      <c r="K145" s="3">
        <v>2</v>
      </c>
      <c r="L145" s="69" t="s">
        <v>1652</v>
      </c>
      <c r="M145" s="2" t="s">
        <v>172</v>
      </c>
      <c r="N145" s="2">
        <v>1</v>
      </c>
      <c r="O145" s="96"/>
      <c r="P145" s="3" t="s">
        <v>1613</v>
      </c>
      <c r="Q145" s="2">
        <v>8</v>
      </c>
      <c r="R145" s="133">
        <f>IF(P145=模板计算相关数据!$AB$24,VLOOKUP(X145,模板计算相关数据!$P$47:$T$50,2,0),VLOOKUP(X145,模板计算相关数据!$P$4:$U$7,3,0))*VLOOKUP(Y145,模板计算相关数据!$P$22:$X$30,8,0)</f>
        <v>8.9600000000000026</v>
      </c>
      <c r="S145" s="2">
        <v>6.3</v>
      </c>
      <c r="T145" s="133">
        <f>IF(P145=模板计算相关数据!$AB$24,VLOOKUP(X145,模板计算相关数据!$P$47:$T$50,5,0),VLOOKUP(X145,模板计算相关数据!$P$4:$U$7,6,0))*VLOOKUP(Y145,模板计算相关数据!$P$22:$X$30,9,0)</f>
        <v>5.0020008003201273</v>
      </c>
      <c r="U145" s="3">
        <v>65</v>
      </c>
      <c r="V145" s="95">
        <f t="shared" si="8"/>
        <v>36</v>
      </c>
      <c r="W145" s="29">
        <f>VLOOKUP(U145,模板计算相关数据!A:N,2,0)</f>
        <v>36</v>
      </c>
      <c r="X145" s="3" t="s">
        <v>158</v>
      </c>
      <c r="Y145" s="3" t="s">
        <v>170</v>
      </c>
      <c r="Z145" s="100">
        <v>1</v>
      </c>
      <c r="AA145" s="100">
        <v>1</v>
      </c>
      <c r="AB145" s="100">
        <v>1</v>
      </c>
      <c r="AC145" s="100">
        <v>1</v>
      </c>
      <c r="AD145" s="95">
        <v>0</v>
      </c>
      <c r="AE145" s="95">
        <v>0</v>
      </c>
      <c r="AF145" s="95">
        <v>0</v>
      </c>
      <c r="AG145" s="95">
        <v>0</v>
      </c>
      <c r="AH145" s="95">
        <v>0</v>
      </c>
      <c r="AI145" s="95">
        <v>0</v>
      </c>
      <c r="AJ145" s="3">
        <f>INT(VLOOKUP(U145,模板计算相关数据!A:N,4,0)*VLOOKUP(U145,模板计算相关数据!A:N,14,0)*(1+MAX(0,(VLOOKUP(U145,模板计算相关数据!A:N,7,0)-AQ145))*VLOOKUP(U145,模板计算相关数据!A:N,8,0))*(1-(AL145+AM145)*0.5/((AL145+AM145)*0.5+(VLOOKUP(U145,模板计算相关数据!A:N,2,0)+模板计算相关数据!$AC$27)*模板计算相关数据!$AC$28))*Q145*Z145)</f>
        <v>5769</v>
      </c>
      <c r="AK145" s="3">
        <f>INT(VLOOKUP(U145,模板计算相关数据!A:N,3,0)/模板计算相关数据!$W$35/(1+MAX(0,(AO145/10000-VLOOKUP(U145,模板计算相关数据!A:N,9,0)))*AP145/10000)/(1-VLOOKUP(U145,模板计算相关数据!A:N,5,0)/(VLOOKUP(U145,模板计算相关数据!A:N,5,0)+(VLOOKUP(U145,模板计算相关数据!A:N,2,0)+模板计算相关数据!$AC$27)*模板计算相关数据!$AC$28))/S145*AA145)</f>
        <v>1089</v>
      </c>
      <c r="AL145" s="2">
        <f>INT(VLOOKUP(U145,模板计算相关数据!A:N,5,0)*VLOOKUP(X145,模板计算相关数据!$P$47:$S$50,3,0)*VLOOKUP(Y145,模板计算相关数据!$P$22:$U$30,4,0)*AB145)</f>
        <v>3915</v>
      </c>
      <c r="AM145" s="2">
        <f>INT(VLOOKUP(U145,模板计算相关数据!A:N,6,0)*VLOOKUP(X145,模板计算相关数据!$P$47:$S$50,3,0)*VLOOKUP(Y145,模板计算相关数据!$P$22:$U$30,5,0)*AC145)</f>
        <v>2108</v>
      </c>
      <c r="AN145" s="3">
        <f>INT(VLOOKUP(U145,模板计算相关数据!A:N,10,0)*0.5*VLOOKUP(Y145,模板计算相关数据!$P$22:$U$30,6,0)+AD145)</f>
        <v>225</v>
      </c>
      <c r="AO145" s="3">
        <f>INT(VLOOKUP(INT(VLOOKUP(U145,模板计算相关数据!A:N,2,0)/30)+1,模板计算相关数据!$O$35:$U$40,3,0)+AE145)</f>
        <v>0</v>
      </c>
      <c r="AP145" s="3">
        <f>INT(VLOOKUP(INT(VLOOKUP(U145,模板计算相关数据!A:N,2,0)/30)+1,模板计算相关数据!$O$35:$U$40,4,0)+AF145)</f>
        <v>5000</v>
      </c>
      <c r="AQ145" s="3">
        <f>INT(VLOOKUP(INT(VLOOKUP(U145,模板计算相关数据!A:N,2,0)/30)+1,模板计算相关数据!$O$35:$U$40,5,0)+AG145)</f>
        <v>0</v>
      </c>
      <c r="AR145" s="3">
        <f>INT(VLOOKUP(INT(VLOOKUP(U145,模板计算相关数据!A:N,2,0)/30)+1,模板计算相关数据!$O$35:$U$40,6,0)+AH145)</f>
        <v>0</v>
      </c>
      <c r="AS145" s="3">
        <f>INT(VLOOKUP(INT(VLOOKUP(U145,模板计算相关数据!A:N,2,0)/30)+1,模板计算相关数据!$O$35:$U$40,7,0)+AI145)</f>
        <v>0</v>
      </c>
      <c r="AT145" s="3">
        <f>INT(VLOOKUP(INT(VLOOKUP(U145,模板计算相关数据!A:N,2,0)/30)+1,模板计算相关数据!$O$35:$V$40,8,0))</f>
        <v>0</v>
      </c>
      <c r="AU145" s="102"/>
    </row>
    <row r="146" spans="1:47" s="9" customFormat="1" x14ac:dyDescent="0.2">
      <c r="A146" s="2">
        <v>10012</v>
      </c>
      <c r="B146" s="2"/>
      <c r="C146" s="2" t="s">
        <v>173</v>
      </c>
      <c r="D146" s="69" t="s">
        <v>1012</v>
      </c>
      <c r="E146" s="2"/>
      <c r="F146" s="3">
        <v>2</v>
      </c>
      <c r="G146" s="3">
        <v>1006501</v>
      </c>
      <c r="H146" s="3">
        <v>3</v>
      </c>
      <c r="I146" s="3">
        <v>5</v>
      </c>
      <c r="J146" s="3">
        <v>7</v>
      </c>
      <c r="K146" s="3">
        <v>2</v>
      </c>
      <c r="L146" s="2" t="s">
        <v>174</v>
      </c>
      <c r="M146" s="2" t="s">
        <v>175</v>
      </c>
      <c r="N146" s="2">
        <v>1</v>
      </c>
      <c r="O146" s="96"/>
      <c r="P146" s="3" t="s">
        <v>1613</v>
      </c>
      <c r="Q146" s="2">
        <v>8</v>
      </c>
      <c r="R146" s="133">
        <f>IF(P146=模板计算相关数据!$AB$24,VLOOKUP(X146,模板计算相关数据!$P$47:$T$50,2,0),VLOOKUP(X146,模板计算相关数据!$P$4:$U$7,3,0))*VLOOKUP(Y146,模板计算相关数据!$P$22:$X$30,8,0)</f>
        <v>8.9600000000000026</v>
      </c>
      <c r="S146" s="2">
        <v>6.3</v>
      </c>
      <c r="T146" s="133">
        <f>IF(P146=模板计算相关数据!$AB$24,VLOOKUP(X146,模板计算相关数据!$P$47:$T$50,5,0),VLOOKUP(X146,模板计算相关数据!$P$4:$U$7,6,0))*VLOOKUP(Y146,模板计算相关数据!$P$22:$X$30,9,0)</f>
        <v>5.0020008003201273</v>
      </c>
      <c r="U146" s="3">
        <v>65</v>
      </c>
      <c r="V146" s="95">
        <f t="shared" si="8"/>
        <v>36</v>
      </c>
      <c r="W146" s="29">
        <f>VLOOKUP(U146,模板计算相关数据!A:N,2,0)</f>
        <v>36</v>
      </c>
      <c r="X146" s="3" t="s">
        <v>158</v>
      </c>
      <c r="Y146" s="3" t="s">
        <v>170</v>
      </c>
      <c r="Z146" s="100">
        <v>1</v>
      </c>
      <c r="AA146" s="100">
        <v>1</v>
      </c>
      <c r="AB146" s="100">
        <v>1</v>
      </c>
      <c r="AC146" s="100">
        <v>1</v>
      </c>
      <c r="AD146" s="95">
        <v>0</v>
      </c>
      <c r="AE146" s="95">
        <v>0</v>
      </c>
      <c r="AF146" s="95">
        <v>0</v>
      </c>
      <c r="AG146" s="95">
        <v>0</v>
      </c>
      <c r="AH146" s="95">
        <v>0</v>
      </c>
      <c r="AI146" s="95">
        <v>0</v>
      </c>
      <c r="AJ146" s="3">
        <f>INT(VLOOKUP(U146,模板计算相关数据!A:N,4,0)*VLOOKUP(U146,模板计算相关数据!A:N,14,0)*(1+MAX(0,(VLOOKUP(U146,模板计算相关数据!A:N,7,0)-AQ146))*VLOOKUP(U146,模板计算相关数据!A:N,8,0))*(1-(AL146+AM146)*0.5/((AL146+AM146)*0.5+(VLOOKUP(U146,模板计算相关数据!A:N,2,0)+模板计算相关数据!$AC$27)*模板计算相关数据!$AC$28))*Q146*Z146)</f>
        <v>5769</v>
      </c>
      <c r="AK146" s="3">
        <f>INT(VLOOKUP(U146,模板计算相关数据!A:N,3,0)/模板计算相关数据!$W$35/(1+MAX(0,(AO146/10000-VLOOKUP(U146,模板计算相关数据!A:N,9,0)))*AP146/10000)/(1-VLOOKUP(U146,模板计算相关数据!A:N,5,0)/(VLOOKUP(U146,模板计算相关数据!A:N,5,0)+(VLOOKUP(U146,模板计算相关数据!A:N,2,0)+模板计算相关数据!$AC$27)*模板计算相关数据!$AC$28))/S146*AA146)</f>
        <v>1089</v>
      </c>
      <c r="AL146" s="2">
        <f>INT(VLOOKUP(U146,模板计算相关数据!A:N,5,0)*VLOOKUP(X146,模板计算相关数据!$P$47:$S$50,3,0)*VLOOKUP(Y146,模板计算相关数据!$P$22:$U$30,4,0)*AB146)</f>
        <v>3915</v>
      </c>
      <c r="AM146" s="2">
        <f>INT(VLOOKUP(U146,模板计算相关数据!A:N,6,0)*VLOOKUP(X146,模板计算相关数据!$P$47:$S$50,3,0)*VLOOKUP(Y146,模板计算相关数据!$P$22:$U$30,5,0)*AC146)</f>
        <v>2108</v>
      </c>
      <c r="AN146" s="3">
        <f>INT(VLOOKUP(U146,模板计算相关数据!A:N,10,0)*0.5*VLOOKUP(Y146,模板计算相关数据!$P$22:$U$30,6,0)+AD146)</f>
        <v>225</v>
      </c>
      <c r="AO146" s="3">
        <f>INT(VLOOKUP(INT(VLOOKUP(U146,模板计算相关数据!A:N,2,0)/30)+1,模板计算相关数据!$O$35:$U$40,3,0)+AE146)</f>
        <v>0</v>
      </c>
      <c r="AP146" s="3">
        <f>INT(VLOOKUP(INT(VLOOKUP(U146,模板计算相关数据!A:N,2,0)/30)+1,模板计算相关数据!$O$35:$U$40,4,0)+AF146)</f>
        <v>5000</v>
      </c>
      <c r="AQ146" s="3">
        <f>INT(VLOOKUP(INT(VLOOKUP(U146,模板计算相关数据!A:N,2,0)/30)+1,模板计算相关数据!$O$35:$U$40,5,0)+AG146)</f>
        <v>0</v>
      </c>
      <c r="AR146" s="3">
        <f>INT(VLOOKUP(INT(VLOOKUP(U146,模板计算相关数据!A:N,2,0)/30)+1,模板计算相关数据!$O$35:$U$40,6,0)+AH146)</f>
        <v>0</v>
      </c>
      <c r="AS146" s="3">
        <f>INT(VLOOKUP(INT(VLOOKUP(U146,模板计算相关数据!A:N,2,0)/30)+1,模板计算相关数据!$O$35:$U$40,7,0)+AI146)</f>
        <v>0</v>
      </c>
      <c r="AT146" s="3">
        <f>INT(VLOOKUP(INT(VLOOKUP(U146,模板计算相关数据!A:N,2,0)/30)+1,模板计算相关数据!$O$35:$V$40,8,0))</f>
        <v>0</v>
      </c>
      <c r="AU146" s="102"/>
    </row>
    <row r="147" spans="1:47" s="9" customFormat="1" x14ac:dyDescent="0.2">
      <c r="A147" s="2">
        <v>10013</v>
      </c>
      <c r="B147" s="2"/>
      <c r="C147" s="2" t="s">
        <v>176</v>
      </c>
      <c r="D147" s="69" t="s">
        <v>1646</v>
      </c>
      <c r="E147" s="2"/>
      <c r="F147" s="3">
        <v>2</v>
      </c>
      <c r="G147" s="3">
        <v>1006201</v>
      </c>
      <c r="H147" s="3">
        <v>6</v>
      </c>
      <c r="I147" s="3">
        <v>5</v>
      </c>
      <c r="J147" s="3">
        <v>6</v>
      </c>
      <c r="K147" s="3">
        <v>3</v>
      </c>
      <c r="L147" s="69" t="s">
        <v>1649</v>
      </c>
      <c r="M147" s="2"/>
      <c r="N147" s="2">
        <v>1</v>
      </c>
      <c r="O147" s="96"/>
      <c r="P147" s="3" t="s">
        <v>1613</v>
      </c>
      <c r="Q147" s="2">
        <v>23</v>
      </c>
      <c r="R147" s="133">
        <f>IF(P147=模板计算相关数据!$AB$24,VLOOKUP(X147,模板计算相关数据!$P$47:$T$50,2,0),VLOOKUP(X147,模板计算相关数据!$P$4:$U$7,3,0))*VLOOKUP(Y147,模板计算相关数据!$P$22:$X$30,8,0)</f>
        <v>17.869803921568629</v>
      </c>
      <c r="S147" s="2">
        <v>4.9000000000000004</v>
      </c>
      <c r="T147" s="133">
        <f>IF(P147=模板计算相关数据!$AB$24,VLOOKUP(X147,模板计算相关数据!$P$47:$T$50,5,0),VLOOKUP(X147,模板计算相关数据!$P$4:$U$7,6,0))*VLOOKUP(Y147,模板计算相关数据!$P$22:$X$30,9,0)</f>
        <v>2.677496604934305</v>
      </c>
      <c r="U147" s="3">
        <v>65</v>
      </c>
      <c r="V147" s="95">
        <f t="shared" si="8"/>
        <v>36</v>
      </c>
      <c r="W147" s="29">
        <f>VLOOKUP(U147,模板计算相关数据!A:N,2,0)</f>
        <v>36</v>
      </c>
      <c r="X147" s="3" t="s">
        <v>178</v>
      </c>
      <c r="Y147" s="3" t="s">
        <v>162</v>
      </c>
      <c r="Z147" s="100">
        <v>1</v>
      </c>
      <c r="AA147" s="100">
        <v>1</v>
      </c>
      <c r="AB147" s="100">
        <v>1</v>
      </c>
      <c r="AC147" s="100">
        <v>1</v>
      </c>
      <c r="AD147" s="95">
        <v>0</v>
      </c>
      <c r="AE147" s="95">
        <v>0</v>
      </c>
      <c r="AF147" s="95">
        <v>0</v>
      </c>
      <c r="AG147" s="95">
        <v>0</v>
      </c>
      <c r="AH147" s="95">
        <v>0</v>
      </c>
      <c r="AI147" s="95">
        <v>2000</v>
      </c>
      <c r="AJ147" s="3">
        <f>INT(VLOOKUP(U147,模板计算相关数据!A:N,4,0)*VLOOKUP(U147,模板计算相关数据!A:N,14,0)*(1+MAX(0,(VLOOKUP(U147,模板计算相关数据!A:N,7,0)-AQ147))*VLOOKUP(U147,模板计算相关数据!A:N,8,0))*(1-(AL147+AM147)*0.5/((AL147+AM147)*0.5+(VLOOKUP(U147,模板计算相关数据!A:N,2,0)+模板计算相关数据!$AC$27)*模板计算相关数据!$AC$28))*Q147*Z147)</f>
        <v>16356</v>
      </c>
      <c r="AK147" s="3">
        <f>INT(VLOOKUP(U147,模板计算相关数据!A:N,3,0)/模板计算相关数据!$W$35/(1+MAX(0,(AO147/10000-VLOOKUP(U147,模板计算相关数据!A:N,9,0)))*AP147/10000)/(1-VLOOKUP(U147,模板计算相关数据!A:N,5,0)/(VLOOKUP(U147,模板计算相关数据!A:N,5,0)+(VLOOKUP(U147,模板计算相关数据!A:N,2,0)+模板计算相关数据!$AC$27)*模板计算相关数据!$AC$28))/S147*AA147)</f>
        <v>1401</v>
      </c>
      <c r="AL147" s="2">
        <f>INT(VLOOKUP(U147,模板计算相关数据!A:N,5,0)*VLOOKUP(X147,模板计算相关数据!$P$47:$S$50,3,0)*VLOOKUP(Y147,模板计算相关数据!$P$22:$U$30,4,0)*AB147)</f>
        <v>2313</v>
      </c>
      <c r="AM147" s="2">
        <f>INT(VLOOKUP(U147,模板计算相关数据!A:N,6,0)*VLOOKUP(X147,模板计算相关数据!$P$47:$S$50,3,0)*VLOOKUP(Y147,模板计算相关数据!$P$22:$U$30,5,0)*AC147)</f>
        <v>3903</v>
      </c>
      <c r="AN147" s="3">
        <f>INT(VLOOKUP(U147,模板计算相关数据!A:N,10,0)*0.5*VLOOKUP(Y147,模板计算相关数据!$P$22:$U$30,6,0)+AD147)</f>
        <v>250</v>
      </c>
      <c r="AO147" s="3">
        <f>INT(VLOOKUP(INT(VLOOKUP(U147,模板计算相关数据!A:N,2,0)/30)+1,模板计算相关数据!$O$35:$U$40,3,0)+AE147)</f>
        <v>0</v>
      </c>
      <c r="AP147" s="3">
        <f>INT(VLOOKUP(INT(VLOOKUP(U147,模板计算相关数据!A:N,2,0)/30)+1,模板计算相关数据!$O$35:$U$40,4,0)+AF147)</f>
        <v>5000</v>
      </c>
      <c r="AQ147" s="3">
        <f>INT(VLOOKUP(INT(VLOOKUP(U147,模板计算相关数据!A:N,2,0)/30)+1,模板计算相关数据!$O$35:$U$40,5,0)+AG147)</f>
        <v>0</v>
      </c>
      <c r="AR147" s="3">
        <f>INT(VLOOKUP(INT(VLOOKUP(U147,模板计算相关数据!A:N,2,0)/30)+1,模板计算相关数据!$O$35:$U$40,6,0)+AH147)</f>
        <v>0</v>
      </c>
      <c r="AS147" s="3">
        <f>INT(VLOOKUP(INT(VLOOKUP(U147,模板计算相关数据!A:N,2,0)/30)+1,模板计算相关数据!$O$35:$U$40,7,0)+AI147)</f>
        <v>2000</v>
      </c>
      <c r="AT147" s="3">
        <f>INT(VLOOKUP(INT(VLOOKUP(U147,模板计算相关数据!A:N,2,0)/30)+1,模板计算相关数据!$O$35:$V$40,8,0))</f>
        <v>0</v>
      </c>
      <c r="AU147" s="69" t="s">
        <v>1647</v>
      </c>
    </row>
    <row r="148" spans="1:47" s="9" customFormat="1" x14ac:dyDescent="0.2">
      <c r="A148" s="2">
        <v>10014</v>
      </c>
      <c r="B148" s="2"/>
      <c r="C148" s="2" t="s">
        <v>148</v>
      </c>
      <c r="D148" s="69" t="s">
        <v>1012</v>
      </c>
      <c r="E148" s="2"/>
      <c r="F148" s="3">
        <v>3</v>
      </c>
      <c r="G148" s="3">
        <v>1000701</v>
      </c>
      <c r="H148" s="3">
        <v>1</v>
      </c>
      <c r="I148" s="3">
        <v>5</v>
      </c>
      <c r="J148" s="3">
        <v>6</v>
      </c>
      <c r="K148" s="3"/>
      <c r="L148" s="2" t="s">
        <v>149</v>
      </c>
      <c r="M148" s="2"/>
      <c r="N148" s="2">
        <v>1</v>
      </c>
      <c r="O148" s="96"/>
      <c r="P148" s="3" t="s">
        <v>1613</v>
      </c>
      <c r="Q148" s="2">
        <f t="shared" ref="Q148:Q149" si="10">R148</f>
        <v>3.5338039215686279</v>
      </c>
      <c r="R148" s="133">
        <f>IF(P148=模板计算相关数据!$AB$24,VLOOKUP(X148,模板计算相关数据!$P$47:$T$50,2,0),VLOOKUP(X148,模板计算相关数据!$P$4:$U$7,3,0))*VLOOKUP(Y148,模板计算相关数据!$P$22:$X$30,8,0)</f>
        <v>3.5338039215686279</v>
      </c>
      <c r="S148" s="2">
        <f t="shared" ref="S148:S149" si="11">T148</f>
        <v>7.080688696105339</v>
      </c>
      <c r="T148" s="133">
        <f>IF(P148=模板计算相关数据!$AB$24,VLOOKUP(X148,模板计算相关数据!$P$47:$T$50,5,0),VLOOKUP(X148,模板计算相关数据!$P$4:$U$7,6,0))*VLOOKUP(Y148,模板计算相关数据!$P$22:$X$30,9,0)</f>
        <v>7.080688696105339</v>
      </c>
      <c r="U148" s="3">
        <v>65</v>
      </c>
      <c r="V148" s="95">
        <f t="shared" si="8"/>
        <v>36</v>
      </c>
      <c r="W148" s="29">
        <f>VLOOKUP(U148,模板计算相关数据!A:N,2,0)</f>
        <v>36</v>
      </c>
      <c r="X148" s="3" t="s">
        <v>151</v>
      </c>
      <c r="Y148" s="3" t="s">
        <v>152</v>
      </c>
      <c r="Z148" s="100">
        <v>1</v>
      </c>
      <c r="AA148" s="100">
        <v>1</v>
      </c>
      <c r="AB148" s="100">
        <v>1</v>
      </c>
      <c r="AC148" s="100">
        <v>1</v>
      </c>
      <c r="AD148" s="95">
        <v>0</v>
      </c>
      <c r="AE148" s="95">
        <v>0</v>
      </c>
      <c r="AF148" s="95">
        <v>0</v>
      </c>
      <c r="AG148" s="95">
        <v>0</v>
      </c>
      <c r="AH148" s="95">
        <v>0</v>
      </c>
      <c r="AI148" s="95">
        <v>0</v>
      </c>
      <c r="AJ148" s="3">
        <f>INT(VLOOKUP(U148,模板计算相关数据!A:N,4,0)*VLOOKUP(U148,模板计算相关数据!A:N,14,0)*(1+MAX(0,(VLOOKUP(U148,模板计算相关数据!A:N,7,0)-AQ148))*VLOOKUP(U148,模板计算相关数据!A:N,8,0))*(1-(AL148+AM148)*0.5/((AL148+AM148)*0.5+(VLOOKUP(U148,模板计算相关数据!A:N,2,0)+模板计算相关数据!$AC$27)*模板计算相关数据!$AC$28))*Q148*Z148)</f>
        <v>2953</v>
      </c>
      <c r="AK148" s="3">
        <f>INT(VLOOKUP(U148,模板计算相关数据!A:N,3,0)/模板计算相关数据!$W$35/(1+MAX(0,(AO148/10000-VLOOKUP(U148,模板计算相关数据!A:N,9,0)))*AP148/10000)/(1-VLOOKUP(U148,模板计算相关数据!A:N,5,0)/(VLOOKUP(U148,模板计算相关数据!A:N,5,0)+(VLOOKUP(U148,模板计算相关数据!A:N,2,0)+模板计算相关数据!$AC$27)*模板计算相关数据!$AC$28))/S148*AA148)</f>
        <v>969</v>
      </c>
      <c r="AL148" s="2">
        <f>INT(VLOOKUP(U148,模板计算相关数据!A:N,5,0)*VLOOKUP(X148,模板计算相关数据!$P$47:$S$50,3,0)*VLOOKUP(Y148,模板计算相关数据!$P$22:$U$30,4,0)*AB148)</f>
        <v>2602</v>
      </c>
      <c r="AM148" s="2">
        <f>INT(VLOOKUP(U148,模板计算相关数据!A:N,6,0)*VLOOKUP(X148,模板计算相关数据!$P$47:$S$50,3,0)*VLOOKUP(Y148,模板计算相关数据!$P$22:$U$30,5,0)*AC148)</f>
        <v>1542</v>
      </c>
      <c r="AN148" s="3">
        <f>INT(VLOOKUP(U148,模板计算相关数据!A:N,10,0)*0.5*VLOOKUP(Y148,模板计算相关数据!$P$22:$U$30,6,0)+AD148)</f>
        <v>250</v>
      </c>
      <c r="AO148" s="3">
        <f>INT(VLOOKUP(INT(VLOOKUP(U148,模板计算相关数据!A:N,2,0)/30)+1,模板计算相关数据!$O$35:$U$40,3,0)+AE148)</f>
        <v>0</v>
      </c>
      <c r="AP148" s="3">
        <f>INT(VLOOKUP(INT(VLOOKUP(U148,模板计算相关数据!A:N,2,0)/30)+1,模板计算相关数据!$O$35:$U$40,4,0)+AF148)</f>
        <v>5000</v>
      </c>
      <c r="AQ148" s="3">
        <f>INT(VLOOKUP(INT(VLOOKUP(U148,模板计算相关数据!A:N,2,0)/30)+1,模板计算相关数据!$O$35:$U$40,5,0)+AG148)</f>
        <v>0</v>
      </c>
      <c r="AR148" s="3">
        <f>INT(VLOOKUP(INT(VLOOKUP(U148,模板计算相关数据!A:N,2,0)/30)+1,模板计算相关数据!$O$35:$U$40,6,0)+AH148)</f>
        <v>0</v>
      </c>
      <c r="AS148" s="3">
        <f>INT(VLOOKUP(INT(VLOOKUP(U148,模板计算相关数据!A:N,2,0)/30)+1,模板计算相关数据!$O$35:$U$40,7,0)+AI148)</f>
        <v>0</v>
      </c>
      <c r="AT148" s="3">
        <f>INT(VLOOKUP(INT(VLOOKUP(U148,模板计算相关数据!A:N,2,0)/30)+1,模板计算相关数据!$O$35:$V$40,8,0))</f>
        <v>0</v>
      </c>
      <c r="AU148" s="102"/>
    </row>
    <row r="149" spans="1:47" s="9" customFormat="1" x14ac:dyDescent="0.2">
      <c r="A149" s="2">
        <v>10015</v>
      </c>
      <c r="B149" s="2"/>
      <c r="C149" s="2" t="s">
        <v>148</v>
      </c>
      <c r="D149" s="69" t="s">
        <v>1012</v>
      </c>
      <c r="E149" s="2"/>
      <c r="F149" s="3">
        <v>2</v>
      </c>
      <c r="G149" s="3">
        <v>1000701</v>
      </c>
      <c r="H149" s="3">
        <v>1</v>
      </c>
      <c r="I149" s="3">
        <v>5</v>
      </c>
      <c r="J149" s="3">
        <v>6</v>
      </c>
      <c r="K149" s="3"/>
      <c r="L149" s="2" t="s">
        <v>149</v>
      </c>
      <c r="M149" s="2"/>
      <c r="N149" s="2">
        <v>1</v>
      </c>
      <c r="O149" s="96"/>
      <c r="P149" s="3" t="s">
        <v>1613</v>
      </c>
      <c r="Q149" s="2">
        <f t="shared" si="10"/>
        <v>3.5338039215686279</v>
      </c>
      <c r="R149" s="133">
        <f>IF(P149=模板计算相关数据!$AB$24,VLOOKUP(X149,模板计算相关数据!$P$47:$T$50,2,0),VLOOKUP(X149,模板计算相关数据!$P$4:$U$7,3,0))*VLOOKUP(Y149,模板计算相关数据!$P$22:$X$30,8,0)</f>
        <v>3.5338039215686279</v>
      </c>
      <c r="S149" s="2">
        <f t="shared" si="11"/>
        <v>7.080688696105339</v>
      </c>
      <c r="T149" s="133">
        <f>IF(P149=模板计算相关数据!$AB$24,VLOOKUP(X149,模板计算相关数据!$P$47:$T$50,5,0),VLOOKUP(X149,模板计算相关数据!$P$4:$U$7,6,0))*VLOOKUP(Y149,模板计算相关数据!$P$22:$X$30,9,0)</f>
        <v>7.080688696105339</v>
      </c>
      <c r="U149" s="3">
        <v>65</v>
      </c>
      <c r="V149" s="95">
        <f t="shared" si="8"/>
        <v>36</v>
      </c>
      <c r="W149" s="29">
        <f>VLOOKUP(U149,模板计算相关数据!A:N,2,0)</f>
        <v>36</v>
      </c>
      <c r="X149" s="3" t="s">
        <v>151</v>
      </c>
      <c r="Y149" s="3" t="s">
        <v>152</v>
      </c>
      <c r="Z149" s="100">
        <v>1</v>
      </c>
      <c r="AA149" s="100">
        <v>1</v>
      </c>
      <c r="AB149" s="100">
        <v>1</v>
      </c>
      <c r="AC149" s="100">
        <v>1</v>
      </c>
      <c r="AD149" s="95">
        <v>0</v>
      </c>
      <c r="AE149" s="95">
        <v>0</v>
      </c>
      <c r="AF149" s="95">
        <v>0</v>
      </c>
      <c r="AG149" s="95">
        <v>0</v>
      </c>
      <c r="AH149" s="95">
        <v>0</v>
      </c>
      <c r="AI149" s="95">
        <v>0</v>
      </c>
      <c r="AJ149" s="3">
        <f>INT(VLOOKUP(U149,模板计算相关数据!A:N,4,0)*VLOOKUP(U149,模板计算相关数据!A:N,14,0)*(1+MAX(0,(VLOOKUP(U149,模板计算相关数据!A:N,7,0)-AQ149))*VLOOKUP(U149,模板计算相关数据!A:N,8,0))*(1-(AL149+AM149)*0.5/((AL149+AM149)*0.5+(VLOOKUP(U149,模板计算相关数据!A:N,2,0)+模板计算相关数据!$AC$27)*模板计算相关数据!$AC$28))*Q149*Z149)</f>
        <v>2953</v>
      </c>
      <c r="AK149" s="3">
        <f>INT(VLOOKUP(U149,模板计算相关数据!A:N,3,0)/模板计算相关数据!$W$35/(1+MAX(0,(AO149/10000-VLOOKUP(U149,模板计算相关数据!A:N,9,0)))*AP149/10000)/(1-VLOOKUP(U149,模板计算相关数据!A:N,5,0)/(VLOOKUP(U149,模板计算相关数据!A:N,5,0)+(VLOOKUP(U149,模板计算相关数据!A:N,2,0)+模板计算相关数据!$AC$27)*模板计算相关数据!$AC$28))/S149*AA149)</f>
        <v>969</v>
      </c>
      <c r="AL149" s="2">
        <f>INT(VLOOKUP(U149,模板计算相关数据!A:N,5,0)*VLOOKUP(X149,模板计算相关数据!$P$47:$S$50,3,0)*VLOOKUP(Y149,模板计算相关数据!$P$22:$U$30,4,0)*AB149)</f>
        <v>2602</v>
      </c>
      <c r="AM149" s="2">
        <f>INT(VLOOKUP(U149,模板计算相关数据!A:N,6,0)*VLOOKUP(X149,模板计算相关数据!$P$47:$S$50,3,0)*VLOOKUP(Y149,模板计算相关数据!$P$22:$U$30,5,0)*AC149)</f>
        <v>1542</v>
      </c>
      <c r="AN149" s="3">
        <f>INT(VLOOKUP(U149,模板计算相关数据!A:N,10,0)*0.5*VLOOKUP(Y149,模板计算相关数据!$P$22:$U$30,6,0)+AD149)</f>
        <v>250</v>
      </c>
      <c r="AO149" s="3">
        <f>INT(VLOOKUP(INT(VLOOKUP(U149,模板计算相关数据!A:N,2,0)/30)+1,模板计算相关数据!$O$35:$U$40,3,0)+AE149)</f>
        <v>0</v>
      </c>
      <c r="AP149" s="3">
        <f>INT(VLOOKUP(INT(VLOOKUP(U149,模板计算相关数据!A:N,2,0)/30)+1,模板计算相关数据!$O$35:$U$40,4,0)+AF149)</f>
        <v>5000</v>
      </c>
      <c r="AQ149" s="3">
        <f>INT(VLOOKUP(INT(VLOOKUP(U149,模板计算相关数据!A:N,2,0)/30)+1,模板计算相关数据!$O$35:$U$40,5,0)+AG149)</f>
        <v>0</v>
      </c>
      <c r="AR149" s="3">
        <f>INT(VLOOKUP(INT(VLOOKUP(U149,模板计算相关数据!A:N,2,0)/30)+1,模板计算相关数据!$O$35:$U$40,6,0)+AH149)</f>
        <v>0</v>
      </c>
      <c r="AS149" s="3">
        <f>INT(VLOOKUP(INT(VLOOKUP(U149,模板计算相关数据!A:N,2,0)/30)+1,模板计算相关数据!$O$35:$U$40,7,0)+AI149)</f>
        <v>0</v>
      </c>
      <c r="AT149" s="3">
        <f>INT(VLOOKUP(INT(VLOOKUP(U149,模板计算相关数据!A:N,2,0)/30)+1,模板计算相关数据!$O$35:$V$40,8,0))</f>
        <v>0</v>
      </c>
      <c r="AU149" s="102"/>
    </row>
    <row r="150" spans="1:47" s="9" customFormat="1" x14ac:dyDescent="0.2">
      <c r="A150" s="2">
        <v>10016</v>
      </c>
      <c r="B150" s="2"/>
      <c r="C150" s="2" t="s">
        <v>160</v>
      </c>
      <c r="D150" s="69" t="s">
        <v>1012</v>
      </c>
      <c r="E150" s="2"/>
      <c r="F150" s="3">
        <v>3</v>
      </c>
      <c r="G150" s="3">
        <v>1000401</v>
      </c>
      <c r="H150" s="3">
        <v>4</v>
      </c>
      <c r="I150" s="3">
        <v>5</v>
      </c>
      <c r="J150" s="3">
        <v>6</v>
      </c>
      <c r="K150" s="3"/>
      <c r="L150" s="2" t="s">
        <v>161</v>
      </c>
      <c r="M150" s="2"/>
      <c r="N150" s="2">
        <v>1</v>
      </c>
      <c r="O150" s="96"/>
      <c r="P150" s="3" t="s">
        <v>1613</v>
      </c>
      <c r="Q150" s="2">
        <v>4</v>
      </c>
      <c r="R150" s="133">
        <f>IF(P150=模板计算相关数据!$AB$24,VLOOKUP(X150,模板计算相关数据!$P$47:$T$50,2,0),VLOOKUP(X150,模板计算相关数据!$P$4:$U$7,3,0))*VLOOKUP(Y150,模板计算相关数据!$P$22:$X$30,8,0)</f>
        <v>3.5739607843137255</v>
      </c>
      <c r="S150" s="2">
        <f>T150</f>
        <v>7.1399909464914808</v>
      </c>
      <c r="T150" s="133">
        <f>IF(P150=模板计算相关数据!$AB$24,VLOOKUP(X150,模板计算相关数据!$P$47:$T$50,5,0),VLOOKUP(X150,模板计算相关数据!$P$4:$U$7,6,0))*VLOOKUP(Y150,模板计算相关数据!$P$22:$X$30,9,0)</f>
        <v>7.1399909464914808</v>
      </c>
      <c r="U150" s="3">
        <v>65</v>
      </c>
      <c r="V150" s="95">
        <f t="shared" si="8"/>
        <v>36</v>
      </c>
      <c r="W150" s="29">
        <f>VLOOKUP(U150,模板计算相关数据!A:N,2,0)</f>
        <v>36</v>
      </c>
      <c r="X150" s="3" t="s">
        <v>151</v>
      </c>
      <c r="Y150" s="3" t="s">
        <v>162</v>
      </c>
      <c r="Z150" s="100">
        <v>1</v>
      </c>
      <c r="AA150" s="100">
        <v>1</v>
      </c>
      <c r="AB150" s="100">
        <v>1</v>
      </c>
      <c r="AC150" s="100">
        <v>1</v>
      </c>
      <c r="AD150" s="95">
        <v>0</v>
      </c>
      <c r="AE150" s="95">
        <v>0</v>
      </c>
      <c r="AF150" s="95">
        <v>0</v>
      </c>
      <c r="AG150" s="95">
        <v>0</v>
      </c>
      <c r="AH150" s="95">
        <v>0</v>
      </c>
      <c r="AI150" s="95">
        <v>0</v>
      </c>
      <c r="AJ150" s="3">
        <f>INT(VLOOKUP(U150,模板计算相关数据!A:N,4,0)*VLOOKUP(U150,模板计算相关数据!A:N,14,0)*(1+MAX(0,(VLOOKUP(U150,模板计算相关数据!A:N,7,0)-AQ150))*VLOOKUP(U150,模板计算相关数据!A:N,8,0))*(1-(AL150+AM150)*0.5/((AL150+AM150)*0.5+(VLOOKUP(U150,模板计算相关数据!A:N,2,0)+模板计算相关数据!$AC$27)*模板计算相关数据!$AC$28))*Q150*Z150)</f>
        <v>3343</v>
      </c>
      <c r="AK150" s="3">
        <f>INT(VLOOKUP(U150,模板计算相关数据!A:N,3,0)/模板计算相关数据!$W$35/(1+MAX(0,(AO150/10000-VLOOKUP(U150,模板计算相关数据!A:N,9,0)))*AP150/10000)/(1-VLOOKUP(U150,模板计算相关数据!A:N,5,0)/(VLOOKUP(U150,模板计算相关数据!A:N,5,0)+(VLOOKUP(U150,模板计算相关数据!A:N,2,0)+模板计算相关数据!$AC$27)*模板计算相关数据!$AC$28))/S150*AA150)</f>
        <v>961</v>
      </c>
      <c r="AL150" s="2">
        <f>INT(VLOOKUP(U150,模板计算相关数据!A:N,5,0)*VLOOKUP(X150,模板计算相关数据!$P$47:$S$50,3,0)*VLOOKUP(Y150,模板计算相关数据!$P$22:$U$30,4,0)*AB150)</f>
        <v>1542</v>
      </c>
      <c r="AM150" s="2">
        <f>INT(VLOOKUP(U150,模板计算相关数据!A:N,6,0)*VLOOKUP(X150,模板计算相关数据!$P$47:$S$50,3,0)*VLOOKUP(Y150,模板计算相关数据!$P$22:$U$30,5,0)*AC150)</f>
        <v>2602</v>
      </c>
      <c r="AN150" s="3">
        <f>INT(VLOOKUP(U150,模板计算相关数据!A:N,10,0)*0.5*VLOOKUP(Y150,模板计算相关数据!$P$22:$U$30,6,0)+AD150)</f>
        <v>250</v>
      </c>
      <c r="AO150" s="3">
        <f>INT(VLOOKUP(INT(VLOOKUP(U150,模板计算相关数据!A:N,2,0)/30)+1,模板计算相关数据!$O$35:$U$40,3,0)+AE150)</f>
        <v>0</v>
      </c>
      <c r="AP150" s="3">
        <f>INT(VLOOKUP(INT(VLOOKUP(U150,模板计算相关数据!A:N,2,0)/30)+1,模板计算相关数据!$O$35:$U$40,4,0)+AF150)</f>
        <v>5000</v>
      </c>
      <c r="AQ150" s="3">
        <f>INT(VLOOKUP(INT(VLOOKUP(U150,模板计算相关数据!A:N,2,0)/30)+1,模板计算相关数据!$O$35:$U$40,5,0)+AG150)</f>
        <v>0</v>
      </c>
      <c r="AR150" s="3">
        <f>INT(VLOOKUP(INT(VLOOKUP(U150,模板计算相关数据!A:N,2,0)/30)+1,模板计算相关数据!$O$35:$U$40,6,0)+AH150)</f>
        <v>0</v>
      </c>
      <c r="AS150" s="3">
        <f>INT(VLOOKUP(INT(VLOOKUP(U150,模板计算相关数据!A:N,2,0)/30)+1,模板计算相关数据!$O$35:$U$40,7,0)+AI150)</f>
        <v>0</v>
      </c>
      <c r="AT150" s="3">
        <f>INT(VLOOKUP(INT(VLOOKUP(U150,模板计算相关数据!A:N,2,0)/30)+1,模板计算相关数据!$O$35:$V$40,8,0))</f>
        <v>0</v>
      </c>
      <c r="AU150" s="102"/>
    </row>
    <row r="151" spans="1:47" s="9" customFormat="1" x14ac:dyDescent="0.2">
      <c r="A151" s="2">
        <v>10017</v>
      </c>
      <c r="B151" s="2"/>
      <c r="C151" s="2" t="s">
        <v>160</v>
      </c>
      <c r="D151" s="69" t="s">
        <v>1012</v>
      </c>
      <c r="E151" s="2"/>
      <c r="F151" s="3">
        <v>1</v>
      </c>
      <c r="G151" s="3">
        <v>1000401</v>
      </c>
      <c r="H151" s="3">
        <v>4</v>
      </c>
      <c r="I151" s="3">
        <v>5</v>
      </c>
      <c r="J151" s="3">
        <v>6</v>
      </c>
      <c r="K151" s="3"/>
      <c r="L151" s="2" t="s">
        <v>161</v>
      </c>
      <c r="M151" s="2"/>
      <c r="N151" s="2">
        <v>1</v>
      </c>
      <c r="O151" s="96"/>
      <c r="P151" s="3" t="s">
        <v>1613</v>
      </c>
      <c r="Q151" s="2">
        <v>4</v>
      </c>
      <c r="R151" s="133">
        <f>IF(P151=模板计算相关数据!$AB$24,VLOOKUP(X151,模板计算相关数据!$P$47:$T$50,2,0),VLOOKUP(X151,模板计算相关数据!$P$4:$U$7,3,0))*VLOOKUP(Y151,模板计算相关数据!$P$22:$X$30,8,0)</f>
        <v>3.5739607843137255</v>
      </c>
      <c r="S151" s="2">
        <f>T151</f>
        <v>7.1399909464914808</v>
      </c>
      <c r="T151" s="133">
        <f>IF(P151=模板计算相关数据!$AB$24,VLOOKUP(X151,模板计算相关数据!$P$47:$T$50,5,0),VLOOKUP(X151,模板计算相关数据!$P$4:$U$7,6,0))*VLOOKUP(Y151,模板计算相关数据!$P$22:$X$30,9,0)</f>
        <v>7.1399909464914808</v>
      </c>
      <c r="U151" s="3">
        <v>65</v>
      </c>
      <c r="V151" s="95">
        <f t="shared" si="8"/>
        <v>36</v>
      </c>
      <c r="W151" s="29">
        <f>VLOOKUP(U151,模板计算相关数据!A:N,2,0)</f>
        <v>36</v>
      </c>
      <c r="X151" s="3" t="s">
        <v>151</v>
      </c>
      <c r="Y151" s="3" t="s">
        <v>162</v>
      </c>
      <c r="Z151" s="100">
        <v>1</v>
      </c>
      <c r="AA151" s="100">
        <v>1</v>
      </c>
      <c r="AB151" s="100">
        <v>1</v>
      </c>
      <c r="AC151" s="100">
        <v>1</v>
      </c>
      <c r="AD151" s="95">
        <v>0</v>
      </c>
      <c r="AE151" s="95">
        <v>0</v>
      </c>
      <c r="AF151" s="95">
        <v>0</v>
      </c>
      <c r="AG151" s="95">
        <v>0</v>
      </c>
      <c r="AH151" s="95">
        <v>0</v>
      </c>
      <c r="AI151" s="95">
        <v>0</v>
      </c>
      <c r="AJ151" s="3">
        <f>INT(VLOOKUP(U151,模板计算相关数据!A:N,4,0)*VLOOKUP(U151,模板计算相关数据!A:N,14,0)*(1+MAX(0,(VLOOKUP(U151,模板计算相关数据!A:N,7,0)-AQ151))*VLOOKUP(U151,模板计算相关数据!A:N,8,0))*(1-(AL151+AM151)*0.5/((AL151+AM151)*0.5+(VLOOKUP(U151,模板计算相关数据!A:N,2,0)+模板计算相关数据!$AC$27)*模板计算相关数据!$AC$28))*Q151*Z151)</f>
        <v>3343</v>
      </c>
      <c r="AK151" s="3">
        <f>INT(VLOOKUP(U151,模板计算相关数据!A:N,3,0)/模板计算相关数据!$W$35/(1+MAX(0,(AO151/10000-VLOOKUP(U151,模板计算相关数据!A:N,9,0)))*AP151/10000)/(1-VLOOKUP(U151,模板计算相关数据!A:N,5,0)/(VLOOKUP(U151,模板计算相关数据!A:N,5,0)+(VLOOKUP(U151,模板计算相关数据!A:N,2,0)+模板计算相关数据!$AC$27)*模板计算相关数据!$AC$28))/S151*AA151)</f>
        <v>961</v>
      </c>
      <c r="AL151" s="2">
        <f>INT(VLOOKUP(U151,模板计算相关数据!A:N,5,0)*VLOOKUP(X151,模板计算相关数据!$P$47:$S$50,3,0)*VLOOKUP(Y151,模板计算相关数据!$P$22:$U$30,4,0)*AB151)</f>
        <v>1542</v>
      </c>
      <c r="AM151" s="2">
        <f>INT(VLOOKUP(U151,模板计算相关数据!A:N,6,0)*VLOOKUP(X151,模板计算相关数据!$P$47:$S$50,3,0)*VLOOKUP(Y151,模板计算相关数据!$P$22:$U$30,5,0)*AC151)</f>
        <v>2602</v>
      </c>
      <c r="AN151" s="3">
        <f>INT(VLOOKUP(U151,模板计算相关数据!A:N,10,0)*0.5*VLOOKUP(Y151,模板计算相关数据!$P$22:$U$30,6,0)+AD151)</f>
        <v>250</v>
      </c>
      <c r="AO151" s="3">
        <f>INT(VLOOKUP(INT(VLOOKUP(U151,模板计算相关数据!A:N,2,0)/30)+1,模板计算相关数据!$O$35:$U$40,3,0)+AE151)</f>
        <v>0</v>
      </c>
      <c r="AP151" s="3">
        <f>INT(VLOOKUP(INT(VLOOKUP(U151,模板计算相关数据!A:N,2,0)/30)+1,模板计算相关数据!$O$35:$U$40,4,0)+AF151)</f>
        <v>5000</v>
      </c>
      <c r="AQ151" s="3">
        <f>INT(VLOOKUP(INT(VLOOKUP(U151,模板计算相关数据!A:N,2,0)/30)+1,模板计算相关数据!$O$35:$U$40,5,0)+AG151)</f>
        <v>0</v>
      </c>
      <c r="AR151" s="3">
        <f>INT(VLOOKUP(INT(VLOOKUP(U151,模板计算相关数据!A:N,2,0)/30)+1,模板计算相关数据!$O$35:$U$40,6,0)+AH151)</f>
        <v>0</v>
      </c>
      <c r="AS151" s="3">
        <f>INT(VLOOKUP(INT(VLOOKUP(U151,模板计算相关数据!A:N,2,0)/30)+1,模板计算相关数据!$O$35:$U$40,7,0)+AI151)</f>
        <v>0</v>
      </c>
      <c r="AT151" s="3">
        <f>INT(VLOOKUP(INT(VLOOKUP(U151,模板计算相关数据!A:N,2,0)/30)+1,模板计算相关数据!$O$35:$V$40,8,0))</f>
        <v>0</v>
      </c>
      <c r="AU151" s="102"/>
    </row>
    <row r="152" spans="1:47" s="9" customFormat="1" x14ac:dyDescent="0.2">
      <c r="A152" s="2">
        <v>10030</v>
      </c>
      <c r="B152" s="2"/>
      <c r="C152" s="2" t="s">
        <v>176</v>
      </c>
      <c r="D152" s="69" t="s">
        <v>1645</v>
      </c>
      <c r="E152" s="2"/>
      <c r="F152" s="3">
        <v>2</v>
      </c>
      <c r="G152" s="3">
        <v>1006201</v>
      </c>
      <c r="H152" s="3">
        <v>6</v>
      </c>
      <c r="I152" s="3">
        <v>5</v>
      </c>
      <c r="J152" s="3">
        <v>6</v>
      </c>
      <c r="K152" s="3">
        <v>3</v>
      </c>
      <c r="L152" s="69" t="s">
        <v>1649</v>
      </c>
      <c r="M152" s="2"/>
      <c r="N152" s="2">
        <v>1</v>
      </c>
      <c r="O152" s="96"/>
      <c r="P152" s="3" t="s">
        <v>1613</v>
      </c>
      <c r="Q152" s="2">
        <v>23</v>
      </c>
      <c r="R152" s="133">
        <f>IF(P152=模板计算相关数据!$AB$24,VLOOKUP(X152,模板计算相关数据!$P$47:$T$50,2,0),VLOOKUP(X152,模板计算相关数据!$P$4:$U$7,3,0))*VLOOKUP(Y152,模板计算相关数据!$P$22:$X$30,8,0)</f>
        <v>17.869803921568629</v>
      </c>
      <c r="S152" s="2">
        <v>4.9000000000000004</v>
      </c>
      <c r="T152" s="133">
        <f>IF(P152=模板计算相关数据!$AB$24,VLOOKUP(X152,模板计算相关数据!$P$47:$T$50,5,0),VLOOKUP(X152,模板计算相关数据!$P$4:$U$7,6,0))*VLOOKUP(Y152,模板计算相关数据!$P$22:$X$30,9,0)</f>
        <v>2.677496604934305</v>
      </c>
      <c r="U152" s="3">
        <v>65</v>
      </c>
      <c r="V152" s="95">
        <f t="shared" si="8"/>
        <v>36</v>
      </c>
      <c r="W152" s="29">
        <f>VLOOKUP(U152,模板计算相关数据!A:N,2,0)</f>
        <v>36</v>
      </c>
      <c r="X152" s="3" t="s">
        <v>178</v>
      </c>
      <c r="Y152" s="3" t="s">
        <v>162</v>
      </c>
      <c r="Z152" s="100">
        <v>1</v>
      </c>
      <c r="AA152" s="100">
        <v>1</v>
      </c>
      <c r="AB152" s="100">
        <v>1</v>
      </c>
      <c r="AC152" s="100">
        <v>1</v>
      </c>
      <c r="AD152" s="95">
        <v>0</v>
      </c>
      <c r="AE152" s="95">
        <v>0</v>
      </c>
      <c r="AF152" s="95">
        <v>0</v>
      </c>
      <c r="AG152" s="95">
        <v>0</v>
      </c>
      <c r="AH152" s="95">
        <v>0</v>
      </c>
      <c r="AI152" s="95">
        <v>2000</v>
      </c>
      <c r="AJ152" s="3">
        <f>INT(VLOOKUP(U152,模板计算相关数据!A:N,4,0)*VLOOKUP(U152,模板计算相关数据!A:N,14,0)*(1+MAX(0,(VLOOKUP(U152,模板计算相关数据!A:N,7,0)-AQ152))*VLOOKUP(U152,模板计算相关数据!A:N,8,0))*(1-(AL152+AM152)*0.5/((AL152+AM152)*0.5+(VLOOKUP(U152,模板计算相关数据!A:N,2,0)+模板计算相关数据!$AC$27)*模板计算相关数据!$AC$28))*Q152*Z152)</f>
        <v>16356</v>
      </c>
      <c r="AK152" s="3">
        <f>INT(VLOOKUP(U152,模板计算相关数据!A:N,3,0)/模板计算相关数据!$W$35/(1+MAX(0,(AO152/10000-VLOOKUP(U152,模板计算相关数据!A:N,9,0)))*AP152/10000)/(1-VLOOKUP(U152,模板计算相关数据!A:N,5,0)/(VLOOKUP(U152,模板计算相关数据!A:N,5,0)+(VLOOKUP(U152,模板计算相关数据!A:N,2,0)+模板计算相关数据!$AC$27)*模板计算相关数据!$AC$28))/S152*AA152)</f>
        <v>1401</v>
      </c>
      <c r="AL152" s="2">
        <f>INT(VLOOKUP(U152,模板计算相关数据!A:N,5,0)*VLOOKUP(X152,模板计算相关数据!$P$47:$S$50,3,0)*VLOOKUP(Y152,模板计算相关数据!$P$22:$U$30,4,0)*AB152)</f>
        <v>2313</v>
      </c>
      <c r="AM152" s="2">
        <f>INT(VLOOKUP(U152,模板计算相关数据!A:N,6,0)*VLOOKUP(X152,模板计算相关数据!$P$47:$S$50,3,0)*VLOOKUP(Y152,模板计算相关数据!$P$22:$U$30,5,0)*AC152)</f>
        <v>3903</v>
      </c>
      <c r="AN152" s="3">
        <f>INT(VLOOKUP(U152,模板计算相关数据!A:N,10,0)*0.5*VLOOKUP(Y152,模板计算相关数据!$P$22:$U$30,6,0)+AD152)</f>
        <v>250</v>
      </c>
      <c r="AO152" s="3">
        <f>INT(VLOOKUP(INT(VLOOKUP(U152,模板计算相关数据!A:N,2,0)/30)+1,模板计算相关数据!$O$35:$U$40,3,0)+AE152)</f>
        <v>0</v>
      </c>
      <c r="AP152" s="3">
        <f>INT(VLOOKUP(INT(VLOOKUP(U152,模板计算相关数据!A:N,2,0)/30)+1,模板计算相关数据!$O$35:$U$40,4,0)+AF152)</f>
        <v>5000</v>
      </c>
      <c r="AQ152" s="3">
        <f>INT(VLOOKUP(INT(VLOOKUP(U152,模板计算相关数据!A:N,2,0)/30)+1,模板计算相关数据!$O$35:$U$40,5,0)+AG152)</f>
        <v>0</v>
      </c>
      <c r="AR152" s="3">
        <f>INT(VLOOKUP(INT(VLOOKUP(U152,模板计算相关数据!A:N,2,0)/30)+1,模板计算相关数据!$O$35:$U$40,6,0)+AH152)</f>
        <v>0</v>
      </c>
      <c r="AS152" s="3">
        <f>INT(VLOOKUP(INT(VLOOKUP(U152,模板计算相关数据!A:N,2,0)/30)+1,模板计算相关数据!$O$35:$U$40,7,0)+AI152)</f>
        <v>2000</v>
      </c>
      <c r="AT152" s="3">
        <f>INT(VLOOKUP(INT(VLOOKUP(U152,模板计算相关数据!A:N,2,0)/30)+1,模板计算相关数据!$O$35:$V$40,8,0))</f>
        <v>0</v>
      </c>
      <c r="AU152" s="69" t="s">
        <v>1648</v>
      </c>
    </row>
    <row r="153" spans="1:47" s="9" customFormat="1" x14ac:dyDescent="0.2">
      <c r="A153" s="2">
        <v>10031</v>
      </c>
      <c r="B153" s="2"/>
      <c r="C153" s="2" t="s">
        <v>171</v>
      </c>
      <c r="D153" s="69" t="s">
        <v>1651</v>
      </c>
      <c r="E153" s="2"/>
      <c r="F153" s="3">
        <v>3</v>
      </c>
      <c r="G153" s="3">
        <v>1006401</v>
      </c>
      <c r="H153" s="3">
        <v>3</v>
      </c>
      <c r="I153" s="3">
        <v>5</v>
      </c>
      <c r="J153" s="3">
        <v>7</v>
      </c>
      <c r="K153" s="3">
        <v>2</v>
      </c>
      <c r="L153" s="69" t="s">
        <v>1650</v>
      </c>
      <c r="M153" s="2" t="s">
        <v>172</v>
      </c>
      <c r="N153" s="2">
        <v>1</v>
      </c>
      <c r="O153" s="96"/>
      <c r="P153" s="3" t="s">
        <v>1613</v>
      </c>
      <c r="Q153" s="2">
        <v>8</v>
      </c>
      <c r="R153" s="133">
        <f>IF(P153=模板计算相关数据!$AB$24,VLOOKUP(X153,模板计算相关数据!$P$47:$T$50,2,0),VLOOKUP(X153,模板计算相关数据!$P$4:$U$7,3,0))*VLOOKUP(Y153,模板计算相关数据!$P$22:$X$30,8,0)</f>
        <v>8.9600000000000026</v>
      </c>
      <c r="S153" s="2">
        <v>6.3</v>
      </c>
      <c r="T153" s="133">
        <f>IF(P153=模板计算相关数据!$AB$24,VLOOKUP(X153,模板计算相关数据!$P$47:$T$50,5,0),VLOOKUP(X153,模板计算相关数据!$P$4:$U$7,6,0))*VLOOKUP(Y153,模板计算相关数据!$P$22:$X$30,9,0)</f>
        <v>5.0020008003201273</v>
      </c>
      <c r="U153" s="3">
        <v>65</v>
      </c>
      <c r="V153" s="95">
        <f t="shared" si="8"/>
        <v>36</v>
      </c>
      <c r="W153" s="29">
        <f>VLOOKUP(U153,模板计算相关数据!A:N,2,0)</f>
        <v>36</v>
      </c>
      <c r="X153" s="3" t="s">
        <v>158</v>
      </c>
      <c r="Y153" s="3" t="s">
        <v>170</v>
      </c>
      <c r="Z153" s="100">
        <v>1</v>
      </c>
      <c r="AA153" s="100">
        <v>1</v>
      </c>
      <c r="AB153" s="100">
        <v>1</v>
      </c>
      <c r="AC153" s="100">
        <v>1</v>
      </c>
      <c r="AD153" s="95">
        <v>0</v>
      </c>
      <c r="AE153" s="95">
        <v>0</v>
      </c>
      <c r="AF153" s="95">
        <v>0</v>
      </c>
      <c r="AG153" s="95">
        <v>0</v>
      </c>
      <c r="AH153" s="95">
        <v>0</v>
      </c>
      <c r="AI153" s="95">
        <v>0</v>
      </c>
      <c r="AJ153" s="3">
        <f>INT(VLOOKUP(U153,模板计算相关数据!A:N,4,0)*VLOOKUP(U153,模板计算相关数据!A:N,14,0)*(1+MAX(0,(VLOOKUP(U153,模板计算相关数据!A:N,7,0)-AQ153))*VLOOKUP(U153,模板计算相关数据!A:N,8,0))*(1-(AL153+AM153)*0.5/((AL153+AM153)*0.5+(VLOOKUP(U153,模板计算相关数据!A:N,2,0)+模板计算相关数据!$AC$27)*模板计算相关数据!$AC$28))*Q153*Z153)</f>
        <v>5769</v>
      </c>
      <c r="AK153" s="3">
        <f>INT(VLOOKUP(U153,模板计算相关数据!A:N,3,0)/模板计算相关数据!$W$35/(1+MAX(0,(AO153/10000-VLOOKUP(U153,模板计算相关数据!A:N,9,0)))*AP153/10000)/(1-VLOOKUP(U153,模板计算相关数据!A:N,5,0)/(VLOOKUP(U153,模板计算相关数据!A:N,5,0)+(VLOOKUP(U153,模板计算相关数据!A:N,2,0)+模板计算相关数据!$AC$27)*模板计算相关数据!$AC$28))/S153*AA153)</f>
        <v>1089</v>
      </c>
      <c r="AL153" s="2">
        <f>INT(VLOOKUP(U153,模板计算相关数据!A:N,5,0)*VLOOKUP(X153,模板计算相关数据!$P$47:$S$50,3,0)*VLOOKUP(Y153,模板计算相关数据!$P$22:$U$30,4,0)*AB153)</f>
        <v>3915</v>
      </c>
      <c r="AM153" s="2">
        <f>INT(VLOOKUP(U153,模板计算相关数据!A:N,6,0)*VLOOKUP(X153,模板计算相关数据!$P$47:$S$50,3,0)*VLOOKUP(Y153,模板计算相关数据!$P$22:$U$30,5,0)*AC153)</f>
        <v>2108</v>
      </c>
      <c r="AN153" s="3">
        <f>INT(VLOOKUP(U153,模板计算相关数据!A:N,10,0)*0.5*VLOOKUP(Y153,模板计算相关数据!$P$22:$U$30,6,0)+AD153)</f>
        <v>225</v>
      </c>
      <c r="AO153" s="3">
        <f>INT(VLOOKUP(INT(VLOOKUP(U153,模板计算相关数据!A:N,2,0)/30)+1,模板计算相关数据!$O$35:$U$40,3,0)+AE153)</f>
        <v>0</v>
      </c>
      <c r="AP153" s="3">
        <f>INT(VLOOKUP(INT(VLOOKUP(U153,模板计算相关数据!A:N,2,0)/30)+1,模板计算相关数据!$O$35:$U$40,4,0)+AF153)</f>
        <v>5000</v>
      </c>
      <c r="AQ153" s="3">
        <f>INT(VLOOKUP(INT(VLOOKUP(U153,模板计算相关数据!A:N,2,0)/30)+1,模板计算相关数据!$O$35:$U$40,5,0)+AG153)</f>
        <v>0</v>
      </c>
      <c r="AR153" s="3">
        <f>INT(VLOOKUP(INT(VLOOKUP(U153,模板计算相关数据!A:N,2,0)/30)+1,模板计算相关数据!$O$35:$U$40,6,0)+AH153)</f>
        <v>0</v>
      </c>
      <c r="AS153" s="3">
        <f>INT(VLOOKUP(INT(VLOOKUP(U153,模板计算相关数据!A:N,2,0)/30)+1,模板计算相关数据!$O$35:$U$40,7,0)+AI153)</f>
        <v>0</v>
      </c>
      <c r="AT153" s="3">
        <f>INT(VLOOKUP(INT(VLOOKUP(U153,模板计算相关数据!A:N,2,0)/30)+1,模板计算相关数据!$O$35:$V$40,8,0))</f>
        <v>0</v>
      </c>
      <c r="AU153" s="102"/>
    </row>
    <row r="154" spans="1:47" s="146" customFormat="1" x14ac:dyDescent="0.2">
      <c r="A154" s="19">
        <v>100010101</v>
      </c>
      <c r="B154" s="19"/>
      <c r="C154" s="34" t="s">
        <v>1334</v>
      </c>
      <c r="D154" s="34" t="s">
        <v>1335</v>
      </c>
      <c r="E154" s="19"/>
      <c r="F154" s="45">
        <v>6</v>
      </c>
      <c r="G154" s="45">
        <v>1000301</v>
      </c>
      <c r="H154" s="45">
        <v>1</v>
      </c>
      <c r="I154" s="45">
        <v>4</v>
      </c>
      <c r="J154" s="45">
        <v>3</v>
      </c>
      <c r="K154" s="45"/>
      <c r="L154" s="144" t="s">
        <v>1350</v>
      </c>
      <c r="M154" s="45"/>
      <c r="N154" s="19">
        <v>1</v>
      </c>
      <c r="O154" s="34"/>
      <c r="P154" s="45" t="s">
        <v>1613</v>
      </c>
      <c r="Q154" s="142">
        <v>3</v>
      </c>
      <c r="R154" s="133">
        <f>IF(P154=模板计算相关数据!$AB$24,VLOOKUP(X154,模板计算相关数据!$P$47:$T$50,2,0),VLOOKUP(X154,模板计算相关数据!$P$4:$U$7,3,0))*VLOOKUP(Y154,模板计算相关数据!$P$22:$X$30,8,0)</f>
        <v>3.5338039215686279</v>
      </c>
      <c r="S154" s="104">
        <v>10</v>
      </c>
      <c r="T154" s="133">
        <f>IF(P154=模板计算相关数据!$AB$24,VLOOKUP(X154,模板计算相关数据!$P$47:$T$50,5,0),VLOOKUP(X154,模板计算相关数据!$P$4:$U$7,6,0))*VLOOKUP(Y154,模板计算相关数据!$P$22:$X$30,9,0)</f>
        <v>7.080688696105339</v>
      </c>
      <c r="U154" s="142">
        <v>1</v>
      </c>
      <c r="V154" s="95">
        <f t="shared" si="8"/>
        <v>1</v>
      </c>
      <c r="W154" s="29">
        <f>VLOOKUP(U154,模板计算相关数据!A:N,2,0)</f>
        <v>1</v>
      </c>
      <c r="X154" s="45" t="s">
        <v>151</v>
      </c>
      <c r="Y154" s="45" t="s">
        <v>152</v>
      </c>
      <c r="Z154" s="145">
        <v>0.65</v>
      </c>
      <c r="AA154" s="142">
        <v>1</v>
      </c>
      <c r="AB154" s="142">
        <v>1</v>
      </c>
      <c r="AC154" s="142">
        <v>1</v>
      </c>
      <c r="AD154" s="142">
        <v>0</v>
      </c>
      <c r="AE154" s="142">
        <v>0</v>
      </c>
      <c r="AF154" s="142">
        <v>0</v>
      </c>
      <c r="AG154" s="142">
        <v>10000</v>
      </c>
      <c r="AH154" s="142">
        <v>0</v>
      </c>
      <c r="AI154" s="142">
        <v>0</v>
      </c>
      <c r="AJ154" s="45">
        <f>INT(VLOOKUP(U154,模板计算相关数据!A:N,4,0)*VLOOKUP(U154,模板计算相关数据!A:N,14,0)*(1+MAX(0,(VLOOKUP(U154,模板计算相关数据!A:N,7,0)-AQ154))*VLOOKUP(U154,模板计算相关数据!A:N,8,0))*(1-(AL154+AM154)*0.5/((AL154+AM154)*0.5+(VLOOKUP(U154,模板计算相关数据!A:N,2,0)+模板计算相关数据!$AC$27)*模板计算相关数据!$AC$28))*Q154*Z154)</f>
        <v>143</v>
      </c>
      <c r="AK154" s="45">
        <f>INT(VLOOKUP(U154,模板计算相关数据!A:N,3,0)/模板计算相关数据!$W$35/(1+MAX(0,(AO154/10000-VLOOKUP(U154,模板计算相关数据!A:N,9,0)))*AP154/10000)/(1-VLOOKUP(U154,模板计算相关数据!A:N,5,0)/(VLOOKUP(U154,模板计算相关数据!A:N,5,0)+(VLOOKUP(U154,模板计算相关数据!A:N,2,0)+模板计算相关数据!$AC$27)*模板计算相关数据!$AC$28))/S154*AA154)</f>
        <v>55</v>
      </c>
      <c r="AL154" s="45">
        <f>INT(VLOOKUP(U154,模板计算相关数据!A:N,5,0)*VLOOKUP(X154,模板计算相关数据!$P$4:$T$7,4,0)*VLOOKUP(Y154,模板计算相关数据!$P$22:$U$30,4,0)*AB154)</f>
        <v>230</v>
      </c>
      <c r="AM154" s="45">
        <f>INT(VLOOKUP(U154,模板计算相关数据!A:N,6,0)*VLOOKUP(X154,模板计算相关数据!$P$4:$T$7,4,0)*VLOOKUP(Y154,模板计算相关数据!$P$22:$U$30,5,0)*AC154)</f>
        <v>136</v>
      </c>
      <c r="AN154" s="45">
        <f>VLOOKUP(U154,模板计算相关数据!A:N,10,0)*0.5*VLOOKUP(Y154,模板计算相关数据!$P$22:$U$30,6,0)+AD154</f>
        <v>250</v>
      </c>
      <c r="AO154" s="45">
        <f>VLOOKUP(INT(VLOOKUP(U154,模板计算相关数据!A:N,2,0)/30)+1,模板计算相关数据!$O$35:$U$40,3,0)+AE154</f>
        <v>0</v>
      </c>
      <c r="AP154" s="45">
        <f>VLOOKUP(INT(VLOOKUP(U154,模板计算相关数据!A:N,2,0)/30)+1,模板计算相关数据!$O$35:$U$40,4,0)+AF154</f>
        <v>5000</v>
      </c>
      <c r="AQ154" s="45">
        <f>VLOOKUP(INT(VLOOKUP(U154,模板计算相关数据!A:N,2,0)/30)+1,模板计算相关数据!$O$35:$U$40,5,0)+AG154</f>
        <v>10000</v>
      </c>
      <c r="AR154" s="45">
        <f>VLOOKUP(INT(VLOOKUP(U154,模板计算相关数据!A:N,2,0)/30)+1,模板计算相关数据!$O$35:$U$40,6,0)+AH154</f>
        <v>0</v>
      </c>
      <c r="AS154" s="45">
        <f>VLOOKUP(INT(VLOOKUP(U154,模板计算相关数据!A:N,2,0)/30)+1,模板计算相关数据!$O$35:$U$40,7,0)+AI154</f>
        <v>0</v>
      </c>
      <c r="AT154" s="45">
        <f>VLOOKUP(INT(VLOOKUP(U154,模板计算相关数据!A:N,2,0)/30)+1,模板计算相关数据!$O$35:$V$40,8,0)</f>
        <v>0</v>
      </c>
      <c r="AU154" s="19"/>
    </row>
    <row r="155" spans="1:47" x14ac:dyDescent="0.2">
      <c r="A155" s="2">
        <v>100010201</v>
      </c>
      <c r="B155" s="2"/>
      <c r="C155" s="69" t="s">
        <v>1334</v>
      </c>
      <c r="D155" s="69" t="s">
        <v>1336</v>
      </c>
      <c r="E155" s="2"/>
      <c r="F155" s="3">
        <v>6</v>
      </c>
      <c r="G155" s="3">
        <v>1000301</v>
      </c>
      <c r="H155" s="3">
        <v>1</v>
      </c>
      <c r="I155" s="3">
        <v>4</v>
      </c>
      <c r="J155" s="3">
        <v>3</v>
      </c>
      <c r="K155" s="3"/>
      <c r="L155" s="91" t="s">
        <v>1633</v>
      </c>
      <c r="M155" s="3"/>
      <c r="N155" s="2">
        <v>3</v>
      </c>
      <c r="O155" s="69" t="s">
        <v>1628</v>
      </c>
      <c r="P155" s="3" t="s">
        <v>1613</v>
      </c>
      <c r="Q155" s="95">
        <v>5</v>
      </c>
      <c r="R155" s="133">
        <f>IF(P155=模板计算相关数据!$AB$24,VLOOKUP(X155,模板计算相关数据!$P$47:$T$50,2,0),VLOOKUP(X155,模板计算相关数据!$P$4:$U$7,3,0))*VLOOKUP(Y155,模板计算相关数据!$P$22:$X$30,8,0)</f>
        <v>3.5338039215686279</v>
      </c>
      <c r="S155" s="62">
        <v>15</v>
      </c>
      <c r="T155" s="133">
        <f>IF(P155=模板计算相关数据!$AB$24,VLOOKUP(X155,模板计算相关数据!$P$47:$T$50,5,0),VLOOKUP(X155,模板计算相关数据!$P$4:$U$7,6,0))*VLOOKUP(Y155,模板计算相关数据!$P$22:$X$30,9,0)</f>
        <v>7.080688696105339</v>
      </c>
      <c r="U155" s="95">
        <v>1</v>
      </c>
      <c r="V155" s="95">
        <f t="shared" si="8"/>
        <v>1</v>
      </c>
      <c r="W155" s="29">
        <f>VLOOKUP(U155,模板计算相关数据!A:N,2,0)</f>
        <v>1</v>
      </c>
      <c r="X155" s="3" t="s">
        <v>151</v>
      </c>
      <c r="Y155" s="3" t="s">
        <v>152</v>
      </c>
      <c r="Z155" s="99">
        <v>0.75</v>
      </c>
      <c r="AA155" s="95">
        <v>1.1000000000000001</v>
      </c>
      <c r="AB155" s="95">
        <v>1</v>
      </c>
      <c r="AC155" s="95">
        <v>1</v>
      </c>
      <c r="AD155" s="95">
        <v>0</v>
      </c>
      <c r="AE155" s="95">
        <v>0</v>
      </c>
      <c r="AF155" s="95">
        <v>0</v>
      </c>
      <c r="AG155" s="95">
        <v>10000</v>
      </c>
      <c r="AH155" s="95">
        <v>0</v>
      </c>
      <c r="AI155" s="95">
        <v>0</v>
      </c>
      <c r="AJ155" s="3">
        <f>INT(VLOOKUP(U155,模板计算相关数据!A:N,4,0)*VLOOKUP(U155,模板计算相关数据!A:N,14,0)*(1+MAX(0,(VLOOKUP(U155,模板计算相关数据!A:N,7,0)-AQ155))*VLOOKUP(U155,模板计算相关数据!A:N,8,0))*(1-(AL155+AM155)*0.5/((AL155+AM155)*0.5+(VLOOKUP(U155,模板计算相关数据!A:N,2,0)+模板计算相关数据!$AC$27)*模板计算相关数据!$AC$28))*Q155*Z155)</f>
        <v>276</v>
      </c>
      <c r="AK155" s="3">
        <f>INT(VLOOKUP(U155,模板计算相关数据!A:N,3,0)/模板计算相关数据!$W$35/(1+MAX(0,(AO155/10000-VLOOKUP(U155,模板计算相关数据!A:N,9,0)))*AP155/10000)/(1-VLOOKUP(U155,模板计算相关数据!A:N,5,0)/(VLOOKUP(U155,模板计算相关数据!A:N,5,0)+(VLOOKUP(U155,模板计算相关数据!A:N,2,0)+模板计算相关数据!$AC$27)*模板计算相关数据!$AC$28))/S155*AA155)</f>
        <v>40</v>
      </c>
      <c r="AL155" s="3">
        <f>INT(VLOOKUP(U155,模板计算相关数据!A:N,5,0)*VLOOKUP(X155,模板计算相关数据!$P$4:$T$7,4,0)*VLOOKUP(Y155,模板计算相关数据!$P$22:$U$30,4,0)*AB155)</f>
        <v>230</v>
      </c>
      <c r="AM155" s="3">
        <f>INT(VLOOKUP(U155,模板计算相关数据!A:N,6,0)*VLOOKUP(X155,模板计算相关数据!$P$4:$T$7,4,0)*VLOOKUP(Y155,模板计算相关数据!$P$22:$U$30,5,0)*AC155)</f>
        <v>136</v>
      </c>
      <c r="AN155" s="3">
        <f>VLOOKUP(U155,模板计算相关数据!A:N,10,0)*0.5*VLOOKUP(Y155,模板计算相关数据!$P$22:$U$30,6,0)+AD155</f>
        <v>250</v>
      </c>
      <c r="AO155" s="3">
        <f>VLOOKUP(INT(VLOOKUP(U155,模板计算相关数据!A:N,2,0)/30)+1,模板计算相关数据!$O$35:$U$40,3,0)+AE155</f>
        <v>0</v>
      </c>
      <c r="AP155" s="3">
        <f>VLOOKUP(INT(VLOOKUP(U155,模板计算相关数据!A:N,2,0)/30)+1,模板计算相关数据!$O$35:$U$40,4,0)+AF155</f>
        <v>5000</v>
      </c>
      <c r="AQ155" s="3">
        <f>VLOOKUP(INT(VLOOKUP(U155,模板计算相关数据!A:N,2,0)/30)+1,模板计算相关数据!$O$35:$U$40,5,0)+AG155</f>
        <v>10000</v>
      </c>
      <c r="AR155" s="3">
        <f>VLOOKUP(INT(VLOOKUP(U155,模板计算相关数据!A:N,2,0)/30)+1,模板计算相关数据!$O$35:$U$40,6,0)+AH155</f>
        <v>0</v>
      </c>
      <c r="AS155" s="3">
        <f>VLOOKUP(INT(VLOOKUP(U155,模板计算相关数据!A:N,2,0)/30)+1,模板计算相关数据!$O$35:$U$40,7,0)+AI155</f>
        <v>0</v>
      </c>
      <c r="AT155" s="3">
        <f>VLOOKUP(INT(VLOOKUP(U155,模板计算相关数据!A:N,2,0)/30)+1,模板计算相关数据!$O$35:$V$40,8,0)</f>
        <v>0</v>
      </c>
      <c r="AU155" s="2"/>
    </row>
    <row r="156" spans="1:47" x14ac:dyDescent="0.2">
      <c r="A156" s="2">
        <v>100010202</v>
      </c>
      <c r="B156" s="2"/>
      <c r="C156" s="69" t="s">
        <v>1337</v>
      </c>
      <c r="D156" s="69" t="s">
        <v>1336</v>
      </c>
      <c r="E156" s="2"/>
      <c r="F156" s="3">
        <v>6</v>
      </c>
      <c r="G156" s="3">
        <v>1000101</v>
      </c>
      <c r="H156" s="3">
        <v>6</v>
      </c>
      <c r="I156" s="3">
        <v>4</v>
      </c>
      <c r="J156" s="3">
        <v>6</v>
      </c>
      <c r="K156" s="3">
        <v>3</v>
      </c>
      <c r="L156" s="91" t="s">
        <v>1341</v>
      </c>
      <c r="M156" s="3"/>
      <c r="N156" s="2">
        <v>3</v>
      </c>
      <c r="O156" s="69" t="s">
        <v>1351</v>
      </c>
      <c r="P156" s="3" t="s">
        <v>1613</v>
      </c>
      <c r="Q156" s="95">
        <v>12</v>
      </c>
      <c r="R156" s="133">
        <f>IF(P156=模板计算相关数据!$AB$24,VLOOKUP(X156,模板计算相关数据!$P$47:$T$50,2,0),VLOOKUP(X156,模板计算相关数据!$P$4:$U$7,3,0))*VLOOKUP(Y156,模板计算相关数据!$P$22:$X$30,8,0)</f>
        <v>20</v>
      </c>
      <c r="S156" s="62">
        <v>5</v>
      </c>
      <c r="T156" s="133">
        <f>IF(P156=模板计算相关数据!$AB$24,VLOOKUP(X156,模板计算相关数据!$P$47:$T$50,5,0),VLOOKUP(X156,模板计算相关数据!$P$4:$U$7,6,0))*VLOOKUP(Y156,模板计算相关数据!$P$22:$X$30,9,0)</f>
        <v>3.2608695652173911</v>
      </c>
      <c r="U156" s="95">
        <v>1</v>
      </c>
      <c r="V156" s="95">
        <f t="shared" si="8"/>
        <v>1</v>
      </c>
      <c r="W156" s="29">
        <f>VLOOKUP(U156,模板计算相关数据!A:N,2,0)</f>
        <v>1</v>
      </c>
      <c r="X156" s="3" t="s">
        <v>178</v>
      </c>
      <c r="Y156" s="3" t="s">
        <v>223</v>
      </c>
      <c r="Z156" s="99">
        <v>1</v>
      </c>
      <c r="AA156" s="95">
        <v>1</v>
      </c>
      <c r="AB156" s="95">
        <v>1</v>
      </c>
      <c r="AC156" s="95">
        <v>1</v>
      </c>
      <c r="AD156" s="95">
        <v>100</v>
      </c>
      <c r="AE156" s="95">
        <v>0</v>
      </c>
      <c r="AF156" s="95">
        <v>0</v>
      </c>
      <c r="AG156" s="95">
        <v>10000</v>
      </c>
      <c r="AH156" s="95">
        <v>0</v>
      </c>
      <c r="AI156" s="95">
        <v>0</v>
      </c>
      <c r="AJ156" s="3">
        <f>INT(VLOOKUP(U156,模板计算相关数据!A:N,4,0)*VLOOKUP(U156,模板计算相关数据!A:N,14,0)*(1+MAX(0,(VLOOKUP(U156,模板计算相关数据!A:N,7,0)-AQ156))*VLOOKUP(U156,模板计算相关数据!A:N,8,0))*(1-(AL156+AM156)*0.5/((AL156+AM156)*0.5+(VLOOKUP(U156,模板计算相关数据!A:N,2,0)+模板计算相关数据!$AC$27)*模板计算相关数据!$AC$28))*Q156*Z156)</f>
        <v>732</v>
      </c>
      <c r="AK156" s="3">
        <f>INT(VLOOKUP(U156,模板计算相关数据!A:N,3,0)/模板计算相关数据!$W$35/(1+MAX(0,(AO156/10000-VLOOKUP(U156,模板计算相关数据!A:N,9,0)))*AP156/10000)/(1-VLOOKUP(U156,模板计算相关数据!A:N,5,0)/(VLOOKUP(U156,模板计算相关数据!A:N,5,0)+(VLOOKUP(U156,模板计算相关数据!A:N,2,0)+模板计算相关数据!$AC$27)*模板计算相关数据!$AC$28))/S156*AA156)</f>
        <v>111</v>
      </c>
      <c r="AL156" s="3">
        <f>INT(VLOOKUP(U156,模板计算相关数据!A:N,5,0)*VLOOKUP(X156,模板计算相关数据!$P$4:$T$7,4,0)*VLOOKUP(Y156,模板计算相关数据!$P$22:$U$30,4,0)*AB156)</f>
        <v>320</v>
      </c>
      <c r="AM156" s="3">
        <f>INT(VLOOKUP(U156,模板计算相关数据!A:N,6,0)*VLOOKUP(X156,模板计算相关数据!$P$4:$T$7,4,0)*VLOOKUP(Y156,模板计算相关数据!$P$22:$U$30,5,0)*AC156)</f>
        <v>320</v>
      </c>
      <c r="AN156" s="3">
        <f>VLOOKUP(U156,模板计算相关数据!A:N,10,0)*0.5*VLOOKUP(Y156,模板计算相关数据!$P$22:$U$30,6,0)+AD156</f>
        <v>350</v>
      </c>
      <c r="AO156" s="3">
        <f>VLOOKUP(INT(VLOOKUP(U156,模板计算相关数据!A:N,2,0)/30)+1,模板计算相关数据!$O$35:$U$40,3,0)+AE156</f>
        <v>0</v>
      </c>
      <c r="AP156" s="3">
        <f>VLOOKUP(INT(VLOOKUP(U156,模板计算相关数据!A:N,2,0)/30)+1,模板计算相关数据!$O$35:$U$40,4,0)+AF156</f>
        <v>5000</v>
      </c>
      <c r="AQ156" s="3">
        <f>VLOOKUP(INT(VLOOKUP(U156,模板计算相关数据!A:N,2,0)/30)+1,模板计算相关数据!$O$35:$U$40,5,0)+AG156</f>
        <v>10000</v>
      </c>
      <c r="AR156" s="3">
        <f>VLOOKUP(INT(VLOOKUP(U156,模板计算相关数据!A:N,2,0)/30)+1,模板计算相关数据!$O$35:$U$40,6,0)+AH156</f>
        <v>0</v>
      </c>
      <c r="AS156" s="3">
        <f>VLOOKUP(INT(VLOOKUP(U156,模板计算相关数据!A:N,2,0)/30)+1,模板计算相关数据!$O$35:$U$40,7,0)+AI156</f>
        <v>0</v>
      </c>
      <c r="AT156" s="3">
        <f>VLOOKUP(INT(VLOOKUP(U156,模板计算相关数据!A:N,2,0)/30)+1,模板计算相关数据!$O$35:$V$40,8,0)</f>
        <v>0</v>
      </c>
      <c r="AU156" s="2"/>
    </row>
    <row r="157" spans="1:47" x14ac:dyDescent="0.2">
      <c r="A157" s="2">
        <v>100010203</v>
      </c>
      <c r="B157" s="2"/>
      <c r="C157" s="69" t="s">
        <v>1334</v>
      </c>
      <c r="D157" s="69" t="s">
        <v>1336</v>
      </c>
      <c r="E157" s="2"/>
      <c r="F157" s="3">
        <v>6</v>
      </c>
      <c r="G157" s="3">
        <v>1000301</v>
      </c>
      <c r="H157" s="3">
        <v>1</v>
      </c>
      <c r="I157" s="3">
        <v>4</v>
      </c>
      <c r="J157" s="3">
        <v>3</v>
      </c>
      <c r="K157" s="3"/>
      <c r="L157" s="91" t="s">
        <v>1602</v>
      </c>
      <c r="M157" s="3"/>
      <c r="N157" s="2">
        <v>3</v>
      </c>
      <c r="O157" s="69" t="s">
        <v>1628</v>
      </c>
      <c r="P157" s="3" t="s">
        <v>1613</v>
      </c>
      <c r="Q157" s="95">
        <v>5</v>
      </c>
      <c r="R157" s="133">
        <f>IF(P157=模板计算相关数据!$AB$24,VLOOKUP(X157,模板计算相关数据!$P$47:$T$50,2,0),VLOOKUP(X157,模板计算相关数据!$P$4:$U$7,3,0))*VLOOKUP(Y157,模板计算相关数据!$P$22:$X$30,8,0)</f>
        <v>3.5338039215686279</v>
      </c>
      <c r="S157" s="62">
        <v>15</v>
      </c>
      <c r="T157" s="133">
        <f>IF(P157=模板计算相关数据!$AB$24,VLOOKUP(X157,模板计算相关数据!$P$47:$T$50,5,0),VLOOKUP(X157,模板计算相关数据!$P$4:$U$7,6,0))*VLOOKUP(Y157,模板计算相关数据!$P$22:$X$30,9,0)</f>
        <v>7.080688696105339</v>
      </c>
      <c r="U157" s="95">
        <v>1</v>
      </c>
      <c r="V157" s="95">
        <f t="shared" si="8"/>
        <v>1</v>
      </c>
      <c r="W157" s="29">
        <f>VLOOKUP(U157,模板计算相关数据!A:N,2,0)</f>
        <v>1</v>
      </c>
      <c r="X157" s="3" t="s">
        <v>151</v>
      </c>
      <c r="Y157" s="3" t="s">
        <v>152</v>
      </c>
      <c r="Z157" s="99">
        <v>0.75</v>
      </c>
      <c r="AA157" s="95">
        <v>1.1000000000000001</v>
      </c>
      <c r="AB157" s="95">
        <v>1</v>
      </c>
      <c r="AC157" s="95">
        <v>1</v>
      </c>
      <c r="AD157" s="95">
        <v>0</v>
      </c>
      <c r="AE157" s="95">
        <v>0</v>
      </c>
      <c r="AF157" s="95">
        <v>0</v>
      </c>
      <c r="AG157" s="95">
        <v>10000</v>
      </c>
      <c r="AH157" s="95">
        <v>0</v>
      </c>
      <c r="AI157" s="95">
        <v>0</v>
      </c>
      <c r="AJ157" s="3">
        <f>INT(VLOOKUP(U157,模板计算相关数据!A:N,4,0)*VLOOKUP(U157,模板计算相关数据!A:N,14,0)*(1+MAX(0,(VLOOKUP(U157,模板计算相关数据!A:N,7,0)-AQ157))*VLOOKUP(U157,模板计算相关数据!A:N,8,0))*(1-(AL157+AM157)*0.5/((AL157+AM157)*0.5+(VLOOKUP(U157,模板计算相关数据!A:N,2,0)+模板计算相关数据!$AC$27)*模板计算相关数据!$AC$28))*Q157*Z157)</f>
        <v>276</v>
      </c>
      <c r="AK157" s="3">
        <f>INT(VLOOKUP(U157,模板计算相关数据!A:N,3,0)/模板计算相关数据!$W$35/(1+MAX(0,(AO157/10000-VLOOKUP(U157,模板计算相关数据!A:N,9,0)))*AP157/10000)/(1-VLOOKUP(U157,模板计算相关数据!A:N,5,0)/(VLOOKUP(U157,模板计算相关数据!A:N,5,0)+(VLOOKUP(U157,模板计算相关数据!A:N,2,0)+模板计算相关数据!$AC$27)*模板计算相关数据!$AC$28))/S157*AA157)</f>
        <v>40</v>
      </c>
      <c r="AL157" s="3">
        <f>INT(VLOOKUP(U157,模板计算相关数据!A:N,5,0)*VLOOKUP(X157,模板计算相关数据!$P$4:$T$7,4,0)*VLOOKUP(Y157,模板计算相关数据!$P$22:$U$30,4,0)*AB157)</f>
        <v>230</v>
      </c>
      <c r="AM157" s="3">
        <f>INT(VLOOKUP(U157,模板计算相关数据!A:N,6,0)*VLOOKUP(X157,模板计算相关数据!$P$4:$T$7,4,0)*VLOOKUP(Y157,模板计算相关数据!$P$22:$U$30,5,0)*AC157)</f>
        <v>136</v>
      </c>
      <c r="AN157" s="3">
        <f>VLOOKUP(U157,模板计算相关数据!A:N,10,0)*0.5*VLOOKUP(Y157,模板计算相关数据!$P$22:$U$30,6,0)+AD157</f>
        <v>250</v>
      </c>
      <c r="AO157" s="3">
        <f>VLOOKUP(INT(VLOOKUP(U157,模板计算相关数据!A:N,2,0)/30)+1,模板计算相关数据!$O$35:$U$40,3,0)+AE157</f>
        <v>0</v>
      </c>
      <c r="AP157" s="3">
        <f>VLOOKUP(INT(VLOOKUP(U157,模板计算相关数据!A:N,2,0)/30)+1,模板计算相关数据!$O$35:$U$40,4,0)+AF157</f>
        <v>5000</v>
      </c>
      <c r="AQ157" s="3">
        <f>VLOOKUP(INT(VLOOKUP(U157,模板计算相关数据!A:N,2,0)/30)+1,模板计算相关数据!$O$35:$U$40,5,0)+AG157</f>
        <v>10000</v>
      </c>
      <c r="AR157" s="3">
        <f>VLOOKUP(INT(VLOOKUP(U157,模板计算相关数据!A:N,2,0)/30)+1,模板计算相关数据!$O$35:$U$40,6,0)+AH157</f>
        <v>0</v>
      </c>
      <c r="AS157" s="3">
        <f>VLOOKUP(INT(VLOOKUP(U157,模板计算相关数据!A:N,2,0)/30)+1,模板计算相关数据!$O$35:$U$40,7,0)+AI157</f>
        <v>0</v>
      </c>
      <c r="AT157" s="3">
        <f>VLOOKUP(INT(VLOOKUP(U157,模板计算相关数据!A:N,2,0)/30)+1,模板计算相关数据!$O$35:$V$40,8,0)</f>
        <v>0</v>
      </c>
      <c r="AU157" s="2"/>
    </row>
    <row r="158" spans="1:47" x14ac:dyDescent="0.2">
      <c r="A158" s="2">
        <v>100010301</v>
      </c>
      <c r="B158" s="2"/>
      <c r="C158" s="69" t="s">
        <v>1639</v>
      </c>
      <c r="D158" s="69" t="s">
        <v>1338</v>
      </c>
      <c r="E158" s="2"/>
      <c r="F158" s="3">
        <v>2</v>
      </c>
      <c r="G158" s="3">
        <v>1000201</v>
      </c>
      <c r="H158" s="3">
        <v>6</v>
      </c>
      <c r="I158" s="3">
        <v>4</v>
      </c>
      <c r="J158" s="3">
        <v>6</v>
      </c>
      <c r="K158" s="3">
        <v>3</v>
      </c>
      <c r="L158" s="91" t="s">
        <v>1424</v>
      </c>
      <c r="M158" s="3"/>
      <c r="N158" s="2">
        <v>3</v>
      </c>
      <c r="O158" s="69" t="s">
        <v>1617</v>
      </c>
      <c r="P158" s="3" t="s">
        <v>1613</v>
      </c>
      <c r="Q158" s="95">
        <v>14</v>
      </c>
      <c r="R158" s="133">
        <f>IF(P158=模板计算相关数据!$AB$24,VLOOKUP(X158,模板计算相关数据!$P$47:$T$50,2,0),VLOOKUP(X158,模板计算相关数据!$P$4:$U$7,3,0))*VLOOKUP(Y158,模板计算相关数据!$P$22:$X$30,8,0)</f>
        <v>60</v>
      </c>
      <c r="S158" s="62">
        <v>3</v>
      </c>
      <c r="T158" s="133">
        <f>IF(P158=模板计算相关数据!$AB$24,VLOOKUP(X158,模板计算相关数据!$P$47:$T$50,5,0),VLOOKUP(X158,模板计算相关数据!$P$4:$U$7,6,0))*VLOOKUP(Y158,模板计算相关数据!$P$22:$X$30,9,0)</f>
        <v>2.1428571428571428</v>
      </c>
      <c r="U158" s="95">
        <v>1</v>
      </c>
      <c r="V158" s="95">
        <f t="shared" si="8"/>
        <v>1</v>
      </c>
      <c r="W158" s="29">
        <f>VLOOKUP(U158,模板计算相关数据!A:N,2,0)</f>
        <v>1</v>
      </c>
      <c r="X158" s="3" t="s">
        <v>181</v>
      </c>
      <c r="Y158" s="3" t="s">
        <v>223</v>
      </c>
      <c r="Z158" s="99">
        <v>0.9</v>
      </c>
      <c r="AA158" s="95">
        <v>1</v>
      </c>
      <c r="AB158" s="95">
        <v>1</v>
      </c>
      <c r="AC158" s="95">
        <v>1</v>
      </c>
      <c r="AD158" s="95">
        <v>0</v>
      </c>
      <c r="AE158" s="95">
        <v>0</v>
      </c>
      <c r="AF158" s="95">
        <v>0</v>
      </c>
      <c r="AG158" s="95">
        <v>0</v>
      </c>
      <c r="AH158" s="95">
        <v>0</v>
      </c>
      <c r="AI158" s="95">
        <v>1000</v>
      </c>
      <c r="AJ158" s="3">
        <f>INT(VLOOKUP(U158,模板计算相关数据!A:N,4,0)*VLOOKUP(U158,模板计算相关数据!A:N,14,0)*(1+MAX(0,(VLOOKUP(U158,模板计算相关数据!A:N,7,0)-AQ158))*VLOOKUP(U158,模板计算相关数据!A:N,8,0))*(1-(AL158+AM158)*0.5/((AL158+AM158)*0.5+(VLOOKUP(U158,模板计算相关数据!A:N,2,0)+模板计算相关数据!$AC$27)*模板计算相关数据!$AC$28))*Q158*Z158)</f>
        <v>698</v>
      </c>
      <c r="AK158" s="3">
        <f>INT(VLOOKUP(U158,模板计算相关数据!A:N,3,0)/模板计算相关数据!$W$35/(1+MAX(0,(AO158/10000-VLOOKUP(U158,模板计算相关数据!A:N,9,0)))*AP158/10000)/(1-VLOOKUP(U158,模板计算相关数据!A:N,5,0)/(VLOOKUP(U158,模板计算相关数据!A:N,5,0)+(VLOOKUP(U158,模板计算相关数据!A:N,2,0)+模板计算相关数据!$AC$27)*模板计算相关数据!$AC$28))/S158*AA158)</f>
        <v>185</v>
      </c>
      <c r="AL158" s="3">
        <f>INT(VLOOKUP(U158,模板计算相关数据!A:N,5,0)*VLOOKUP(X158,模板计算相关数据!$P$4:$T$7,4,0)*VLOOKUP(Y158,模板计算相关数据!$P$22:$U$30,4,0)*AB158)</f>
        <v>400</v>
      </c>
      <c r="AM158" s="3">
        <f>INT(VLOOKUP(U158,模板计算相关数据!A:N,6,0)*VLOOKUP(X158,模板计算相关数据!$P$4:$T$7,4,0)*VLOOKUP(Y158,模板计算相关数据!$P$22:$U$30,5,0)*AC158)</f>
        <v>400</v>
      </c>
      <c r="AN158" s="3">
        <f>VLOOKUP(U158,模板计算相关数据!A:N,10,0)*0.5*VLOOKUP(Y158,模板计算相关数据!$P$22:$U$30,6,0)+AD158</f>
        <v>250</v>
      </c>
      <c r="AO158" s="3">
        <f>VLOOKUP(INT(VLOOKUP(U158,模板计算相关数据!A:N,2,0)/30)+1,模板计算相关数据!$O$35:$U$40,3,0)+AE158</f>
        <v>0</v>
      </c>
      <c r="AP158" s="3">
        <f>VLOOKUP(INT(VLOOKUP(U158,模板计算相关数据!A:N,2,0)/30)+1,模板计算相关数据!$O$35:$U$40,4,0)+AF158</f>
        <v>5000</v>
      </c>
      <c r="AQ158" s="3">
        <f>VLOOKUP(INT(VLOOKUP(U158,模板计算相关数据!A:N,2,0)/30)+1,模板计算相关数据!$O$35:$U$40,5,0)+AG158</f>
        <v>0</v>
      </c>
      <c r="AR158" s="3">
        <f>VLOOKUP(INT(VLOOKUP(U158,模板计算相关数据!A:N,2,0)/30)+1,模板计算相关数据!$O$35:$U$40,6,0)+AH158</f>
        <v>0</v>
      </c>
      <c r="AS158" s="3">
        <f>VLOOKUP(INT(VLOOKUP(U158,模板计算相关数据!A:N,2,0)/30)+1,模板计算相关数据!$O$35:$U$40,7,0)+AI158</f>
        <v>1000</v>
      </c>
      <c r="AT158" s="3">
        <f>VLOOKUP(INT(VLOOKUP(U158,模板计算相关数据!A:N,2,0)/30)+1,模板计算相关数据!$O$35:$V$40,8,0)</f>
        <v>0</v>
      </c>
      <c r="AU158" s="2"/>
    </row>
    <row r="159" spans="1:47" x14ac:dyDescent="0.2">
      <c r="A159" s="2">
        <v>100010302</v>
      </c>
      <c r="B159" s="2"/>
      <c r="C159" s="69" t="s">
        <v>1339</v>
      </c>
      <c r="D159" s="69" t="s">
        <v>1338</v>
      </c>
      <c r="E159" s="2"/>
      <c r="F159" s="3">
        <v>2</v>
      </c>
      <c r="G159" s="3">
        <v>1000202</v>
      </c>
      <c r="H159" s="3">
        <v>6</v>
      </c>
      <c r="I159" s="3">
        <v>4</v>
      </c>
      <c r="J159" s="3">
        <v>6</v>
      </c>
      <c r="K159" s="3"/>
      <c r="L159" s="91" t="s">
        <v>1355</v>
      </c>
      <c r="M159" s="3"/>
      <c r="N159" s="2">
        <v>1</v>
      </c>
      <c r="O159" s="2"/>
      <c r="P159" s="3" t="s">
        <v>1613</v>
      </c>
      <c r="Q159" s="95">
        <v>5.5</v>
      </c>
      <c r="R159" s="133">
        <f>IF(P159=模板计算相关数据!$AB$24,VLOOKUP(X159,模板计算相关数据!$P$47:$T$50,2,0),VLOOKUP(X159,模板计算相关数据!$P$4:$U$7,3,0))*VLOOKUP(Y159,模板计算相关数据!$P$22:$X$30,8,0)</f>
        <v>20</v>
      </c>
      <c r="S159" s="62">
        <f t="shared" ref="S159:S222" si="12">T159</f>
        <v>3.2608695652173911</v>
      </c>
      <c r="T159" s="133">
        <f>IF(P159=模板计算相关数据!$AB$24,VLOOKUP(X159,模板计算相关数据!$P$47:$T$50,5,0),VLOOKUP(X159,模板计算相关数据!$P$4:$U$7,6,0))*VLOOKUP(Y159,模板计算相关数据!$P$22:$X$30,9,0)</f>
        <v>3.2608695652173911</v>
      </c>
      <c r="U159" s="95">
        <v>1</v>
      </c>
      <c r="V159" s="95">
        <f t="shared" si="8"/>
        <v>1</v>
      </c>
      <c r="W159" s="29">
        <f>VLOOKUP(U159,模板计算相关数据!A:N,2,0)</f>
        <v>1</v>
      </c>
      <c r="X159" s="3" t="s">
        <v>178</v>
      </c>
      <c r="Y159" s="3" t="s">
        <v>223</v>
      </c>
      <c r="Z159" s="99">
        <v>1</v>
      </c>
      <c r="AA159" s="95">
        <v>1</v>
      </c>
      <c r="AB159" s="95">
        <v>1</v>
      </c>
      <c r="AC159" s="95">
        <v>1</v>
      </c>
      <c r="AD159" s="95">
        <v>10</v>
      </c>
      <c r="AE159" s="95">
        <v>0</v>
      </c>
      <c r="AF159" s="95">
        <v>0</v>
      </c>
      <c r="AG159" s="95">
        <v>0</v>
      </c>
      <c r="AH159" s="95">
        <v>0</v>
      </c>
      <c r="AI159" s="95">
        <v>0</v>
      </c>
      <c r="AJ159" s="3">
        <f>INT(VLOOKUP(U159,模板计算相关数据!A:N,4,0)*VLOOKUP(U159,模板计算相关数据!A:N,14,0)*(1+MAX(0,(VLOOKUP(U159,模板计算相关数据!A:N,7,0)-AQ159))*VLOOKUP(U159,模板计算相关数据!A:N,8,0))*(1-(AL159+AM159)*0.5/((AL159+AM159)*0.5+(VLOOKUP(U159,模板计算相关数据!A:N,2,0)+模板计算相关数据!$AC$27)*模板计算相关数据!$AC$28))*Q159*Z159)</f>
        <v>335</v>
      </c>
      <c r="AK159" s="3">
        <f>INT(VLOOKUP(U159,模板计算相关数据!A:N,3,0)/模板计算相关数据!$W$35/(1+MAX(0,(AO159/10000-VLOOKUP(U159,模板计算相关数据!A:N,9,0)))*AP159/10000)/(1-VLOOKUP(U159,模板计算相关数据!A:N,5,0)/(VLOOKUP(U159,模板计算相关数据!A:N,5,0)+(VLOOKUP(U159,模板计算相关数据!A:N,2,0)+模板计算相关数据!$AC$27)*模板计算相关数据!$AC$28))/S159*AA159)</f>
        <v>170</v>
      </c>
      <c r="AL159" s="3">
        <f>INT(VLOOKUP(U159,模板计算相关数据!A:N,5,0)*VLOOKUP(X159,模板计算相关数据!$P$4:$T$7,4,0)*VLOOKUP(Y159,模板计算相关数据!$P$22:$U$30,4,0)*AB159)</f>
        <v>320</v>
      </c>
      <c r="AM159" s="3">
        <f>INT(VLOOKUP(U159,模板计算相关数据!A:N,6,0)*VLOOKUP(X159,模板计算相关数据!$P$4:$T$7,4,0)*VLOOKUP(Y159,模板计算相关数据!$P$22:$U$30,5,0)*AC159)</f>
        <v>320</v>
      </c>
      <c r="AN159" s="3">
        <f>VLOOKUP(U159,模板计算相关数据!A:N,10,0)*0.5*VLOOKUP(Y159,模板计算相关数据!$P$22:$U$30,6,0)+AD159</f>
        <v>260</v>
      </c>
      <c r="AO159" s="3">
        <f>VLOOKUP(INT(VLOOKUP(U159,模板计算相关数据!A:N,2,0)/30)+1,模板计算相关数据!$O$35:$U$40,3,0)+AE159</f>
        <v>0</v>
      </c>
      <c r="AP159" s="3">
        <f>VLOOKUP(INT(VLOOKUP(U159,模板计算相关数据!A:N,2,0)/30)+1,模板计算相关数据!$O$35:$U$40,4,0)+AF159</f>
        <v>5000</v>
      </c>
      <c r="AQ159" s="3">
        <f>VLOOKUP(INT(VLOOKUP(U159,模板计算相关数据!A:N,2,0)/30)+1,模板计算相关数据!$O$35:$U$40,5,0)+AG159</f>
        <v>0</v>
      </c>
      <c r="AR159" s="3">
        <f>VLOOKUP(INT(VLOOKUP(U159,模板计算相关数据!A:N,2,0)/30)+1,模板计算相关数据!$O$35:$U$40,6,0)+AH159</f>
        <v>0</v>
      </c>
      <c r="AS159" s="3">
        <f>VLOOKUP(INT(VLOOKUP(U159,模板计算相关数据!A:N,2,0)/30)+1,模板计算相关数据!$O$35:$U$40,7,0)+AI159</f>
        <v>0</v>
      </c>
      <c r="AT159" s="3">
        <f>VLOOKUP(INT(VLOOKUP(U159,模板计算相关数据!A:N,2,0)/30)+1,模板计算相关数据!$O$35:$V$40,8,0)</f>
        <v>0</v>
      </c>
      <c r="AU159" s="2"/>
    </row>
    <row r="160" spans="1:47" x14ac:dyDescent="0.2">
      <c r="A160" s="2">
        <v>100010303</v>
      </c>
      <c r="B160" s="2"/>
      <c r="C160" s="69" t="s">
        <v>1340</v>
      </c>
      <c r="D160" s="69" t="s">
        <v>1338</v>
      </c>
      <c r="E160" s="2"/>
      <c r="F160" s="3">
        <v>2</v>
      </c>
      <c r="G160" s="3">
        <v>1000203</v>
      </c>
      <c r="H160" s="3">
        <v>6</v>
      </c>
      <c r="I160" s="3">
        <v>4</v>
      </c>
      <c r="J160" s="3">
        <v>6</v>
      </c>
      <c r="K160" s="3"/>
      <c r="L160" s="91" t="s">
        <v>1355</v>
      </c>
      <c r="M160" s="3"/>
      <c r="N160" s="2">
        <v>1</v>
      </c>
      <c r="O160" s="2"/>
      <c r="P160" s="3" t="s">
        <v>1613</v>
      </c>
      <c r="Q160" s="95">
        <v>5.5</v>
      </c>
      <c r="R160" s="133">
        <f>IF(P160=模板计算相关数据!$AB$24,VLOOKUP(X160,模板计算相关数据!$P$47:$T$50,2,0),VLOOKUP(X160,模板计算相关数据!$P$4:$U$7,3,0))*VLOOKUP(Y160,模板计算相关数据!$P$22:$X$30,8,0)</f>
        <v>20</v>
      </c>
      <c r="S160" s="62">
        <f t="shared" si="12"/>
        <v>3.2608695652173911</v>
      </c>
      <c r="T160" s="133">
        <f>IF(P160=模板计算相关数据!$AB$24,VLOOKUP(X160,模板计算相关数据!$P$47:$T$50,5,0),VLOOKUP(X160,模板计算相关数据!$P$4:$U$7,6,0))*VLOOKUP(Y160,模板计算相关数据!$P$22:$X$30,9,0)</f>
        <v>3.2608695652173911</v>
      </c>
      <c r="U160" s="95">
        <v>1</v>
      </c>
      <c r="V160" s="95">
        <f t="shared" si="8"/>
        <v>1</v>
      </c>
      <c r="W160" s="29">
        <f>VLOOKUP(U160,模板计算相关数据!A:N,2,0)</f>
        <v>1</v>
      </c>
      <c r="X160" s="3" t="s">
        <v>178</v>
      </c>
      <c r="Y160" s="3" t="s">
        <v>223</v>
      </c>
      <c r="Z160" s="99">
        <v>1</v>
      </c>
      <c r="AA160" s="95">
        <v>1</v>
      </c>
      <c r="AB160" s="95">
        <v>1</v>
      </c>
      <c r="AC160" s="95">
        <v>1</v>
      </c>
      <c r="AD160" s="95">
        <v>10</v>
      </c>
      <c r="AE160" s="95">
        <v>0</v>
      </c>
      <c r="AF160" s="95">
        <v>0</v>
      </c>
      <c r="AG160" s="95">
        <v>0</v>
      </c>
      <c r="AH160" s="95">
        <v>0</v>
      </c>
      <c r="AI160" s="95">
        <v>0</v>
      </c>
      <c r="AJ160" s="3">
        <f>INT(VLOOKUP(U160,模板计算相关数据!A:N,4,0)*VLOOKUP(U160,模板计算相关数据!A:N,14,0)*(1+MAX(0,(VLOOKUP(U160,模板计算相关数据!A:N,7,0)-AQ160))*VLOOKUP(U160,模板计算相关数据!A:N,8,0))*(1-(AL160+AM160)*0.5/((AL160+AM160)*0.5+(VLOOKUP(U160,模板计算相关数据!A:N,2,0)+模板计算相关数据!$AC$27)*模板计算相关数据!$AC$28))*Q160*Z160)</f>
        <v>335</v>
      </c>
      <c r="AK160" s="3">
        <f>INT(VLOOKUP(U160,模板计算相关数据!A:N,3,0)/模板计算相关数据!$W$35/(1+MAX(0,(AO160/10000-VLOOKUP(U160,模板计算相关数据!A:N,9,0)))*AP160/10000)/(1-VLOOKUP(U160,模板计算相关数据!A:N,5,0)/(VLOOKUP(U160,模板计算相关数据!A:N,5,0)+(VLOOKUP(U160,模板计算相关数据!A:N,2,0)+模板计算相关数据!$AC$27)*模板计算相关数据!$AC$28))/S160*AA160)</f>
        <v>170</v>
      </c>
      <c r="AL160" s="3">
        <f>INT(VLOOKUP(U160,模板计算相关数据!A:N,5,0)*VLOOKUP(X160,模板计算相关数据!$P$4:$T$7,4,0)*VLOOKUP(Y160,模板计算相关数据!$P$22:$U$30,4,0)*AB160)</f>
        <v>320</v>
      </c>
      <c r="AM160" s="3">
        <f>INT(VLOOKUP(U160,模板计算相关数据!A:N,6,0)*VLOOKUP(X160,模板计算相关数据!$P$4:$T$7,4,0)*VLOOKUP(Y160,模板计算相关数据!$P$22:$U$30,5,0)*AC160)</f>
        <v>320</v>
      </c>
      <c r="AN160" s="3">
        <f>VLOOKUP(U160,模板计算相关数据!A:N,10,0)*0.5*VLOOKUP(Y160,模板计算相关数据!$P$22:$U$30,6,0)+AD160</f>
        <v>260</v>
      </c>
      <c r="AO160" s="3">
        <f>VLOOKUP(INT(VLOOKUP(U160,模板计算相关数据!A:N,2,0)/30)+1,模板计算相关数据!$O$35:$U$40,3,0)+AE160</f>
        <v>0</v>
      </c>
      <c r="AP160" s="3">
        <f>VLOOKUP(INT(VLOOKUP(U160,模板计算相关数据!A:N,2,0)/30)+1,模板计算相关数据!$O$35:$U$40,4,0)+AF160</f>
        <v>5000</v>
      </c>
      <c r="AQ160" s="3">
        <f>VLOOKUP(INT(VLOOKUP(U160,模板计算相关数据!A:N,2,0)/30)+1,模板计算相关数据!$O$35:$U$40,5,0)+AG160</f>
        <v>0</v>
      </c>
      <c r="AR160" s="3">
        <f>VLOOKUP(INT(VLOOKUP(U160,模板计算相关数据!A:N,2,0)/30)+1,模板计算相关数据!$O$35:$U$40,6,0)+AH160</f>
        <v>0</v>
      </c>
      <c r="AS160" s="3">
        <f>VLOOKUP(INT(VLOOKUP(U160,模板计算相关数据!A:N,2,0)/30)+1,模板计算相关数据!$O$35:$U$40,7,0)+AI160</f>
        <v>0</v>
      </c>
      <c r="AT160" s="3">
        <f>VLOOKUP(INT(VLOOKUP(U160,模板计算相关数据!A:N,2,0)/30)+1,模板计算相关数据!$O$35:$V$40,8,0)</f>
        <v>0</v>
      </c>
      <c r="AU160" s="2"/>
    </row>
    <row r="161" spans="1:47" x14ac:dyDescent="0.2">
      <c r="A161" s="17">
        <v>100020001</v>
      </c>
      <c r="B161" s="17"/>
      <c r="C161" s="69" t="s">
        <v>1746</v>
      </c>
      <c r="D161" s="87" t="s">
        <v>1618</v>
      </c>
      <c r="E161" s="2">
        <v>2</v>
      </c>
      <c r="F161" s="3">
        <v>1</v>
      </c>
      <c r="G161" s="3">
        <v>1001401</v>
      </c>
      <c r="H161" s="3">
        <v>4</v>
      </c>
      <c r="I161" s="3">
        <v>4</v>
      </c>
      <c r="J161" s="3">
        <v>1</v>
      </c>
      <c r="K161" s="3"/>
      <c r="L161" s="91" t="s">
        <v>1925</v>
      </c>
      <c r="M161" s="3"/>
      <c r="N161" s="2">
        <v>1</v>
      </c>
      <c r="O161" s="2"/>
      <c r="P161" s="3" t="s">
        <v>1615</v>
      </c>
      <c r="Q161" s="95">
        <v>3.2</v>
      </c>
      <c r="R161" s="133">
        <f>IF(P161=模板计算相关数据!$AB$24,VLOOKUP(X161,模板计算相关数据!$P$47:$T$50,2,0),VLOOKUP(X161,模板计算相关数据!$P$4:$U$7,3,0))*VLOOKUP(Y161,模板计算相关数据!$P$22:$X$30,8,0)</f>
        <v>4.4674509803921572</v>
      </c>
      <c r="S161" s="62">
        <v>6</v>
      </c>
      <c r="T161" s="133">
        <f>IF(P161=模板计算相关数据!$AB$24,VLOOKUP(X161,模板计算相关数据!$P$47:$T$50,5,0),VLOOKUP(X161,模板计算相关数据!$P$4:$U$7,6,0))*VLOOKUP(Y161,模板计算相关数据!$P$22:$X$30,9,0)</f>
        <v>5.4739930589768004</v>
      </c>
      <c r="U161" s="95">
        <v>2</v>
      </c>
      <c r="V161" s="95">
        <f>W161+1</f>
        <v>2</v>
      </c>
      <c r="W161" s="29">
        <f>VLOOKUP(U161,模板计算相关数据!A:N,2,0)</f>
        <v>1</v>
      </c>
      <c r="X161" s="3" t="s">
        <v>151</v>
      </c>
      <c r="Y161" s="3" t="s">
        <v>162</v>
      </c>
      <c r="Z161" s="99">
        <v>1</v>
      </c>
      <c r="AA161" s="95">
        <v>1</v>
      </c>
      <c r="AB161" s="95">
        <v>1</v>
      </c>
      <c r="AC161" s="95">
        <v>1</v>
      </c>
      <c r="AD161" s="95">
        <v>0</v>
      </c>
      <c r="AE161" s="95">
        <v>0</v>
      </c>
      <c r="AF161" s="95">
        <v>0</v>
      </c>
      <c r="AG161" s="95">
        <v>0</v>
      </c>
      <c r="AH161" s="95">
        <v>0</v>
      </c>
      <c r="AI161" s="95">
        <v>0</v>
      </c>
      <c r="AJ161" s="3">
        <f>INT(VLOOKUP(U161,模板计算相关数据!A:N,4,0)*VLOOKUP(U161,模板计算相关数据!A:N,14,0)*(1+MAX(0,(VLOOKUP(U161,模板计算相关数据!A:N,7,0)-AQ161))*VLOOKUP(U161,模板计算相关数据!A:N,8,0))*(1-(AL161+AM161)*0.5/((AL161+AM161)*0.5+(VLOOKUP(U161,模板计算相关数据!A:N,2,0)+模板计算相关数据!$AC$27)*模板计算相关数据!$AC$28))*Q161*Z161)</f>
        <v>271</v>
      </c>
      <c r="AK161" s="3">
        <f>INT(VLOOKUP(U161,模板计算相关数据!A:N,3,0)/模板计算相关数据!$W$35/(1+MAX(0,(AO161/10000-VLOOKUP(U161,模板计算相关数据!A:N,9,0)))*AP161/10000)/(1-VLOOKUP(U161,模板计算相关数据!A:N,5,0)/(VLOOKUP(U161,模板计算相关数据!A:N,5,0)+(VLOOKUP(U161,模板计算相关数据!A:N,2,0)+模板计算相关数据!$AC$27)*模板计算相关数据!$AC$28))/S161*AA161)</f>
        <v>92</v>
      </c>
      <c r="AL161" s="3">
        <f>INT(VLOOKUP(U161,模板计算相关数据!A:N,5,0)*VLOOKUP(X161,模板计算相关数据!$P$4:$T$7,4,0)*VLOOKUP(Y161,模板计算相关数据!$P$22:$U$30,4,0)*AB161)</f>
        <v>136</v>
      </c>
      <c r="AM161" s="3">
        <f>INT(VLOOKUP(U161,模板计算相关数据!A:N,6,0)*VLOOKUP(X161,模板计算相关数据!$P$4:$T$7,4,0)*VLOOKUP(Y161,模板计算相关数据!$P$22:$U$30,5,0)*AC161)</f>
        <v>230</v>
      </c>
      <c r="AN161" s="3">
        <f>VLOOKUP(U161,模板计算相关数据!A:N,10,0)*0.5*VLOOKUP(Y161,模板计算相关数据!$P$22:$U$30,6,0)+AD161</f>
        <v>250</v>
      </c>
      <c r="AO161" s="3">
        <f>VLOOKUP(INT(VLOOKUP(U161,模板计算相关数据!A:N,2,0)/30)+1,模板计算相关数据!$O$35:$U$40,3,0)+AE161</f>
        <v>0</v>
      </c>
      <c r="AP161" s="3">
        <f>VLOOKUP(INT(VLOOKUP(U161,模板计算相关数据!A:N,2,0)/30)+1,模板计算相关数据!$O$35:$U$40,4,0)+AF161</f>
        <v>5000</v>
      </c>
      <c r="AQ161" s="3">
        <f>VLOOKUP(INT(VLOOKUP(U161,模板计算相关数据!A:N,2,0)/30)+1,模板计算相关数据!$O$35:$U$40,5,0)+AG161</f>
        <v>0</v>
      </c>
      <c r="AR161" s="3">
        <f>VLOOKUP(INT(VLOOKUP(U161,模板计算相关数据!A:N,2,0)/30)+1,模板计算相关数据!$O$35:$U$40,6,0)+AH161</f>
        <v>0</v>
      </c>
      <c r="AS161" s="3">
        <f>VLOOKUP(INT(VLOOKUP(U161,模板计算相关数据!A:N,2,0)/30)+1,模板计算相关数据!$O$35:$U$40,7,0)+AI161</f>
        <v>0</v>
      </c>
      <c r="AT161" s="3">
        <f>VLOOKUP(INT(VLOOKUP(U161,模板计算相关数据!A:N,2,0)/30)+1,模板计算相关数据!$O$35:$V$40,8,0)</f>
        <v>0</v>
      </c>
      <c r="AU161" s="2"/>
    </row>
    <row r="162" spans="1:47" x14ac:dyDescent="0.2">
      <c r="A162" s="17">
        <v>100020002</v>
      </c>
      <c r="B162" s="17"/>
      <c r="C162" s="69" t="s">
        <v>1746</v>
      </c>
      <c r="D162" s="87" t="s">
        <v>1618</v>
      </c>
      <c r="E162" s="2">
        <v>2</v>
      </c>
      <c r="F162" s="3">
        <v>1</v>
      </c>
      <c r="G162" s="3">
        <v>1001401</v>
      </c>
      <c r="H162" s="3">
        <v>4</v>
      </c>
      <c r="I162" s="3">
        <v>4</v>
      </c>
      <c r="J162" s="3">
        <v>1</v>
      </c>
      <c r="K162" s="3"/>
      <c r="L162" s="91" t="s">
        <v>1926</v>
      </c>
      <c r="M162" s="3"/>
      <c r="N162" s="2">
        <v>1</v>
      </c>
      <c r="O162" s="2"/>
      <c r="P162" s="3" t="s">
        <v>1615</v>
      </c>
      <c r="Q162" s="95">
        <v>3.2</v>
      </c>
      <c r="R162" s="133">
        <f>IF(P162=模板计算相关数据!$AB$24,VLOOKUP(X162,模板计算相关数据!$P$47:$T$50,2,0),VLOOKUP(X162,模板计算相关数据!$P$4:$U$7,3,0))*VLOOKUP(Y162,模板计算相关数据!$P$22:$X$30,8,0)</f>
        <v>4.4674509803921572</v>
      </c>
      <c r="S162" s="62">
        <v>6</v>
      </c>
      <c r="T162" s="133">
        <f>IF(P162=模板计算相关数据!$AB$24,VLOOKUP(X162,模板计算相关数据!$P$47:$T$50,5,0),VLOOKUP(X162,模板计算相关数据!$P$4:$U$7,6,0))*VLOOKUP(Y162,模板计算相关数据!$P$22:$X$30,9,0)</f>
        <v>5.4739930589768004</v>
      </c>
      <c r="U162" s="95">
        <v>2</v>
      </c>
      <c r="V162" s="95">
        <f t="shared" ref="V162" si="13">W162+1</f>
        <v>2</v>
      </c>
      <c r="W162" s="29">
        <f>VLOOKUP(U162,模板计算相关数据!A:N,2,0)</f>
        <v>1</v>
      </c>
      <c r="X162" s="3" t="s">
        <v>151</v>
      </c>
      <c r="Y162" s="3" t="s">
        <v>162</v>
      </c>
      <c r="Z162" s="99">
        <v>1</v>
      </c>
      <c r="AA162" s="95">
        <v>1</v>
      </c>
      <c r="AB162" s="95">
        <v>1</v>
      </c>
      <c r="AC162" s="95">
        <v>1</v>
      </c>
      <c r="AD162" s="95">
        <v>0</v>
      </c>
      <c r="AE162" s="95">
        <v>0</v>
      </c>
      <c r="AF162" s="95">
        <v>0</v>
      </c>
      <c r="AG162" s="95">
        <v>0</v>
      </c>
      <c r="AH162" s="95">
        <v>0</v>
      </c>
      <c r="AI162" s="95">
        <v>0</v>
      </c>
      <c r="AJ162" s="3">
        <f>INT(VLOOKUP(U162,模板计算相关数据!A:N,4,0)*VLOOKUP(U162,模板计算相关数据!A:N,14,0)*(1+MAX(0,(VLOOKUP(U162,模板计算相关数据!A:N,7,0)-AQ162))*VLOOKUP(U162,模板计算相关数据!A:N,8,0))*(1-(AL162+AM162)*0.5/((AL162+AM162)*0.5+(VLOOKUP(U162,模板计算相关数据!A:N,2,0)+模板计算相关数据!$AC$27)*模板计算相关数据!$AC$28))*Q162*Z162)</f>
        <v>271</v>
      </c>
      <c r="AK162" s="3">
        <f>INT(VLOOKUP(U162,模板计算相关数据!A:N,3,0)/模板计算相关数据!$W$35/(1+MAX(0,(AO162/10000-VLOOKUP(U162,模板计算相关数据!A:N,9,0)))*AP162/10000)/(1-VLOOKUP(U162,模板计算相关数据!A:N,5,0)/(VLOOKUP(U162,模板计算相关数据!A:N,5,0)+(VLOOKUP(U162,模板计算相关数据!A:N,2,0)+模板计算相关数据!$AC$27)*模板计算相关数据!$AC$28))/S162*AA162)</f>
        <v>92</v>
      </c>
      <c r="AL162" s="3">
        <f>INT(VLOOKUP(U162,模板计算相关数据!A:N,5,0)*VLOOKUP(X162,模板计算相关数据!$P$4:$T$7,4,0)*VLOOKUP(Y162,模板计算相关数据!$P$22:$U$30,4,0)*AB162)</f>
        <v>136</v>
      </c>
      <c r="AM162" s="3">
        <f>INT(VLOOKUP(U162,模板计算相关数据!A:N,6,0)*VLOOKUP(X162,模板计算相关数据!$P$4:$T$7,4,0)*VLOOKUP(Y162,模板计算相关数据!$P$22:$U$30,5,0)*AC162)</f>
        <v>230</v>
      </c>
      <c r="AN162" s="3">
        <f>VLOOKUP(U162,模板计算相关数据!A:N,10,0)*0.5*VLOOKUP(Y162,模板计算相关数据!$P$22:$U$30,6,0)+AD162</f>
        <v>250</v>
      </c>
      <c r="AO162" s="3">
        <f>VLOOKUP(INT(VLOOKUP(U162,模板计算相关数据!A:N,2,0)/30)+1,模板计算相关数据!$O$35:$U$40,3,0)+AE162</f>
        <v>0</v>
      </c>
      <c r="AP162" s="3">
        <f>VLOOKUP(INT(VLOOKUP(U162,模板计算相关数据!A:N,2,0)/30)+1,模板计算相关数据!$O$35:$U$40,4,0)+AF162</f>
        <v>5000</v>
      </c>
      <c r="AQ162" s="3">
        <f>VLOOKUP(INT(VLOOKUP(U162,模板计算相关数据!A:N,2,0)/30)+1,模板计算相关数据!$O$35:$U$40,5,0)+AG162</f>
        <v>0</v>
      </c>
      <c r="AR162" s="3">
        <f>VLOOKUP(INT(VLOOKUP(U162,模板计算相关数据!A:N,2,0)/30)+1,模板计算相关数据!$O$35:$U$40,6,0)+AH162</f>
        <v>0</v>
      </c>
      <c r="AS162" s="3">
        <f>VLOOKUP(INT(VLOOKUP(U162,模板计算相关数据!A:N,2,0)/30)+1,模板计算相关数据!$O$35:$U$40,7,0)+AI162</f>
        <v>0</v>
      </c>
      <c r="AT162" s="3">
        <f>VLOOKUP(INT(VLOOKUP(U162,模板计算相关数据!A:N,2,0)/30)+1,模板计算相关数据!$O$35:$V$40,8,0)</f>
        <v>0</v>
      </c>
      <c r="AU162" s="2"/>
    </row>
    <row r="163" spans="1:47" x14ac:dyDescent="0.2">
      <c r="A163" s="19">
        <v>20001</v>
      </c>
      <c r="B163" s="19"/>
      <c r="C163" s="2" t="s">
        <v>1705</v>
      </c>
      <c r="D163" s="69" t="s">
        <v>1372</v>
      </c>
      <c r="E163" s="2">
        <v>1</v>
      </c>
      <c r="F163" s="3">
        <v>2</v>
      </c>
      <c r="G163" s="3">
        <v>1002601</v>
      </c>
      <c r="H163" s="3">
        <v>1</v>
      </c>
      <c r="I163" s="3">
        <v>2</v>
      </c>
      <c r="J163" s="3">
        <v>5</v>
      </c>
      <c r="K163" s="3"/>
      <c r="L163" s="65" t="s">
        <v>179</v>
      </c>
      <c r="M163" s="3"/>
      <c r="N163" s="2">
        <v>1</v>
      </c>
      <c r="O163" s="2"/>
      <c r="P163" s="3" t="s">
        <v>1613</v>
      </c>
      <c r="Q163" s="95">
        <v>3.3</v>
      </c>
      <c r="R163" s="133">
        <f>IF(P163=模板计算相关数据!$AB$24,VLOOKUP(X163,模板计算相关数据!$P$47:$T$50,2,0),VLOOKUP(X163,模板计算相关数据!$P$4:$U$7,3,0))*VLOOKUP(Y163,模板计算相关数据!$P$22:$X$30,8,0)</f>
        <v>3.5338039215686279</v>
      </c>
      <c r="S163" s="3">
        <f>T163</f>
        <v>7.080688696105339</v>
      </c>
      <c r="T163" s="133">
        <f>IF(P163=模板计算相关数据!$AB$24,VLOOKUP(X163,模板计算相关数据!$P$47:$T$50,5,0),VLOOKUP(X163,模板计算相关数据!$P$4:$U$7,6,0))*VLOOKUP(Y163,模板计算相关数据!$P$22:$X$30,9,0)</f>
        <v>7.080688696105339</v>
      </c>
      <c r="U163" s="95">
        <v>3</v>
      </c>
      <c r="V163" s="95">
        <f>W163+2</f>
        <v>4</v>
      </c>
      <c r="W163" s="29">
        <f>VLOOKUP(U163,模板计算相关数据!A:N,2,0)</f>
        <v>2</v>
      </c>
      <c r="X163" s="3" t="s">
        <v>151</v>
      </c>
      <c r="Y163" s="3" t="s">
        <v>152</v>
      </c>
      <c r="Z163" s="99">
        <v>1</v>
      </c>
      <c r="AA163" s="95">
        <v>1</v>
      </c>
      <c r="AB163" s="95">
        <v>1</v>
      </c>
      <c r="AC163" s="95">
        <v>1</v>
      </c>
      <c r="AD163" s="95">
        <v>0</v>
      </c>
      <c r="AE163" s="95">
        <v>0</v>
      </c>
      <c r="AF163" s="95">
        <v>0</v>
      </c>
      <c r="AG163" s="95">
        <v>0</v>
      </c>
      <c r="AH163" s="95">
        <v>0</v>
      </c>
      <c r="AI163" s="95">
        <v>0</v>
      </c>
      <c r="AJ163" s="3">
        <f>INT(VLOOKUP(U163,模板计算相关数据!A:N,4,0)*VLOOKUP(U163,模板计算相关数据!A:N,14,0)*(1+MAX(0,(VLOOKUP(U163,模板计算相关数据!A:N,7,0)-AQ163))*VLOOKUP(U163,模板计算相关数据!A:N,8,0))*(1-(AL163+AM163)*0.5/((AL163+AM163)*0.5+(VLOOKUP(U163,模板计算相关数据!A:N,2,0)+模板计算相关数据!$AC$27)*模板计算相关数据!$AC$28))*Q163*Z163)</f>
        <v>319</v>
      </c>
      <c r="AK163" s="3">
        <f>INT(VLOOKUP(U163,模板计算相关数据!A:N,3,0)/模板计算相关数据!$W$35/(1+MAX(0,(AO163/10000-VLOOKUP(U163,模板计算相关数据!A:N,9,0)))*AP163/10000)/(1-VLOOKUP(U163,模板计算相关数据!A:N,5,0)/(VLOOKUP(U163,模板计算相关数据!A:N,5,0)+(VLOOKUP(U163,模板计算相关数据!A:N,2,0)+模板计算相关数据!$AC$27)*模板计算相关数据!$AC$28))/S163*AA163)</f>
        <v>88</v>
      </c>
      <c r="AL163" s="3">
        <f>INT(VLOOKUP(U163,模板计算相关数据!A:N,5,0)*VLOOKUP(X163,模板计算相关数据!$P$4:$T$7,4,0)*VLOOKUP(Y163,模板计算相关数据!$P$22:$U$30,4,0)*AB163)</f>
        <v>263</v>
      </c>
      <c r="AM163" s="3">
        <f>INT(VLOOKUP(U163,模板计算相关数据!A:N,6,0)*VLOOKUP(X163,模板计算相关数据!$P$4:$T$7,4,0)*VLOOKUP(Y163,模板计算相关数据!$P$22:$U$30,5,0)*AC163)</f>
        <v>156</v>
      </c>
      <c r="AN163" s="3">
        <f>VLOOKUP(U163,模板计算相关数据!A:N,10,0)*0.5*VLOOKUP(Y163,模板计算相关数据!$P$22:$U$30,6,0)+AD163</f>
        <v>250</v>
      </c>
      <c r="AO163" s="3">
        <f>VLOOKUP(INT(VLOOKUP(U163,模板计算相关数据!A:N,2,0)/30)+1,模板计算相关数据!$O$35:$U$40,3,0)+AE163</f>
        <v>0</v>
      </c>
      <c r="AP163" s="3">
        <f>VLOOKUP(INT(VLOOKUP(U163,模板计算相关数据!A:N,2,0)/30)+1,模板计算相关数据!$O$35:$U$40,4,0)+AF163</f>
        <v>5000</v>
      </c>
      <c r="AQ163" s="3">
        <f>VLOOKUP(INT(VLOOKUP(U163,模板计算相关数据!A:N,2,0)/30)+1,模板计算相关数据!$O$35:$U$40,5,0)+AG163</f>
        <v>0</v>
      </c>
      <c r="AR163" s="3">
        <f>VLOOKUP(INT(VLOOKUP(U163,模板计算相关数据!A:N,2,0)/30)+1,模板计算相关数据!$O$35:$U$40,6,0)+AH163</f>
        <v>0</v>
      </c>
      <c r="AS163" s="3">
        <f>VLOOKUP(INT(VLOOKUP(U163,模板计算相关数据!A:N,2,0)/30)+1,模板计算相关数据!$O$35:$U$40,7,0)+AI163</f>
        <v>0</v>
      </c>
      <c r="AT163" s="3">
        <f>VLOOKUP(INT(VLOOKUP(U163,模板计算相关数据!A:N,2,0)/30)+1,模板计算相关数据!$O$35:$V$40,8,0)</f>
        <v>0</v>
      </c>
      <c r="AU163" s="2"/>
    </row>
    <row r="164" spans="1:47" x14ac:dyDescent="0.2">
      <c r="A164" s="19">
        <v>20002</v>
      </c>
      <c r="B164" s="19"/>
      <c r="C164" s="2" t="s">
        <v>1705</v>
      </c>
      <c r="D164" s="69" t="s">
        <v>1372</v>
      </c>
      <c r="E164" s="2">
        <v>1</v>
      </c>
      <c r="F164" s="3">
        <v>3</v>
      </c>
      <c r="G164" s="3">
        <v>1002601</v>
      </c>
      <c r="H164" s="3">
        <v>1</v>
      </c>
      <c r="I164" s="3">
        <v>2</v>
      </c>
      <c r="J164" s="3">
        <v>5</v>
      </c>
      <c r="K164" s="3"/>
      <c r="L164" s="65" t="s">
        <v>179</v>
      </c>
      <c r="M164" s="3"/>
      <c r="N164" s="2">
        <v>1</v>
      </c>
      <c r="O164" s="2"/>
      <c r="P164" s="3" t="s">
        <v>1613</v>
      </c>
      <c r="Q164" s="95">
        <v>3.3</v>
      </c>
      <c r="R164" s="133">
        <f>IF(P164=模板计算相关数据!$AB$24,VLOOKUP(X164,模板计算相关数据!$P$47:$T$50,2,0),VLOOKUP(X164,模板计算相关数据!$P$4:$U$7,3,0))*VLOOKUP(Y164,模板计算相关数据!$P$22:$X$30,8,0)</f>
        <v>3.5338039215686279</v>
      </c>
      <c r="S164" s="62">
        <f>T164</f>
        <v>7.080688696105339</v>
      </c>
      <c r="T164" s="133">
        <f>IF(P164=模板计算相关数据!$AB$24,VLOOKUP(X164,模板计算相关数据!$P$47:$T$50,5,0),VLOOKUP(X164,模板计算相关数据!$P$4:$U$7,6,0))*VLOOKUP(Y164,模板计算相关数据!$P$22:$X$30,9,0)</f>
        <v>7.080688696105339</v>
      </c>
      <c r="U164" s="95">
        <v>3</v>
      </c>
      <c r="V164" s="95">
        <f t="shared" ref="V164:V174" si="14">W164+2</f>
        <v>4</v>
      </c>
      <c r="W164" s="29">
        <f>VLOOKUP(U164,模板计算相关数据!A:N,2,0)</f>
        <v>2</v>
      </c>
      <c r="X164" s="3" t="s">
        <v>151</v>
      </c>
      <c r="Y164" s="3" t="s">
        <v>152</v>
      </c>
      <c r="Z164" s="99">
        <v>1</v>
      </c>
      <c r="AA164" s="95">
        <v>1</v>
      </c>
      <c r="AB164" s="95">
        <v>1</v>
      </c>
      <c r="AC164" s="95">
        <v>1</v>
      </c>
      <c r="AD164" s="95">
        <v>0</v>
      </c>
      <c r="AE164" s="95">
        <v>0</v>
      </c>
      <c r="AF164" s="95">
        <v>0</v>
      </c>
      <c r="AG164" s="95">
        <v>0</v>
      </c>
      <c r="AH164" s="95">
        <v>0</v>
      </c>
      <c r="AI164" s="95">
        <v>0</v>
      </c>
      <c r="AJ164" s="3">
        <f>INT(VLOOKUP(U164,模板计算相关数据!A:N,4,0)*VLOOKUP(U164,模板计算相关数据!A:N,14,0)*(1+MAX(0,(VLOOKUP(U164,模板计算相关数据!A:N,7,0)-AQ164))*VLOOKUP(U164,模板计算相关数据!A:N,8,0))*(1-(AL164+AM164)*0.5/((AL164+AM164)*0.5+(VLOOKUP(U164,模板计算相关数据!A:N,2,0)+模板计算相关数据!$AC$27)*模板计算相关数据!$AC$28))*Q164*Z164)</f>
        <v>319</v>
      </c>
      <c r="AK164" s="3">
        <f>INT(VLOOKUP(U164,模板计算相关数据!A:N,3,0)/模板计算相关数据!$W$35/(1+MAX(0,(AO164/10000-VLOOKUP(U164,模板计算相关数据!A:N,9,0)))*AP164/10000)/(1-VLOOKUP(U164,模板计算相关数据!A:N,5,0)/(VLOOKUP(U164,模板计算相关数据!A:N,5,0)+(VLOOKUP(U164,模板计算相关数据!A:N,2,0)+模板计算相关数据!$AC$27)*模板计算相关数据!$AC$28))/S164*AA164)</f>
        <v>88</v>
      </c>
      <c r="AL164" s="3">
        <f>INT(VLOOKUP(U164,模板计算相关数据!A:N,5,0)*VLOOKUP(X164,模板计算相关数据!$P$4:$T$7,4,0)*VLOOKUP(Y164,模板计算相关数据!$P$22:$U$30,4,0)*AB164)</f>
        <v>263</v>
      </c>
      <c r="AM164" s="3">
        <f>INT(VLOOKUP(U164,模板计算相关数据!A:N,6,0)*VLOOKUP(X164,模板计算相关数据!$P$4:$T$7,4,0)*VLOOKUP(Y164,模板计算相关数据!$P$22:$U$30,5,0)*AC164)</f>
        <v>156</v>
      </c>
      <c r="AN164" s="3">
        <f>VLOOKUP(U164,模板计算相关数据!A:N,10,0)*0.5*VLOOKUP(Y164,模板计算相关数据!$P$22:$U$30,6,0)+AD164</f>
        <v>250</v>
      </c>
      <c r="AO164" s="3">
        <f>VLOOKUP(INT(VLOOKUP(U164,模板计算相关数据!A:N,2,0)/30)+1,模板计算相关数据!$O$35:$U$40,3,0)+AE164</f>
        <v>0</v>
      </c>
      <c r="AP164" s="3">
        <f>VLOOKUP(INT(VLOOKUP(U164,模板计算相关数据!A:N,2,0)/30)+1,模板计算相关数据!$O$35:$U$40,4,0)+AF164</f>
        <v>5000</v>
      </c>
      <c r="AQ164" s="3">
        <f>VLOOKUP(INT(VLOOKUP(U164,模板计算相关数据!A:N,2,0)/30)+1,模板计算相关数据!$O$35:$U$40,5,0)+AG164</f>
        <v>0</v>
      </c>
      <c r="AR164" s="3">
        <f>VLOOKUP(INT(VLOOKUP(U164,模板计算相关数据!A:N,2,0)/30)+1,模板计算相关数据!$O$35:$U$40,6,0)+AH164</f>
        <v>0</v>
      </c>
      <c r="AS164" s="3">
        <f>VLOOKUP(INT(VLOOKUP(U164,模板计算相关数据!A:N,2,0)/30)+1,模板计算相关数据!$O$35:$U$40,7,0)+AI164</f>
        <v>0</v>
      </c>
      <c r="AT164" s="3">
        <f>VLOOKUP(INT(VLOOKUP(U164,模板计算相关数据!A:N,2,0)/30)+1,模板计算相关数据!$O$35:$V$40,8,0)</f>
        <v>0</v>
      </c>
      <c r="AU164" s="2"/>
    </row>
    <row r="165" spans="1:47" x14ac:dyDescent="0.2">
      <c r="A165" s="19">
        <v>20003</v>
      </c>
      <c r="B165" s="19"/>
      <c r="C165" s="2" t="s">
        <v>1705</v>
      </c>
      <c r="D165" s="69" t="s">
        <v>1373</v>
      </c>
      <c r="E165" s="2">
        <v>1</v>
      </c>
      <c r="F165" s="3">
        <v>1</v>
      </c>
      <c r="G165" s="3">
        <v>1002601</v>
      </c>
      <c r="H165" s="3">
        <v>1</v>
      </c>
      <c r="I165" s="3">
        <v>2</v>
      </c>
      <c r="J165" s="3">
        <v>5</v>
      </c>
      <c r="K165" s="3"/>
      <c r="L165" s="65" t="s">
        <v>179</v>
      </c>
      <c r="M165" s="3"/>
      <c r="N165" s="2">
        <v>1</v>
      </c>
      <c r="O165" s="2"/>
      <c r="P165" s="3" t="s">
        <v>1613</v>
      </c>
      <c r="Q165" s="95">
        <v>3.6</v>
      </c>
      <c r="R165" s="133">
        <f>IF(P165=模板计算相关数据!$AB$24,VLOOKUP(X165,模板计算相关数据!$P$47:$T$50,2,0),VLOOKUP(X165,模板计算相关数据!$P$4:$U$7,3,0))*VLOOKUP(Y165,模板计算相关数据!$P$22:$X$30,8,0)</f>
        <v>3.5338039215686279</v>
      </c>
      <c r="S165" s="62">
        <f>T165</f>
        <v>7.080688696105339</v>
      </c>
      <c r="T165" s="133">
        <f>IF(P165=模板计算相关数据!$AB$24,VLOOKUP(X165,模板计算相关数据!$P$47:$T$50,5,0),VLOOKUP(X165,模板计算相关数据!$P$4:$U$7,6,0))*VLOOKUP(Y165,模板计算相关数据!$P$22:$X$30,9,0)</f>
        <v>7.080688696105339</v>
      </c>
      <c r="U165" s="95">
        <v>3</v>
      </c>
      <c r="V165" s="95">
        <f t="shared" si="14"/>
        <v>4</v>
      </c>
      <c r="W165" s="29">
        <f>VLOOKUP(U165,模板计算相关数据!A:N,2,0)</f>
        <v>2</v>
      </c>
      <c r="X165" s="3" t="s">
        <v>151</v>
      </c>
      <c r="Y165" s="3" t="s">
        <v>152</v>
      </c>
      <c r="Z165" s="99">
        <v>1</v>
      </c>
      <c r="AA165" s="95">
        <v>1</v>
      </c>
      <c r="AB165" s="95">
        <v>1</v>
      </c>
      <c r="AC165" s="95">
        <v>1</v>
      </c>
      <c r="AD165" s="95">
        <v>0</v>
      </c>
      <c r="AE165" s="95">
        <v>0</v>
      </c>
      <c r="AF165" s="95">
        <v>0</v>
      </c>
      <c r="AG165" s="95">
        <v>0</v>
      </c>
      <c r="AH165" s="95">
        <v>0</v>
      </c>
      <c r="AI165" s="95">
        <v>0</v>
      </c>
      <c r="AJ165" s="3">
        <f>INT(VLOOKUP(U165,模板计算相关数据!A:N,4,0)*VLOOKUP(U165,模板计算相关数据!A:N,14,0)*(1+MAX(0,(VLOOKUP(U165,模板计算相关数据!A:N,7,0)-AQ165))*VLOOKUP(U165,模板计算相关数据!A:N,8,0))*(1-(AL165+AM165)*0.5/((AL165+AM165)*0.5+(VLOOKUP(U165,模板计算相关数据!A:N,2,0)+模板计算相关数据!$AC$27)*模板计算相关数据!$AC$28))*Q165*Z165)</f>
        <v>348</v>
      </c>
      <c r="AK165" s="3">
        <f>INT(VLOOKUP(U165,模板计算相关数据!A:N,3,0)/模板计算相关数据!$W$35/(1+MAX(0,(AO165/10000-VLOOKUP(U165,模板计算相关数据!A:N,9,0)))*AP165/10000)/(1-VLOOKUP(U165,模板计算相关数据!A:N,5,0)/(VLOOKUP(U165,模板计算相关数据!A:N,5,0)+(VLOOKUP(U165,模板计算相关数据!A:N,2,0)+模板计算相关数据!$AC$27)*模板计算相关数据!$AC$28))/S165*AA165)</f>
        <v>88</v>
      </c>
      <c r="AL165" s="3">
        <f>INT(VLOOKUP(U165,模板计算相关数据!A:N,5,0)*VLOOKUP(X165,模板计算相关数据!$P$4:$T$7,4,0)*VLOOKUP(Y165,模板计算相关数据!$P$22:$U$30,4,0)*AB165)</f>
        <v>263</v>
      </c>
      <c r="AM165" s="3">
        <f>INT(VLOOKUP(U165,模板计算相关数据!A:N,6,0)*VLOOKUP(X165,模板计算相关数据!$P$4:$T$7,4,0)*VLOOKUP(Y165,模板计算相关数据!$P$22:$U$30,5,0)*AC165)</f>
        <v>156</v>
      </c>
      <c r="AN165" s="3">
        <f>VLOOKUP(U165,模板计算相关数据!A:N,10,0)*0.5*VLOOKUP(Y165,模板计算相关数据!$P$22:$U$30,6,0)+AD165</f>
        <v>250</v>
      </c>
      <c r="AO165" s="3">
        <f>VLOOKUP(INT(VLOOKUP(U165,模板计算相关数据!A:N,2,0)/30)+1,模板计算相关数据!$O$35:$U$40,3,0)+AE165</f>
        <v>0</v>
      </c>
      <c r="AP165" s="3">
        <f>VLOOKUP(INT(VLOOKUP(U165,模板计算相关数据!A:N,2,0)/30)+1,模板计算相关数据!$O$35:$U$40,4,0)+AF165</f>
        <v>5000</v>
      </c>
      <c r="AQ165" s="3">
        <f>VLOOKUP(INT(VLOOKUP(U165,模板计算相关数据!A:N,2,0)/30)+1,模板计算相关数据!$O$35:$U$40,5,0)+AG165</f>
        <v>0</v>
      </c>
      <c r="AR165" s="3">
        <f>VLOOKUP(INT(VLOOKUP(U165,模板计算相关数据!A:N,2,0)/30)+1,模板计算相关数据!$O$35:$U$40,6,0)+AH165</f>
        <v>0</v>
      </c>
      <c r="AS165" s="3">
        <f>VLOOKUP(INT(VLOOKUP(U165,模板计算相关数据!A:N,2,0)/30)+1,模板计算相关数据!$O$35:$U$40,7,0)+AI165</f>
        <v>0</v>
      </c>
      <c r="AT165" s="3">
        <f>VLOOKUP(INT(VLOOKUP(U165,模板计算相关数据!A:N,2,0)/30)+1,模板计算相关数据!$O$35:$V$40,8,0)</f>
        <v>0</v>
      </c>
      <c r="AU165" s="2"/>
    </row>
    <row r="166" spans="1:47" x14ac:dyDescent="0.2">
      <c r="A166" s="19">
        <v>20004</v>
      </c>
      <c r="B166" s="19"/>
      <c r="C166" s="2" t="s">
        <v>1706</v>
      </c>
      <c r="D166" s="69" t="s">
        <v>1373</v>
      </c>
      <c r="E166" s="2">
        <v>1</v>
      </c>
      <c r="F166" s="3">
        <v>3</v>
      </c>
      <c r="G166" s="3">
        <v>1002501</v>
      </c>
      <c r="H166" s="3">
        <v>5</v>
      </c>
      <c r="I166" s="3">
        <v>2</v>
      </c>
      <c r="J166" s="3">
        <v>5</v>
      </c>
      <c r="K166" s="3">
        <v>2</v>
      </c>
      <c r="L166" s="65" t="s">
        <v>180</v>
      </c>
      <c r="M166" s="3"/>
      <c r="N166" s="2">
        <v>1</v>
      </c>
      <c r="O166" s="2"/>
      <c r="P166" s="3" t="s">
        <v>1613</v>
      </c>
      <c r="Q166" s="95">
        <v>6.5</v>
      </c>
      <c r="R166" s="133">
        <f>IF(P166=模板计算相关数据!$AB$24,VLOOKUP(X166,模板计算相关数据!$P$47:$T$50,2,0),VLOOKUP(X166,模板计算相关数据!$P$4:$U$7,3,0))*VLOOKUP(Y166,模板计算相关数据!$P$22:$X$30,8,0)</f>
        <v>9.2335686274509801</v>
      </c>
      <c r="S166" s="62">
        <v>5</v>
      </c>
      <c r="T166" s="133">
        <f>IF(P166=模板计算相关数据!$AB$24,VLOOKUP(X166,模板计算相关数据!$P$47:$T$50,5,0),VLOOKUP(X166,模板计算相关数据!$P$4:$U$7,6,0))*VLOOKUP(Y166,模板计算相关数据!$P$22:$X$30,9,0)</f>
        <v>4.8058439061899252</v>
      </c>
      <c r="U166" s="95">
        <v>3</v>
      </c>
      <c r="V166" s="95">
        <f t="shared" si="14"/>
        <v>4</v>
      </c>
      <c r="W166" s="29">
        <f>VLOOKUP(U166,模板计算相关数据!A:N,2,0)</f>
        <v>2</v>
      </c>
      <c r="X166" s="62" t="s">
        <v>1632</v>
      </c>
      <c r="Y166" s="3" t="s">
        <v>159</v>
      </c>
      <c r="Z166" s="99">
        <v>1</v>
      </c>
      <c r="AA166" s="95">
        <v>1</v>
      </c>
      <c r="AB166" s="95">
        <v>1</v>
      </c>
      <c r="AC166" s="95">
        <v>1</v>
      </c>
      <c r="AD166" s="95">
        <v>0</v>
      </c>
      <c r="AE166" s="95">
        <v>0</v>
      </c>
      <c r="AF166" s="95">
        <v>0</v>
      </c>
      <c r="AG166" s="95">
        <v>0</v>
      </c>
      <c r="AH166" s="95">
        <v>0</v>
      </c>
      <c r="AI166" s="95">
        <v>0</v>
      </c>
      <c r="AJ166" s="3">
        <f>INT(VLOOKUP(U166,模板计算相关数据!A:N,4,0)*VLOOKUP(U166,模板计算相关数据!A:N,14,0)*(1+MAX(0,(VLOOKUP(U166,模板计算相关数据!A:N,7,0)-AQ166))*VLOOKUP(U166,模板计算相关数据!A:N,8,0))*(1-(AL166+AM166)*0.5/((AL166+AM166)*0.5+(VLOOKUP(U166,模板计算相关数据!A:N,2,0)+模板计算相关数据!$AC$27)*模板计算相关数据!$AC$28))*Q166*Z166)</f>
        <v>569</v>
      </c>
      <c r="AK166" s="3">
        <f>INT(VLOOKUP(U166,模板计算相关数据!A:N,3,0)/模板计算相关数据!$W$35/(1+MAX(0,(AO166/10000-VLOOKUP(U166,模板计算相关数据!A:N,9,0)))*AP166/10000)/(1-VLOOKUP(U166,模板计算相关数据!A:N,5,0)/(VLOOKUP(U166,模板计算相关数据!A:N,5,0)+(VLOOKUP(U166,模板计算相关数据!A:N,2,0)+模板计算相关数据!$AC$27)*模板计算相关数据!$AC$28))/S166*AA166)</f>
        <v>125</v>
      </c>
      <c r="AL166" s="3">
        <f>INT(VLOOKUP(U166,模板计算相关数据!A:N,5,0)*VLOOKUP(X166,模板计算相关数据!$P$4:$T$7,4,0)*VLOOKUP(Y166,模板计算相关数据!$P$22:$U$30,4,0)*AB166)</f>
        <v>378</v>
      </c>
      <c r="AM166" s="3">
        <f>INT(VLOOKUP(U166,模板计算相关数据!A:N,6,0)*VLOOKUP(X166,模板计算相关数据!$P$4:$T$7,4,0)*VLOOKUP(Y166,模板计算相关数据!$P$22:$U$30,5,0)*AC166)</f>
        <v>207</v>
      </c>
      <c r="AN166" s="3">
        <f>VLOOKUP(U166,模板计算相关数据!A:N,10,0)*0.5*VLOOKUP(Y166,模板计算相关数据!$P$22:$U$30,6,0)+AD166</f>
        <v>275</v>
      </c>
      <c r="AO166" s="3">
        <f>VLOOKUP(INT(VLOOKUP(U166,模板计算相关数据!A:N,2,0)/30)+1,模板计算相关数据!$O$35:$U$40,3,0)+AE166</f>
        <v>0</v>
      </c>
      <c r="AP166" s="3">
        <f>VLOOKUP(INT(VLOOKUP(U166,模板计算相关数据!A:N,2,0)/30)+1,模板计算相关数据!$O$35:$U$40,4,0)+AF166</f>
        <v>5000</v>
      </c>
      <c r="AQ166" s="3">
        <f>VLOOKUP(INT(VLOOKUP(U166,模板计算相关数据!A:N,2,0)/30)+1,模板计算相关数据!$O$35:$U$40,5,0)+AG166</f>
        <v>0</v>
      </c>
      <c r="AR166" s="3">
        <f>VLOOKUP(INT(VLOOKUP(U166,模板计算相关数据!A:N,2,0)/30)+1,模板计算相关数据!$O$35:$U$40,6,0)+AH166</f>
        <v>0</v>
      </c>
      <c r="AS166" s="3">
        <f>VLOOKUP(INT(VLOOKUP(U166,模板计算相关数据!A:N,2,0)/30)+1,模板计算相关数据!$O$35:$U$40,7,0)+AI166</f>
        <v>0</v>
      </c>
      <c r="AT166" s="3">
        <f>VLOOKUP(INT(VLOOKUP(U166,模板计算相关数据!A:N,2,0)/30)+1,模板计算相关数据!$O$35:$V$40,8,0)</f>
        <v>0</v>
      </c>
      <c r="AU166" s="2"/>
    </row>
    <row r="167" spans="1:47" x14ac:dyDescent="0.2">
      <c r="A167" s="19">
        <v>20005</v>
      </c>
      <c r="B167" s="19"/>
      <c r="C167" s="2" t="s">
        <v>84</v>
      </c>
      <c r="D167" s="69" t="s">
        <v>1374</v>
      </c>
      <c r="E167" s="2">
        <v>2</v>
      </c>
      <c r="F167" s="3">
        <v>1</v>
      </c>
      <c r="G167" s="3">
        <v>101101</v>
      </c>
      <c r="H167" s="3">
        <v>1</v>
      </c>
      <c r="I167" s="3">
        <v>2</v>
      </c>
      <c r="J167" s="3">
        <v>4</v>
      </c>
      <c r="K167" s="3">
        <v>1</v>
      </c>
      <c r="L167" s="91" t="s">
        <v>1568</v>
      </c>
      <c r="M167" s="3"/>
      <c r="N167" s="2">
        <v>1</v>
      </c>
      <c r="O167" s="2"/>
      <c r="P167" s="3" t="s">
        <v>1613</v>
      </c>
      <c r="Q167" s="95">
        <v>21</v>
      </c>
      <c r="R167" s="133">
        <f>IF(P167=模板计算相关数据!$AB$24,VLOOKUP(X167,模板计算相关数据!$P$47:$T$50,2,0),VLOOKUP(X167,模板计算相关数据!$P$4:$U$7,3,0))*VLOOKUP(Y167,模板计算相关数据!$P$22:$X$30,8,0)</f>
        <v>53.609411764705882</v>
      </c>
      <c r="S167" s="62">
        <v>2.85</v>
      </c>
      <c r="T167" s="133">
        <f>IF(P167=模板计算相关数据!$AB$24,VLOOKUP(X167,模板计算相关数据!$P$47:$T$50,5,0),VLOOKUP(X167,模板计算相关数据!$P$4:$U$7,6,0))*VLOOKUP(Y167,模板计算相关数据!$P$22:$X$30,9,0)</f>
        <v>1.759497768956829</v>
      </c>
      <c r="U167" s="95">
        <v>3</v>
      </c>
      <c r="V167" s="95">
        <f t="shared" si="14"/>
        <v>4</v>
      </c>
      <c r="W167" s="29">
        <f>VLOOKUP(U167,模板计算相关数据!A:N,2,0)</f>
        <v>2</v>
      </c>
      <c r="X167" s="3" t="s">
        <v>181</v>
      </c>
      <c r="Y167" s="3" t="s">
        <v>162</v>
      </c>
      <c r="Z167" s="99">
        <v>1</v>
      </c>
      <c r="AA167" s="95">
        <v>1</v>
      </c>
      <c r="AB167" s="95">
        <v>1</v>
      </c>
      <c r="AC167" s="95">
        <v>1</v>
      </c>
      <c r="AD167" s="95">
        <v>0</v>
      </c>
      <c r="AE167" s="95">
        <v>0</v>
      </c>
      <c r="AF167" s="95">
        <v>0</v>
      </c>
      <c r="AG167" s="95">
        <v>0</v>
      </c>
      <c r="AH167" s="95">
        <v>0</v>
      </c>
      <c r="AI167" s="95">
        <v>1000</v>
      </c>
      <c r="AJ167" s="3">
        <f>INT(VLOOKUP(U167,模板计算相关数据!A:N,4,0)*VLOOKUP(U167,模板计算相关数据!A:N,14,0)*(1+MAX(0,(VLOOKUP(U167,模板计算相关数据!A:N,7,0)-AQ167))*VLOOKUP(U167,模板计算相关数据!A:N,8,0))*(1-(AL167+AM167)*0.5/((AL167+AM167)*0.5+(VLOOKUP(U167,模板计算相关数据!A:N,2,0)+模板计算相关数据!$AC$27)*模板计算相关数据!$AC$28))*Q167*Z167)</f>
        <v>1648</v>
      </c>
      <c r="AK167" s="3">
        <f>INT(VLOOKUP(U167,模板计算相关数据!A:N,3,0)/模板计算相关数据!$W$35/(1+MAX(0,(AO167/10000-VLOOKUP(U167,模板计算相关数据!A:N,9,0)))*AP167/10000)/(1-VLOOKUP(U167,模板计算相关数据!A:N,5,0)/(VLOOKUP(U167,模板计算相关数据!A:N,5,0)+(VLOOKUP(U167,模板计算相关数据!A:N,2,0)+模板计算相关数据!$AC$27)*模板计算相关数据!$AC$28))/S167*AA167)</f>
        <v>220</v>
      </c>
      <c r="AL167" s="3">
        <f>INT(VLOOKUP(U167,模板计算相关数据!A:N,5,0)*VLOOKUP(X167,模板计算相关数据!$P$4:$T$7,4,0)*VLOOKUP(Y167,模板计算相关数据!$P$22:$U$30,4,0)*AB167)</f>
        <v>292</v>
      </c>
      <c r="AM167" s="3">
        <f>INT(VLOOKUP(U167,模板计算相关数据!A:N,6,0)*VLOOKUP(X167,模板计算相关数据!$P$4:$T$7,4,0)*VLOOKUP(Y167,模板计算相关数据!$P$22:$U$30,5,0)*AC167)</f>
        <v>494</v>
      </c>
      <c r="AN167" s="3">
        <f>VLOOKUP(U167,模板计算相关数据!A:N,10,0)*0.5*VLOOKUP(Y167,模板计算相关数据!$P$22:$U$30,6,0)+AD167</f>
        <v>250</v>
      </c>
      <c r="AO167" s="3">
        <f>VLOOKUP(INT(VLOOKUP(U167,模板计算相关数据!A:N,2,0)/30)+1,模板计算相关数据!$O$35:$U$40,3,0)+AE167</f>
        <v>0</v>
      </c>
      <c r="AP167" s="3">
        <f>VLOOKUP(INT(VLOOKUP(U167,模板计算相关数据!A:N,2,0)/30)+1,模板计算相关数据!$O$35:$U$40,4,0)+AF167</f>
        <v>5000</v>
      </c>
      <c r="AQ167" s="3">
        <f>VLOOKUP(INT(VLOOKUP(U167,模板计算相关数据!A:N,2,0)/30)+1,模板计算相关数据!$O$35:$U$40,5,0)+AG167</f>
        <v>0</v>
      </c>
      <c r="AR167" s="3">
        <f>VLOOKUP(INT(VLOOKUP(U167,模板计算相关数据!A:N,2,0)/30)+1,模板计算相关数据!$O$35:$U$40,6,0)+AH167</f>
        <v>0</v>
      </c>
      <c r="AS167" s="3">
        <f>VLOOKUP(INT(VLOOKUP(U167,模板计算相关数据!A:N,2,0)/30)+1,模板计算相关数据!$O$35:$U$40,7,0)+AI167</f>
        <v>1000</v>
      </c>
      <c r="AT167" s="3">
        <f>VLOOKUP(INT(VLOOKUP(U167,模板计算相关数据!A:N,2,0)/30)+1,模板计算相关数据!$O$35:$V$40,8,0)</f>
        <v>0</v>
      </c>
      <c r="AU167" s="2" t="s">
        <v>1931</v>
      </c>
    </row>
    <row r="168" spans="1:47" x14ac:dyDescent="0.2">
      <c r="A168" s="17">
        <v>101010101</v>
      </c>
      <c r="B168" s="17"/>
      <c r="C168" s="69" t="s">
        <v>990</v>
      </c>
      <c r="D168" s="87" t="s">
        <v>1013</v>
      </c>
      <c r="E168" s="2">
        <v>1</v>
      </c>
      <c r="F168" s="3">
        <v>3</v>
      </c>
      <c r="G168" s="3">
        <v>1001301</v>
      </c>
      <c r="H168" s="3">
        <v>1</v>
      </c>
      <c r="I168" s="3">
        <v>4</v>
      </c>
      <c r="J168" s="3">
        <v>1</v>
      </c>
      <c r="K168" s="3"/>
      <c r="L168" s="91" t="s">
        <v>947</v>
      </c>
      <c r="M168" s="3"/>
      <c r="N168" s="2">
        <v>1</v>
      </c>
      <c r="O168" s="2"/>
      <c r="P168" s="3" t="s">
        <v>1615</v>
      </c>
      <c r="Q168" s="95">
        <v>3.7</v>
      </c>
      <c r="R168" s="133">
        <f>IF(P168=模板计算相关数据!$AB$24,VLOOKUP(X168,模板计算相关数据!$P$47:$T$50,2,0),VLOOKUP(X168,模板计算相关数据!$P$4:$U$7,3,0))*VLOOKUP(Y168,模板计算相关数据!$P$22:$X$30,8,0)</f>
        <v>4.417254901960785</v>
      </c>
      <c r="S168" s="62">
        <f>T168</f>
        <v>5.4285280003474252</v>
      </c>
      <c r="T168" s="133">
        <f>IF(P168=模板计算相关数据!$AB$24,VLOOKUP(X168,模板计算相关数据!$P$47:$T$50,5,0),VLOOKUP(X168,模板计算相关数据!$P$4:$U$7,6,0))*VLOOKUP(Y168,模板计算相关数据!$P$22:$X$30,9,0)</f>
        <v>5.4285280003474252</v>
      </c>
      <c r="U168" s="95">
        <v>4</v>
      </c>
      <c r="V168" s="95">
        <f t="shared" si="14"/>
        <v>5</v>
      </c>
      <c r="W168" s="29">
        <f>VLOOKUP(U168,模板计算相关数据!A:N,2,0)</f>
        <v>3</v>
      </c>
      <c r="X168" s="3" t="s">
        <v>151</v>
      </c>
      <c r="Y168" s="3" t="s">
        <v>152</v>
      </c>
      <c r="Z168" s="99">
        <v>1</v>
      </c>
      <c r="AA168" s="95">
        <v>1</v>
      </c>
      <c r="AB168" s="95">
        <v>1</v>
      </c>
      <c r="AC168" s="95">
        <v>1</v>
      </c>
      <c r="AD168" s="95">
        <v>0</v>
      </c>
      <c r="AE168" s="95">
        <v>0</v>
      </c>
      <c r="AF168" s="95">
        <v>0</v>
      </c>
      <c r="AG168" s="95">
        <v>0</v>
      </c>
      <c r="AH168" s="95">
        <v>0</v>
      </c>
      <c r="AI168" s="95">
        <v>0</v>
      </c>
      <c r="AJ168" s="3">
        <f>INT(VLOOKUP(U168,模板计算相关数据!A:N,4,0)*VLOOKUP(U168,模板计算相关数据!A:N,14,0)*(1+MAX(0,(VLOOKUP(U168,模板计算相关数据!A:N,7,0)-AQ168))*VLOOKUP(U168,模板计算相关数据!A:N,8,0))*(1-(AL168+AM168)*0.5/((AL168+AM168)*0.5+(VLOOKUP(U168,模板计算相关数据!A:N,2,0)+模板计算相关数据!$AC$27)*模板计算相关数据!$AC$28))*Q168*Z168)</f>
        <v>448</v>
      </c>
      <c r="AK168" s="3">
        <f>INT(VLOOKUP(U168,模板计算相关数据!A:N,3,0)/模板计算相关数据!$W$35/(1+MAX(0,(AO168/10000-VLOOKUP(U168,模板计算相关数据!A:N,9,0)))*AP168/10000)/(1-VLOOKUP(U168,模板计算相关数据!A:N,5,0)/(VLOOKUP(U168,模板计算相关数据!A:N,5,0)+(VLOOKUP(U168,模板计算相关数据!A:N,2,0)+模板计算相关数据!$AC$27)*模板计算相关数据!$AC$28))/S168*AA168)</f>
        <v>151</v>
      </c>
      <c r="AL168" s="3">
        <f>INT(VLOOKUP(U168,模板计算相关数据!A:N,5,0)*VLOOKUP(X168,模板计算相关数据!$P$4:$T$7,4,0)*VLOOKUP(Y168,模板计算相关数据!$P$22:$U$30,4,0)*AB168)</f>
        <v>335</v>
      </c>
      <c r="AM168" s="3">
        <f>INT(VLOOKUP(U168,模板计算相关数据!A:N,6,0)*VLOOKUP(X168,模板计算相关数据!$P$4:$T$7,4,0)*VLOOKUP(Y168,模板计算相关数据!$P$22:$U$30,5,0)*AC168)</f>
        <v>198</v>
      </c>
      <c r="AN168" s="3">
        <f>VLOOKUP(U168,模板计算相关数据!A:N,10,0)*0.5*VLOOKUP(Y168,模板计算相关数据!$P$22:$U$30,6,0)+AD168</f>
        <v>250</v>
      </c>
      <c r="AO168" s="3">
        <f>VLOOKUP(INT(VLOOKUP(U168,模板计算相关数据!A:N,2,0)/30)+1,模板计算相关数据!$O$35:$U$40,3,0)+AE168</f>
        <v>0</v>
      </c>
      <c r="AP168" s="3">
        <f>VLOOKUP(INT(VLOOKUP(U168,模板计算相关数据!A:N,2,0)/30)+1,模板计算相关数据!$O$35:$U$40,4,0)+AF168</f>
        <v>5000</v>
      </c>
      <c r="AQ168" s="3">
        <f>VLOOKUP(INT(VLOOKUP(U168,模板计算相关数据!A:N,2,0)/30)+1,模板计算相关数据!$O$35:$U$40,5,0)+AG168</f>
        <v>0</v>
      </c>
      <c r="AR168" s="3">
        <f>VLOOKUP(INT(VLOOKUP(U168,模板计算相关数据!A:N,2,0)/30)+1,模板计算相关数据!$O$35:$U$40,6,0)+AH168</f>
        <v>0</v>
      </c>
      <c r="AS168" s="3">
        <f>VLOOKUP(INT(VLOOKUP(U168,模板计算相关数据!A:N,2,0)/30)+1,模板计算相关数据!$O$35:$U$40,7,0)+AI168</f>
        <v>0</v>
      </c>
      <c r="AT168" s="3">
        <f>VLOOKUP(INT(VLOOKUP(U168,模板计算相关数据!A:N,2,0)/30)+1,模板计算相关数据!$O$35:$V$40,8,0)</f>
        <v>0</v>
      </c>
      <c r="AU168" s="2"/>
    </row>
    <row r="169" spans="1:47" x14ac:dyDescent="0.2">
      <c r="A169" s="17">
        <v>101010102</v>
      </c>
      <c r="B169" s="17"/>
      <c r="C169" s="69" t="s">
        <v>990</v>
      </c>
      <c r="D169" s="87" t="s">
        <v>1013</v>
      </c>
      <c r="E169" s="2">
        <v>1</v>
      </c>
      <c r="F169" s="3">
        <v>3</v>
      </c>
      <c r="G169" s="3">
        <v>1001301</v>
      </c>
      <c r="H169" s="3">
        <v>1</v>
      </c>
      <c r="I169" s="3">
        <v>4</v>
      </c>
      <c r="J169" s="3">
        <v>1</v>
      </c>
      <c r="K169" s="3"/>
      <c r="L169" s="91" t="s">
        <v>947</v>
      </c>
      <c r="M169" s="3"/>
      <c r="N169" s="2">
        <v>1</v>
      </c>
      <c r="O169" s="2"/>
      <c r="P169" s="3" t="s">
        <v>1615</v>
      </c>
      <c r="Q169" s="95">
        <v>3.7</v>
      </c>
      <c r="R169" s="133">
        <f>IF(P169=模板计算相关数据!$AB$24,VLOOKUP(X169,模板计算相关数据!$P$47:$T$50,2,0),VLOOKUP(X169,模板计算相关数据!$P$4:$U$7,3,0))*VLOOKUP(Y169,模板计算相关数据!$P$22:$X$30,8,0)</f>
        <v>4.417254901960785</v>
      </c>
      <c r="S169" s="62">
        <f>T169</f>
        <v>5.4285280003474252</v>
      </c>
      <c r="T169" s="133">
        <f>IF(P169=模板计算相关数据!$AB$24,VLOOKUP(X169,模板计算相关数据!$P$47:$T$50,5,0),VLOOKUP(X169,模板计算相关数据!$P$4:$U$7,6,0))*VLOOKUP(Y169,模板计算相关数据!$P$22:$X$30,9,0)</f>
        <v>5.4285280003474252</v>
      </c>
      <c r="U169" s="95">
        <v>4</v>
      </c>
      <c r="V169" s="95">
        <f t="shared" si="14"/>
        <v>5</v>
      </c>
      <c r="W169" s="29">
        <f>VLOOKUP(U169,模板计算相关数据!A:N,2,0)</f>
        <v>3</v>
      </c>
      <c r="X169" s="3" t="s">
        <v>151</v>
      </c>
      <c r="Y169" s="3" t="s">
        <v>152</v>
      </c>
      <c r="Z169" s="99">
        <v>1</v>
      </c>
      <c r="AA169" s="95">
        <v>1</v>
      </c>
      <c r="AB169" s="95">
        <v>1</v>
      </c>
      <c r="AC169" s="95">
        <v>1</v>
      </c>
      <c r="AD169" s="95">
        <v>0</v>
      </c>
      <c r="AE169" s="95">
        <v>0</v>
      </c>
      <c r="AF169" s="95">
        <v>0</v>
      </c>
      <c r="AG169" s="95">
        <v>0</v>
      </c>
      <c r="AH169" s="95">
        <v>0</v>
      </c>
      <c r="AI169" s="95">
        <v>0</v>
      </c>
      <c r="AJ169" s="3">
        <f>INT(VLOOKUP(U169,模板计算相关数据!A:N,4,0)*VLOOKUP(U169,模板计算相关数据!A:N,14,0)*(1+MAX(0,(VLOOKUP(U169,模板计算相关数据!A:N,7,0)-AQ169))*VLOOKUP(U169,模板计算相关数据!A:N,8,0))*(1-(AL169+AM169)*0.5/((AL169+AM169)*0.5+(VLOOKUP(U169,模板计算相关数据!A:N,2,0)+模板计算相关数据!$AC$27)*模板计算相关数据!$AC$28))*Q169*Z169)</f>
        <v>448</v>
      </c>
      <c r="AK169" s="3">
        <f>INT(VLOOKUP(U169,模板计算相关数据!A:N,3,0)/模板计算相关数据!$W$35/(1+MAX(0,(AO169/10000-VLOOKUP(U169,模板计算相关数据!A:N,9,0)))*AP169/10000)/(1-VLOOKUP(U169,模板计算相关数据!A:N,5,0)/(VLOOKUP(U169,模板计算相关数据!A:N,5,0)+(VLOOKUP(U169,模板计算相关数据!A:N,2,0)+模板计算相关数据!$AC$27)*模板计算相关数据!$AC$28))/S169*AA169)</f>
        <v>151</v>
      </c>
      <c r="AL169" s="3">
        <f>INT(VLOOKUP(U169,模板计算相关数据!A:N,5,0)*VLOOKUP(X169,模板计算相关数据!$P$4:$T$7,4,0)*VLOOKUP(Y169,模板计算相关数据!$P$22:$U$30,4,0)*AB169)</f>
        <v>335</v>
      </c>
      <c r="AM169" s="3">
        <f>INT(VLOOKUP(U169,模板计算相关数据!A:N,6,0)*VLOOKUP(X169,模板计算相关数据!$P$4:$T$7,4,0)*VLOOKUP(Y169,模板计算相关数据!$P$22:$U$30,5,0)*AC169)</f>
        <v>198</v>
      </c>
      <c r="AN169" s="3">
        <f>VLOOKUP(U169,模板计算相关数据!A:N,10,0)*0.5*VLOOKUP(Y169,模板计算相关数据!$P$22:$U$30,6,0)+AD169</f>
        <v>250</v>
      </c>
      <c r="AO169" s="3">
        <f>VLOOKUP(INT(VLOOKUP(U169,模板计算相关数据!A:N,2,0)/30)+1,模板计算相关数据!$O$35:$U$40,3,0)+AE169</f>
        <v>0</v>
      </c>
      <c r="AP169" s="3">
        <f>VLOOKUP(INT(VLOOKUP(U169,模板计算相关数据!A:N,2,0)/30)+1,模板计算相关数据!$O$35:$U$40,4,0)+AF169</f>
        <v>5000</v>
      </c>
      <c r="AQ169" s="3">
        <f>VLOOKUP(INT(VLOOKUP(U169,模板计算相关数据!A:N,2,0)/30)+1,模板计算相关数据!$O$35:$U$40,5,0)+AG169</f>
        <v>0</v>
      </c>
      <c r="AR169" s="3">
        <f>VLOOKUP(INT(VLOOKUP(U169,模板计算相关数据!A:N,2,0)/30)+1,模板计算相关数据!$O$35:$U$40,6,0)+AH169</f>
        <v>0</v>
      </c>
      <c r="AS169" s="3">
        <f>VLOOKUP(INT(VLOOKUP(U169,模板计算相关数据!A:N,2,0)/30)+1,模板计算相关数据!$O$35:$U$40,7,0)+AI169</f>
        <v>0</v>
      </c>
      <c r="AT169" s="3">
        <f>VLOOKUP(INT(VLOOKUP(U169,模板计算相关数据!A:N,2,0)/30)+1,模板计算相关数据!$O$35:$V$40,8,0)</f>
        <v>0</v>
      </c>
      <c r="AU169" s="2"/>
    </row>
    <row r="170" spans="1:47" x14ac:dyDescent="0.2">
      <c r="A170" s="19">
        <v>101020101</v>
      </c>
      <c r="B170" s="19"/>
      <c r="C170" s="69" t="s">
        <v>990</v>
      </c>
      <c r="D170" s="87" t="s">
        <v>1619</v>
      </c>
      <c r="E170" s="2">
        <v>1</v>
      </c>
      <c r="F170" s="3">
        <v>3</v>
      </c>
      <c r="G170" s="3">
        <v>1001301</v>
      </c>
      <c r="H170" s="3">
        <v>1</v>
      </c>
      <c r="I170" s="3">
        <v>4</v>
      </c>
      <c r="J170" s="3">
        <v>1</v>
      </c>
      <c r="K170" s="3"/>
      <c r="L170" s="91" t="s">
        <v>947</v>
      </c>
      <c r="M170" s="3"/>
      <c r="N170" s="2">
        <v>1</v>
      </c>
      <c r="O170" s="2"/>
      <c r="P170" s="3" t="s">
        <v>1615</v>
      </c>
      <c r="Q170" s="95">
        <v>4.0999999999999996</v>
      </c>
      <c r="R170" s="133">
        <f>IF(P170=模板计算相关数据!$AB$24,VLOOKUP(X170,模板计算相关数据!$P$47:$T$50,2,0),VLOOKUP(X170,模板计算相关数据!$P$4:$U$7,3,0))*VLOOKUP(Y170,模板计算相关数据!$P$22:$X$30,8,0)</f>
        <v>4.417254901960785</v>
      </c>
      <c r="S170" s="62">
        <f t="shared" si="12"/>
        <v>5.4285280003474252</v>
      </c>
      <c r="T170" s="133">
        <f>IF(P170=模板计算相关数据!$AB$24,VLOOKUP(X170,模板计算相关数据!$P$47:$T$50,5,0),VLOOKUP(X170,模板计算相关数据!$P$4:$U$7,6,0))*VLOOKUP(Y170,模板计算相关数据!$P$22:$X$30,9,0)</f>
        <v>5.4285280003474252</v>
      </c>
      <c r="U170" s="95">
        <v>4</v>
      </c>
      <c r="V170" s="95">
        <f t="shared" si="14"/>
        <v>5</v>
      </c>
      <c r="W170" s="29">
        <f>VLOOKUP(U170,模板计算相关数据!A:N,2,0)</f>
        <v>3</v>
      </c>
      <c r="X170" s="3" t="s">
        <v>151</v>
      </c>
      <c r="Y170" s="3" t="s">
        <v>152</v>
      </c>
      <c r="Z170" s="99">
        <v>1</v>
      </c>
      <c r="AA170" s="95">
        <v>1</v>
      </c>
      <c r="AB170" s="95">
        <v>1</v>
      </c>
      <c r="AC170" s="95">
        <v>1</v>
      </c>
      <c r="AD170" s="95">
        <v>0</v>
      </c>
      <c r="AE170" s="95">
        <v>0</v>
      </c>
      <c r="AF170" s="95">
        <v>0</v>
      </c>
      <c r="AG170" s="95">
        <v>0</v>
      </c>
      <c r="AH170" s="95">
        <v>0</v>
      </c>
      <c r="AI170" s="95">
        <v>0</v>
      </c>
      <c r="AJ170" s="3">
        <f>INT(VLOOKUP(U170,模板计算相关数据!A:N,4,0)*VLOOKUP(U170,模板计算相关数据!A:N,14,0)*(1+MAX(0,(VLOOKUP(U170,模板计算相关数据!A:N,7,0)-AQ170))*VLOOKUP(U170,模板计算相关数据!A:N,8,0))*(1-(AL170+AM170)*0.5/((AL170+AM170)*0.5+(VLOOKUP(U170,模板计算相关数据!A:N,2,0)+模板计算相关数据!$AC$27)*模板计算相关数据!$AC$28))*Q170*Z170)</f>
        <v>496</v>
      </c>
      <c r="AK170" s="3">
        <f>INT(VLOOKUP(U170,模板计算相关数据!A:N,3,0)/模板计算相关数据!$W$35/(1+MAX(0,(AO170/10000-VLOOKUP(U170,模板计算相关数据!A:N,9,0)))*AP170/10000)/(1-VLOOKUP(U170,模板计算相关数据!A:N,5,0)/(VLOOKUP(U170,模板计算相关数据!A:N,5,0)+(VLOOKUP(U170,模板计算相关数据!A:N,2,0)+模板计算相关数据!$AC$27)*模板计算相关数据!$AC$28))/S170*AA170)</f>
        <v>151</v>
      </c>
      <c r="AL170" s="3">
        <f>INT(VLOOKUP(U170,模板计算相关数据!A:N,5,0)*VLOOKUP(X170,模板计算相关数据!$P$4:$T$7,4,0)*VLOOKUP(Y170,模板计算相关数据!$P$22:$U$30,4,0)*AB170)</f>
        <v>335</v>
      </c>
      <c r="AM170" s="3">
        <f>INT(VLOOKUP(U170,模板计算相关数据!A:N,6,0)*VLOOKUP(X170,模板计算相关数据!$P$4:$T$7,4,0)*VLOOKUP(Y170,模板计算相关数据!$P$22:$U$30,5,0)*AC170)</f>
        <v>198</v>
      </c>
      <c r="AN170" s="3">
        <f>VLOOKUP(U170,模板计算相关数据!A:N,10,0)*0.5*VLOOKUP(Y170,模板计算相关数据!$P$22:$U$30,6,0)+AD170</f>
        <v>250</v>
      </c>
      <c r="AO170" s="3">
        <f>VLOOKUP(INT(VLOOKUP(U170,模板计算相关数据!A:N,2,0)/30)+1,模板计算相关数据!$O$35:$U$40,3,0)+AE170</f>
        <v>0</v>
      </c>
      <c r="AP170" s="3">
        <f>VLOOKUP(INT(VLOOKUP(U170,模板计算相关数据!A:N,2,0)/30)+1,模板计算相关数据!$O$35:$U$40,4,0)+AF170</f>
        <v>5000</v>
      </c>
      <c r="AQ170" s="3">
        <f>VLOOKUP(INT(VLOOKUP(U170,模板计算相关数据!A:N,2,0)/30)+1,模板计算相关数据!$O$35:$U$40,5,0)+AG170</f>
        <v>0</v>
      </c>
      <c r="AR170" s="3">
        <f>VLOOKUP(INT(VLOOKUP(U170,模板计算相关数据!A:N,2,0)/30)+1,模板计算相关数据!$O$35:$U$40,6,0)+AH170</f>
        <v>0</v>
      </c>
      <c r="AS170" s="3">
        <f>VLOOKUP(INT(VLOOKUP(U170,模板计算相关数据!A:N,2,0)/30)+1,模板计算相关数据!$O$35:$U$40,7,0)+AI170</f>
        <v>0</v>
      </c>
      <c r="AT170" s="3">
        <f>VLOOKUP(INT(VLOOKUP(U170,模板计算相关数据!A:N,2,0)/30)+1,模板计算相关数据!$O$35:$V$40,8,0)</f>
        <v>0</v>
      </c>
      <c r="AU170" s="2"/>
    </row>
    <row r="171" spans="1:47" x14ac:dyDescent="0.2">
      <c r="A171" s="19">
        <v>101020102</v>
      </c>
      <c r="B171" s="19"/>
      <c r="C171" s="69" t="s">
        <v>1376</v>
      </c>
      <c r="D171" s="87" t="s">
        <v>1619</v>
      </c>
      <c r="E171" s="2">
        <v>1</v>
      </c>
      <c r="F171" s="3">
        <v>3</v>
      </c>
      <c r="G171" s="3">
        <v>1001301</v>
      </c>
      <c r="H171" s="3">
        <v>1</v>
      </c>
      <c r="I171" s="3">
        <v>4</v>
      </c>
      <c r="J171" s="3">
        <v>1</v>
      </c>
      <c r="K171" s="3"/>
      <c r="L171" s="91" t="s">
        <v>947</v>
      </c>
      <c r="M171" s="3"/>
      <c r="N171" s="2">
        <v>1</v>
      </c>
      <c r="O171" s="2"/>
      <c r="P171" s="3" t="s">
        <v>1615</v>
      </c>
      <c r="Q171" s="95">
        <v>4.0999999999999996</v>
      </c>
      <c r="R171" s="133">
        <f>IF(P171=模板计算相关数据!$AB$24,VLOOKUP(X171,模板计算相关数据!$P$47:$T$50,2,0),VLOOKUP(X171,模板计算相关数据!$P$4:$U$7,3,0))*VLOOKUP(Y171,模板计算相关数据!$P$22:$X$30,8,0)</f>
        <v>4.417254901960785</v>
      </c>
      <c r="S171" s="62">
        <f t="shared" si="12"/>
        <v>5.4285280003474252</v>
      </c>
      <c r="T171" s="133">
        <f>IF(P171=模板计算相关数据!$AB$24,VLOOKUP(X171,模板计算相关数据!$P$47:$T$50,5,0),VLOOKUP(X171,模板计算相关数据!$P$4:$U$7,6,0))*VLOOKUP(Y171,模板计算相关数据!$P$22:$X$30,9,0)</f>
        <v>5.4285280003474252</v>
      </c>
      <c r="U171" s="95">
        <v>4</v>
      </c>
      <c r="V171" s="95">
        <f t="shared" si="14"/>
        <v>5</v>
      </c>
      <c r="W171" s="29">
        <f>VLOOKUP(U171,模板计算相关数据!A:N,2,0)</f>
        <v>3</v>
      </c>
      <c r="X171" s="3" t="s">
        <v>151</v>
      </c>
      <c r="Y171" s="3" t="s">
        <v>152</v>
      </c>
      <c r="Z171" s="99">
        <v>1</v>
      </c>
      <c r="AA171" s="95">
        <v>1</v>
      </c>
      <c r="AB171" s="95">
        <v>1</v>
      </c>
      <c r="AC171" s="95">
        <v>1</v>
      </c>
      <c r="AD171" s="95">
        <v>0</v>
      </c>
      <c r="AE171" s="95">
        <v>0</v>
      </c>
      <c r="AF171" s="95">
        <v>0</v>
      </c>
      <c r="AG171" s="95">
        <v>0</v>
      </c>
      <c r="AH171" s="95">
        <v>0</v>
      </c>
      <c r="AI171" s="95">
        <v>0</v>
      </c>
      <c r="AJ171" s="3">
        <f>INT(VLOOKUP(U171,模板计算相关数据!A:N,4,0)*VLOOKUP(U171,模板计算相关数据!A:N,14,0)*(1+MAX(0,(VLOOKUP(U171,模板计算相关数据!A:N,7,0)-AQ171))*VLOOKUP(U171,模板计算相关数据!A:N,8,0))*(1-(AL171+AM171)*0.5/((AL171+AM171)*0.5+(VLOOKUP(U171,模板计算相关数据!A:N,2,0)+模板计算相关数据!$AC$27)*模板计算相关数据!$AC$28))*Q171*Z171)</f>
        <v>496</v>
      </c>
      <c r="AK171" s="3">
        <f>INT(VLOOKUP(U171,模板计算相关数据!A:N,3,0)/模板计算相关数据!$W$35/(1+MAX(0,(AO171/10000-VLOOKUP(U171,模板计算相关数据!A:N,9,0)))*AP171/10000)/(1-VLOOKUP(U171,模板计算相关数据!A:N,5,0)/(VLOOKUP(U171,模板计算相关数据!A:N,5,0)+(VLOOKUP(U171,模板计算相关数据!A:N,2,0)+模板计算相关数据!$AC$27)*模板计算相关数据!$AC$28))/S171*AA171)</f>
        <v>151</v>
      </c>
      <c r="AL171" s="3">
        <f>INT(VLOOKUP(U171,模板计算相关数据!A:N,5,0)*VLOOKUP(X171,模板计算相关数据!$P$4:$T$7,4,0)*VLOOKUP(Y171,模板计算相关数据!$P$22:$U$30,4,0)*AB171)</f>
        <v>335</v>
      </c>
      <c r="AM171" s="3">
        <f>INT(VLOOKUP(U171,模板计算相关数据!A:N,6,0)*VLOOKUP(X171,模板计算相关数据!$P$4:$T$7,4,0)*VLOOKUP(Y171,模板计算相关数据!$P$22:$U$30,5,0)*AC171)</f>
        <v>198</v>
      </c>
      <c r="AN171" s="3">
        <f>VLOOKUP(U171,模板计算相关数据!A:N,10,0)*0.5*VLOOKUP(Y171,模板计算相关数据!$P$22:$U$30,6,0)+AD171</f>
        <v>250</v>
      </c>
      <c r="AO171" s="3">
        <f>VLOOKUP(INT(VLOOKUP(U171,模板计算相关数据!A:N,2,0)/30)+1,模板计算相关数据!$O$35:$U$40,3,0)+AE171</f>
        <v>0</v>
      </c>
      <c r="AP171" s="3">
        <f>VLOOKUP(INT(VLOOKUP(U171,模板计算相关数据!A:N,2,0)/30)+1,模板计算相关数据!$O$35:$U$40,4,0)+AF171</f>
        <v>5000</v>
      </c>
      <c r="AQ171" s="3">
        <f>VLOOKUP(INT(VLOOKUP(U171,模板计算相关数据!A:N,2,0)/30)+1,模板计算相关数据!$O$35:$U$40,5,0)+AG171</f>
        <v>0</v>
      </c>
      <c r="AR171" s="3">
        <f>VLOOKUP(INT(VLOOKUP(U171,模板计算相关数据!A:N,2,0)/30)+1,模板计算相关数据!$O$35:$U$40,6,0)+AH171</f>
        <v>0</v>
      </c>
      <c r="AS171" s="3">
        <f>VLOOKUP(INT(VLOOKUP(U171,模板计算相关数据!A:N,2,0)/30)+1,模板计算相关数据!$O$35:$U$40,7,0)+AI171</f>
        <v>0</v>
      </c>
      <c r="AT171" s="3">
        <f>VLOOKUP(INT(VLOOKUP(U171,模板计算相关数据!A:N,2,0)/30)+1,模板计算相关数据!$O$35:$V$40,8,0)</f>
        <v>0</v>
      </c>
      <c r="AU171" s="2"/>
    </row>
    <row r="172" spans="1:47" x14ac:dyDescent="0.2">
      <c r="A172" s="19">
        <v>101020103</v>
      </c>
      <c r="B172" s="19"/>
      <c r="C172" s="69" t="s">
        <v>1746</v>
      </c>
      <c r="D172" s="87" t="s">
        <v>1619</v>
      </c>
      <c r="E172" s="2">
        <v>2</v>
      </c>
      <c r="F172" s="3">
        <v>2</v>
      </c>
      <c r="G172" s="3">
        <v>1001401</v>
      </c>
      <c r="H172" s="3">
        <v>4</v>
      </c>
      <c r="I172" s="3">
        <v>4</v>
      </c>
      <c r="J172" s="3">
        <v>1</v>
      </c>
      <c r="K172" s="3"/>
      <c r="L172" s="91" t="s">
        <v>948</v>
      </c>
      <c r="M172" s="3"/>
      <c r="N172" s="2">
        <v>1</v>
      </c>
      <c r="O172" s="2"/>
      <c r="P172" s="3" t="s">
        <v>1615</v>
      </c>
      <c r="Q172" s="95">
        <v>4.1500000000000004</v>
      </c>
      <c r="R172" s="133">
        <f>IF(P172=模板计算相关数据!$AB$24,VLOOKUP(X172,模板计算相关数据!$P$47:$T$50,2,0),VLOOKUP(X172,模板计算相关数据!$P$4:$U$7,3,0))*VLOOKUP(Y172,模板计算相关数据!$P$22:$X$30,8,0)</f>
        <v>4.4674509803921572</v>
      </c>
      <c r="S172" s="62">
        <f t="shared" si="12"/>
        <v>5.4739930589768004</v>
      </c>
      <c r="T172" s="133">
        <f>IF(P172=模板计算相关数据!$AB$24,VLOOKUP(X172,模板计算相关数据!$P$47:$T$50,5,0),VLOOKUP(X172,模板计算相关数据!$P$4:$U$7,6,0))*VLOOKUP(Y172,模板计算相关数据!$P$22:$X$30,9,0)</f>
        <v>5.4739930589768004</v>
      </c>
      <c r="U172" s="95">
        <v>4</v>
      </c>
      <c r="V172" s="95">
        <f t="shared" si="14"/>
        <v>5</v>
      </c>
      <c r="W172" s="29">
        <f>VLOOKUP(U172,模板计算相关数据!A:N,2,0)</f>
        <v>3</v>
      </c>
      <c r="X172" s="3" t="s">
        <v>151</v>
      </c>
      <c r="Y172" s="3" t="s">
        <v>162</v>
      </c>
      <c r="Z172" s="99">
        <v>1</v>
      </c>
      <c r="AA172" s="95">
        <v>1</v>
      </c>
      <c r="AB172" s="95">
        <v>1</v>
      </c>
      <c r="AC172" s="95">
        <v>1</v>
      </c>
      <c r="AD172" s="95">
        <v>0</v>
      </c>
      <c r="AE172" s="95">
        <v>0</v>
      </c>
      <c r="AF172" s="95">
        <v>0</v>
      </c>
      <c r="AG172" s="95">
        <v>0</v>
      </c>
      <c r="AH172" s="95">
        <v>0</v>
      </c>
      <c r="AI172" s="95">
        <v>0</v>
      </c>
      <c r="AJ172" s="3">
        <f>INT(VLOOKUP(U172,模板计算相关数据!A:N,4,0)*VLOOKUP(U172,模板计算相关数据!A:N,14,0)*(1+MAX(0,(VLOOKUP(U172,模板计算相关数据!A:N,7,0)-AQ172))*VLOOKUP(U172,模板计算相关数据!A:N,8,0))*(1-(AL172+AM172)*0.5/((AL172+AM172)*0.5+(VLOOKUP(U172,模板计算相关数据!A:N,2,0)+模板计算相关数据!$AC$27)*模板计算相关数据!$AC$28))*Q172*Z172)</f>
        <v>502</v>
      </c>
      <c r="AK172" s="3">
        <f>INT(VLOOKUP(U172,模板计算相关数据!A:N,3,0)/模板计算相关数据!$W$35/(1+MAX(0,(AO172/10000-VLOOKUP(U172,模板计算相关数据!A:N,9,0)))*AP172/10000)/(1-VLOOKUP(U172,模板计算相关数据!A:N,5,0)/(VLOOKUP(U172,模板计算相关数据!A:N,5,0)+(VLOOKUP(U172,模板计算相关数据!A:N,2,0)+模板计算相关数据!$AC$27)*模板计算相关数据!$AC$28))/S172*AA172)</f>
        <v>150</v>
      </c>
      <c r="AL172" s="3">
        <f>INT(VLOOKUP(U172,模板计算相关数据!A:N,5,0)*VLOOKUP(X172,模板计算相关数据!$P$4:$T$7,4,0)*VLOOKUP(Y172,模板计算相关数据!$P$22:$U$30,4,0)*AB172)</f>
        <v>198</v>
      </c>
      <c r="AM172" s="3">
        <f>INT(VLOOKUP(U172,模板计算相关数据!A:N,6,0)*VLOOKUP(X172,模板计算相关数据!$P$4:$T$7,4,0)*VLOOKUP(Y172,模板计算相关数据!$P$22:$U$30,5,0)*AC172)</f>
        <v>335</v>
      </c>
      <c r="AN172" s="3">
        <f>VLOOKUP(U172,模板计算相关数据!A:N,10,0)*0.5*VLOOKUP(Y172,模板计算相关数据!$P$22:$U$30,6,0)+AD172</f>
        <v>250</v>
      </c>
      <c r="AO172" s="3">
        <f>VLOOKUP(INT(VLOOKUP(U172,模板计算相关数据!A:N,2,0)/30)+1,模板计算相关数据!$O$35:$U$40,3,0)+AE172</f>
        <v>0</v>
      </c>
      <c r="AP172" s="3">
        <f>VLOOKUP(INT(VLOOKUP(U172,模板计算相关数据!A:N,2,0)/30)+1,模板计算相关数据!$O$35:$U$40,4,0)+AF172</f>
        <v>5000</v>
      </c>
      <c r="AQ172" s="3">
        <f>VLOOKUP(INT(VLOOKUP(U172,模板计算相关数据!A:N,2,0)/30)+1,模板计算相关数据!$O$35:$U$40,5,0)+AG172</f>
        <v>0</v>
      </c>
      <c r="AR172" s="3">
        <f>VLOOKUP(INT(VLOOKUP(U172,模板计算相关数据!A:N,2,0)/30)+1,模板计算相关数据!$O$35:$U$40,6,0)+AH172</f>
        <v>0</v>
      </c>
      <c r="AS172" s="3">
        <f>VLOOKUP(INT(VLOOKUP(U172,模板计算相关数据!A:N,2,0)/30)+1,模板计算相关数据!$O$35:$U$40,7,0)+AI172</f>
        <v>0</v>
      </c>
      <c r="AT172" s="3">
        <f>VLOOKUP(INT(VLOOKUP(U172,模板计算相关数据!A:N,2,0)/30)+1,模板计算相关数据!$O$35:$V$40,8,0)</f>
        <v>0</v>
      </c>
      <c r="AU172" s="2"/>
    </row>
    <row r="173" spans="1:47" x14ac:dyDescent="0.2">
      <c r="A173" s="17">
        <v>101020201</v>
      </c>
      <c r="B173" s="17"/>
      <c r="C173" s="69" t="s">
        <v>990</v>
      </c>
      <c r="D173" s="87" t="s">
        <v>1619</v>
      </c>
      <c r="E173" s="2">
        <v>1</v>
      </c>
      <c r="F173" s="3">
        <v>3</v>
      </c>
      <c r="G173" s="3">
        <v>1001301</v>
      </c>
      <c r="H173" s="3">
        <v>1</v>
      </c>
      <c r="I173" s="3">
        <v>4</v>
      </c>
      <c r="J173" s="3">
        <v>1</v>
      </c>
      <c r="K173" s="3"/>
      <c r="L173" s="91" t="s">
        <v>947</v>
      </c>
      <c r="M173" s="3"/>
      <c r="N173" s="2">
        <v>1</v>
      </c>
      <c r="O173" s="2"/>
      <c r="P173" s="3" t="s">
        <v>1615</v>
      </c>
      <c r="Q173" s="95">
        <v>4.0999999999999996</v>
      </c>
      <c r="R173" s="133">
        <f>IF(P173=模板计算相关数据!$AB$24,VLOOKUP(X173,模板计算相关数据!$P$47:$T$50,2,0),VLOOKUP(X173,模板计算相关数据!$P$4:$U$7,3,0))*VLOOKUP(Y173,模板计算相关数据!$P$22:$X$30,8,0)</f>
        <v>4.417254901960785</v>
      </c>
      <c r="S173" s="62">
        <f t="shared" si="12"/>
        <v>5.4285280003474252</v>
      </c>
      <c r="T173" s="133">
        <f>IF(P173=模板计算相关数据!$AB$24,VLOOKUP(X173,模板计算相关数据!$P$47:$T$50,5,0),VLOOKUP(X173,模板计算相关数据!$P$4:$U$7,6,0))*VLOOKUP(Y173,模板计算相关数据!$P$22:$X$30,9,0)</f>
        <v>5.4285280003474252</v>
      </c>
      <c r="U173" s="95">
        <v>4</v>
      </c>
      <c r="V173" s="95">
        <f t="shared" si="14"/>
        <v>5</v>
      </c>
      <c r="W173" s="29">
        <f>VLOOKUP(U173,模板计算相关数据!A:N,2,0)</f>
        <v>3</v>
      </c>
      <c r="X173" s="3" t="s">
        <v>151</v>
      </c>
      <c r="Y173" s="3" t="s">
        <v>152</v>
      </c>
      <c r="Z173" s="99">
        <v>1</v>
      </c>
      <c r="AA173" s="95">
        <v>1</v>
      </c>
      <c r="AB173" s="95">
        <v>1</v>
      </c>
      <c r="AC173" s="95">
        <v>1</v>
      </c>
      <c r="AD173" s="95">
        <v>0</v>
      </c>
      <c r="AE173" s="95">
        <v>0</v>
      </c>
      <c r="AF173" s="95">
        <v>0</v>
      </c>
      <c r="AG173" s="95">
        <v>0</v>
      </c>
      <c r="AH173" s="95">
        <v>0</v>
      </c>
      <c r="AI173" s="95">
        <v>0</v>
      </c>
      <c r="AJ173" s="3">
        <f>INT(VLOOKUP(U173,模板计算相关数据!A:N,4,0)*VLOOKUP(U173,模板计算相关数据!A:N,14,0)*(1+MAX(0,(VLOOKUP(U173,模板计算相关数据!A:N,7,0)-AQ173))*VLOOKUP(U173,模板计算相关数据!A:N,8,0))*(1-(AL173+AM173)*0.5/((AL173+AM173)*0.5+(VLOOKUP(U173,模板计算相关数据!A:N,2,0)+模板计算相关数据!$AC$27)*模板计算相关数据!$AC$28))*Q173*Z173)</f>
        <v>496</v>
      </c>
      <c r="AK173" s="3">
        <f>INT(VLOOKUP(U173,模板计算相关数据!A:N,3,0)/模板计算相关数据!$W$35/(1+MAX(0,(AO173/10000-VLOOKUP(U173,模板计算相关数据!A:N,9,0)))*AP173/10000)/(1-VLOOKUP(U173,模板计算相关数据!A:N,5,0)/(VLOOKUP(U173,模板计算相关数据!A:N,5,0)+(VLOOKUP(U173,模板计算相关数据!A:N,2,0)+模板计算相关数据!$AC$27)*模板计算相关数据!$AC$28))/S173*AA173)</f>
        <v>151</v>
      </c>
      <c r="AL173" s="3">
        <f>INT(VLOOKUP(U173,模板计算相关数据!A:N,5,0)*VLOOKUP(X173,模板计算相关数据!$P$4:$T$7,4,0)*VLOOKUP(Y173,模板计算相关数据!$P$22:$U$30,4,0)*AB173)</f>
        <v>335</v>
      </c>
      <c r="AM173" s="3">
        <f>INT(VLOOKUP(U173,模板计算相关数据!A:N,6,0)*VLOOKUP(X173,模板计算相关数据!$P$4:$T$7,4,0)*VLOOKUP(Y173,模板计算相关数据!$P$22:$U$30,5,0)*AC173)</f>
        <v>198</v>
      </c>
      <c r="AN173" s="3">
        <f>VLOOKUP(U173,模板计算相关数据!A:N,10,0)*0.5*VLOOKUP(Y173,模板计算相关数据!$P$22:$U$30,6,0)+AD173</f>
        <v>250</v>
      </c>
      <c r="AO173" s="3">
        <f>VLOOKUP(INT(VLOOKUP(U173,模板计算相关数据!A:N,2,0)/30)+1,模板计算相关数据!$O$35:$U$40,3,0)+AE173</f>
        <v>0</v>
      </c>
      <c r="AP173" s="3">
        <f>VLOOKUP(INT(VLOOKUP(U173,模板计算相关数据!A:N,2,0)/30)+1,模板计算相关数据!$O$35:$U$40,4,0)+AF173</f>
        <v>5000</v>
      </c>
      <c r="AQ173" s="3">
        <f>VLOOKUP(INT(VLOOKUP(U173,模板计算相关数据!A:N,2,0)/30)+1,模板计算相关数据!$O$35:$U$40,5,0)+AG173</f>
        <v>0</v>
      </c>
      <c r="AR173" s="3">
        <f>VLOOKUP(INT(VLOOKUP(U173,模板计算相关数据!A:N,2,0)/30)+1,模板计算相关数据!$O$35:$U$40,6,0)+AH173</f>
        <v>0</v>
      </c>
      <c r="AS173" s="3">
        <f>VLOOKUP(INT(VLOOKUP(U173,模板计算相关数据!A:N,2,0)/30)+1,模板计算相关数据!$O$35:$U$40,7,0)+AI173</f>
        <v>0</v>
      </c>
      <c r="AT173" s="3">
        <f>VLOOKUP(INT(VLOOKUP(U173,模板计算相关数据!A:N,2,0)/30)+1,模板计算相关数据!$O$35:$V$40,8,0)</f>
        <v>0</v>
      </c>
      <c r="AU173" s="2"/>
    </row>
    <row r="174" spans="1:47" x14ac:dyDescent="0.2">
      <c r="A174" s="17">
        <v>101020202</v>
      </c>
      <c r="B174" s="17"/>
      <c r="C174" s="69" t="s">
        <v>1746</v>
      </c>
      <c r="D174" s="87" t="s">
        <v>1619</v>
      </c>
      <c r="E174" s="2">
        <v>2</v>
      </c>
      <c r="F174" s="3">
        <v>2</v>
      </c>
      <c r="G174" s="3">
        <v>1001401</v>
      </c>
      <c r="H174" s="3">
        <v>4</v>
      </c>
      <c r="I174" s="3">
        <v>4</v>
      </c>
      <c r="J174" s="3">
        <v>1</v>
      </c>
      <c r="K174" s="3"/>
      <c r="L174" s="91" t="s">
        <v>948</v>
      </c>
      <c r="M174" s="3"/>
      <c r="N174" s="2">
        <v>1</v>
      </c>
      <c r="O174" s="2"/>
      <c r="P174" s="3" t="s">
        <v>1615</v>
      </c>
      <c r="Q174" s="95">
        <f t="shared" ref="Q174:Q222" si="15">R174</f>
        <v>4.4674509803921572</v>
      </c>
      <c r="R174" s="133">
        <f>IF(P174=模板计算相关数据!$AB$24,VLOOKUP(X174,模板计算相关数据!$P$47:$T$50,2,0),VLOOKUP(X174,模板计算相关数据!$P$4:$U$7,3,0))*VLOOKUP(Y174,模板计算相关数据!$P$22:$X$30,8,0)</f>
        <v>4.4674509803921572</v>
      </c>
      <c r="S174" s="62">
        <f t="shared" si="12"/>
        <v>5.4739930589768004</v>
      </c>
      <c r="T174" s="133">
        <f>IF(P174=模板计算相关数据!$AB$24,VLOOKUP(X174,模板计算相关数据!$P$47:$T$50,5,0),VLOOKUP(X174,模板计算相关数据!$P$4:$U$7,6,0))*VLOOKUP(Y174,模板计算相关数据!$P$22:$X$30,9,0)</f>
        <v>5.4739930589768004</v>
      </c>
      <c r="U174" s="95">
        <v>4</v>
      </c>
      <c r="V174" s="95">
        <f t="shared" si="14"/>
        <v>5</v>
      </c>
      <c r="W174" s="29">
        <f>VLOOKUP(U174,模板计算相关数据!A:N,2,0)</f>
        <v>3</v>
      </c>
      <c r="X174" s="3" t="s">
        <v>151</v>
      </c>
      <c r="Y174" s="3" t="s">
        <v>162</v>
      </c>
      <c r="Z174" s="99">
        <v>1</v>
      </c>
      <c r="AA174" s="95">
        <v>1</v>
      </c>
      <c r="AB174" s="95">
        <v>1</v>
      </c>
      <c r="AC174" s="95">
        <v>1</v>
      </c>
      <c r="AD174" s="95">
        <v>0</v>
      </c>
      <c r="AE174" s="95">
        <v>0</v>
      </c>
      <c r="AF174" s="95">
        <v>0</v>
      </c>
      <c r="AG174" s="95">
        <v>0</v>
      </c>
      <c r="AH174" s="95">
        <v>0</v>
      </c>
      <c r="AI174" s="95">
        <v>0</v>
      </c>
      <c r="AJ174" s="3">
        <f>INT(VLOOKUP(U174,模板计算相关数据!A:N,4,0)*VLOOKUP(U174,模板计算相关数据!A:N,14,0)*(1+MAX(0,(VLOOKUP(U174,模板计算相关数据!A:N,7,0)-AQ174))*VLOOKUP(U174,模板计算相关数据!A:N,8,0))*(1-(AL174+AM174)*0.5/((AL174+AM174)*0.5+(VLOOKUP(U174,模板计算相关数据!A:N,2,0)+模板计算相关数据!$AC$27)*模板计算相关数据!$AC$28))*Q174*Z174)</f>
        <v>541</v>
      </c>
      <c r="AK174" s="3">
        <f>INT(VLOOKUP(U174,模板计算相关数据!A:N,3,0)/模板计算相关数据!$W$35/(1+MAX(0,(AO174/10000-VLOOKUP(U174,模板计算相关数据!A:N,9,0)))*AP174/10000)/(1-VLOOKUP(U174,模板计算相关数据!A:N,5,0)/(VLOOKUP(U174,模板计算相关数据!A:N,5,0)+(VLOOKUP(U174,模板计算相关数据!A:N,2,0)+模板计算相关数据!$AC$27)*模板计算相关数据!$AC$28))/S174*AA174)</f>
        <v>150</v>
      </c>
      <c r="AL174" s="3">
        <f>INT(VLOOKUP(U174,模板计算相关数据!A:N,5,0)*VLOOKUP(X174,模板计算相关数据!$P$4:$T$7,4,0)*VLOOKUP(Y174,模板计算相关数据!$P$22:$U$30,4,0)*AB174)</f>
        <v>198</v>
      </c>
      <c r="AM174" s="3">
        <f>INT(VLOOKUP(U174,模板计算相关数据!A:N,6,0)*VLOOKUP(X174,模板计算相关数据!$P$4:$T$7,4,0)*VLOOKUP(Y174,模板计算相关数据!$P$22:$U$30,5,0)*AC174)</f>
        <v>335</v>
      </c>
      <c r="AN174" s="3">
        <f>VLOOKUP(U174,模板计算相关数据!A:N,10,0)*0.5*VLOOKUP(Y174,模板计算相关数据!$P$22:$U$30,6,0)+AD174</f>
        <v>250</v>
      </c>
      <c r="AO174" s="3">
        <f>VLOOKUP(INT(VLOOKUP(U174,模板计算相关数据!A:N,2,0)/30)+1,模板计算相关数据!$O$35:$U$40,3,0)+AE174</f>
        <v>0</v>
      </c>
      <c r="AP174" s="3">
        <f>VLOOKUP(INT(VLOOKUP(U174,模板计算相关数据!A:N,2,0)/30)+1,模板计算相关数据!$O$35:$U$40,4,0)+AF174</f>
        <v>5000</v>
      </c>
      <c r="AQ174" s="3">
        <f>VLOOKUP(INT(VLOOKUP(U174,模板计算相关数据!A:N,2,0)/30)+1,模板计算相关数据!$O$35:$U$40,5,0)+AG174</f>
        <v>0</v>
      </c>
      <c r="AR174" s="3">
        <f>VLOOKUP(INT(VLOOKUP(U174,模板计算相关数据!A:N,2,0)/30)+1,模板计算相关数据!$O$35:$U$40,6,0)+AH174</f>
        <v>0</v>
      </c>
      <c r="AS174" s="3">
        <f>VLOOKUP(INT(VLOOKUP(U174,模板计算相关数据!A:N,2,0)/30)+1,模板计算相关数据!$O$35:$U$40,7,0)+AI174</f>
        <v>0</v>
      </c>
      <c r="AT174" s="3">
        <f>VLOOKUP(INT(VLOOKUP(U174,模板计算相关数据!A:N,2,0)/30)+1,模板计算相关数据!$O$35:$V$40,8,0)</f>
        <v>0</v>
      </c>
      <c r="AU174" s="2"/>
    </row>
    <row r="175" spans="1:47" x14ac:dyDescent="0.2">
      <c r="A175" s="19">
        <v>101020301</v>
      </c>
      <c r="B175" s="19"/>
      <c r="C175" s="69" t="s">
        <v>822</v>
      </c>
      <c r="D175" s="33" t="s">
        <v>1014</v>
      </c>
      <c r="E175" s="2">
        <v>2</v>
      </c>
      <c r="F175" s="3">
        <v>2</v>
      </c>
      <c r="G175" s="3">
        <v>101301</v>
      </c>
      <c r="H175" s="3">
        <v>4</v>
      </c>
      <c r="I175" s="3">
        <v>3</v>
      </c>
      <c r="J175" s="3">
        <v>2</v>
      </c>
      <c r="K175" s="3">
        <v>2</v>
      </c>
      <c r="L175" s="91" t="s">
        <v>957</v>
      </c>
      <c r="M175" s="3"/>
      <c r="N175" s="2">
        <v>1</v>
      </c>
      <c r="O175" s="2"/>
      <c r="P175" s="3" t="s">
        <v>1615</v>
      </c>
      <c r="Q175" s="95">
        <v>15</v>
      </c>
      <c r="R175" s="133">
        <f>IF(P175=模板计算相关数据!$AB$24,VLOOKUP(X175,模板计算相关数据!$P$47:$T$50,2,0),VLOOKUP(X175,模板计算相关数据!$P$4:$U$7,3,0))*VLOOKUP(Y175,模板计算相关数据!$P$22:$X$30,8,0)</f>
        <v>22.400000000000006</v>
      </c>
      <c r="S175" s="62">
        <v>4.5999999999999996</v>
      </c>
      <c r="T175" s="133">
        <f>IF(P175=模板计算相关数据!$AB$24,VLOOKUP(X175,模板计算相关数据!$P$47:$T$50,5,0),VLOOKUP(X175,模板计算相关数据!$P$4:$U$7,6,0))*VLOOKUP(Y175,模板计算相关数据!$P$22:$X$30,9,0)</f>
        <v>3.6378187638691841</v>
      </c>
      <c r="U175" s="95">
        <v>5</v>
      </c>
      <c r="V175" s="95">
        <f>W175+3</f>
        <v>9</v>
      </c>
      <c r="W175" s="29">
        <f>VLOOKUP(U175,模板计算相关数据!A:N,2,0)</f>
        <v>6</v>
      </c>
      <c r="X175" s="3" t="s">
        <v>178</v>
      </c>
      <c r="Y175" s="3" t="s">
        <v>255</v>
      </c>
      <c r="Z175" s="99">
        <v>1</v>
      </c>
      <c r="AA175" s="95">
        <v>1</v>
      </c>
      <c r="AB175" s="95">
        <v>1</v>
      </c>
      <c r="AC175" s="95">
        <v>1</v>
      </c>
      <c r="AD175" s="95">
        <v>0</v>
      </c>
      <c r="AE175" s="95">
        <v>0</v>
      </c>
      <c r="AF175" s="95">
        <v>0</v>
      </c>
      <c r="AG175" s="95">
        <v>0</v>
      </c>
      <c r="AH175" s="95">
        <v>0</v>
      </c>
      <c r="AI175" s="95">
        <v>2000</v>
      </c>
      <c r="AJ175" s="3">
        <f>INT(VLOOKUP(U175,模板计算相关数据!A:N,4,0)*VLOOKUP(U175,模板计算相关数据!A:N,14,0)*(1+MAX(0,(VLOOKUP(U175,模板计算相关数据!A:N,7,0)-AQ175))*VLOOKUP(U175,模板计算相关数据!A:N,8,0))*(1-(AL175+AM175)*0.5/((AL175+AM175)*0.5+(VLOOKUP(U175,模板计算相关数据!A:N,2,0)+模板计算相关数据!$AC$27)*模板计算相关数据!$AC$28))*Q175*Z175)</f>
        <v>2046</v>
      </c>
      <c r="AK175" s="3">
        <f>INT(VLOOKUP(U175,模板计算相关数据!A:N,3,0)/模板计算相关数据!$W$35/(1+MAX(0,(AO175/10000-VLOOKUP(U175,模板计算相关数据!A:N,9,0)))*AP175/10000)/(1-VLOOKUP(U175,模板计算相关数据!A:N,5,0)/(VLOOKUP(U175,模板计算相关数据!A:N,5,0)+(VLOOKUP(U175,模板计算相关数据!A:N,2,0)+模板计算相关数据!$AC$27)*模板计算相关数据!$AC$28))/S175*AA175)</f>
        <v>237</v>
      </c>
      <c r="AL175" s="3">
        <f>INT(VLOOKUP(U175,模板计算相关数据!A:N,5,0)*VLOOKUP(X175,模板计算相关数据!$P$4:$T$7,4,0)*VLOOKUP(Y175,模板计算相关数据!$P$22:$U$30,4,0)*AB175)</f>
        <v>441</v>
      </c>
      <c r="AM175" s="3">
        <f>INT(VLOOKUP(U175,模板计算相关数据!A:N,6,0)*VLOOKUP(X175,模板计算相关数据!$P$4:$T$7,4,0)*VLOOKUP(Y175,模板计算相关数据!$P$22:$U$30,5,0)*AC175)</f>
        <v>820</v>
      </c>
      <c r="AN175" s="3">
        <f>VLOOKUP(U175,模板计算相关数据!A:N,10,0)*0.5*VLOOKUP(Y175,模板计算相关数据!$P$22:$U$30,6,0)+AD175</f>
        <v>225</v>
      </c>
      <c r="AO175" s="3">
        <f>VLOOKUP(INT(VLOOKUP(U175,模板计算相关数据!A:N,2,0)/30)+1,模板计算相关数据!$O$35:$U$40,3,0)+AE175</f>
        <v>0</v>
      </c>
      <c r="AP175" s="3">
        <f>VLOOKUP(INT(VLOOKUP(U175,模板计算相关数据!A:N,2,0)/30)+1,模板计算相关数据!$O$35:$U$40,4,0)+AF175</f>
        <v>5000</v>
      </c>
      <c r="AQ175" s="3">
        <f>VLOOKUP(INT(VLOOKUP(U175,模板计算相关数据!A:N,2,0)/30)+1,模板计算相关数据!$O$35:$U$40,5,0)+AG175</f>
        <v>0</v>
      </c>
      <c r="AR175" s="3">
        <f>VLOOKUP(INT(VLOOKUP(U175,模板计算相关数据!A:N,2,0)/30)+1,模板计算相关数据!$O$35:$U$40,6,0)+AH175</f>
        <v>0</v>
      </c>
      <c r="AS175" s="3">
        <f>VLOOKUP(INT(VLOOKUP(U175,模板计算相关数据!A:N,2,0)/30)+1,模板计算相关数据!$O$35:$U$40,7,0)+AI175</f>
        <v>2000</v>
      </c>
      <c r="AT175" s="3">
        <f>VLOOKUP(INT(VLOOKUP(U175,模板计算相关数据!A:N,2,0)/30)+1,模板计算相关数据!$O$35:$V$40,8,0)</f>
        <v>0</v>
      </c>
      <c r="AU175" s="2"/>
    </row>
    <row r="176" spans="1:47" x14ac:dyDescent="0.2">
      <c r="A176" s="19">
        <v>101020302</v>
      </c>
      <c r="B176" s="19"/>
      <c r="C176" s="69" t="s">
        <v>946</v>
      </c>
      <c r="D176" s="33" t="s">
        <v>1014</v>
      </c>
      <c r="E176" s="2">
        <v>2</v>
      </c>
      <c r="F176" s="3">
        <v>3</v>
      </c>
      <c r="G176" s="3">
        <v>101901</v>
      </c>
      <c r="H176" s="3">
        <v>4</v>
      </c>
      <c r="I176" s="3">
        <v>3</v>
      </c>
      <c r="J176" s="3">
        <v>2</v>
      </c>
      <c r="K176" s="3">
        <v>2</v>
      </c>
      <c r="L176" s="91" t="s">
        <v>958</v>
      </c>
      <c r="M176" s="3"/>
      <c r="N176" s="2">
        <v>1</v>
      </c>
      <c r="O176" s="2"/>
      <c r="P176" s="3" t="s">
        <v>1615</v>
      </c>
      <c r="Q176" s="95">
        <v>11.5</v>
      </c>
      <c r="R176" s="133">
        <f>IF(P176=模板计算相关数据!$AB$24,VLOOKUP(X176,模板计算相关数据!$P$47:$T$50,2,0),VLOOKUP(X176,模板计算相关数据!$P$4:$U$7,3,0))*VLOOKUP(Y176,模板计算相关数据!$P$22:$X$30,8,0)</f>
        <v>17.869803921568629</v>
      </c>
      <c r="S176" s="62">
        <v>3.6</v>
      </c>
      <c r="T176" s="133">
        <f>IF(P176=模板计算相关数据!$AB$24,VLOOKUP(X176,模板计算相关数据!$P$47:$T$50,5,0),VLOOKUP(X176,模板计算相关数据!$P$4:$U$7,6,0))*VLOOKUP(Y176,模板计算相关数据!$P$22:$X$30,9,0)</f>
        <v>2.9858143958055283</v>
      </c>
      <c r="U176" s="95">
        <v>5</v>
      </c>
      <c r="V176" s="95">
        <f t="shared" ref="V176:V239" si="16">W176+3</f>
        <v>9</v>
      </c>
      <c r="W176" s="29">
        <f>VLOOKUP(U176,模板计算相关数据!A:N,2,0)</f>
        <v>6</v>
      </c>
      <c r="X176" s="3" t="s">
        <v>178</v>
      </c>
      <c r="Y176" s="3" t="s">
        <v>162</v>
      </c>
      <c r="Z176" s="99">
        <v>1</v>
      </c>
      <c r="AA176" s="95">
        <v>1</v>
      </c>
      <c r="AB176" s="95">
        <v>1</v>
      </c>
      <c r="AC176" s="95">
        <v>1</v>
      </c>
      <c r="AD176" s="95">
        <v>0</v>
      </c>
      <c r="AE176" s="95">
        <v>0</v>
      </c>
      <c r="AF176" s="95">
        <v>0</v>
      </c>
      <c r="AG176" s="95">
        <v>0</v>
      </c>
      <c r="AH176" s="95">
        <v>0</v>
      </c>
      <c r="AI176" s="95">
        <v>2000</v>
      </c>
      <c r="AJ176" s="3">
        <f>INT(VLOOKUP(U176,模板计算相关数据!A:N,4,0)*VLOOKUP(U176,模板计算相关数据!A:N,14,0)*(1+MAX(0,(VLOOKUP(U176,模板计算相关数据!A:N,7,0)-AQ176))*VLOOKUP(U176,模板计算相关数据!A:N,8,0))*(1-(AL176+AM176)*0.5/((AL176+AM176)*0.5+(VLOOKUP(U176,模板计算相关数据!A:N,2,0)+模板计算相关数据!$AC$27)*模板计算相关数据!$AC$28))*Q176*Z176)</f>
        <v>1661</v>
      </c>
      <c r="AK176" s="3">
        <f>INT(VLOOKUP(U176,模板计算相关数据!A:N,3,0)/模板计算相关数据!$W$35/(1+MAX(0,(AO176/10000-VLOOKUP(U176,模板计算相关数据!A:N,9,0)))*AP176/10000)/(1-VLOOKUP(U176,模板计算相关数据!A:N,5,0)/(VLOOKUP(U176,模板计算相关数据!A:N,5,0)+(VLOOKUP(U176,模板计算相关数据!A:N,2,0)+模板计算相关数据!$AC$27)*模板计算相关数据!$AC$28))/S176*AA176)</f>
        <v>304</v>
      </c>
      <c r="AL176" s="3">
        <f>INT(VLOOKUP(U176,模板计算相关数据!A:N,5,0)*VLOOKUP(X176,模板计算相关数据!$P$4:$T$7,4,0)*VLOOKUP(Y176,模板计算相关数据!$P$22:$U$30,4,0)*AB176)</f>
        <v>403</v>
      </c>
      <c r="AM176" s="3">
        <f>INT(VLOOKUP(U176,模板计算相关数据!A:N,6,0)*VLOOKUP(X176,模板计算相关数据!$P$4:$T$7,4,0)*VLOOKUP(Y176,模板计算相关数据!$P$22:$U$30,5,0)*AC176)</f>
        <v>681</v>
      </c>
      <c r="AN176" s="3">
        <f>VLOOKUP(U176,模板计算相关数据!A:N,10,0)*0.5*VLOOKUP(Y176,模板计算相关数据!$P$22:$U$30,6,0)+AD176</f>
        <v>250</v>
      </c>
      <c r="AO176" s="3">
        <f>VLOOKUP(INT(VLOOKUP(U176,模板计算相关数据!A:N,2,0)/30)+1,模板计算相关数据!$O$35:$U$40,3,0)+AE176</f>
        <v>0</v>
      </c>
      <c r="AP176" s="3">
        <f>VLOOKUP(INT(VLOOKUP(U176,模板计算相关数据!A:N,2,0)/30)+1,模板计算相关数据!$O$35:$U$40,4,0)+AF176</f>
        <v>5000</v>
      </c>
      <c r="AQ176" s="3">
        <f>VLOOKUP(INT(VLOOKUP(U176,模板计算相关数据!A:N,2,0)/30)+1,模板计算相关数据!$O$35:$U$40,5,0)+AG176</f>
        <v>0</v>
      </c>
      <c r="AR176" s="3">
        <f>VLOOKUP(INT(VLOOKUP(U176,模板计算相关数据!A:N,2,0)/30)+1,模板计算相关数据!$O$35:$U$40,6,0)+AH176</f>
        <v>0</v>
      </c>
      <c r="AS176" s="3">
        <f>VLOOKUP(INT(VLOOKUP(U176,模板计算相关数据!A:N,2,0)/30)+1,模板计算相关数据!$O$35:$U$40,7,0)+AI176</f>
        <v>2000</v>
      </c>
      <c r="AT176" s="3">
        <f>VLOOKUP(INT(VLOOKUP(U176,模板计算相关数据!A:N,2,0)/30)+1,模板计算相关数据!$O$35:$V$40,8,0)</f>
        <v>0</v>
      </c>
      <c r="AU176" s="2"/>
    </row>
    <row r="177" spans="1:47" x14ac:dyDescent="0.2">
      <c r="A177" s="17">
        <v>101040101</v>
      </c>
      <c r="B177" s="17"/>
      <c r="C177" s="69" t="s">
        <v>990</v>
      </c>
      <c r="D177" s="87" t="s">
        <v>1015</v>
      </c>
      <c r="E177" s="2">
        <v>1</v>
      </c>
      <c r="F177" s="3">
        <v>1</v>
      </c>
      <c r="G177" s="3">
        <v>1001301</v>
      </c>
      <c r="H177" s="3">
        <v>1</v>
      </c>
      <c r="I177" s="3">
        <v>4</v>
      </c>
      <c r="J177" s="3">
        <v>1</v>
      </c>
      <c r="K177" s="3"/>
      <c r="L177" s="91" t="s">
        <v>947</v>
      </c>
      <c r="M177" s="3"/>
      <c r="N177" s="2">
        <v>1</v>
      </c>
      <c r="O177" s="2"/>
      <c r="P177" s="3" t="s">
        <v>1615</v>
      </c>
      <c r="Q177" s="95">
        <v>4.12</v>
      </c>
      <c r="R177" s="133">
        <f>IF(P177=模板计算相关数据!$AB$24,VLOOKUP(X177,模板计算相关数据!$P$47:$T$50,2,0),VLOOKUP(X177,模板计算相关数据!$P$4:$U$7,3,0))*VLOOKUP(Y177,模板计算相关数据!$P$22:$X$30,8,0)</f>
        <v>4.417254901960785</v>
      </c>
      <c r="S177" s="62">
        <f t="shared" si="12"/>
        <v>5.4285280003474252</v>
      </c>
      <c r="T177" s="133">
        <f>IF(P177=模板计算相关数据!$AB$24,VLOOKUP(X177,模板计算相关数据!$P$47:$T$50,5,0),VLOOKUP(X177,模板计算相关数据!$P$4:$U$7,6,0))*VLOOKUP(Y177,模板计算相关数据!$P$22:$X$30,9,0)</f>
        <v>5.4285280003474252</v>
      </c>
      <c r="U177" s="95">
        <v>5</v>
      </c>
      <c r="V177" s="95">
        <f t="shared" si="16"/>
        <v>9</v>
      </c>
      <c r="W177" s="29">
        <f>VLOOKUP(U177,模板计算相关数据!A:N,2,0)</f>
        <v>6</v>
      </c>
      <c r="X177" s="3" t="s">
        <v>151</v>
      </c>
      <c r="Y177" s="3" t="s">
        <v>152</v>
      </c>
      <c r="Z177" s="95">
        <v>1.1000000000000001</v>
      </c>
      <c r="AA177" s="95">
        <v>1.1000000000000001</v>
      </c>
      <c r="AB177" s="95">
        <v>1</v>
      </c>
      <c r="AC177" s="95">
        <v>1</v>
      </c>
      <c r="AD177" s="95">
        <v>0</v>
      </c>
      <c r="AE177" s="95">
        <v>0</v>
      </c>
      <c r="AF177" s="95">
        <v>0</v>
      </c>
      <c r="AG177" s="95">
        <v>0</v>
      </c>
      <c r="AH177" s="95">
        <v>0</v>
      </c>
      <c r="AI177" s="95">
        <v>0</v>
      </c>
      <c r="AJ177" s="3">
        <f>INT(VLOOKUP(U177,模板计算相关数据!A:N,4,0)*VLOOKUP(U177,模板计算相关数据!A:N,14,0)*(1+MAX(0,(VLOOKUP(U177,模板计算相关数据!A:N,7,0)-AQ177))*VLOOKUP(U177,模板计算相关数据!A:N,8,0))*(1-(AL177+AM177)*0.5/((AL177+AM177)*0.5+(VLOOKUP(U177,模板计算相关数据!A:N,2,0)+模板计算相关数据!$AC$27)*模板计算相关数据!$AC$28))*Q177*Z177)</f>
        <v>744</v>
      </c>
      <c r="AK177" s="3">
        <f>INT(VLOOKUP(U177,模板计算相关数据!A:N,3,0)/模板计算相关数据!$W$35/(1+MAX(0,(AO177/10000-VLOOKUP(U177,模板计算相关数据!A:N,9,0)))*AP177/10000)/(1-VLOOKUP(U177,模板计算相关数据!A:N,5,0)/(VLOOKUP(U177,模板计算相关数据!A:N,5,0)+(VLOOKUP(U177,模板计算相关数据!A:N,2,0)+模板计算相关数据!$AC$27)*模板计算相关数据!$AC$28))/S177*AA177)</f>
        <v>221</v>
      </c>
      <c r="AL177" s="3">
        <f>INT(VLOOKUP(U177,模板计算相关数据!A:N,5,0)*VLOOKUP(X177,模板计算相关数据!$P$4:$T$7,4,0)*VLOOKUP(Y177,模板计算相关数据!$P$22:$U$30,4,0)*AB177)</f>
        <v>454</v>
      </c>
      <c r="AM177" s="3">
        <f>INT(VLOOKUP(U177,模板计算相关数据!A:N,6,0)*VLOOKUP(X177,模板计算相关数据!$P$4:$T$7,4,0)*VLOOKUP(Y177,模板计算相关数据!$P$22:$U$30,5,0)*AC177)</f>
        <v>269</v>
      </c>
      <c r="AN177" s="3">
        <f>VLOOKUP(U177,模板计算相关数据!A:N,10,0)*0.5*VLOOKUP(Y177,模板计算相关数据!$P$22:$U$30,6,0)+AD177</f>
        <v>250</v>
      </c>
      <c r="AO177" s="3">
        <f>VLOOKUP(INT(VLOOKUP(U177,模板计算相关数据!A:N,2,0)/30)+1,模板计算相关数据!$O$35:$U$40,3,0)+AE177</f>
        <v>0</v>
      </c>
      <c r="AP177" s="3">
        <f>VLOOKUP(INT(VLOOKUP(U177,模板计算相关数据!A:N,2,0)/30)+1,模板计算相关数据!$O$35:$U$40,4,0)+AF177</f>
        <v>5000</v>
      </c>
      <c r="AQ177" s="3">
        <f>VLOOKUP(INT(VLOOKUP(U177,模板计算相关数据!A:N,2,0)/30)+1,模板计算相关数据!$O$35:$U$40,5,0)+AG177</f>
        <v>0</v>
      </c>
      <c r="AR177" s="3">
        <f>VLOOKUP(INT(VLOOKUP(U177,模板计算相关数据!A:N,2,0)/30)+1,模板计算相关数据!$O$35:$U$40,6,0)+AH177</f>
        <v>0</v>
      </c>
      <c r="AS177" s="3">
        <f>VLOOKUP(INT(VLOOKUP(U177,模板计算相关数据!A:N,2,0)/30)+1,模板计算相关数据!$O$35:$U$40,7,0)+AI177</f>
        <v>0</v>
      </c>
      <c r="AT177" s="3">
        <f>VLOOKUP(INT(VLOOKUP(U177,模板计算相关数据!A:N,2,0)/30)+1,模板计算相关数据!$O$35:$V$40,8,0)</f>
        <v>0</v>
      </c>
      <c r="AU177" s="2"/>
    </row>
    <row r="178" spans="1:47" x14ac:dyDescent="0.2">
      <c r="A178" s="17">
        <v>101040103</v>
      </c>
      <c r="B178" s="17"/>
      <c r="C178" s="69" t="s">
        <v>1378</v>
      </c>
      <c r="D178" s="87" t="s">
        <v>1015</v>
      </c>
      <c r="E178" s="2">
        <v>1</v>
      </c>
      <c r="F178" s="3">
        <v>3</v>
      </c>
      <c r="G178" s="3">
        <v>1001501</v>
      </c>
      <c r="H178" s="3">
        <v>2</v>
      </c>
      <c r="I178" s="3">
        <v>4</v>
      </c>
      <c r="J178" s="3">
        <v>1</v>
      </c>
      <c r="K178" s="3"/>
      <c r="L178" s="91" t="s">
        <v>949</v>
      </c>
      <c r="M178" s="3"/>
      <c r="N178" s="2">
        <v>1</v>
      </c>
      <c r="O178" s="2"/>
      <c r="P178" s="3" t="s">
        <v>1615</v>
      </c>
      <c r="Q178" s="95">
        <v>6.5</v>
      </c>
      <c r="R178" s="133">
        <f>IF(P178=模板计算相关数据!$AB$24,VLOOKUP(X178,模板计算相关数据!$P$47:$T$50,2,0),VLOOKUP(X178,模板计算相关数据!$P$4:$U$7,3,0))*VLOOKUP(Y178,模板计算相关数据!$P$22:$X$30,8,0)</f>
        <v>6.9411764705882364</v>
      </c>
      <c r="S178" s="62">
        <f t="shared" si="12"/>
        <v>8.2943498888557112</v>
      </c>
      <c r="T178" s="133">
        <f>IF(P178=模板计算相关数据!$AB$24,VLOOKUP(X178,模板计算相关数据!$P$47:$T$50,5,0),VLOOKUP(X178,模板计算相关数据!$P$4:$U$7,6,0))*VLOOKUP(Y178,模板计算相关数据!$P$22:$X$30,9,0)</f>
        <v>8.2943498888557112</v>
      </c>
      <c r="U178" s="95">
        <v>5</v>
      </c>
      <c r="V178" s="95">
        <f t="shared" si="16"/>
        <v>9</v>
      </c>
      <c r="W178" s="29">
        <f>VLOOKUP(U178,模板计算相关数据!A:N,2,0)</f>
        <v>6</v>
      </c>
      <c r="X178" s="3" t="s">
        <v>151</v>
      </c>
      <c r="Y178" s="3" t="s">
        <v>155</v>
      </c>
      <c r="Z178" s="95">
        <v>1.1000000000000001</v>
      </c>
      <c r="AA178" s="95">
        <v>1.1000000000000001</v>
      </c>
      <c r="AB178" s="95">
        <v>1</v>
      </c>
      <c r="AC178" s="95">
        <v>1</v>
      </c>
      <c r="AD178" s="95">
        <v>0</v>
      </c>
      <c r="AE178" s="95">
        <v>0</v>
      </c>
      <c r="AF178" s="95">
        <v>0</v>
      </c>
      <c r="AG178" s="95">
        <v>0</v>
      </c>
      <c r="AH178" s="95">
        <v>0</v>
      </c>
      <c r="AI178" s="95">
        <v>0</v>
      </c>
      <c r="AJ178" s="3">
        <f>INT(VLOOKUP(U178,模板计算相关数据!A:N,4,0)*VLOOKUP(U178,模板计算相关数据!A:N,14,0)*(1+MAX(0,(VLOOKUP(U178,模板计算相关数据!A:N,7,0)-AQ178))*VLOOKUP(U178,模板计算相关数据!A:N,8,0))*(1-(AL178+AM178)*0.5/((AL178+AM178)*0.5+(VLOOKUP(U178,模板计算相关数据!A:N,2,0)+模板计算相关数据!$AC$27)*模板计算相关数据!$AC$28))*Q178*Z178)</f>
        <v>1120</v>
      </c>
      <c r="AK178" s="3">
        <f>INT(VLOOKUP(U178,模板计算相关数据!A:N,3,0)/模板计算相关数据!$W$35/(1+MAX(0,(AO178/10000-VLOOKUP(U178,模板计算相关数据!A:N,9,0)))*AP178/10000)/(1-VLOOKUP(U178,模板计算相关数据!A:N,5,0)/(VLOOKUP(U178,模板计算相关数据!A:N,5,0)+(VLOOKUP(U178,模板计算相关数据!A:N,2,0)+模板计算相关数据!$AC$27)*模板计算相关数据!$AC$28))/S178*AA178)</f>
        <v>145</v>
      </c>
      <c r="AL178" s="3">
        <f>INT(VLOOKUP(U178,模板计算相关数据!A:N,5,0)*VLOOKUP(X178,模板计算相关数据!$P$4:$T$7,4,0)*VLOOKUP(Y178,模板计算相关数据!$P$22:$U$30,4,0)*AB178)</f>
        <v>547</v>
      </c>
      <c r="AM178" s="3">
        <f>INT(VLOOKUP(U178,模板计算相关数据!A:N,6,0)*VLOOKUP(X178,模板计算相关数据!$P$4:$T$7,4,0)*VLOOKUP(Y178,模板计算相关数据!$P$22:$U$30,5,0)*AC178)</f>
        <v>302</v>
      </c>
      <c r="AN178" s="3">
        <f>VLOOKUP(U178,模板计算相关数据!A:N,10,0)*0.5*VLOOKUP(Y178,模板计算相关数据!$P$22:$U$30,6,0)+AD178</f>
        <v>225</v>
      </c>
      <c r="AO178" s="3">
        <f>VLOOKUP(INT(VLOOKUP(U178,模板计算相关数据!A:N,2,0)/30)+1,模板计算相关数据!$O$35:$U$40,3,0)+AE178</f>
        <v>0</v>
      </c>
      <c r="AP178" s="3">
        <f>VLOOKUP(INT(VLOOKUP(U178,模板计算相关数据!A:N,2,0)/30)+1,模板计算相关数据!$O$35:$U$40,4,0)+AF178</f>
        <v>5000</v>
      </c>
      <c r="AQ178" s="3">
        <f>VLOOKUP(INT(VLOOKUP(U178,模板计算相关数据!A:N,2,0)/30)+1,模板计算相关数据!$O$35:$U$40,5,0)+AG178</f>
        <v>0</v>
      </c>
      <c r="AR178" s="3">
        <f>VLOOKUP(INT(VLOOKUP(U178,模板计算相关数据!A:N,2,0)/30)+1,模板计算相关数据!$O$35:$U$40,6,0)+AH178</f>
        <v>0</v>
      </c>
      <c r="AS178" s="3">
        <f>VLOOKUP(INT(VLOOKUP(U178,模板计算相关数据!A:N,2,0)/30)+1,模板计算相关数据!$O$35:$U$40,7,0)+AI178</f>
        <v>0</v>
      </c>
      <c r="AT178" s="3">
        <f>VLOOKUP(INT(VLOOKUP(U178,模板计算相关数据!A:N,2,0)/30)+1,模板计算相关数据!$O$35:$V$40,8,0)</f>
        <v>0</v>
      </c>
      <c r="AU178" s="2"/>
    </row>
    <row r="179" spans="1:47" x14ac:dyDescent="0.2">
      <c r="A179" s="19">
        <v>101040201</v>
      </c>
      <c r="B179" s="19"/>
      <c r="C179" s="69" t="s">
        <v>990</v>
      </c>
      <c r="D179" s="87" t="s">
        <v>1015</v>
      </c>
      <c r="E179" s="2">
        <v>1</v>
      </c>
      <c r="F179" s="3">
        <v>1</v>
      </c>
      <c r="G179" s="3">
        <v>1001301</v>
      </c>
      <c r="H179" s="3">
        <v>1</v>
      </c>
      <c r="I179" s="3">
        <v>4</v>
      </c>
      <c r="J179" s="3">
        <v>1</v>
      </c>
      <c r="K179" s="3"/>
      <c r="L179" s="91" t="s">
        <v>947</v>
      </c>
      <c r="M179" s="3"/>
      <c r="N179" s="2">
        <v>1</v>
      </c>
      <c r="O179" s="2"/>
      <c r="P179" s="3" t="s">
        <v>1615</v>
      </c>
      <c r="Q179" s="95">
        <v>4.12</v>
      </c>
      <c r="R179" s="133">
        <f>IF(P179=模板计算相关数据!$AB$24,VLOOKUP(X179,模板计算相关数据!$P$47:$T$50,2,0),VLOOKUP(X179,模板计算相关数据!$P$4:$U$7,3,0))*VLOOKUP(Y179,模板计算相关数据!$P$22:$X$30,8,0)</f>
        <v>4.417254901960785</v>
      </c>
      <c r="S179" s="62">
        <f t="shared" si="12"/>
        <v>5.4285280003474252</v>
      </c>
      <c r="T179" s="133">
        <f>IF(P179=模板计算相关数据!$AB$24,VLOOKUP(X179,模板计算相关数据!$P$47:$T$50,5,0),VLOOKUP(X179,模板计算相关数据!$P$4:$U$7,6,0))*VLOOKUP(Y179,模板计算相关数据!$P$22:$X$30,9,0)</f>
        <v>5.4285280003474252</v>
      </c>
      <c r="U179" s="95">
        <v>5</v>
      </c>
      <c r="V179" s="95">
        <f t="shared" si="16"/>
        <v>9</v>
      </c>
      <c r="W179" s="29">
        <f>VLOOKUP(U179,模板计算相关数据!A:N,2,0)</f>
        <v>6</v>
      </c>
      <c r="X179" s="3" t="s">
        <v>151</v>
      </c>
      <c r="Y179" s="3" t="s">
        <v>152</v>
      </c>
      <c r="Z179" s="95">
        <v>1.1000000000000001</v>
      </c>
      <c r="AA179" s="95">
        <v>1.1000000000000001</v>
      </c>
      <c r="AB179" s="95">
        <v>1</v>
      </c>
      <c r="AC179" s="95">
        <v>1</v>
      </c>
      <c r="AD179" s="95">
        <v>0</v>
      </c>
      <c r="AE179" s="95">
        <v>0</v>
      </c>
      <c r="AF179" s="95">
        <v>0</v>
      </c>
      <c r="AG179" s="95">
        <v>0</v>
      </c>
      <c r="AH179" s="95">
        <v>0</v>
      </c>
      <c r="AI179" s="95">
        <v>0</v>
      </c>
      <c r="AJ179" s="3">
        <f>INT(VLOOKUP(U179,模板计算相关数据!A:N,4,0)*VLOOKUP(U179,模板计算相关数据!A:N,14,0)*(1+MAX(0,(VLOOKUP(U179,模板计算相关数据!A:N,7,0)-AQ179))*VLOOKUP(U179,模板计算相关数据!A:N,8,0))*(1-(AL179+AM179)*0.5/((AL179+AM179)*0.5+(VLOOKUP(U179,模板计算相关数据!A:N,2,0)+模板计算相关数据!$AC$27)*模板计算相关数据!$AC$28))*Q179*Z179)</f>
        <v>744</v>
      </c>
      <c r="AK179" s="3">
        <f>INT(VLOOKUP(U179,模板计算相关数据!A:N,3,0)/模板计算相关数据!$W$35/(1+MAX(0,(AO179/10000-VLOOKUP(U179,模板计算相关数据!A:N,9,0)))*AP179/10000)/(1-VLOOKUP(U179,模板计算相关数据!A:N,5,0)/(VLOOKUP(U179,模板计算相关数据!A:N,5,0)+(VLOOKUP(U179,模板计算相关数据!A:N,2,0)+模板计算相关数据!$AC$27)*模板计算相关数据!$AC$28))/S179*AA179)</f>
        <v>221</v>
      </c>
      <c r="AL179" s="3">
        <f>INT(VLOOKUP(U179,模板计算相关数据!A:N,5,0)*VLOOKUP(X179,模板计算相关数据!$P$4:$T$7,4,0)*VLOOKUP(Y179,模板计算相关数据!$P$22:$U$30,4,0)*AB179)</f>
        <v>454</v>
      </c>
      <c r="AM179" s="3">
        <f>INT(VLOOKUP(U179,模板计算相关数据!A:N,6,0)*VLOOKUP(X179,模板计算相关数据!$P$4:$T$7,4,0)*VLOOKUP(Y179,模板计算相关数据!$P$22:$U$30,5,0)*AC179)</f>
        <v>269</v>
      </c>
      <c r="AN179" s="3">
        <f>VLOOKUP(U179,模板计算相关数据!A:N,10,0)*0.5*VLOOKUP(Y179,模板计算相关数据!$P$22:$U$30,6,0)+AD179</f>
        <v>250</v>
      </c>
      <c r="AO179" s="3">
        <f>VLOOKUP(INT(VLOOKUP(U179,模板计算相关数据!A:N,2,0)/30)+1,模板计算相关数据!$O$35:$U$40,3,0)+AE179</f>
        <v>0</v>
      </c>
      <c r="AP179" s="3">
        <f>VLOOKUP(INT(VLOOKUP(U179,模板计算相关数据!A:N,2,0)/30)+1,模板计算相关数据!$O$35:$U$40,4,0)+AF179</f>
        <v>5000</v>
      </c>
      <c r="AQ179" s="3">
        <f>VLOOKUP(INT(VLOOKUP(U179,模板计算相关数据!A:N,2,0)/30)+1,模板计算相关数据!$O$35:$U$40,5,0)+AG179</f>
        <v>0</v>
      </c>
      <c r="AR179" s="3">
        <f>VLOOKUP(INT(VLOOKUP(U179,模板计算相关数据!A:N,2,0)/30)+1,模板计算相关数据!$O$35:$U$40,6,0)+AH179</f>
        <v>0</v>
      </c>
      <c r="AS179" s="3">
        <f>VLOOKUP(INT(VLOOKUP(U179,模板计算相关数据!A:N,2,0)/30)+1,模板计算相关数据!$O$35:$U$40,7,0)+AI179</f>
        <v>0</v>
      </c>
      <c r="AT179" s="3">
        <f>VLOOKUP(INT(VLOOKUP(U179,模板计算相关数据!A:N,2,0)/30)+1,模板计算相关数据!$O$35:$V$40,8,0)</f>
        <v>0</v>
      </c>
      <c r="AU179" s="2"/>
    </row>
    <row r="180" spans="1:47" x14ac:dyDescent="0.2">
      <c r="A180" s="19">
        <v>101040202</v>
      </c>
      <c r="B180" s="19"/>
      <c r="C180" s="69" t="s">
        <v>1746</v>
      </c>
      <c r="D180" s="87" t="s">
        <v>1015</v>
      </c>
      <c r="E180" s="2">
        <v>2</v>
      </c>
      <c r="F180" s="3">
        <v>1</v>
      </c>
      <c r="G180" s="3">
        <v>1001401</v>
      </c>
      <c r="H180" s="3">
        <v>4</v>
      </c>
      <c r="I180" s="3">
        <v>4</v>
      </c>
      <c r="J180" s="3">
        <v>1</v>
      </c>
      <c r="K180" s="3"/>
      <c r="L180" s="91" t="s">
        <v>948</v>
      </c>
      <c r="M180" s="3"/>
      <c r="N180" s="2">
        <v>1</v>
      </c>
      <c r="O180" s="2"/>
      <c r="P180" s="3" t="s">
        <v>1615</v>
      </c>
      <c r="Q180" s="95">
        <v>4.17</v>
      </c>
      <c r="R180" s="133">
        <f>IF(P180=模板计算相关数据!$AB$24,VLOOKUP(X180,模板计算相关数据!$P$47:$T$50,2,0),VLOOKUP(X180,模板计算相关数据!$P$4:$U$7,3,0))*VLOOKUP(Y180,模板计算相关数据!$P$22:$X$30,8,0)</f>
        <v>4.4674509803921572</v>
      </c>
      <c r="S180" s="62">
        <f t="shared" si="12"/>
        <v>5.4739930589768004</v>
      </c>
      <c r="T180" s="133">
        <f>IF(P180=模板计算相关数据!$AB$24,VLOOKUP(X180,模板计算相关数据!$P$47:$T$50,5,0),VLOOKUP(X180,模板计算相关数据!$P$4:$U$7,6,0))*VLOOKUP(Y180,模板计算相关数据!$P$22:$X$30,9,0)</f>
        <v>5.4739930589768004</v>
      </c>
      <c r="U180" s="95">
        <v>5</v>
      </c>
      <c r="V180" s="95">
        <f t="shared" si="16"/>
        <v>9</v>
      </c>
      <c r="W180" s="29">
        <f>VLOOKUP(U180,模板计算相关数据!A:N,2,0)</f>
        <v>6</v>
      </c>
      <c r="X180" s="3" t="s">
        <v>151</v>
      </c>
      <c r="Y180" s="3" t="s">
        <v>162</v>
      </c>
      <c r="Z180" s="95">
        <v>1.1000000000000001</v>
      </c>
      <c r="AA180" s="95">
        <v>1.1499999999999999</v>
      </c>
      <c r="AB180" s="95">
        <v>1</v>
      </c>
      <c r="AC180" s="95">
        <v>1</v>
      </c>
      <c r="AD180" s="95">
        <v>0</v>
      </c>
      <c r="AE180" s="95">
        <v>0</v>
      </c>
      <c r="AF180" s="95">
        <v>0</v>
      </c>
      <c r="AG180" s="95">
        <v>0</v>
      </c>
      <c r="AH180" s="95">
        <v>0</v>
      </c>
      <c r="AI180" s="95">
        <v>0</v>
      </c>
      <c r="AJ180" s="3">
        <f>INT(VLOOKUP(U180,模板计算相关数据!A:N,4,0)*VLOOKUP(U180,模板计算相关数据!A:N,14,0)*(1+MAX(0,(VLOOKUP(U180,模板计算相关数据!A:N,7,0)-AQ180))*VLOOKUP(U180,模板计算相关数据!A:N,8,0))*(1-(AL180+AM180)*0.5/((AL180+AM180)*0.5+(VLOOKUP(U180,模板计算相关数据!A:N,2,0)+模板计算相关数据!$AC$27)*模板计算相关数据!$AC$28))*Q180*Z180)</f>
        <v>753</v>
      </c>
      <c r="AK180" s="3">
        <f>INT(VLOOKUP(U180,模板计算相关数据!A:N,3,0)/模板计算相关数据!$W$35/(1+MAX(0,(AO180/10000-VLOOKUP(U180,模板计算相关数据!A:N,9,0)))*AP180/10000)/(1-VLOOKUP(U180,模板计算相关数据!A:N,5,0)/(VLOOKUP(U180,模板计算相关数据!A:N,5,0)+(VLOOKUP(U180,模板计算相关数据!A:N,2,0)+模板计算相关数据!$AC$27)*模板计算相关数据!$AC$28))/S180*AA180)</f>
        <v>229</v>
      </c>
      <c r="AL180" s="3">
        <f>INT(VLOOKUP(U180,模板计算相关数据!A:N,5,0)*VLOOKUP(X180,模板计算相关数据!$P$4:$T$7,4,0)*VLOOKUP(Y180,模板计算相关数据!$P$22:$U$30,4,0)*AB180)</f>
        <v>269</v>
      </c>
      <c r="AM180" s="3">
        <f>INT(VLOOKUP(U180,模板计算相关数据!A:N,6,0)*VLOOKUP(X180,模板计算相关数据!$P$4:$T$7,4,0)*VLOOKUP(Y180,模板计算相关数据!$P$22:$U$30,5,0)*AC180)</f>
        <v>454</v>
      </c>
      <c r="AN180" s="3">
        <f>VLOOKUP(U180,模板计算相关数据!A:N,10,0)*0.5*VLOOKUP(Y180,模板计算相关数据!$P$22:$U$30,6,0)+AD180</f>
        <v>250</v>
      </c>
      <c r="AO180" s="3">
        <f>VLOOKUP(INT(VLOOKUP(U180,模板计算相关数据!A:N,2,0)/30)+1,模板计算相关数据!$O$35:$U$40,3,0)+AE180</f>
        <v>0</v>
      </c>
      <c r="AP180" s="3">
        <f>VLOOKUP(INT(VLOOKUP(U180,模板计算相关数据!A:N,2,0)/30)+1,模板计算相关数据!$O$35:$U$40,4,0)+AF180</f>
        <v>5000</v>
      </c>
      <c r="AQ180" s="3">
        <f>VLOOKUP(INT(VLOOKUP(U180,模板计算相关数据!A:N,2,0)/30)+1,模板计算相关数据!$O$35:$U$40,5,0)+AG180</f>
        <v>0</v>
      </c>
      <c r="AR180" s="3">
        <f>VLOOKUP(INT(VLOOKUP(U180,模板计算相关数据!A:N,2,0)/30)+1,模板计算相关数据!$O$35:$U$40,6,0)+AH180</f>
        <v>0</v>
      </c>
      <c r="AS180" s="3">
        <f>VLOOKUP(INT(VLOOKUP(U180,模板计算相关数据!A:N,2,0)/30)+1,模板计算相关数据!$O$35:$U$40,7,0)+AI180</f>
        <v>0</v>
      </c>
      <c r="AT180" s="3">
        <f>VLOOKUP(INT(VLOOKUP(U180,模板计算相关数据!A:N,2,0)/30)+1,模板计算相关数据!$O$35:$V$40,8,0)</f>
        <v>0</v>
      </c>
      <c r="AU180" s="2"/>
    </row>
    <row r="181" spans="1:47" x14ac:dyDescent="0.2">
      <c r="A181" s="19">
        <v>101040203</v>
      </c>
      <c r="B181" s="19"/>
      <c r="C181" s="69" t="s">
        <v>991</v>
      </c>
      <c r="D181" s="87" t="s">
        <v>1015</v>
      </c>
      <c r="E181" s="2">
        <v>1</v>
      </c>
      <c r="F181" s="3">
        <v>3</v>
      </c>
      <c r="G181" s="3">
        <v>1001501</v>
      </c>
      <c r="H181" s="3">
        <v>2</v>
      </c>
      <c r="I181" s="3">
        <v>4</v>
      </c>
      <c r="J181" s="3">
        <v>1</v>
      </c>
      <c r="K181" s="3"/>
      <c r="L181" s="91" t="s">
        <v>949</v>
      </c>
      <c r="M181" s="3"/>
      <c r="N181" s="2">
        <v>1</v>
      </c>
      <c r="O181" s="2"/>
      <c r="P181" s="3" t="s">
        <v>1615</v>
      </c>
      <c r="Q181" s="95">
        <v>6.5</v>
      </c>
      <c r="R181" s="133">
        <f>IF(P181=模板计算相关数据!$AB$24,VLOOKUP(X181,模板计算相关数据!$P$47:$T$50,2,0),VLOOKUP(X181,模板计算相关数据!$P$4:$U$7,3,0))*VLOOKUP(Y181,模板计算相关数据!$P$22:$X$30,8,0)</f>
        <v>6.9411764705882364</v>
      </c>
      <c r="S181" s="62">
        <f t="shared" si="12"/>
        <v>8.2943498888557112</v>
      </c>
      <c r="T181" s="133">
        <f>IF(P181=模板计算相关数据!$AB$24,VLOOKUP(X181,模板计算相关数据!$P$47:$T$50,5,0),VLOOKUP(X181,模板计算相关数据!$P$4:$U$7,6,0))*VLOOKUP(Y181,模板计算相关数据!$P$22:$X$30,9,0)</f>
        <v>8.2943498888557112</v>
      </c>
      <c r="U181" s="95">
        <v>5</v>
      </c>
      <c r="V181" s="95">
        <f t="shared" si="16"/>
        <v>9</v>
      </c>
      <c r="W181" s="29">
        <f>VLOOKUP(U181,模板计算相关数据!A:N,2,0)</f>
        <v>6</v>
      </c>
      <c r="X181" s="3" t="s">
        <v>151</v>
      </c>
      <c r="Y181" s="3" t="s">
        <v>155</v>
      </c>
      <c r="Z181" s="95">
        <v>1.1000000000000001</v>
      </c>
      <c r="AA181" s="95">
        <v>1.1000000000000001</v>
      </c>
      <c r="AB181" s="95">
        <v>1</v>
      </c>
      <c r="AC181" s="95">
        <v>1</v>
      </c>
      <c r="AD181" s="95">
        <v>0</v>
      </c>
      <c r="AE181" s="95">
        <v>0</v>
      </c>
      <c r="AF181" s="95">
        <v>0</v>
      </c>
      <c r="AG181" s="95">
        <v>0</v>
      </c>
      <c r="AH181" s="95">
        <v>0</v>
      </c>
      <c r="AI181" s="95">
        <v>0</v>
      </c>
      <c r="AJ181" s="3">
        <f>INT(VLOOKUP(U181,模板计算相关数据!A:N,4,0)*VLOOKUP(U181,模板计算相关数据!A:N,14,0)*(1+MAX(0,(VLOOKUP(U181,模板计算相关数据!A:N,7,0)-AQ181))*VLOOKUP(U181,模板计算相关数据!A:N,8,0))*(1-(AL181+AM181)*0.5/((AL181+AM181)*0.5+(VLOOKUP(U181,模板计算相关数据!A:N,2,0)+模板计算相关数据!$AC$27)*模板计算相关数据!$AC$28))*Q181*Z181)</f>
        <v>1120</v>
      </c>
      <c r="AK181" s="3">
        <f>INT(VLOOKUP(U181,模板计算相关数据!A:N,3,0)/模板计算相关数据!$W$35/(1+MAX(0,(AO181/10000-VLOOKUP(U181,模板计算相关数据!A:N,9,0)))*AP181/10000)/(1-VLOOKUP(U181,模板计算相关数据!A:N,5,0)/(VLOOKUP(U181,模板计算相关数据!A:N,5,0)+(VLOOKUP(U181,模板计算相关数据!A:N,2,0)+模板计算相关数据!$AC$27)*模板计算相关数据!$AC$28))/S181*AA181)</f>
        <v>145</v>
      </c>
      <c r="AL181" s="3">
        <f>INT(VLOOKUP(U181,模板计算相关数据!A:N,5,0)*VLOOKUP(X181,模板计算相关数据!$P$4:$T$7,4,0)*VLOOKUP(Y181,模板计算相关数据!$P$22:$U$30,4,0)*AB181)</f>
        <v>547</v>
      </c>
      <c r="AM181" s="3">
        <f>INT(VLOOKUP(U181,模板计算相关数据!A:N,6,0)*VLOOKUP(X181,模板计算相关数据!$P$4:$T$7,4,0)*VLOOKUP(Y181,模板计算相关数据!$P$22:$U$30,5,0)*AC181)</f>
        <v>302</v>
      </c>
      <c r="AN181" s="3">
        <f>VLOOKUP(U181,模板计算相关数据!A:N,10,0)*0.5*VLOOKUP(Y181,模板计算相关数据!$P$22:$U$30,6,0)+AD181</f>
        <v>225</v>
      </c>
      <c r="AO181" s="3">
        <f>VLOOKUP(INT(VLOOKUP(U181,模板计算相关数据!A:N,2,0)/30)+1,模板计算相关数据!$O$35:$U$40,3,0)+AE181</f>
        <v>0</v>
      </c>
      <c r="AP181" s="3">
        <f>VLOOKUP(INT(VLOOKUP(U181,模板计算相关数据!A:N,2,0)/30)+1,模板计算相关数据!$O$35:$U$40,4,0)+AF181</f>
        <v>5000</v>
      </c>
      <c r="AQ181" s="3">
        <f>VLOOKUP(INT(VLOOKUP(U181,模板计算相关数据!A:N,2,0)/30)+1,模板计算相关数据!$O$35:$U$40,5,0)+AG181</f>
        <v>0</v>
      </c>
      <c r="AR181" s="3">
        <f>VLOOKUP(INT(VLOOKUP(U181,模板计算相关数据!A:N,2,0)/30)+1,模板计算相关数据!$O$35:$U$40,6,0)+AH181</f>
        <v>0</v>
      </c>
      <c r="AS181" s="3">
        <f>VLOOKUP(INT(VLOOKUP(U181,模板计算相关数据!A:N,2,0)/30)+1,模板计算相关数据!$O$35:$U$40,7,0)+AI181</f>
        <v>0</v>
      </c>
      <c r="AT181" s="3">
        <f>VLOOKUP(INT(VLOOKUP(U181,模板计算相关数据!A:N,2,0)/30)+1,模板计算相关数据!$O$35:$V$40,8,0)</f>
        <v>0</v>
      </c>
      <c r="AU181" s="2"/>
    </row>
    <row r="182" spans="1:47" x14ac:dyDescent="0.2">
      <c r="A182" s="17">
        <v>101050101</v>
      </c>
      <c r="B182" s="17"/>
      <c r="C182" s="69" t="s">
        <v>990</v>
      </c>
      <c r="D182" s="87" t="s">
        <v>1017</v>
      </c>
      <c r="E182" s="2">
        <v>1</v>
      </c>
      <c r="F182" s="3">
        <v>1</v>
      </c>
      <c r="G182" s="3">
        <v>1001301</v>
      </c>
      <c r="H182" s="3">
        <v>1</v>
      </c>
      <c r="I182" s="3">
        <v>4</v>
      </c>
      <c r="J182" s="3">
        <v>1</v>
      </c>
      <c r="K182" s="3"/>
      <c r="L182" s="91" t="s">
        <v>947</v>
      </c>
      <c r="M182" s="3"/>
      <c r="N182" s="2">
        <v>1</v>
      </c>
      <c r="O182" s="2"/>
      <c r="P182" s="3" t="s">
        <v>1615</v>
      </c>
      <c r="Q182" s="95">
        <v>4.12</v>
      </c>
      <c r="R182" s="133">
        <f>IF(P182=模板计算相关数据!$AB$24,VLOOKUP(X182,模板计算相关数据!$P$47:$T$50,2,0),VLOOKUP(X182,模板计算相关数据!$P$4:$U$7,3,0))*VLOOKUP(Y182,模板计算相关数据!$P$22:$X$30,8,0)</f>
        <v>4.417254901960785</v>
      </c>
      <c r="S182" s="62">
        <f t="shared" si="12"/>
        <v>5.4285280003474252</v>
      </c>
      <c r="T182" s="133">
        <f>IF(P182=模板计算相关数据!$AB$24,VLOOKUP(X182,模板计算相关数据!$P$47:$T$50,5,0),VLOOKUP(X182,模板计算相关数据!$P$4:$U$7,6,0))*VLOOKUP(Y182,模板计算相关数据!$P$22:$X$30,9,0)</f>
        <v>5.4285280003474252</v>
      </c>
      <c r="U182" s="95">
        <v>6</v>
      </c>
      <c r="V182" s="95">
        <f t="shared" si="16"/>
        <v>11</v>
      </c>
      <c r="W182" s="29">
        <f>VLOOKUP(U182,模板计算相关数据!A:N,2,0)</f>
        <v>8</v>
      </c>
      <c r="X182" s="3" t="s">
        <v>151</v>
      </c>
      <c r="Y182" s="3" t="s">
        <v>152</v>
      </c>
      <c r="Z182" s="95">
        <v>1.1000000000000001</v>
      </c>
      <c r="AA182" s="95">
        <v>1.1000000000000001</v>
      </c>
      <c r="AB182" s="95">
        <v>1</v>
      </c>
      <c r="AC182" s="95">
        <v>1</v>
      </c>
      <c r="AD182" s="95">
        <v>0</v>
      </c>
      <c r="AE182" s="95">
        <v>0</v>
      </c>
      <c r="AF182" s="95">
        <v>0</v>
      </c>
      <c r="AG182" s="95">
        <v>0</v>
      </c>
      <c r="AH182" s="95">
        <v>0</v>
      </c>
      <c r="AI182" s="95">
        <v>0</v>
      </c>
      <c r="AJ182" s="3">
        <f>INT(VLOOKUP(U182,模板计算相关数据!A:N,4,0)*VLOOKUP(U182,模板计算相关数据!A:N,14,0)*(1+MAX(0,(VLOOKUP(U182,模板计算相关数据!A:N,7,0)-AQ182))*VLOOKUP(U182,模板计算相关数据!A:N,8,0))*(1-(AL182+AM182)*0.5/((AL182+AM182)*0.5+(VLOOKUP(U182,模板计算相关数据!A:N,2,0)+模板计算相关数据!$AC$27)*模板计算相关数据!$AC$28))*Q182*Z182)</f>
        <v>875</v>
      </c>
      <c r="AK182" s="3">
        <f>INT(VLOOKUP(U182,模板计算相关数据!A:N,3,0)/模板计算相关数据!$W$35/(1+MAX(0,(AO182/10000-VLOOKUP(U182,模板计算相关数据!A:N,9,0)))*AP182/10000)/(1-VLOOKUP(U182,模板计算相关数据!A:N,5,0)/(VLOOKUP(U182,模板计算相关数据!A:N,5,0)+(VLOOKUP(U182,模板计算相关数据!A:N,2,0)+模板计算相关数据!$AC$27)*模板计算相关数据!$AC$28))/S182*AA182)</f>
        <v>258</v>
      </c>
      <c r="AL182" s="3">
        <f>INT(VLOOKUP(U182,模板计算相关数据!A:N,5,0)*VLOOKUP(X182,模板计算相关数据!$P$4:$T$7,4,0)*VLOOKUP(Y182,模板计算相关数据!$P$22:$U$30,4,0)*AB182)</f>
        <v>533</v>
      </c>
      <c r="AM182" s="3">
        <f>INT(VLOOKUP(U182,模板计算相关数据!A:N,6,0)*VLOOKUP(X182,模板计算相关数据!$P$4:$T$7,4,0)*VLOOKUP(Y182,模板计算相关数据!$P$22:$U$30,5,0)*AC182)</f>
        <v>316</v>
      </c>
      <c r="AN182" s="3">
        <f>VLOOKUP(U182,模板计算相关数据!A:N,10,0)*0.5*VLOOKUP(Y182,模板计算相关数据!$P$22:$U$30,6,0)+AD182</f>
        <v>250</v>
      </c>
      <c r="AO182" s="3">
        <f>VLOOKUP(INT(VLOOKUP(U182,模板计算相关数据!A:N,2,0)/30)+1,模板计算相关数据!$O$35:$U$40,3,0)+AE182</f>
        <v>0</v>
      </c>
      <c r="AP182" s="3">
        <f>VLOOKUP(INT(VLOOKUP(U182,模板计算相关数据!A:N,2,0)/30)+1,模板计算相关数据!$O$35:$U$40,4,0)+AF182</f>
        <v>5000</v>
      </c>
      <c r="AQ182" s="3">
        <f>VLOOKUP(INT(VLOOKUP(U182,模板计算相关数据!A:N,2,0)/30)+1,模板计算相关数据!$O$35:$U$40,5,0)+AG182</f>
        <v>0</v>
      </c>
      <c r="AR182" s="3">
        <f>VLOOKUP(INT(VLOOKUP(U182,模板计算相关数据!A:N,2,0)/30)+1,模板计算相关数据!$O$35:$U$40,6,0)+AH182</f>
        <v>0</v>
      </c>
      <c r="AS182" s="3">
        <f>VLOOKUP(INT(VLOOKUP(U182,模板计算相关数据!A:N,2,0)/30)+1,模板计算相关数据!$O$35:$U$40,7,0)+AI182</f>
        <v>0</v>
      </c>
      <c r="AT182" s="3">
        <f>VLOOKUP(INT(VLOOKUP(U182,模板计算相关数据!A:N,2,0)/30)+1,模板计算相关数据!$O$35:$V$40,8,0)</f>
        <v>0</v>
      </c>
      <c r="AU182" s="2"/>
    </row>
    <row r="183" spans="1:47" x14ac:dyDescent="0.2">
      <c r="A183" s="17">
        <v>101050102</v>
      </c>
      <c r="B183" s="17"/>
      <c r="C183" s="69" t="s">
        <v>1746</v>
      </c>
      <c r="D183" s="87" t="s">
        <v>1017</v>
      </c>
      <c r="E183" s="2">
        <v>2</v>
      </c>
      <c r="F183" s="3">
        <v>1</v>
      </c>
      <c r="G183" s="3">
        <v>1001401</v>
      </c>
      <c r="H183" s="3">
        <v>4</v>
      </c>
      <c r="I183" s="3">
        <v>4</v>
      </c>
      <c r="J183" s="3">
        <v>1</v>
      </c>
      <c r="K183" s="3"/>
      <c r="L183" s="91" t="s">
        <v>948</v>
      </c>
      <c r="M183" s="3"/>
      <c r="N183" s="2">
        <v>1</v>
      </c>
      <c r="O183" s="2"/>
      <c r="P183" s="3" t="s">
        <v>1615</v>
      </c>
      <c r="Q183" s="95">
        <v>4.17</v>
      </c>
      <c r="R183" s="133">
        <f>IF(P183=模板计算相关数据!$AB$24,VLOOKUP(X183,模板计算相关数据!$P$47:$T$50,2,0),VLOOKUP(X183,模板计算相关数据!$P$4:$U$7,3,0))*VLOOKUP(Y183,模板计算相关数据!$P$22:$X$30,8,0)</f>
        <v>4.4674509803921572</v>
      </c>
      <c r="S183" s="62">
        <f t="shared" si="12"/>
        <v>5.4739930589768004</v>
      </c>
      <c r="T183" s="133">
        <f>IF(P183=模板计算相关数据!$AB$24,VLOOKUP(X183,模板计算相关数据!$P$47:$T$50,5,0),VLOOKUP(X183,模板计算相关数据!$P$4:$U$7,6,0))*VLOOKUP(Y183,模板计算相关数据!$P$22:$X$30,9,0)</f>
        <v>5.4739930589768004</v>
      </c>
      <c r="U183" s="95">
        <v>6</v>
      </c>
      <c r="V183" s="95">
        <f t="shared" si="16"/>
        <v>11</v>
      </c>
      <c r="W183" s="29">
        <f>VLOOKUP(U183,模板计算相关数据!A:N,2,0)</f>
        <v>8</v>
      </c>
      <c r="X183" s="3" t="s">
        <v>151</v>
      </c>
      <c r="Y183" s="3" t="s">
        <v>162</v>
      </c>
      <c r="Z183" s="95">
        <v>1.1000000000000001</v>
      </c>
      <c r="AA183" s="95">
        <v>1.1000000000000001</v>
      </c>
      <c r="AB183" s="95">
        <v>1</v>
      </c>
      <c r="AC183" s="95">
        <v>1</v>
      </c>
      <c r="AD183" s="95">
        <v>0</v>
      </c>
      <c r="AE183" s="95">
        <v>0</v>
      </c>
      <c r="AF183" s="95">
        <v>0</v>
      </c>
      <c r="AG183" s="95">
        <v>0</v>
      </c>
      <c r="AH183" s="95">
        <v>0</v>
      </c>
      <c r="AI183" s="95">
        <v>0</v>
      </c>
      <c r="AJ183" s="3">
        <f>INT(VLOOKUP(U183,模板计算相关数据!A:N,4,0)*VLOOKUP(U183,模板计算相关数据!A:N,14,0)*(1+MAX(0,(VLOOKUP(U183,模板计算相关数据!A:N,7,0)-AQ183))*VLOOKUP(U183,模板计算相关数据!A:N,8,0))*(1-(AL183+AM183)*0.5/((AL183+AM183)*0.5+(VLOOKUP(U183,模板计算相关数据!A:N,2,0)+模板计算相关数据!$AC$27)*模板计算相关数据!$AC$28))*Q183*Z183)</f>
        <v>886</v>
      </c>
      <c r="AK183" s="3">
        <f>INT(VLOOKUP(U183,模板计算相关数据!A:N,3,0)/模板计算相关数据!$W$35/(1+MAX(0,(AO183/10000-VLOOKUP(U183,模板计算相关数据!A:N,9,0)))*AP183/10000)/(1-VLOOKUP(U183,模板计算相关数据!A:N,5,0)/(VLOOKUP(U183,模板计算相关数据!A:N,5,0)+(VLOOKUP(U183,模板计算相关数据!A:N,2,0)+模板计算相关数据!$AC$27)*模板计算相关数据!$AC$28))/S183*AA183)</f>
        <v>256</v>
      </c>
      <c r="AL183" s="3">
        <f>INT(VLOOKUP(U183,模板计算相关数据!A:N,5,0)*VLOOKUP(X183,模板计算相关数据!$P$4:$T$7,4,0)*VLOOKUP(Y183,模板计算相关数据!$P$22:$U$30,4,0)*AB183)</f>
        <v>316</v>
      </c>
      <c r="AM183" s="3">
        <f>INT(VLOOKUP(U183,模板计算相关数据!A:N,6,0)*VLOOKUP(X183,模板计算相关数据!$P$4:$T$7,4,0)*VLOOKUP(Y183,模板计算相关数据!$P$22:$U$30,5,0)*AC183)</f>
        <v>533</v>
      </c>
      <c r="AN183" s="3">
        <f>VLOOKUP(U183,模板计算相关数据!A:N,10,0)*0.5*VLOOKUP(Y183,模板计算相关数据!$P$22:$U$30,6,0)+AD183</f>
        <v>250</v>
      </c>
      <c r="AO183" s="3">
        <f>VLOOKUP(INT(VLOOKUP(U183,模板计算相关数据!A:N,2,0)/30)+1,模板计算相关数据!$O$35:$U$40,3,0)+AE183</f>
        <v>0</v>
      </c>
      <c r="AP183" s="3">
        <f>VLOOKUP(INT(VLOOKUP(U183,模板计算相关数据!A:N,2,0)/30)+1,模板计算相关数据!$O$35:$U$40,4,0)+AF183</f>
        <v>5000</v>
      </c>
      <c r="AQ183" s="3">
        <f>VLOOKUP(INT(VLOOKUP(U183,模板计算相关数据!A:N,2,0)/30)+1,模板计算相关数据!$O$35:$U$40,5,0)+AG183</f>
        <v>0</v>
      </c>
      <c r="AR183" s="3">
        <f>VLOOKUP(INT(VLOOKUP(U183,模板计算相关数据!A:N,2,0)/30)+1,模板计算相关数据!$O$35:$U$40,6,0)+AH183</f>
        <v>0</v>
      </c>
      <c r="AS183" s="3">
        <f>VLOOKUP(INT(VLOOKUP(U183,模板计算相关数据!A:N,2,0)/30)+1,模板计算相关数据!$O$35:$U$40,7,0)+AI183</f>
        <v>0</v>
      </c>
      <c r="AT183" s="3">
        <f>VLOOKUP(INT(VLOOKUP(U183,模板计算相关数据!A:N,2,0)/30)+1,模板计算相关数据!$O$35:$V$40,8,0)</f>
        <v>0</v>
      </c>
      <c r="AU183" s="2"/>
    </row>
    <row r="184" spans="1:47" x14ac:dyDescent="0.2">
      <c r="A184" s="17">
        <v>101050103</v>
      </c>
      <c r="B184" s="17"/>
      <c r="C184" s="69" t="s">
        <v>991</v>
      </c>
      <c r="D184" s="87" t="s">
        <v>1017</v>
      </c>
      <c r="E184" s="2">
        <v>1</v>
      </c>
      <c r="F184" s="3">
        <v>3</v>
      </c>
      <c r="G184" s="3">
        <v>1001501</v>
      </c>
      <c r="H184" s="3">
        <v>2</v>
      </c>
      <c r="I184" s="3">
        <v>4</v>
      </c>
      <c r="J184" s="3">
        <v>1</v>
      </c>
      <c r="K184" s="3"/>
      <c r="L184" s="91" t="s">
        <v>949</v>
      </c>
      <c r="M184" s="3"/>
      <c r="N184" s="2">
        <v>1</v>
      </c>
      <c r="O184" s="2"/>
      <c r="P184" s="3" t="s">
        <v>1615</v>
      </c>
      <c r="Q184" s="95">
        <v>6.5</v>
      </c>
      <c r="R184" s="133">
        <f>IF(P184=模板计算相关数据!$AB$24,VLOOKUP(X184,模板计算相关数据!$P$47:$T$50,2,0),VLOOKUP(X184,模板计算相关数据!$P$4:$U$7,3,0))*VLOOKUP(Y184,模板计算相关数据!$P$22:$X$30,8,0)</f>
        <v>6.9411764705882364</v>
      </c>
      <c r="S184" s="62">
        <f t="shared" si="12"/>
        <v>8.2943498888557112</v>
      </c>
      <c r="T184" s="133">
        <f>IF(P184=模板计算相关数据!$AB$24,VLOOKUP(X184,模板计算相关数据!$P$47:$T$50,5,0),VLOOKUP(X184,模板计算相关数据!$P$4:$U$7,6,0))*VLOOKUP(Y184,模板计算相关数据!$P$22:$X$30,9,0)</f>
        <v>8.2943498888557112</v>
      </c>
      <c r="U184" s="95">
        <v>6</v>
      </c>
      <c r="V184" s="95">
        <f t="shared" si="16"/>
        <v>11</v>
      </c>
      <c r="W184" s="29">
        <f>VLOOKUP(U184,模板计算相关数据!A:N,2,0)</f>
        <v>8</v>
      </c>
      <c r="X184" s="3" t="s">
        <v>151</v>
      </c>
      <c r="Y184" s="3" t="s">
        <v>155</v>
      </c>
      <c r="Z184" s="95">
        <v>1.1000000000000001</v>
      </c>
      <c r="AA184" s="95">
        <v>1.1000000000000001</v>
      </c>
      <c r="AB184" s="95">
        <v>1</v>
      </c>
      <c r="AC184" s="95">
        <v>1</v>
      </c>
      <c r="AD184" s="95">
        <v>0</v>
      </c>
      <c r="AE184" s="95">
        <v>0</v>
      </c>
      <c r="AF184" s="95">
        <v>0</v>
      </c>
      <c r="AG184" s="95">
        <v>0</v>
      </c>
      <c r="AH184" s="95">
        <v>0</v>
      </c>
      <c r="AI184" s="95">
        <v>0</v>
      </c>
      <c r="AJ184" s="3">
        <f>INT(VLOOKUP(U184,模板计算相关数据!A:N,4,0)*VLOOKUP(U184,模板计算相关数据!A:N,14,0)*(1+MAX(0,(VLOOKUP(U184,模板计算相关数据!A:N,7,0)-AQ184))*VLOOKUP(U184,模板计算相关数据!A:N,8,0))*(1-(AL184+AM184)*0.5/((AL184+AM184)*0.5+(VLOOKUP(U184,模板计算相关数据!A:N,2,0)+模板计算相关数据!$AC$27)*模板计算相关数据!$AC$28))*Q184*Z184)</f>
        <v>1319</v>
      </c>
      <c r="AK184" s="3">
        <f>INT(VLOOKUP(U184,模板计算相关数据!A:N,3,0)/模板计算相关数据!$W$35/(1+MAX(0,(AO184/10000-VLOOKUP(U184,模板计算相关数据!A:N,9,0)))*AP184/10000)/(1-VLOOKUP(U184,模板计算相关数据!A:N,5,0)/(VLOOKUP(U184,模板计算相关数据!A:N,5,0)+(VLOOKUP(U184,模板计算相关数据!A:N,2,0)+模板计算相关数据!$AC$27)*模板计算相关数据!$AC$28))/S184*AA184)</f>
        <v>169</v>
      </c>
      <c r="AL184" s="3">
        <f>INT(VLOOKUP(U184,模板计算相关数据!A:N,5,0)*VLOOKUP(X184,模板计算相关数据!$P$4:$T$7,4,0)*VLOOKUP(Y184,模板计算相关数据!$P$22:$U$30,4,0)*AB184)</f>
        <v>642</v>
      </c>
      <c r="AM184" s="3">
        <f>INT(VLOOKUP(U184,模板计算相关数据!A:N,6,0)*VLOOKUP(X184,模板计算相关数据!$P$4:$T$7,4,0)*VLOOKUP(Y184,模板计算相关数据!$P$22:$U$30,5,0)*AC184)</f>
        <v>355</v>
      </c>
      <c r="AN184" s="3">
        <f>VLOOKUP(U184,模板计算相关数据!A:N,10,0)*0.5*VLOOKUP(Y184,模板计算相关数据!$P$22:$U$30,6,0)+AD184</f>
        <v>225</v>
      </c>
      <c r="AO184" s="3">
        <f>VLOOKUP(INT(VLOOKUP(U184,模板计算相关数据!A:N,2,0)/30)+1,模板计算相关数据!$O$35:$U$40,3,0)+AE184</f>
        <v>0</v>
      </c>
      <c r="AP184" s="3">
        <f>VLOOKUP(INT(VLOOKUP(U184,模板计算相关数据!A:N,2,0)/30)+1,模板计算相关数据!$O$35:$U$40,4,0)+AF184</f>
        <v>5000</v>
      </c>
      <c r="AQ184" s="3">
        <f>VLOOKUP(INT(VLOOKUP(U184,模板计算相关数据!A:N,2,0)/30)+1,模板计算相关数据!$O$35:$U$40,5,0)+AG184</f>
        <v>0</v>
      </c>
      <c r="AR184" s="3">
        <f>VLOOKUP(INT(VLOOKUP(U184,模板计算相关数据!A:N,2,0)/30)+1,模板计算相关数据!$O$35:$U$40,6,0)+AH184</f>
        <v>0</v>
      </c>
      <c r="AS184" s="3">
        <f>VLOOKUP(INT(VLOOKUP(U184,模板计算相关数据!A:N,2,0)/30)+1,模板计算相关数据!$O$35:$U$40,7,0)+AI184</f>
        <v>0</v>
      </c>
      <c r="AT184" s="3">
        <f>VLOOKUP(INT(VLOOKUP(U184,模板计算相关数据!A:N,2,0)/30)+1,模板计算相关数据!$O$35:$V$40,8,0)</f>
        <v>0</v>
      </c>
      <c r="AU184" s="2"/>
    </row>
    <row r="185" spans="1:47" x14ac:dyDescent="0.2">
      <c r="A185" s="19">
        <v>101050201</v>
      </c>
      <c r="B185" s="19"/>
      <c r="C185" s="69" t="s">
        <v>990</v>
      </c>
      <c r="D185" s="87" t="s">
        <v>1017</v>
      </c>
      <c r="E185" s="2">
        <v>1</v>
      </c>
      <c r="F185" s="3">
        <v>1</v>
      </c>
      <c r="G185" s="3">
        <v>1001301</v>
      </c>
      <c r="H185" s="3">
        <v>1</v>
      </c>
      <c r="I185" s="3">
        <v>4</v>
      </c>
      <c r="J185" s="3">
        <v>1</v>
      </c>
      <c r="K185" s="3"/>
      <c r="L185" s="91" t="s">
        <v>947</v>
      </c>
      <c r="M185" s="3"/>
      <c r="N185" s="2">
        <v>1</v>
      </c>
      <c r="O185" s="2"/>
      <c r="P185" s="3" t="s">
        <v>1615</v>
      </c>
      <c r="Q185" s="95">
        <v>5.05</v>
      </c>
      <c r="R185" s="133">
        <f>IF(P185=模板计算相关数据!$AB$24,VLOOKUP(X185,模板计算相关数据!$P$47:$T$50,2,0),VLOOKUP(X185,模板计算相关数据!$P$4:$U$7,3,0))*VLOOKUP(Y185,模板计算相关数据!$P$22:$X$30,8,0)</f>
        <v>4.417254901960785</v>
      </c>
      <c r="S185" s="62">
        <f t="shared" si="12"/>
        <v>5.4285280003474252</v>
      </c>
      <c r="T185" s="133">
        <f>IF(P185=模板计算相关数据!$AB$24,VLOOKUP(X185,模板计算相关数据!$P$47:$T$50,5,0),VLOOKUP(X185,模板计算相关数据!$P$4:$U$7,6,0))*VLOOKUP(Y185,模板计算相关数据!$P$22:$X$30,9,0)</f>
        <v>5.4285280003474252</v>
      </c>
      <c r="U185" s="95">
        <v>6</v>
      </c>
      <c r="V185" s="95">
        <f t="shared" si="16"/>
        <v>11</v>
      </c>
      <c r="W185" s="29">
        <f>VLOOKUP(U185,模板计算相关数据!A:N,2,0)</f>
        <v>8</v>
      </c>
      <c r="X185" s="3" t="s">
        <v>151</v>
      </c>
      <c r="Y185" s="3" t="s">
        <v>152</v>
      </c>
      <c r="Z185" s="95">
        <v>1.1499999999999999</v>
      </c>
      <c r="AA185" s="95">
        <v>1.1499999999999999</v>
      </c>
      <c r="AB185" s="95">
        <v>1</v>
      </c>
      <c r="AC185" s="95">
        <v>1</v>
      </c>
      <c r="AD185" s="95">
        <v>0</v>
      </c>
      <c r="AE185" s="95">
        <v>0</v>
      </c>
      <c r="AF185" s="95">
        <v>0</v>
      </c>
      <c r="AG185" s="95">
        <v>0</v>
      </c>
      <c r="AH185" s="95">
        <v>0</v>
      </c>
      <c r="AI185" s="95">
        <v>0</v>
      </c>
      <c r="AJ185" s="3">
        <f>INT(VLOOKUP(U185,模板计算相关数据!A:N,4,0)*VLOOKUP(U185,模板计算相关数据!A:N,14,0)*(1+MAX(0,(VLOOKUP(U185,模板计算相关数据!A:N,7,0)-AQ185))*VLOOKUP(U185,模板计算相关数据!A:N,8,0))*(1-(AL185+AM185)*0.5/((AL185+AM185)*0.5+(VLOOKUP(U185,模板计算相关数据!A:N,2,0)+模板计算相关数据!$AC$27)*模板计算相关数据!$AC$28))*Q185*Z185)</f>
        <v>1122</v>
      </c>
      <c r="AK185" s="3">
        <f>INT(VLOOKUP(U185,模板计算相关数据!A:N,3,0)/模板计算相关数据!$W$35/(1+MAX(0,(AO185/10000-VLOOKUP(U185,模板计算相关数据!A:N,9,0)))*AP185/10000)/(1-VLOOKUP(U185,模板计算相关数据!A:N,5,0)/(VLOOKUP(U185,模板计算相关数据!A:N,5,0)+(VLOOKUP(U185,模板计算相关数据!A:N,2,0)+模板计算相关数据!$AC$27)*模板计算相关数据!$AC$28))/S185*AA185)</f>
        <v>270</v>
      </c>
      <c r="AL185" s="3">
        <f>INT(VLOOKUP(U185,模板计算相关数据!A:N,5,0)*VLOOKUP(X185,模板计算相关数据!$P$4:$T$7,4,0)*VLOOKUP(Y185,模板计算相关数据!$P$22:$U$30,4,0)*AB185)</f>
        <v>533</v>
      </c>
      <c r="AM185" s="3">
        <f>INT(VLOOKUP(U185,模板计算相关数据!A:N,6,0)*VLOOKUP(X185,模板计算相关数据!$P$4:$T$7,4,0)*VLOOKUP(Y185,模板计算相关数据!$P$22:$U$30,5,0)*AC185)</f>
        <v>316</v>
      </c>
      <c r="AN185" s="3">
        <f>VLOOKUP(U185,模板计算相关数据!A:N,10,0)*0.5*VLOOKUP(Y185,模板计算相关数据!$P$22:$U$30,6,0)+AD185</f>
        <v>250</v>
      </c>
      <c r="AO185" s="3">
        <f>VLOOKUP(INT(VLOOKUP(U185,模板计算相关数据!A:N,2,0)/30)+1,模板计算相关数据!$O$35:$U$40,3,0)+AE185</f>
        <v>0</v>
      </c>
      <c r="AP185" s="3">
        <f>VLOOKUP(INT(VLOOKUP(U185,模板计算相关数据!A:N,2,0)/30)+1,模板计算相关数据!$O$35:$U$40,4,0)+AF185</f>
        <v>5000</v>
      </c>
      <c r="AQ185" s="3">
        <f>VLOOKUP(INT(VLOOKUP(U185,模板计算相关数据!A:N,2,0)/30)+1,模板计算相关数据!$O$35:$U$40,5,0)+AG185</f>
        <v>0</v>
      </c>
      <c r="AR185" s="3">
        <f>VLOOKUP(INT(VLOOKUP(U185,模板计算相关数据!A:N,2,0)/30)+1,模板计算相关数据!$O$35:$U$40,6,0)+AH185</f>
        <v>0</v>
      </c>
      <c r="AS185" s="3">
        <f>VLOOKUP(INT(VLOOKUP(U185,模板计算相关数据!A:N,2,0)/30)+1,模板计算相关数据!$O$35:$U$40,7,0)+AI185</f>
        <v>0</v>
      </c>
      <c r="AT185" s="3">
        <f>VLOOKUP(INT(VLOOKUP(U185,模板计算相关数据!A:N,2,0)/30)+1,模板计算相关数据!$O$35:$V$40,8,0)</f>
        <v>0</v>
      </c>
      <c r="AU185" s="2"/>
    </row>
    <row r="186" spans="1:47" x14ac:dyDescent="0.2">
      <c r="A186" s="19">
        <v>101050202</v>
      </c>
      <c r="B186" s="19"/>
      <c r="C186" s="69" t="s">
        <v>1746</v>
      </c>
      <c r="D186" s="87" t="s">
        <v>1017</v>
      </c>
      <c r="E186" s="2">
        <v>2</v>
      </c>
      <c r="F186" s="3">
        <v>1</v>
      </c>
      <c r="G186" s="3">
        <v>1001401</v>
      </c>
      <c r="H186" s="3">
        <v>4</v>
      </c>
      <c r="I186" s="3">
        <v>4</v>
      </c>
      <c r="J186" s="3">
        <v>1</v>
      </c>
      <c r="K186" s="3"/>
      <c r="L186" s="91" t="s">
        <v>948</v>
      </c>
      <c r="M186" s="3"/>
      <c r="N186" s="2">
        <v>1</v>
      </c>
      <c r="O186" s="2"/>
      <c r="P186" s="3" t="s">
        <v>1615</v>
      </c>
      <c r="Q186" s="95">
        <v>5.07</v>
      </c>
      <c r="R186" s="133">
        <f>IF(P186=模板计算相关数据!$AB$24,VLOOKUP(X186,模板计算相关数据!$P$47:$T$50,2,0),VLOOKUP(X186,模板计算相关数据!$P$4:$U$7,3,0))*VLOOKUP(Y186,模板计算相关数据!$P$22:$X$30,8,0)</f>
        <v>4.4674509803921572</v>
      </c>
      <c r="S186" s="62">
        <f t="shared" si="12"/>
        <v>5.4739930589768004</v>
      </c>
      <c r="T186" s="133">
        <f>IF(P186=模板计算相关数据!$AB$24,VLOOKUP(X186,模板计算相关数据!$P$47:$T$50,5,0),VLOOKUP(X186,模板计算相关数据!$P$4:$U$7,6,0))*VLOOKUP(Y186,模板计算相关数据!$P$22:$X$30,9,0)</f>
        <v>5.4739930589768004</v>
      </c>
      <c r="U186" s="95">
        <v>6</v>
      </c>
      <c r="V186" s="95">
        <f t="shared" si="16"/>
        <v>11</v>
      </c>
      <c r="W186" s="29">
        <f>VLOOKUP(U186,模板计算相关数据!A:N,2,0)</f>
        <v>8</v>
      </c>
      <c r="X186" s="3" t="s">
        <v>151</v>
      </c>
      <c r="Y186" s="3" t="s">
        <v>162</v>
      </c>
      <c r="Z186" s="95">
        <v>1.1499999999999999</v>
      </c>
      <c r="AA186" s="95">
        <v>1.1499999999999999</v>
      </c>
      <c r="AB186" s="95">
        <v>1</v>
      </c>
      <c r="AC186" s="95">
        <v>1</v>
      </c>
      <c r="AD186" s="95">
        <v>0</v>
      </c>
      <c r="AE186" s="95">
        <v>0</v>
      </c>
      <c r="AF186" s="95">
        <v>0</v>
      </c>
      <c r="AG186" s="95">
        <v>0</v>
      </c>
      <c r="AH186" s="95">
        <v>0</v>
      </c>
      <c r="AI186" s="95">
        <v>0</v>
      </c>
      <c r="AJ186" s="3">
        <f>INT(VLOOKUP(U186,模板计算相关数据!A:N,4,0)*VLOOKUP(U186,模板计算相关数据!A:N,14,0)*(1+MAX(0,(VLOOKUP(U186,模板计算相关数据!A:N,7,0)-AQ186))*VLOOKUP(U186,模板计算相关数据!A:N,8,0))*(1-(AL186+AM186)*0.5/((AL186+AM186)*0.5+(VLOOKUP(U186,模板计算相关数据!A:N,2,0)+模板计算相关数据!$AC$27)*模板计算相关数据!$AC$28))*Q186*Z186)</f>
        <v>1126</v>
      </c>
      <c r="AK186" s="3">
        <f>INT(VLOOKUP(U186,模板计算相关数据!A:N,3,0)/模板计算相关数据!$W$35/(1+MAX(0,(AO186/10000-VLOOKUP(U186,模板计算相关数据!A:N,9,0)))*AP186/10000)/(1-VLOOKUP(U186,模板计算相关数据!A:N,5,0)/(VLOOKUP(U186,模板计算相关数据!A:N,5,0)+(VLOOKUP(U186,模板计算相关数据!A:N,2,0)+模板计算相关数据!$AC$27)*模板计算相关数据!$AC$28))/S186*AA186)</f>
        <v>268</v>
      </c>
      <c r="AL186" s="3">
        <f>INT(VLOOKUP(U186,模板计算相关数据!A:N,5,0)*VLOOKUP(X186,模板计算相关数据!$P$4:$T$7,4,0)*VLOOKUP(Y186,模板计算相关数据!$P$22:$U$30,4,0)*AB186)</f>
        <v>316</v>
      </c>
      <c r="AM186" s="3">
        <f>INT(VLOOKUP(U186,模板计算相关数据!A:N,6,0)*VLOOKUP(X186,模板计算相关数据!$P$4:$T$7,4,0)*VLOOKUP(Y186,模板计算相关数据!$P$22:$U$30,5,0)*AC186)</f>
        <v>533</v>
      </c>
      <c r="AN186" s="3">
        <f>VLOOKUP(U186,模板计算相关数据!A:N,10,0)*0.5*VLOOKUP(Y186,模板计算相关数据!$P$22:$U$30,6,0)+AD186</f>
        <v>250</v>
      </c>
      <c r="AO186" s="3">
        <f>VLOOKUP(INT(VLOOKUP(U186,模板计算相关数据!A:N,2,0)/30)+1,模板计算相关数据!$O$35:$U$40,3,0)+AE186</f>
        <v>0</v>
      </c>
      <c r="AP186" s="3">
        <f>VLOOKUP(INT(VLOOKUP(U186,模板计算相关数据!A:N,2,0)/30)+1,模板计算相关数据!$O$35:$U$40,4,0)+AF186</f>
        <v>5000</v>
      </c>
      <c r="AQ186" s="3">
        <f>VLOOKUP(INT(VLOOKUP(U186,模板计算相关数据!A:N,2,0)/30)+1,模板计算相关数据!$O$35:$U$40,5,0)+AG186</f>
        <v>0</v>
      </c>
      <c r="AR186" s="3">
        <f>VLOOKUP(INT(VLOOKUP(U186,模板计算相关数据!A:N,2,0)/30)+1,模板计算相关数据!$O$35:$U$40,6,0)+AH186</f>
        <v>0</v>
      </c>
      <c r="AS186" s="3">
        <f>VLOOKUP(INT(VLOOKUP(U186,模板计算相关数据!A:N,2,0)/30)+1,模板计算相关数据!$O$35:$U$40,7,0)+AI186</f>
        <v>0</v>
      </c>
      <c r="AT186" s="3">
        <f>VLOOKUP(INT(VLOOKUP(U186,模板计算相关数据!A:N,2,0)/30)+1,模板计算相关数据!$O$35:$V$40,8,0)</f>
        <v>0</v>
      </c>
      <c r="AU186" s="2"/>
    </row>
    <row r="187" spans="1:47" x14ac:dyDescent="0.2">
      <c r="A187" s="19">
        <v>101050203</v>
      </c>
      <c r="B187" s="19"/>
      <c r="C187" s="69" t="s">
        <v>991</v>
      </c>
      <c r="D187" s="87" t="s">
        <v>1017</v>
      </c>
      <c r="E187" s="2">
        <v>1</v>
      </c>
      <c r="F187" s="3">
        <v>3</v>
      </c>
      <c r="G187" s="3">
        <v>1001501</v>
      </c>
      <c r="H187" s="3">
        <v>2</v>
      </c>
      <c r="I187" s="3">
        <v>4</v>
      </c>
      <c r="J187" s="3">
        <v>1</v>
      </c>
      <c r="K187" s="3"/>
      <c r="L187" s="91" t="s">
        <v>949</v>
      </c>
      <c r="M187" s="3"/>
      <c r="N187" s="2">
        <v>1</v>
      </c>
      <c r="O187" s="2"/>
      <c r="P187" s="3" t="s">
        <v>1615</v>
      </c>
      <c r="Q187" s="95">
        <v>7</v>
      </c>
      <c r="R187" s="133">
        <f>IF(P187=模板计算相关数据!$AB$24,VLOOKUP(X187,模板计算相关数据!$P$47:$T$50,2,0),VLOOKUP(X187,模板计算相关数据!$P$4:$U$7,3,0))*VLOOKUP(Y187,模板计算相关数据!$P$22:$X$30,8,0)</f>
        <v>6.9411764705882364</v>
      </c>
      <c r="S187" s="62">
        <f t="shared" si="12"/>
        <v>8.2943498888557112</v>
      </c>
      <c r="T187" s="133">
        <f>IF(P187=模板计算相关数据!$AB$24,VLOOKUP(X187,模板计算相关数据!$P$47:$T$50,5,0),VLOOKUP(X187,模板计算相关数据!$P$4:$U$7,6,0))*VLOOKUP(Y187,模板计算相关数据!$P$22:$X$30,9,0)</f>
        <v>8.2943498888557112</v>
      </c>
      <c r="U187" s="95">
        <v>6</v>
      </c>
      <c r="V187" s="95">
        <f t="shared" si="16"/>
        <v>11</v>
      </c>
      <c r="W187" s="29">
        <f>VLOOKUP(U187,模板计算相关数据!A:N,2,0)</f>
        <v>8</v>
      </c>
      <c r="X187" s="3" t="s">
        <v>151</v>
      </c>
      <c r="Y187" s="3" t="s">
        <v>155</v>
      </c>
      <c r="Z187" s="95">
        <v>1.1499999999999999</v>
      </c>
      <c r="AA187" s="95">
        <v>1.1499999999999999</v>
      </c>
      <c r="AB187" s="95">
        <v>1</v>
      </c>
      <c r="AC187" s="95">
        <v>1</v>
      </c>
      <c r="AD187" s="95">
        <v>0</v>
      </c>
      <c r="AE187" s="95">
        <v>0</v>
      </c>
      <c r="AF187" s="95">
        <v>0</v>
      </c>
      <c r="AG187" s="95">
        <v>0</v>
      </c>
      <c r="AH187" s="95">
        <v>0</v>
      </c>
      <c r="AI187" s="95">
        <v>0</v>
      </c>
      <c r="AJ187" s="3">
        <f>INT(VLOOKUP(U187,模板计算相关数据!A:N,4,0)*VLOOKUP(U187,模板计算相关数据!A:N,14,0)*(1+MAX(0,(VLOOKUP(U187,模板计算相关数据!A:N,7,0)-AQ187))*VLOOKUP(U187,模板计算相关数据!A:N,8,0))*(1-(AL187+AM187)*0.5/((AL187+AM187)*0.5+(VLOOKUP(U187,模板计算相关数据!A:N,2,0)+模板计算相关数据!$AC$27)*模板计算相关数据!$AC$28))*Q187*Z187)</f>
        <v>1486</v>
      </c>
      <c r="AK187" s="3">
        <f>INT(VLOOKUP(U187,模板计算相关数据!A:N,3,0)/模板计算相关数据!$W$35/(1+MAX(0,(AO187/10000-VLOOKUP(U187,模板计算相关数据!A:N,9,0)))*AP187/10000)/(1-VLOOKUP(U187,模板计算相关数据!A:N,5,0)/(VLOOKUP(U187,模板计算相关数据!A:N,5,0)+(VLOOKUP(U187,模板计算相关数据!A:N,2,0)+模板计算相关数据!$AC$27)*模板计算相关数据!$AC$28))/S187*AA187)</f>
        <v>177</v>
      </c>
      <c r="AL187" s="3">
        <f>INT(VLOOKUP(U187,模板计算相关数据!A:N,5,0)*VLOOKUP(X187,模板计算相关数据!$P$4:$T$7,4,0)*VLOOKUP(Y187,模板计算相关数据!$P$22:$U$30,4,0)*AB187)</f>
        <v>642</v>
      </c>
      <c r="AM187" s="3">
        <f>INT(VLOOKUP(U187,模板计算相关数据!A:N,6,0)*VLOOKUP(X187,模板计算相关数据!$P$4:$T$7,4,0)*VLOOKUP(Y187,模板计算相关数据!$P$22:$U$30,5,0)*AC187)</f>
        <v>355</v>
      </c>
      <c r="AN187" s="3">
        <f>VLOOKUP(U187,模板计算相关数据!A:N,10,0)*0.5*VLOOKUP(Y187,模板计算相关数据!$P$22:$U$30,6,0)+AD187</f>
        <v>225</v>
      </c>
      <c r="AO187" s="3">
        <f>VLOOKUP(INT(VLOOKUP(U187,模板计算相关数据!A:N,2,0)/30)+1,模板计算相关数据!$O$35:$U$40,3,0)+AE187</f>
        <v>0</v>
      </c>
      <c r="AP187" s="3">
        <f>VLOOKUP(INT(VLOOKUP(U187,模板计算相关数据!A:N,2,0)/30)+1,模板计算相关数据!$O$35:$U$40,4,0)+AF187</f>
        <v>5000</v>
      </c>
      <c r="AQ187" s="3">
        <f>VLOOKUP(INT(VLOOKUP(U187,模板计算相关数据!A:N,2,0)/30)+1,模板计算相关数据!$O$35:$U$40,5,0)+AG187</f>
        <v>0</v>
      </c>
      <c r="AR187" s="3">
        <f>VLOOKUP(INT(VLOOKUP(U187,模板计算相关数据!A:N,2,0)/30)+1,模板计算相关数据!$O$35:$U$40,6,0)+AH187</f>
        <v>0</v>
      </c>
      <c r="AS187" s="3">
        <f>VLOOKUP(INT(VLOOKUP(U187,模板计算相关数据!A:N,2,0)/30)+1,模板计算相关数据!$O$35:$U$40,7,0)+AI187</f>
        <v>0</v>
      </c>
      <c r="AT187" s="3">
        <f>VLOOKUP(INT(VLOOKUP(U187,模板计算相关数据!A:N,2,0)/30)+1,模板计算相关数据!$O$35:$V$40,8,0)</f>
        <v>0</v>
      </c>
      <c r="AU187" s="2"/>
    </row>
    <row r="188" spans="1:47" x14ac:dyDescent="0.2">
      <c r="A188" s="17">
        <v>101050301</v>
      </c>
      <c r="B188" s="17"/>
      <c r="C188" s="69" t="s">
        <v>1381</v>
      </c>
      <c r="D188" s="33" t="s">
        <v>1016</v>
      </c>
      <c r="E188" s="2">
        <v>1</v>
      </c>
      <c r="F188" s="3">
        <v>1</v>
      </c>
      <c r="G188" s="3">
        <v>1001801</v>
      </c>
      <c r="H188" s="3">
        <v>1</v>
      </c>
      <c r="I188" s="3">
        <v>4</v>
      </c>
      <c r="J188" s="3">
        <v>5</v>
      </c>
      <c r="K188" s="3"/>
      <c r="L188" s="91" t="s">
        <v>951</v>
      </c>
      <c r="M188" s="3"/>
      <c r="N188" s="2">
        <v>1</v>
      </c>
      <c r="O188" s="2"/>
      <c r="P188" s="3" t="s">
        <v>1613</v>
      </c>
      <c r="Q188" s="95">
        <f t="shared" ref="Q188:Q192" si="17">R188</f>
        <v>3.5338039215686279</v>
      </c>
      <c r="R188" s="133">
        <f>IF(P188=模板计算相关数据!$AB$24,VLOOKUP(X188,模板计算相关数据!$P$47:$T$50,2,0),VLOOKUP(X188,模板计算相关数据!$P$4:$U$7,3,0))*VLOOKUP(Y188,模板计算相关数据!$P$22:$X$30,8,0)</f>
        <v>3.5338039215686279</v>
      </c>
      <c r="S188" s="62">
        <f t="shared" si="12"/>
        <v>7.080688696105339</v>
      </c>
      <c r="T188" s="133">
        <f>IF(P188=模板计算相关数据!$AB$24,VLOOKUP(X188,模板计算相关数据!$P$47:$T$50,5,0),VLOOKUP(X188,模板计算相关数据!$P$4:$U$7,6,0))*VLOOKUP(Y188,模板计算相关数据!$P$22:$X$30,9,0)</f>
        <v>7.080688696105339</v>
      </c>
      <c r="U188" s="95">
        <v>7</v>
      </c>
      <c r="V188" s="95">
        <f t="shared" si="16"/>
        <v>15</v>
      </c>
      <c r="W188" s="29">
        <f>VLOOKUP(U188,模板计算相关数据!A:N,2,0)</f>
        <v>12</v>
      </c>
      <c r="X188" s="3" t="s">
        <v>151</v>
      </c>
      <c r="Y188" s="3" t="s">
        <v>152</v>
      </c>
      <c r="Z188" s="99">
        <v>1.05</v>
      </c>
      <c r="AA188" s="95">
        <v>1.05</v>
      </c>
      <c r="AB188" s="95">
        <v>1</v>
      </c>
      <c r="AC188" s="95">
        <v>1</v>
      </c>
      <c r="AD188" s="95">
        <v>0</v>
      </c>
      <c r="AE188" s="95">
        <v>0</v>
      </c>
      <c r="AF188" s="95">
        <v>0</v>
      </c>
      <c r="AG188" s="95">
        <v>0</v>
      </c>
      <c r="AH188" s="95">
        <v>0</v>
      </c>
      <c r="AI188" s="95">
        <v>0</v>
      </c>
      <c r="AJ188" s="3">
        <f>INT(VLOOKUP(U188,模板计算相关数据!A:N,4,0)*VLOOKUP(U188,模板计算相关数据!A:N,14,0)*(1+MAX(0,(VLOOKUP(U188,模板计算相关数据!A:N,7,0)-AQ188))*VLOOKUP(U188,模板计算相关数据!A:N,8,0))*(1-(AL188+AM188)*0.5/((AL188+AM188)*0.5+(VLOOKUP(U188,模板计算相关数据!A:N,2,0)+模板计算相关数据!$AC$27)*模板计算相关数据!$AC$28))*Q188*Z188)</f>
        <v>956</v>
      </c>
      <c r="AK188" s="3">
        <f>INT(VLOOKUP(U188,模板计算相关数据!A:N,3,0)/模板计算相关数据!$W$35/(1+MAX(0,(AO188/10000-VLOOKUP(U188,模板计算相关数据!A:N,9,0)))*AP188/10000)/(1-VLOOKUP(U188,模板计算相关数据!A:N,5,0)/(VLOOKUP(U188,模板计算相关数据!A:N,5,0)+(VLOOKUP(U188,模板计算相关数据!A:N,2,0)+模板计算相关数据!$AC$27)*模板计算相关数据!$AC$28))/S188*AA188)</f>
        <v>259</v>
      </c>
      <c r="AL188" s="3">
        <f>INT(VLOOKUP(U188,模板计算相关数据!A:N,5,0)*VLOOKUP(X188,模板计算相关数据!$P$4:$T$7,4,0)*VLOOKUP(Y188,模板计算相关数据!$P$22:$U$30,4,0)*AB188)</f>
        <v>727</v>
      </c>
      <c r="AM188" s="3">
        <f>INT(VLOOKUP(U188,模板计算相关数据!A:N,6,0)*VLOOKUP(X188,模板计算相关数据!$P$4:$T$7,4,0)*VLOOKUP(Y188,模板计算相关数据!$P$22:$U$30,5,0)*AC188)</f>
        <v>431</v>
      </c>
      <c r="AN188" s="3">
        <f>VLOOKUP(U188,模板计算相关数据!A:N,10,0)*0.5*VLOOKUP(Y188,模板计算相关数据!$P$22:$U$30,6,0)+AD188</f>
        <v>250</v>
      </c>
      <c r="AO188" s="3">
        <f>VLOOKUP(INT(VLOOKUP(U188,模板计算相关数据!A:N,2,0)/30)+1,模板计算相关数据!$O$35:$U$40,3,0)+AE188</f>
        <v>0</v>
      </c>
      <c r="AP188" s="3">
        <f>VLOOKUP(INT(VLOOKUP(U188,模板计算相关数据!A:N,2,0)/30)+1,模板计算相关数据!$O$35:$U$40,4,0)+AF188</f>
        <v>5000</v>
      </c>
      <c r="AQ188" s="3">
        <f>VLOOKUP(INT(VLOOKUP(U188,模板计算相关数据!A:N,2,0)/30)+1,模板计算相关数据!$O$35:$U$40,5,0)+AG188</f>
        <v>0</v>
      </c>
      <c r="AR188" s="3">
        <f>VLOOKUP(INT(VLOOKUP(U188,模板计算相关数据!A:N,2,0)/30)+1,模板计算相关数据!$O$35:$U$40,6,0)+AH188</f>
        <v>0</v>
      </c>
      <c r="AS188" s="3">
        <f>VLOOKUP(INT(VLOOKUP(U188,模板计算相关数据!A:N,2,0)/30)+1,模板计算相关数据!$O$35:$U$40,7,0)+AI188</f>
        <v>0</v>
      </c>
      <c r="AT188" s="3">
        <f>VLOOKUP(INT(VLOOKUP(U188,模板计算相关数据!A:N,2,0)/30)+1,模板计算相关数据!$O$35:$V$40,8,0)</f>
        <v>0</v>
      </c>
      <c r="AU188" s="2"/>
    </row>
    <row r="189" spans="1:47" x14ac:dyDescent="0.2">
      <c r="A189" s="17">
        <v>101050302</v>
      </c>
      <c r="B189" s="17"/>
      <c r="C189" s="69" t="s">
        <v>995</v>
      </c>
      <c r="D189" s="33" t="s">
        <v>1016</v>
      </c>
      <c r="E189" s="2">
        <v>1</v>
      </c>
      <c r="F189" s="3">
        <v>1</v>
      </c>
      <c r="G189" s="3">
        <v>1001801</v>
      </c>
      <c r="H189" s="3">
        <v>1</v>
      </c>
      <c r="I189" s="3">
        <v>4</v>
      </c>
      <c r="J189" s="3">
        <v>5</v>
      </c>
      <c r="K189" s="3"/>
      <c r="L189" s="91" t="s">
        <v>951</v>
      </c>
      <c r="M189" s="3"/>
      <c r="N189" s="2">
        <v>1</v>
      </c>
      <c r="O189" s="2"/>
      <c r="P189" s="3" t="s">
        <v>1613</v>
      </c>
      <c r="Q189" s="95">
        <f t="shared" si="17"/>
        <v>3.5338039215686279</v>
      </c>
      <c r="R189" s="133">
        <f>IF(P189=模板计算相关数据!$AB$24,VLOOKUP(X189,模板计算相关数据!$P$47:$T$50,2,0),VLOOKUP(X189,模板计算相关数据!$P$4:$U$7,3,0))*VLOOKUP(Y189,模板计算相关数据!$P$22:$X$30,8,0)</f>
        <v>3.5338039215686279</v>
      </c>
      <c r="S189" s="62">
        <f t="shared" si="12"/>
        <v>7.080688696105339</v>
      </c>
      <c r="T189" s="133">
        <f>IF(P189=模板计算相关数据!$AB$24,VLOOKUP(X189,模板计算相关数据!$P$47:$T$50,5,0),VLOOKUP(X189,模板计算相关数据!$P$4:$U$7,6,0))*VLOOKUP(Y189,模板计算相关数据!$P$22:$X$30,9,0)</f>
        <v>7.080688696105339</v>
      </c>
      <c r="U189" s="95">
        <v>7</v>
      </c>
      <c r="V189" s="95">
        <f t="shared" si="16"/>
        <v>15</v>
      </c>
      <c r="W189" s="29">
        <f>VLOOKUP(U189,模板计算相关数据!A:N,2,0)</f>
        <v>12</v>
      </c>
      <c r="X189" s="3" t="s">
        <v>151</v>
      </c>
      <c r="Y189" s="3" t="s">
        <v>152</v>
      </c>
      <c r="Z189" s="99">
        <v>1.05</v>
      </c>
      <c r="AA189" s="95">
        <v>1.05</v>
      </c>
      <c r="AB189" s="95">
        <v>1</v>
      </c>
      <c r="AC189" s="95">
        <v>1</v>
      </c>
      <c r="AD189" s="95">
        <v>0</v>
      </c>
      <c r="AE189" s="95">
        <v>0</v>
      </c>
      <c r="AF189" s="95">
        <v>0</v>
      </c>
      <c r="AG189" s="95">
        <v>0</v>
      </c>
      <c r="AH189" s="95">
        <v>0</v>
      </c>
      <c r="AI189" s="95">
        <v>0</v>
      </c>
      <c r="AJ189" s="3">
        <f>INT(VLOOKUP(U189,模板计算相关数据!A:N,4,0)*VLOOKUP(U189,模板计算相关数据!A:N,14,0)*(1+MAX(0,(VLOOKUP(U189,模板计算相关数据!A:N,7,0)-AQ189))*VLOOKUP(U189,模板计算相关数据!A:N,8,0))*(1-(AL189+AM189)*0.5/((AL189+AM189)*0.5+(VLOOKUP(U189,模板计算相关数据!A:N,2,0)+模板计算相关数据!$AC$27)*模板计算相关数据!$AC$28))*Q189*Z189)</f>
        <v>956</v>
      </c>
      <c r="AK189" s="3">
        <f>INT(VLOOKUP(U189,模板计算相关数据!A:N,3,0)/模板计算相关数据!$W$35/(1+MAX(0,(AO189/10000-VLOOKUP(U189,模板计算相关数据!A:N,9,0)))*AP189/10000)/(1-VLOOKUP(U189,模板计算相关数据!A:N,5,0)/(VLOOKUP(U189,模板计算相关数据!A:N,5,0)+(VLOOKUP(U189,模板计算相关数据!A:N,2,0)+模板计算相关数据!$AC$27)*模板计算相关数据!$AC$28))/S189*AA189)</f>
        <v>259</v>
      </c>
      <c r="AL189" s="3">
        <f>INT(VLOOKUP(U189,模板计算相关数据!A:N,5,0)*VLOOKUP(X189,模板计算相关数据!$P$4:$T$7,4,0)*VLOOKUP(Y189,模板计算相关数据!$P$22:$U$30,4,0)*AB189)</f>
        <v>727</v>
      </c>
      <c r="AM189" s="3">
        <f>INT(VLOOKUP(U189,模板计算相关数据!A:N,6,0)*VLOOKUP(X189,模板计算相关数据!$P$4:$T$7,4,0)*VLOOKUP(Y189,模板计算相关数据!$P$22:$U$30,5,0)*AC189)</f>
        <v>431</v>
      </c>
      <c r="AN189" s="3">
        <f>VLOOKUP(U189,模板计算相关数据!A:N,10,0)*0.5*VLOOKUP(Y189,模板计算相关数据!$P$22:$U$30,6,0)+AD189</f>
        <v>250</v>
      </c>
      <c r="AO189" s="3">
        <f>VLOOKUP(INT(VLOOKUP(U189,模板计算相关数据!A:N,2,0)/30)+1,模板计算相关数据!$O$35:$U$40,3,0)+AE189</f>
        <v>0</v>
      </c>
      <c r="AP189" s="3">
        <f>VLOOKUP(INT(VLOOKUP(U189,模板计算相关数据!A:N,2,0)/30)+1,模板计算相关数据!$O$35:$U$40,4,0)+AF189</f>
        <v>5000</v>
      </c>
      <c r="AQ189" s="3">
        <f>VLOOKUP(INT(VLOOKUP(U189,模板计算相关数据!A:N,2,0)/30)+1,模板计算相关数据!$O$35:$U$40,5,0)+AG189</f>
        <v>0</v>
      </c>
      <c r="AR189" s="3">
        <f>VLOOKUP(INT(VLOOKUP(U189,模板计算相关数据!A:N,2,0)/30)+1,模板计算相关数据!$O$35:$U$40,6,0)+AH189</f>
        <v>0</v>
      </c>
      <c r="AS189" s="3">
        <f>VLOOKUP(INT(VLOOKUP(U189,模板计算相关数据!A:N,2,0)/30)+1,模板计算相关数据!$O$35:$U$40,7,0)+AI189</f>
        <v>0</v>
      </c>
      <c r="AT189" s="3">
        <f>VLOOKUP(INT(VLOOKUP(U189,模板计算相关数据!A:N,2,0)/30)+1,模板计算相关数据!$O$35:$V$40,8,0)</f>
        <v>0</v>
      </c>
      <c r="AU189" s="2"/>
    </row>
    <row r="190" spans="1:47" x14ac:dyDescent="0.2">
      <c r="A190" s="17">
        <v>101050303</v>
      </c>
      <c r="B190" s="17"/>
      <c r="C190" s="69" t="s">
        <v>1379</v>
      </c>
      <c r="D190" s="33" t="s">
        <v>1016</v>
      </c>
      <c r="E190" s="2">
        <v>1</v>
      </c>
      <c r="F190" s="3">
        <v>2</v>
      </c>
      <c r="G190" s="3">
        <v>1001901</v>
      </c>
      <c r="H190" s="3">
        <v>3</v>
      </c>
      <c r="I190" s="3">
        <v>4</v>
      </c>
      <c r="J190" s="3">
        <v>5</v>
      </c>
      <c r="K190" s="3"/>
      <c r="L190" s="91" t="s">
        <v>1542</v>
      </c>
      <c r="M190" s="3"/>
      <c r="N190" s="2">
        <v>1</v>
      </c>
      <c r="O190" s="2"/>
      <c r="P190" s="3" t="s">
        <v>1613</v>
      </c>
      <c r="Q190" s="95">
        <f t="shared" si="17"/>
        <v>4.4800000000000013</v>
      </c>
      <c r="R190" s="133">
        <f>IF(P190=模板计算相关数据!$AB$24,VLOOKUP(X190,模板计算相关数据!$P$47:$T$50,2,0),VLOOKUP(X190,模板计算相关数据!$P$4:$U$7,3,0))*VLOOKUP(Y190,模板计算相关数据!$P$22:$X$30,8,0)</f>
        <v>4.4800000000000013</v>
      </c>
      <c r="S190" s="62">
        <f t="shared" si="12"/>
        <v>8.6991318266437023</v>
      </c>
      <c r="T190" s="133">
        <f>IF(P190=模板计算相关数据!$AB$24,VLOOKUP(X190,模板计算相关数据!$P$47:$T$50,5,0),VLOOKUP(X190,模板计算相关数据!$P$4:$U$7,6,0))*VLOOKUP(Y190,模板计算相关数据!$P$22:$X$30,9,0)</f>
        <v>8.6991318266437023</v>
      </c>
      <c r="U190" s="95">
        <v>7</v>
      </c>
      <c r="V190" s="95">
        <f t="shared" si="16"/>
        <v>15</v>
      </c>
      <c r="W190" s="29">
        <f>VLOOKUP(U190,模板计算相关数据!A:N,2,0)</f>
        <v>12</v>
      </c>
      <c r="X190" s="3" t="s">
        <v>151</v>
      </c>
      <c r="Y190" s="3" t="s">
        <v>255</v>
      </c>
      <c r="Z190" s="99">
        <v>1.05</v>
      </c>
      <c r="AA190" s="95">
        <v>1.05</v>
      </c>
      <c r="AB190" s="95">
        <v>1</v>
      </c>
      <c r="AC190" s="95">
        <v>1</v>
      </c>
      <c r="AD190" s="95">
        <v>0</v>
      </c>
      <c r="AE190" s="95">
        <v>0</v>
      </c>
      <c r="AF190" s="95">
        <v>0</v>
      </c>
      <c r="AG190" s="95">
        <v>0</v>
      </c>
      <c r="AH190" s="95">
        <v>0</v>
      </c>
      <c r="AI190" s="95">
        <v>0</v>
      </c>
      <c r="AJ190" s="3">
        <f>INT(VLOOKUP(U190,模板计算相关数据!A:N,4,0)*VLOOKUP(U190,模板计算相关数据!A:N,14,0)*(1+MAX(0,(VLOOKUP(U190,模板计算相关数据!A:N,7,0)-AQ190))*VLOOKUP(U190,模板计算相关数据!A:N,8,0))*(1-(AL190+AM190)*0.5/((AL190+AM190)*0.5+(VLOOKUP(U190,模板计算相关数据!A:N,2,0)+模板计算相关数据!$AC$27)*模板计算相关数据!$AC$28))*Q190*Z190)</f>
        <v>1160</v>
      </c>
      <c r="AK190" s="3">
        <f>INT(VLOOKUP(U190,模板计算相关数据!A:N,3,0)/模板计算相关数据!$W$35/(1+MAX(0,(AO190/10000-VLOOKUP(U190,模板计算相关数据!A:N,9,0)))*AP190/10000)/(1-VLOOKUP(U190,模板计算相关数据!A:N,5,0)/(VLOOKUP(U190,模板计算相关数据!A:N,5,0)+(VLOOKUP(U190,模板计算相关数据!A:N,2,0)+模板计算相关数据!$AC$27)*模板计算相关数据!$AC$28))/S190*AA190)</f>
        <v>211</v>
      </c>
      <c r="AL190" s="3">
        <f>INT(VLOOKUP(U190,模板计算相关数据!A:N,5,0)*VLOOKUP(X190,模板计算相关数据!$P$4:$T$7,4,0)*VLOOKUP(Y190,模板计算相关数据!$P$22:$U$30,4,0)*AB190)</f>
        <v>471</v>
      </c>
      <c r="AM190" s="3">
        <f>INT(VLOOKUP(U190,模板计算相关数据!A:N,6,0)*VLOOKUP(X190,模板计算相关数据!$P$4:$T$7,4,0)*VLOOKUP(Y190,模板计算相关数据!$P$22:$U$30,5,0)*AC190)</f>
        <v>875</v>
      </c>
      <c r="AN190" s="3">
        <f>VLOOKUP(U190,模板计算相关数据!A:N,10,0)*0.5*VLOOKUP(Y190,模板计算相关数据!$P$22:$U$30,6,0)+AD190</f>
        <v>225</v>
      </c>
      <c r="AO190" s="3">
        <f>VLOOKUP(INT(VLOOKUP(U190,模板计算相关数据!A:N,2,0)/30)+1,模板计算相关数据!$O$35:$U$40,3,0)+AE190</f>
        <v>0</v>
      </c>
      <c r="AP190" s="3">
        <f>VLOOKUP(INT(VLOOKUP(U190,模板计算相关数据!A:N,2,0)/30)+1,模板计算相关数据!$O$35:$U$40,4,0)+AF190</f>
        <v>5000</v>
      </c>
      <c r="AQ190" s="3">
        <f>VLOOKUP(INT(VLOOKUP(U190,模板计算相关数据!A:N,2,0)/30)+1,模板计算相关数据!$O$35:$U$40,5,0)+AG190</f>
        <v>0</v>
      </c>
      <c r="AR190" s="3">
        <f>VLOOKUP(INT(VLOOKUP(U190,模板计算相关数据!A:N,2,0)/30)+1,模板计算相关数据!$O$35:$U$40,6,0)+AH190</f>
        <v>0</v>
      </c>
      <c r="AS190" s="3">
        <f>VLOOKUP(INT(VLOOKUP(U190,模板计算相关数据!A:N,2,0)/30)+1,模板计算相关数据!$O$35:$U$40,7,0)+AI190</f>
        <v>0</v>
      </c>
      <c r="AT190" s="3">
        <f>VLOOKUP(INT(VLOOKUP(U190,模板计算相关数据!A:N,2,0)/30)+1,模板计算相关数据!$O$35:$V$40,8,0)</f>
        <v>0</v>
      </c>
      <c r="AU190" s="2"/>
    </row>
    <row r="191" spans="1:47" x14ac:dyDescent="0.2">
      <c r="A191" s="19">
        <v>101050401</v>
      </c>
      <c r="B191" s="19"/>
      <c r="C191" s="69" t="s">
        <v>995</v>
      </c>
      <c r="D191" s="33" t="s">
        <v>1016</v>
      </c>
      <c r="E191" s="2">
        <v>1</v>
      </c>
      <c r="F191" s="3">
        <v>1</v>
      </c>
      <c r="G191" s="3">
        <v>1001801</v>
      </c>
      <c r="H191" s="3">
        <v>1</v>
      </c>
      <c r="I191" s="3">
        <v>4</v>
      </c>
      <c r="J191" s="3">
        <v>5</v>
      </c>
      <c r="K191" s="3"/>
      <c r="L191" s="91" t="s">
        <v>951</v>
      </c>
      <c r="M191" s="3"/>
      <c r="N191" s="2">
        <v>1</v>
      </c>
      <c r="O191" s="2"/>
      <c r="P191" s="3" t="s">
        <v>1613</v>
      </c>
      <c r="Q191" s="95">
        <f t="shared" si="17"/>
        <v>3.5338039215686279</v>
      </c>
      <c r="R191" s="133">
        <f>IF(P191=模板计算相关数据!$AB$24,VLOOKUP(X191,模板计算相关数据!$P$47:$T$50,2,0),VLOOKUP(X191,模板计算相关数据!$P$4:$U$7,3,0))*VLOOKUP(Y191,模板计算相关数据!$P$22:$X$30,8,0)</f>
        <v>3.5338039215686279</v>
      </c>
      <c r="S191" s="62">
        <f t="shared" si="12"/>
        <v>7.080688696105339</v>
      </c>
      <c r="T191" s="133">
        <f>IF(P191=模板计算相关数据!$AB$24,VLOOKUP(X191,模板计算相关数据!$P$47:$T$50,5,0),VLOOKUP(X191,模板计算相关数据!$P$4:$U$7,6,0))*VLOOKUP(Y191,模板计算相关数据!$P$22:$X$30,9,0)</f>
        <v>7.080688696105339</v>
      </c>
      <c r="U191" s="95">
        <v>7</v>
      </c>
      <c r="V191" s="95">
        <f t="shared" si="16"/>
        <v>15</v>
      </c>
      <c r="W191" s="29">
        <f>VLOOKUP(U191,模板计算相关数据!A:N,2,0)</f>
        <v>12</v>
      </c>
      <c r="X191" s="3" t="s">
        <v>151</v>
      </c>
      <c r="Y191" s="3" t="s">
        <v>152</v>
      </c>
      <c r="Z191" s="99">
        <v>1.05</v>
      </c>
      <c r="AA191" s="95">
        <v>1.05</v>
      </c>
      <c r="AB191" s="95">
        <v>1</v>
      </c>
      <c r="AC191" s="95">
        <v>1</v>
      </c>
      <c r="AD191" s="95">
        <v>0</v>
      </c>
      <c r="AE191" s="95">
        <v>0</v>
      </c>
      <c r="AF191" s="95">
        <v>0</v>
      </c>
      <c r="AG191" s="95">
        <v>0</v>
      </c>
      <c r="AH191" s="95">
        <v>0</v>
      </c>
      <c r="AI191" s="95">
        <v>0</v>
      </c>
      <c r="AJ191" s="3">
        <f>INT(VLOOKUP(U191,模板计算相关数据!A:N,4,0)*VLOOKUP(U191,模板计算相关数据!A:N,14,0)*(1+MAX(0,(VLOOKUP(U191,模板计算相关数据!A:N,7,0)-AQ191))*VLOOKUP(U191,模板计算相关数据!A:N,8,0))*(1-(AL191+AM191)*0.5/((AL191+AM191)*0.5+(VLOOKUP(U191,模板计算相关数据!A:N,2,0)+模板计算相关数据!$AC$27)*模板计算相关数据!$AC$28))*Q191*Z191)</f>
        <v>956</v>
      </c>
      <c r="AK191" s="3">
        <f>INT(VLOOKUP(U191,模板计算相关数据!A:N,3,0)/模板计算相关数据!$W$35/(1+MAX(0,(AO191/10000-VLOOKUP(U191,模板计算相关数据!A:N,9,0)))*AP191/10000)/(1-VLOOKUP(U191,模板计算相关数据!A:N,5,0)/(VLOOKUP(U191,模板计算相关数据!A:N,5,0)+(VLOOKUP(U191,模板计算相关数据!A:N,2,0)+模板计算相关数据!$AC$27)*模板计算相关数据!$AC$28))/S191*AA191)</f>
        <v>259</v>
      </c>
      <c r="AL191" s="3">
        <f>INT(VLOOKUP(U191,模板计算相关数据!A:N,5,0)*VLOOKUP(X191,模板计算相关数据!$P$4:$T$7,4,0)*VLOOKUP(Y191,模板计算相关数据!$P$22:$U$30,4,0)*AB191)</f>
        <v>727</v>
      </c>
      <c r="AM191" s="3">
        <f>INT(VLOOKUP(U191,模板计算相关数据!A:N,6,0)*VLOOKUP(X191,模板计算相关数据!$P$4:$T$7,4,0)*VLOOKUP(Y191,模板计算相关数据!$P$22:$U$30,5,0)*AC191)</f>
        <v>431</v>
      </c>
      <c r="AN191" s="3">
        <f>VLOOKUP(U191,模板计算相关数据!A:N,10,0)*0.5*VLOOKUP(Y191,模板计算相关数据!$P$22:$U$30,6,0)+AD191</f>
        <v>250</v>
      </c>
      <c r="AO191" s="3">
        <f>VLOOKUP(INT(VLOOKUP(U191,模板计算相关数据!A:N,2,0)/30)+1,模板计算相关数据!$O$35:$U$40,3,0)+AE191</f>
        <v>0</v>
      </c>
      <c r="AP191" s="3">
        <f>VLOOKUP(INT(VLOOKUP(U191,模板计算相关数据!A:N,2,0)/30)+1,模板计算相关数据!$O$35:$U$40,4,0)+AF191</f>
        <v>5000</v>
      </c>
      <c r="AQ191" s="3">
        <f>VLOOKUP(INT(VLOOKUP(U191,模板计算相关数据!A:N,2,0)/30)+1,模板计算相关数据!$O$35:$U$40,5,0)+AG191</f>
        <v>0</v>
      </c>
      <c r="AR191" s="3">
        <f>VLOOKUP(INT(VLOOKUP(U191,模板计算相关数据!A:N,2,0)/30)+1,模板计算相关数据!$O$35:$U$40,6,0)+AH191</f>
        <v>0</v>
      </c>
      <c r="AS191" s="3">
        <f>VLOOKUP(INT(VLOOKUP(U191,模板计算相关数据!A:N,2,0)/30)+1,模板计算相关数据!$O$35:$U$40,7,0)+AI191</f>
        <v>0</v>
      </c>
      <c r="AT191" s="3">
        <f>VLOOKUP(INT(VLOOKUP(U191,模板计算相关数据!A:N,2,0)/30)+1,模板计算相关数据!$O$35:$V$40,8,0)</f>
        <v>0</v>
      </c>
      <c r="AU191" s="2"/>
    </row>
    <row r="192" spans="1:47" x14ac:dyDescent="0.2">
      <c r="A192" s="19">
        <v>101050402</v>
      </c>
      <c r="B192" s="19"/>
      <c r="C192" s="69" t="s">
        <v>994</v>
      </c>
      <c r="D192" s="33" t="s">
        <v>1016</v>
      </c>
      <c r="E192" s="2">
        <v>1</v>
      </c>
      <c r="F192" s="3">
        <v>2</v>
      </c>
      <c r="G192" s="3">
        <v>1001901</v>
      </c>
      <c r="H192" s="3">
        <v>3</v>
      </c>
      <c r="I192" s="3">
        <v>4</v>
      </c>
      <c r="J192" s="3">
        <v>5</v>
      </c>
      <c r="K192" s="3"/>
      <c r="L192" s="91" t="s">
        <v>1542</v>
      </c>
      <c r="M192" s="3"/>
      <c r="N192" s="2">
        <v>1</v>
      </c>
      <c r="O192" s="2"/>
      <c r="P192" s="3" t="s">
        <v>1613</v>
      </c>
      <c r="Q192" s="95">
        <f t="shared" si="17"/>
        <v>4.4800000000000013</v>
      </c>
      <c r="R192" s="133">
        <f>IF(P192=模板计算相关数据!$AB$24,VLOOKUP(X192,模板计算相关数据!$P$47:$T$50,2,0),VLOOKUP(X192,模板计算相关数据!$P$4:$U$7,3,0))*VLOOKUP(Y192,模板计算相关数据!$P$22:$X$30,8,0)</f>
        <v>4.4800000000000013</v>
      </c>
      <c r="S192" s="62">
        <f t="shared" si="12"/>
        <v>8.6991318266437023</v>
      </c>
      <c r="T192" s="133">
        <f>IF(P192=模板计算相关数据!$AB$24,VLOOKUP(X192,模板计算相关数据!$P$47:$T$50,5,0),VLOOKUP(X192,模板计算相关数据!$P$4:$U$7,6,0))*VLOOKUP(Y192,模板计算相关数据!$P$22:$X$30,9,0)</f>
        <v>8.6991318266437023</v>
      </c>
      <c r="U192" s="95">
        <v>7</v>
      </c>
      <c r="V192" s="95">
        <f t="shared" si="16"/>
        <v>15</v>
      </c>
      <c r="W192" s="29">
        <f>VLOOKUP(U192,模板计算相关数据!A:N,2,0)</f>
        <v>12</v>
      </c>
      <c r="X192" s="3" t="s">
        <v>151</v>
      </c>
      <c r="Y192" s="3" t="s">
        <v>255</v>
      </c>
      <c r="Z192" s="99">
        <v>1.05</v>
      </c>
      <c r="AA192" s="95">
        <v>1.05</v>
      </c>
      <c r="AB192" s="95">
        <v>1</v>
      </c>
      <c r="AC192" s="95">
        <v>1</v>
      </c>
      <c r="AD192" s="95">
        <v>0</v>
      </c>
      <c r="AE192" s="95">
        <v>0</v>
      </c>
      <c r="AF192" s="95">
        <v>0</v>
      </c>
      <c r="AG192" s="95">
        <v>0</v>
      </c>
      <c r="AH192" s="95">
        <v>0</v>
      </c>
      <c r="AI192" s="95">
        <v>0</v>
      </c>
      <c r="AJ192" s="3">
        <f>INT(VLOOKUP(U192,模板计算相关数据!A:N,4,0)*VLOOKUP(U192,模板计算相关数据!A:N,14,0)*(1+MAX(0,(VLOOKUP(U192,模板计算相关数据!A:N,7,0)-AQ192))*VLOOKUP(U192,模板计算相关数据!A:N,8,0))*(1-(AL192+AM192)*0.5/((AL192+AM192)*0.5+(VLOOKUP(U192,模板计算相关数据!A:N,2,0)+模板计算相关数据!$AC$27)*模板计算相关数据!$AC$28))*Q192*Z192)</f>
        <v>1160</v>
      </c>
      <c r="AK192" s="3">
        <f>INT(VLOOKUP(U192,模板计算相关数据!A:N,3,0)/模板计算相关数据!$W$35/(1+MAX(0,(AO192/10000-VLOOKUP(U192,模板计算相关数据!A:N,9,0)))*AP192/10000)/(1-VLOOKUP(U192,模板计算相关数据!A:N,5,0)/(VLOOKUP(U192,模板计算相关数据!A:N,5,0)+(VLOOKUP(U192,模板计算相关数据!A:N,2,0)+模板计算相关数据!$AC$27)*模板计算相关数据!$AC$28))/S192*AA192)</f>
        <v>211</v>
      </c>
      <c r="AL192" s="3">
        <f>INT(VLOOKUP(U192,模板计算相关数据!A:N,5,0)*VLOOKUP(X192,模板计算相关数据!$P$4:$T$7,4,0)*VLOOKUP(Y192,模板计算相关数据!$P$22:$U$30,4,0)*AB192)</f>
        <v>471</v>
      </c>
      <c r="AM192" s="3">
        <f>INT(VLOOKUP(U192,模板计算相关数据!A:N,6,0)*VLOOKUP(X192,模板计算相关数据!$P$4:$T$7,4,0)*VLOOKUP(Y192,模板计算相关数据!$P$22:$U$30,5,0)*AC192)</f>
        <v>875</v>
      </c>
      <c r="AN192" s="3">
        <f>VLOOKUP(U192,模板计算相关数据!A:N,10,0)*0.5*VLOOKUP(Y192,模板计算相关数据!$P$22:$U$30,6,0)+AD192</f>
        <v>225</v>
      </c>
      <c r="AO192" s="3">
        <f>VLOOKUP(INT(VLOOKUP(U192,模板计算相关数据!A:N,2,0)/30)+1,模板计算相关数据!$O$35:$U$40,3,0)+AE192</f>
        <v>0</v>
      </c>
      <c r="AP192" s="3">
        <f>VLOOKUP(INT(VLOOKUP(U192,模板计算相关数据!A:N,2,0)/30)+1,模板计算相关数据!$O$35:$U$40,4,0)+AF192</f>
        <v>5000</v>
      </c>
      <c r="AQ192" s="3">
        <f>VLOOKUP(INT(VLOOKUP(U192,模板计算相关数据!A:N,2,0)/30)+1,模板计算相关数据!$O$35:$U$40,5,0)+AG192</f>
        <v>0</v>
      </c>
      <c r="AR192" s="3">
        <f>VLOOKUP(INT(VLOOKUP(U192,模板计算相关数据!A:N,2,0)/30)+1,模板计算相关数据!$O$35:$U$40,6,0)+AH192</f>
        <v>0</v>
      </c>
      <c r="AS192" s="3">
        <f>VLOOKUP(INT(VLOOKUP(U192,模板计算相关数据!A:N,2,0)/30)+1,模板计算相关数据!$O$35:$U$40,7,0)+AI192</f>
        <v>0</v>
      </c>
      <c r="AT192" s="3">
        <f>VLOOKUP(INT(VLOOKUP(U192,模板计算相关数据!A:N,2,0)/30)+1,模板计算相关数据!$O$35:$V$40,8,0)</f>
        <v>0</v>
      </c>
      <c r="AU192" s="2"/>
    </row>
    <row r="193" spans="1:47" x14ac:dyDescent="0.2">
      <c r="A193" s="19">
        <v>101050403</v>
      </c>
      <c r="B193" s="19"/>
      <c r="C193" s="69" t="s">
        <v>1377</v>
      </c>
      <c r="D193" s="33" t="s">
        <v>1016</v>
      </c>
      <c r="E193" s="2">
        <v>1</v>
      </c>
      <c r="F193" s="3">
        <v>2</v>
      </c>
      <c r="G193" s="3">
        <v>1002001</v>
      </c>
      <c r="H193" s="3">
        <v>5</v>
      </c>
      <c r="I193" s="3">
        <v>4</v>
      </c>
      <c r="J193" s="3">
        <v>5</v>
      </c>
      <c r="K193" s="3">
        <v>2</v>
      </c>
      <c r="L193" s="91" t="s">
        <v>952</v>
      </c>
      <c r="M193" s="3"/>
      <c r="N193" s="2">
        <v>1</v>
      </c>
      <c r="O193" s="2"/>
      <c r="P193" s="3" t="s">
        <v>1613</v>
      </c>
      <c r="Q193" s="95">
        <v>9</v>
      </c>
      <c r="R193" s="133">
        <f>IF(P193=模板计算相关数据!$AB$24,VLOOKUP(X193,模板计算相关数据!$P$47:$T$50,2,0),VLOOKUP(X193,模板计算相关数据!$P$4:$U$7,3,0))*VLOOKUP(Y193,模板计算相关数据!$P$22:$X$30,8,0)</f>
        <v>9.2335686274509801</v>
      </c>
      <c r="S193" s="62">
        <v>5</v>
      </c>
      <c r="T193" s="133">
        <f>IF(P193=模板计算相关数据!$AB$24,VLOOKUP(X193,模板计算相关数据!$P$47:$T$50,5,0),VLOOKUP(X193,模板计算相关数据!$P$4:$U$7,6,0))*VLOOKUP(Y193,模板计算相关数据!$P$22:$X$30,9,0)</f>
        <v>4.8058439061899252</v>
      </c>
      <c r="U193" s="95">
        <v>7</v>
      </c>
      <c r="V193" s="95">
        <f t="shared" si="16"/>
        <v>15</v>
      </c>
      <c r="W193" s="29">
        <f>VLOOKUP(U193,模板计算相关数据!A:N,2,0)</f>
        <v>12</v>
      </c>
      <c r="X193" s="3" t="s">
        <v>158</v>
      </c>
      <c r="Y193" s="3" t="s">
        <v>159</v>
      </c>
      <c r="Z193" s="99">
        <v>1.05</v>
      </c>
      <c r="AA193" s="95">
        <v>1.1000000000000001</v>
      </c>
      <c r="AB193" s="95">
        <v>1</v>
      </c>
      <c r="AC193" s="95">
        <v>1</v>
      </c>
      <c r="AD193" s="95">
        <v>0</v>
      </c>
      <c r="AE193" s="95">
        <v>0</v>
      </c>
      <c r="AF193" s="95">
        <v>0</v>
      </c>
      <c r="AG193" s="95">
        <v>0</v>
      </c>
      <c r="AH193" s="95">
        <v>0</v>
      </c>
      <c r="AI193" s="95">
        <v>0</v>
      </c>
      <c r="AJ193" s="3">
        <f>INT(VLOOKUP(U193,模板计算相关数据!A:N,4,0)*VLOOKUP(U193,模板计算相关数据!A:N,14,0)*(1+MAX(0,(VLOOKUP(U193,模板计算相关数据!A:N,7,0)-AQ193))*VLOOKUP(U193,模板计算相关数据!A:N,8,0))*(1-(AL193+AM193)*0.5/((AL193+AM193)*0.5+(VLOOKUP(U193,模板计算相关数据!A:N,2,0)+模板计算相关数据!$AC$27)*模板计算相关数据!$AC$28))*Q193*Z193)</f>
        <v>2197</v>
      </c>
      <c r="AK193" s="3">
        <f>INT(VLOOKUP(U193,模板计算相关数据!A:N,3,0)/模板计算相关数据!$W$35/(1+MAX(0,(AO193/10000-VLOOKUP(U193,模板计算相关数据!A:N,9,0)))*AP193/10000)/(1-VLOOKUP(U193,模板计算相关数据!A:N,5,0)/(VLOOKUP(U193,模板计算相关数据!A:N,5,0)+(VLOOKUP(U193,模板计算相关数据!A:N,2,0)+模板计算相关数据!$AC$27)*模板计算相关数据!$AC$28))/S193*AA193)</f>
        <v>385</v>
      </c>
      <c r="AL193" s="3">
        <f>INT(VLOOKUP(U193,模板计算相关数据!A:N,5,0)*VLOOKUP(X193,模板计算相关数据!$P$4:$T$7,4,0)*VLOOKUP(Y193,模板计算相关数据!$P$22:$U$30,4,0)*AB193)</f>
        <v>1044</v>
      </c>
      <c r="AM193" s="3">
        <f>INT(VLOOKUP(U193,模板计算相关数据!A:N,6,0)*VLOOKUP(X193,模板计算相关数据!$P$4:$T$7,4,0)*VLOOKUP(Y193,模板计算相关数据!$P$22:$U$30,5,0)*AC193)</f>
        <v>572</v>
      </c>
      <c r="AN193" s="3">
        <f>VLOOKUP(U193,模板计算相关数据!A:N,10,0)*0.5*VLOOKUP(Y193,模板计算相关数据!$P$22:$U$30,6,0)+AD193</f>
        <v>275</v>
      </c>
      <c r="AO193" s="3">
        <f>VLOOKUP(INT(VLOOKUP(U193,模板计算相关数据!A:N,2,0)/30)+1,模板计算相关数据!$O$35:$U$40,3,0)+AE193</f>
        <v>0</v>
      </c>
      <c r="AP193" s="3">
        <f>VLOOKUP(INT(VLOOKUP(U193,模板计算相关数据!A:N,2,0)/30)+1,模板计算相关数据!$O$35:$U$40,4,0)+AF193</f>
        <v>5000</v>
      </c>
      <c r="AQ193" s="3">
        <f>VLOOKUP(INT(VLOOKUP(U193,模板计算相关数据!A:N,2,0)/30)+1,模板计算相关数据!$O$35:$U$40,5,0)+AG193</f>
        <v>0</v>
      </c>
      <c r="AR193" s="3">
        <f>VLOOKUP(INT(VLOOKUP(U193,模板计算相关数据!A:N,2,0)/30)+1,模板计算相关数据!$O$35:$U$40,6,0)+AH193</f>
        <v>0</v>
      </c>
      <c r="AS193" s="3">
        <f>VLOOKUP(INT(VLOOKUP(U193,模板计算相关数据!A:N,2,0)/30)+1,模板计算相关数据!$O$35:$U$40,7,0)+AI193</f>
        <v>0</v>
      </c>
      <c r="AT193" s="3">
        <f>VLOOKUP(INT(VLOOKUP(U193,模板计算相关数据!A:N,2,0)/30)+1,模板计算相关数据!$O$35:$V$40,8,0)</f>
        <v>0</v>
      </c>
      <c r="AU193" s="2"/>
    </row>
    <row r="194" spans="1:47" x14ac:dyDescent="0.2">
      <c r="A194" s="17">
        <v>101060101</v>
      </c>
      <c r="B194" s="17"/>
      <c r="C194" s="69" t="s">
        <v>995</v>
      </c>
      <c r="D194" s="87" t="s">
        <v>1020</v>
      </c>
      <c r="E194" s="2">
        <v>1</v>
      </c>
      <c r="F194" s="3">
        <v>1</v>
      </c>
      <c r="G194" s="3">
        <v>1001801</v>
      </c>
      <c r="H194" s="3">
        <v>1</v>
      </c>
      <c r="I194" s="3">
        <v>4</v>
      </c>
      <c r="J194" s="3">
        <v>5</v>
      </c>
      <c r="K194" s="3"/>
      <c r="L194" s="91" t="s">
        <v>951</v>
      </c>
      <c r="M194" s="3"/>
      <c r="N194" s="2">
        <v>1</v>
      </c>
      <c r="O194" s="2"/>
      <c r="P194" s="3" t="s">
        <v>1615</v>
      </c>
      <c r="Q194" s="95">
        <f t="shared" si="15"/>
        <v>4.417254901960785</v>
      </c>
      <c r="R194" s="133">
        <f>IF(P194=模板计算相关数据!$AB$24,VLOOKUP(X194,模板计算相关数据!$P$47:$T$50,2,0),VLOOKUP(X194,模板计算相关数据!$P$4:$U$7,3,0))*VLOOKUP(Y194,模板计算相关数据!$P$22:$X$30,8,0)</f>
        <v>4.417254901960785</v>
      </c>
      <c r="S194" s="62">
        <f t="shared" si="12"/>
        <v>5.4285280003474252</v>
      </c>
      <c r="T194" s="133">
        <f>IF(P194=模板计算相关数据!$AB$24,VLOOKUP(X194,模板计算相关数据!$P$47:$T$50,5,0),VLOOKUP(X194,模板计算相关数据!$P$4:$U$7,6,0))*VLOOKUP(Y194,模板计算相关数据!$P$22:$X$30,9,0)</f>
        <v>5.4285280003474252</v>
      </c>
      <c r="U194" s="95">
        <v>7</v>
      </c>
      <c r="V194" s="95">
        <f t="shared" si="16"/>
        <v>15</v>
      </c>
      <c r="W194" s="29">
        <f>VLOOKUP(U194,模板计算相关数据!A:N,2,0)</f>
        <v>12</v>
      </c>
      <c r="X194" s="3" t="s">
        <v>151</v>
      </c>
      <c r="Y194" s="3" t="s">
        <v>152</v>
      </c>
      <c r="Z194" s="95">
        <v>1</v>
      </c>
      <c r="AA194" s="95">
        <v>1</v>
      </c>
      <c r="AB194" s="95">
        <v>1</v>
      </c>
      <c r="AC194" s="95">
        <v>1</v>
      </c>
      <c r="AD194" s="95">
        <v>0</v>
      </c>
      <c r="AE194" s="95">
        <v>0</v>
      </c>
      <c r="AF194" s="95">
        <v>0</v>
      </c>
      <c r="AG194" s="95">
        <v>0</v>
      </c>
      <c r="AH194" s="95">
        <v>0</v>
      </c>
      <c r="AI194" s="95">
        <v>0</v>
      </c>
      <c r="AJ194" s="3">
        <f>INT(VLOOKUP(U194,模板计算相关数据!A:N,4,0)*VLOOKUP(U194,模板计算相关数据!A:N,14,0)*(1+MAX(0,(VLOOKUP(U194,模板计算相关数据!A:N,7,0)-AQ194))*VLOOKUP(U194,模板计算相关数据!A:N,8,0))*(1-(AL194+AM194)*0.5/((AL194+AM194)*0.5+(VLOOKUP(U194,模板计算相关数据!A:N,2,0)+模板计算相关数据!$AC$27)*模板计算相关数据!$AC$28))*Q194*Z194)</f>
        <v>1138</v>
      </c>
      <c r="AK194" s="3">
        <f>INT(VLOOKUP(U194,模板计算相关数据!A:N,3,0)/模板计算相关数据!$W$35/(1+MAX(0,(AO194/10000-VLOOKUP(U194,模板计算相关数据!A:N,9,0)))*AP194/10000)/(1-VLOOKUP(U194,模板计算相关数据!A:N,5,0)/(VLOOKUP(U194,模板计算相关数据!A:N,5,0)+(VLOOKUP(U194,模板计算相关数据!A:N,2,0)+模板计算相关数据!$AC$27)*模板计算相关数据!$AC$28))/S194*AA194)</f>
        <v>322</v>
      </c>
      <c r="AL194" s="3">
        <f>INT(VLOOKUP(U194,模板计算相关数据!A:N,5,0)*VLOOKUP(X194,模板计算相关数据!$P$4:$T$7,4,0)*VLOOKUP(Y194,模板计算相关数据!$P$22:$U$30,4,0)*AB194)</f>
        <v>727</v>
      </c>
      <c r="AM194" s="3">
        <f>INT(VLOOKUP(U194,模板计算相关数据!A:N,6,0)*VLOOKUP(X194,模板计算相关数据!$P$4:$T$7,4,0)*VLOOKUP(Y194,模板计算相关数据!$P$22:$U$30,5,0)*AC194)</f>
        <v>431</v>
      </c>
      <c r="AN194" s="3">
        <f>VLOOKUP(U194,模板计算相关数据!A:N,10,0)*0.5*VLOOKUP(Y194,模板计算相关数据!$P$22:$U$30,6,0)+AD194</f>
        <v>250</v>
      </c>
      <c r="AO194" s="3">
        <f>VLOOKUP(INT(VLOOKUP(U194,模板计算相关数据!A:N,2,0)/30)+1,模板计算相关数据!$O$35:$U$40,3,0)+AE194</f>
        <v>0</v>
      </c>
      <c r="AP194" s="3">
        <f>VLOOKUP(INT(VLOOKUP(U194,模板计算相关数据!A:N,2,0)/30)+1,模板计算相关数据!$O$35:$U$40,4,0)+AF194</f>
        <v>5000</v>
      </c>
      <c r="AQ194" s="3">
        <f>VLOOKUP(INT(VLOOKUP(U194,模板计算相关数据!A:N,2,0)/30)+1,模板计算相关数据!$O$35:$U$40,5,0)+AG194</f>
        <v>0</v>
      </c>
      <c r="AR194" s="3">
        <f>VLOOKUP(INT(VLOOKUP(U194,模板计算相关数据!A:N,2,0)/30)+1,模板计算相关数据!$O$35:$U$40,6,0)+AH194</f>
        <v>0</v>
      </c>
      <c r="AS194" s="3">
        <f>VLOOKUP(INT(VLOOKUP(U194,模板计算相关数据!A:N,2,0)/30)+1,模板计算相关数据!$O$35:$U$40,7,0)+AI194</f>
        <v>0</v>
      </c>
      <c r="AT194" s="3">
        <f>VLOOKUP(INT(VLOOKUP(U194,模板计算相关数据!A:N,2,0)/30)+1,模板计算相关数据!$O$35:$V$40,8,0)</f>
        <v>0</v>
      </c>
      <c r="AU194" s="2"/>
    </row>
    <row r="195" spans="1:47" x14ac:dyDescent="0.2">
      <c r="A195" s="17">
        <v>101060102</v>
      </c>
      <c r="B195" s="17"/>
      <c r="C195" s="69" t="s">
        <v>1381</v>
      </c>
      <c r="D195" s="87" t="s">
        <v>1020</v>
      </c>
      <c r="E195" s="2">
        <v>1</v>
      </c>
      <c r="F195" s="3">
        <v>1</v>
      </c>
      <c r="G195" s="3">
        <v>1001801</v>
      </c>
      <c r="H195" s="3">
        <v>1</v>
      </c>
      <c r="I195" s="3">
        <v>4</v>
      </c>
      <c r="J195" s="3">
        <v>5</v>
      </c>
      <c r="K195" s="3"/>
      <c r="L195" s="91" t="s">
        <v>951</v>
      </c>
      <c r="M195" s="3"/>
      <c r="N195" s="2">
        <v>1</v>
      </c>
      <c r="O195" s="2"/>
      <c r="P195" s="3" t="s">
        <v>1615</v>
      </c>
      <c r="Q195" s="95">
        <f t="shared" si="15"/>
        <v>4.417254901960785</v>
      </c>
      <c r="R195" s="133">
        <f>IF(P195=模板计算相关数据!$AB$24,VLOOKUP(X195,模板计算相关数据!$P$47:$T$50,2,0),VLOOKUP(X195,模板计算相关数据!$P$4:$U$7,3,0))*VLOOKUP(Y195,模板计算相关数据!$P$22:$X$30,8,0)</f>
        <v>4.417254901960785</v>
      </c>
      <c r="S195" s="62">
        <f t="shared" si="12"/>
        <v>5.4285280003474252</v>
      </c>
      <c r="T195" s="133">
        <f>IF(P195=模板计算相关数据!$AB$24,VLOOKUP(X195,模板计算相关数据!$P$47:$T$50,5,0),VLOOKUP(X195,模板计算相关数据!$P$4:$U$7,6,0))*VLOOKUP(Y195,模板计算相关数据!$P$22:$X$30,9,0)</f>
        <v>5.4285280003474252</v>
      </c>
      <c r="U195" s="95">
        <v>7</v>
      </c>
      <c r="V195" s="95">
        <f t="shared" si="16"/>
        <v>15</v>
      </c>
      <c r="W195" s="29">
        <f>VLOOKUP(U195,模板计算相关数据!A:N,2,0)</f>
        <v>12</v>
      </c>
      <c r="X195" s="3" t="s">
        <v>151</v>
      </c>
      <c r="Y195" s="3" t="s">
        <v>152</v>
      </c>
      <c r="Z195" s="95">
        <v>1</v>
      </c>
      <c r="AA195" s="95">
        <v>1</v>
      </c>
      <c r="AB195" s="95">
        <v>1</v>
      </c>
      <c r="AC195" s="95">
        <v>1</v>
      </c>
      <c r="AD195" s="95">
        <v>0</v>
      </c>
      <c r="AE195" s="95">
        <v>0</v>
      </c>
      <c r="AF195" s="95">
        <v>0</v>
      </c>
      <c r="AG195" s="95">
        <v>0</v>
      </c>
      <c r="AH195" s="95">
        <v>0</v>
      </c>
      <c r="AI195" s="95">
        <v>0</v>
      </c>
      <c r="AJ195" s="3">
        <f>INT(VLOOKUP(U195,模板计算相关数据!A:N,4,0)*VLOOKUP(U195,模板计算相关数据!A:N,14,0)*(1+MAX(0,(VLOOKUP(U195,模板计算相关数据!A:N,7,0)-AQ195))*VLOOKUP(U195,模板计算相关数据!A:N,8,0))*(1-(AL195+AM195)*0.5/((AL195+AM195)*0.5+(VLOOKUP(U195,模板计算相关数据!A:N,2,0)+模板计算相关数据!$AC$27)*模板计算相关数据!$AC$28))*Q195*Z195)</f>
        <v>1138</v>
      </c>
      <c r="AK195" s="3">
        <f>INT(VLOOKUP(U195,模板计算相关数据!A:N,3,0)/模板计算相关数据!$W$35/(1+MAX(0,(AO195/10000-VLOOKUP(U195,模板计算相关数据!A:N,9,0)))*AP195/10000)/(1-VLOOKUP(U195,模板计算相关数据!A:N,5,0)/(VLOOKUP(U195,模板计算相关数据!A:N,5,0)+(VLOOKUP(U195,模板计算相关数据!A:N,2,0)+模板计算相关数据!$AC$27)*模板计算相关数据!$AC$28))/S195*AA195)</f>
        <v>322</v>
      </c>
      <c r="AL195" s="3">
        <f>INT(VLOOKUP(U195,模板计算相关数据!A:N,5,0)*VLOOKUP(X195,模板计算相关数据!$P$4:$T$7,4,0)*VLOOKUP(Y195,模板计算相关数据!$P$22:$U$30,4,0)*AB195)</f>
        <v>727</v>
      </c>
      <c r="AM195" s="3">
        <f>INT(VLOOKUP(U195,模板计算相关数据!A:N,6,0)*VLOOKUP(X195,模板计算相关数据!$P$4:$T$7,4,0)*VLOOKUP(Y195,模板计算相关数据!$P$22:$U$30,5,0)*AC195)</f>
        <v>431</v>
      </c>
      <c r="AN195" s="3">
        <f>VLOOKUP(U195,模板计算相关数据!A:N,10,0)*0.5*VLOOKUP(Y195,模板计算相关数据!$P$22:$U$30,6,0)+AD195</f>
        <v>250</v>
      </c>
      <c r="AO195" s="3">
        <f>VLOOKUP(INT(VLOOKUP(U195,模板计算相关数据!A:N,2,0)/30)+1,模板计算相关数据!$O$35:$U$40,3,0)+AE195</f>
        <v>0</v>
      </c>
      <c r="AP195" s="3">
        <f>VLOOKUP(INT(VLOOKUP(U195,模板计算相关数据!A:N,2,0)/30)+1,模板计算相关数据!$O$35:$U$40,4,0)+AF195</f>
        <v>5000</v>
      </c>
      <c r="AQ195" s="3">
        <f>VLOOKUP(INT(VLOOKUP(U195,模板计算相关数据!A:N,2,0)/30)+1,模板计算相关数据!$O$35:$U$40,5,0)+AG195</f>
        <v>0</v>
      </c>
      <c r="AR195" s="3">
        <f>VLOOKUP(INT(VLOOKUP(U195,模板计算相关数据!A:N,2,0)/30)+1,模板计算相关数据!$O$35:$U$40,6,0)+AH195</f>
        <v>0</v>
      </c>
      <c r="AS195" s="3">
        <f>VLOOKUP(INT(VLOOKUP(U195,模板计算相关数据!A:N,2,0)/30)+1,模板计算相关数据!$O$35:$U$40,7,0)+AI195</f>
        <v>0</v>
      </c>
      <c r="AT195" s="3">
        <f>VLOOKUP(INT(VLOOKUP(U195,模板计算相关数据!A:N,2,0)/30)+1,模板计算相关数据!$O$35:$V$40,8,0)</f>
        <v>0</v>
      </c>
      <c r="AU195" s="2"/>
    </row>
    <row r="196" spans="1:47" x14ac:dyDescent="0.2">
      <c r="A196" s="17">
        <v>101060103</v>
      </c>
      <c r="B196" s="17"/>
      <c r="C196" s="69" t="s">
        <v>994</v>
      </c>
      <c r="D196" s="87" t="s">
        <v>1020</v>
      </c>
      <c r="E196" s="2">
        <v>1</v>
      </c>
      <c r="F196" s="3">
        <v>2</v>
      </c>
      <c r="G196" s="3">
        <v>1001901</v>
      </c>
      <c r="H196" s="3">
        <v>3</v>
      </c>
      <c r="I196" s="3">
        <v>4</v>
      </c>
      <c r="J196" s="3">
        <v>5</v>
      </c>
      <c r="K196" s="3"/>
      <c r="L196" s="91" t="s">
        <v>1542</v>
      </c>
      <c r="M196" s="3"/>
      <c r="N196" s="2">
        <v>1</v>
      </c>
      <c r="O196" s="2"/>
      <c r="P196" s="3" t="s">
        <v>1615</v>
      </c>
      <c r="Q196" s="95">
        <f t="shared" si="15"/>
        <v>5.6000000000000014</v>
      </c>
      <c r="R196" s="133">
        <f>IF(P196=模板计算相关数据!$AB$24,VLOOKUP(X196,模板计算相关数据!$P$47:$T$50,2,0),VLOOKUP(X196,模板计算相关数据!$P$4:$U$7,3,0))*VLOOKUP(Y196,模板计算相关数据!$P$22:$X$30,8,0)</f>
        <v>5.6000000000000014</v>
      </c>
      <c r="S196" s="62">
        <f t="shared" si="12"/>
        <v>6.6693344004268367</v>
      </c>
      <c r="T196" s="133">
        <f>IF(P196=模板计算相关数据!$AB$24,VLOOKUP(X196,模板计算相关数据!$P$47:$T$50,5,0),VLOOKUP(X196,模板计算相关数据!$P$4:$U$7,6,0))*VLOOKUP(Y196,模板计算相关数据!$P$22:$X$30,9,0)</f>
        <v>6.6693344004268367</v>
      </c>
      <c r="U196" s="95">
        <v>7</v>
      </c>
      <c r="V196" s="95">
        <f t="shared" si="16"/>
        <v>15</v>
      </c>
      <c r="W196" s="29">
        <f>VLOOKUP(U196,模板计算相关数据!A:N,2,0)</f>
        <v>12</v>
      </c>
      <c r="X196" s="3" t="s">
        <v>151</v>
      </c>
      <c r="Y196" s="3" t="s">
        <v>255</v>
      </c>
      <c r="Z196" s="95">
        <v>1</v>
      </c>
      <c r="AA196" s="95">
        <v>1</v>
      </c>
      <c r="AB196" s="95">
        <v>1</v>
      </c>
      <c r="AC196" s="95">
        <v>1</v>
      </c>
      <c r="AD196" s="95">
        <v>0</v>
      </c>
      <c r="AE196" s="95">
        <v>0</v>
      </c>
      <c r="AF196" s="95">
        <v>0</v>
      </c>
      <c r="AG196" s="95">
        <v>0</v>
      </c>
      <c r="AH196" s="95">
        <v>0</v>
      </c>
      <c r="AI196" s="95">
        <v>0</v>
      </c>
      <c r="AJ196" s="3">
        <f>INT(VLOOKUP(U196,模板计算相关数据!A:N,4,0)*VLOOKUP(U196,模板计算相关数据!A:N,14,0)*(1+MAX(0,(VLOOKUP(U196,模板计算相关数据!A:N,7,0)-AQ196))*VLOOKUP(U196,模板计算相关数据!A:N,8,0))*(1-(AL196+AM196)*0.5/((AL196+AM196)*0.5+(VLOOKUP(U196,模板计算相关数据!A:N,2,0)+模板计算相关数据!$AC$27)*模板计算相关数据!$AC$28))*Q196*Z196)</f>
        <v>1381</v>
      </c>
      <c r="AK196" s="3">
        <f>INT(VLOOKUP(U196,模板计算相关数据!A:N,3,0)/模板计算相关数据!$W$35/(1+MAX(0,(AO196/10000-VLOOKUP(U196,模板计算相关数据!A:N,9,0)))*AP196/10000)/(1-VLOOKUP(U196,模板计算相关数据!A:N,5,0)/(VLOOKUP(U196,模板计算相关数据!A:N,5,0)+(VLOOKUP(U196,模板计算相关数据!A:N,2,0)+模板计算相关数据!$AC$27)*模板计算相关数据!$AC$28))/S196*AA196)</f>
        <v>262</v>
      </c>
      <c r="AL196" s="3">
        <f>INT(VLOOKUP(U196,模板计算相关数据!A:N,5,0)*VLOOKUP(X196,模板计算相关数据!$P$4:$T$7,4,0)*VLOOKUP(Y196,模板计算相关数据!$P$22:$U$30,4,0)*AB196)</f>
        <v>471</v>
      </c>
      <c r="AM196" s="3">
        <f>INT(VLOOKUP(U196,模板计算相关数据!A:N,6,0)*VLOOKUP(X196,模板计算相关数据!$P$4:$T$7,4,0)*VLOOKUP(Y196,模板计算相关数据!$P$22:$U$30,5,0)*AC196)</f>
        <v>875</v>
      </c>
      <c r="AN196" s="3">
        <f>VLOOKUP(U196,模板计算相关数据!A:N,10,0)*0.5*VLOOKUP(Y196,模板计算相关数据!$P$22:$U$30,6,0)+AD196</f>
        <v>225</v>
      </c>
      <c r="AO196" s="3">
        <f>VLOOKUP(INT(VLOOKUP(U196,模板计算相关数据!A:N,2,0)/30)+1,模板计算相关数据!$O$35:$U$40,3,0)+AE196</f>
        <v>0</v>
      </c>
      <c r="AP196" s="3">
        <f>VLOOKUP(INT(VLOOKUP(U196,模板计算相关数据!A:N,2,0)/30)+1,模板计算相关数据!$O$35:$U$40,4,0)+AF196</f>
        <v>5000</v>
      </c>
      <c r="AQ196" s="3">
        <f>VLOOKUP(INT(VLOOKUP(U196,模板计算相关数据!A:N,2,0)/30)+1,模板计算相关数据!$O$35:$U$40,5,0)+AG196</f>
        <v>0</v>
      </c>
      <c r="AR196" s="3">
        <f>VLOOKUP(INT(VLOOKUP(U196,模板计算相关数据!A:N,2,0)/30)+1,模板计算相关数据!$O$35:$U$40,6,0)+AH196</f>
        <v>0</v>
      </c>
      <c r="AS196" s="3">
        <f>VLOOKUP(INT(VLOOKUP(U196,模板计算相关数据!A:N,2,0)/30)+1,模板计算相关数据!$O$35:$U$40,7,0)+AI196</f>
        <v>0</v>
      </c>
      <c r="AT196" s="3">
        <f>VLOOKUP(INT(VLOOKUP(U196,模板计算相关数据!A:N,2,0)/30)+1,模板计算相关数据!$O$35:$V$40,8,0)</f>
        <v>0</v>
      </c>
      <c r="AU196" s="2"/>
    </row>
    <row r="197" spans="1:47" x14ac:dyDescent="0.2">
      <c r="A197" s="19">
        <v>101060201</v>
      </c>
      <c r="B197" s="19"/>
      <c r="C197" s="69" t="s">
        <v>995</v>
      </c>
      <c r="D197" s="87" t="s">
        <v>1020</v>
      </c>
      <c r="E197" s="2">
        <v>1</v>
      </c>
      <c r="F197" s="3">
        <v>1</v>
      </c>
      <c r="G197" s="3">
        <v>1001801</v>
      </c>
      <c r="H197" s="3">
        <v>1</v>
      </c>
      <c r="I197" s="3">
        <v>4</v>
      </c>
      <c r="J197" s="3">
        <v>5</v>
      </c>
      <c r="K197" s="3"/>
      <c r="L197" s="91" t="s">
        <v>951</v>
      </c>
      <c r="M197" s="3"/>
      <c r="N197" s="2">
        <v>1</v>
      </c>
      <c r="O197" s="2"/>
      <c r="P197" s="3" t="s">
        <v>1615</v>
      </c>
      <c r="Q197" s="95">
        <f t="shared" si="15"/>
        <v>4.417254901960785</v>
      </c>
      <c r="R197" s="133">
        <f>IF(P197=模板计算相关数据!$AB$24,VLOOKUP(X197,模板计算相关数据!$P$47:$T$50,2,0),VLOOKUP(X197,模板计算相关数据!$P$4:$U$7,3,0))*VLOOKUP(Y197,模板计算相关数据!$P$22:$X$30,8,0)</f>
        <v>4.417254901960785</v>
      </c>
      <c r="S197" s="62">
        <f t="shared" si="12"/>
        <v>5.4285280003474252</v>
      </c>
      <c r="T197" s="133">
        <f>IF(P197=模板计算相关数据!$AB$24,VLOOKUP(X197,模板计算相关数据!$P$47:$T$50,5,0),VLOOKUP(X197,模板计算相关数据!$P$4:$U$7,6,0))*VLOOKUP(Y197,模板计算相关数据!$P$22:$X$30,9,0)</f>
        <v>5.4285280003474252</v>
      </c>
      <c r="U197" s="95">
        <v>7</v>
      </c>
      <c r="V197" s="95">
        <f t="shared" si="16"/>
        <v>15</v>
      </c>
      <c r="W197" s="29">
        <f>VLOOKUP(U197,模板计算相关数据!A:N,2,0)</f>
        <v>12</v>
      </c>
      <c r="X197" s="3" t="s">
        <v>151</v>
      </c>
      <c r="Y197" s="3" t="s">
        <v>152</v>
      </c>
      <c r="Z197" s="95">
        <v>1</v>
      </c>
      <c r="AA197" s="95">
        <v>1</v>
      </c>
      <c r="AB197" s="95">
        <v>1</v>
      </c>
      <c r="AC197" s="95">
        <v>1</v>
      </c>
      <c r="AD197" s="95">
        <v>0</v>
      </c>
      <c r="AE197" s="95">
        <v>0</v>
      </c>
      <c r="AF197" s="95">
        <v>0</v>
      </c>
      <c r="AG197" s="95">
        <v>0</v>
      </c>
      <c r="AH197" s="95">
        <v>0</v>
      </c>
      <c r="AI197" s="95">
        <v>0</v>
      </c>
      <c r="AJ197" s="3">
        <f>INT(VLOOKUP(U197,模板计算相关数据!A:N,4,0)*VLOOKUP(U197,模板计算相关数据!A:N,14,0)*(1+MAX(0,(VLOOKUP(U197,模板计算相关数据!A:N,7,0)-AQ197))*VLOOKUP(U197,模板计算相关数据!A:N,8,0))*(1-(AL197+AM197)*0.5/((AL197+AM197)*0.5+(VLOOKUP(U197,模板计算相关数据!A:N,2,0)+模板计算相关数据!$AC$27)*模板计算相关数据!$AC$28))*Q197*Z197)</f>
        <v>1138</v>
      </c>
      <c r="AK197" s="3">
        <f>INT(VLOOKUP(U197,模板计算相关数据!A:N,3,0)/模板计算相关数据!$W$35/(1+MAX(0,(AO197/10000-VLOOKUP(U197,模板计算相关数据!A:N,9,0)))*AP197/10000)/(1-VLOOKUP(U197,模板计算相关数据!A:N,5,0)/(VLOOKUP(U197,模板计算相关数据!A:N,5,0)+(VLOOKUP(U197,模板计算相关数据!A:N,2,0)+模板计算相关数据!$AC$27)*模板计算相关数据!$AC$28))/S197*AA197)</f>
        <v>322</v>
      </c>
      <c r="AL197" s="3">
        <f>INT(VLOOKUP(U197,模板计算相关数据!A:N,5,0)*VLOOKUP(X197,模板计算相关数据!$P$4:$T$7,4,0)*VLOOKUP(Y197,模板计算相关数据!$P$22:$U$30,4,0)*AB197)</f>
        <v>727</v>
      </c>
      <c r="AM197" s="3">
        <f>INT(VLOOKUP(U197,模板计算相关数据!A:N,6,0)*VLOOKUP(X197,模板计算相关数据!$P$4:$T$7,4,0)*VLOOKUP(Y197,模板计算相关数据!$P$22:$U$30,5,0)*AC197)</f>
        <v>431</v>
      </c>
      <c r="AN197" s="3">
        <f>VLOOKUP(U197,模板计算相关数据!A:N,10,0)*0.5*VLOOKUP(Y197,模板计算相关数据!$P$22:$U$30,6,0)+AD197</f>
        <v>250</v>
      </c>
      <c r="AO197" s="3">
        <f>VLOOKUP(INT(VLOOKUP(U197,模板计算相关数据!A:N,2,0)/30)+1,模板计算相关数据!$O$35:$U$40,3,0)+AE197</f>
        <v>0</v>
      </c>
      <c r="AP197" s="3">
        <f>VLOOKUP(INT(VLOOKUP(U197,模板计算相关数据!A:N,2,0)/30)+1,模板计算相关数据!$O$35:$U$40,4,0)+AF197</f>
        <v>5000</v>
      </c>
      <c r="AQ197" s="3">
        <f>VLOOKUP(INT(VLOOKUP(U197,模板计算相关数据!A:N,2,0)/30)+1,模板计算相关数据!$O$35:$U$40,5,0)+AG197</f>
        <v>0</v>
      </c>
      <c r="AR197" s="3">
        <f>VLOOKUP(INT(VLOOKUP(U197,模板计算相关数据!A:N,2,0)/30)+1,模板计算相关数据!$O$35:$U$40,6,0)+AH197</f>
        <v>0</v>
      </c>
      <c r="AS197" s="3">
        <f>VLOOKUP(INT(VLOOKUP(U197,模板计算相关数据!A:N,2,0)/30)+1,模板计算相关数据!$O$35:$U$40,7,0)+AI197</f>
        <v>0</v>
      </c>
      <c r="AT197" s="3">
        <f>VLOOKUP(INT(VLOOKUP(U197,模板计算相关数据!A:N,2,0)/30)+1,模板计算相关数据!$O$35:$V$40,8,0)</f>
        <v>0</v>
      </c>
      <c r="AU197" s="2"/>
    </row>
    <row r="198" spans="1:47" x14ac:dyDescent="0.2">
      <c r="A198" s="19">
        <v>101060202</v>
      </c>
      <c r="B198" s="19"/>
      <c r="C198" s="69" t="s">
        <v>994</v>
      </c>
      <c r="D198" s="87" t="s">
        <v>1020</v>
      </c>
      <c r="E198" s="2">
        <v>1</v>
      </c>
      <c r="F198" s="3">
        <v>2</v>
      </c>
      <c r="G198" s="3">
        <v>1001901</v>
      </c>
      <c r="H198" s="3">
        <v>3</v>
      </c>
      <c r="I198" s="3">
        <v>4</v>
      </c>
      <c r="J198" s="3">
        <v>5</v>
      </c>
      <c r="K198" s="3"/>
      <c r="L198" s="91" t="s">
        <v>1542</v>
      </c>
      <c r="M198" s="3"/>
      <c r="N198" s="2">
        <v>1</v>
      </c>
      <c r="O198" s="2"/>
      <c r="P198" s="3" t="s">
        <v>1615</v>
      </c>
      <c r="Q198" s="95">
        <f t="shared" si="15"/>
        <v>5.6000000000000014</v>
      </c>
      <c r="R198" s="133">
        <f>IF(P198=模板计算相关数据!$AB$24,VLOOKUP(X198,模板计算相关数据!$P$47:$T$50,2,0),VLOOKUP(X198,模板计算相关数据!$P$4:$U$7,3,0))*VLOOKUP(Y198,模板计算相关数据!$P$22:$X$30,8,0)</f>
        <v>5.6000000000000014</v>
      </c>
      <c r="S198" s="62">
        <f t="shared" si="12"/>
        <v>6.6693344004268367</v>
      </c>
      <c r="T198" s="133">
        <f>IF(P198=模板计算相关数据!$AB$24,VLOOKUP(X198,模板计算相关数据!$P$47:$T$50,5,0),VLOOKUP(X198,模板计算相关数据!$P$4:$U$7,6,0))*VLOOKUP(Y198,模板计算相关数据!$P$22:$X$30,9,0)</f>
        <v>6.6693344004268367</v>
      </c>
      <c r="U198" s="95">
        <v>7</v>
      </c>
      <c r="V198" s="95">
        <f t="shared" si="16"/>
        <v>15</v>
      </c>
      <c r="W198" s="29">
        <f>VLOOKUP(U198,模板计算相关数据!A:N,2,0)</f>
        <v>12</v>
      </c>
      <c r="X198" s="3" t="s">
        <v>151</v>
      </c>
      <c r="Y198" s="3" t="s">
        <v>255</v>
      </c>
      <c r="Z198" s="95">
        <v>1</v>
      </c>
      <c r="AA198" s="95">
        <v>1</v>
      </c>
      <c r="AB198" s="95">
        <v>1</v>
      </c>
      <c r="AC198" s="95">
        <v>1</v>
      </c>
      <c r="AD198" s="95">
        <v>0</v>
      </c>
      <c r="AE198" s="95">
        <v>0</v>
      </c>
      <c r="AF198" s="95">
        <v>0</v>
      </c>
      <c r="AG198" s="95">
        <v>0</v>
      </c>
      <c r="AH198" s="95">
        <v>0</v>
      </c>
      <c r="AI198" s="95">
        <v>0</v>
      </c>
      <c r="AJ198" s="3">
        <f>INT(VLOOKUP(U198,模板计算相关数据!A:N,4,0)*VLOOKUP(U198,模板计算相关数据!A:N,14,0)*(1+MAX(0,(VLOOKUP(U198,模板计算相关数据!A:N,7,0)-AQ198))*VLOOKUP(U198,模板计算相关数据!A:N,8,0))*(1-(AL198+AM198)*0.5/((AL198+AM198)*0.5+(VLOOKUP(U198,模板计算相关数据!A:N,2,0)+模板计算相关数据!$AC$27)*模板计算相关数据!$AC$28))*Q198*Z198)</f>
        <v>1381</v>
      </c>
      <c r="AK198" s="3">
        <f>INT(VLOOKUP(U198,模板计算相关数据!A:N,3,0)/模板计算相关数据!$W$35/(1+MAX(0,(AO198/10000-VLOOKUP(U198,模板计算相关数据!A:N,9,0)))*AP198/10000)/(1-VLOOKUP(U198,模板计算相关数据!A:N,5,0)/(VLOOKUP(U198,模板计算相关数据!A:N,5,0)+(VLOOKUP(U198,模板计算相关数据!A:N,2,0)+模板计算相关数据!$AC$27)*模板计算相关数据!$AC$28))/S198*AA198)</f>
        <v>262</v>
      </c>
      <c r="AL198" s="3">
        <f>INT(VLOOKUP(U198,模板计算相关数据!A:N,5,0)*VLOOKUP(X198,模板计算相关数据!$P$4:$T$7,4,0)*VLOOKUP(Y198,模板计算相关数据!$P$22:$U$30,4,0)*AB198)</f>
        <v>471</v>
      </c>
      <c r="AM198" s="3">
        <f>INT(VLOOKUP(U198,模板计算相关数据!A:N,6,0)*VLOOKUP(X198,模板计算相关数据!$P$4:$T$7,4,0)*VLOOKUP(Y198,模板计算相关数据!$P$22:$U$30,5,0)*AC198)</f>
        <v>875</v>
      </c>
      <c r="AN198" s="3">
        <f>VLOOKUP(U198,模板计算相关数据!A:N,10,0)*0.5*VLOOKUP(Y198,模板计算相关数据!$P$22:$U$30,6,0)+AD198</f>
        <v>225</v>
      </c>
      <c r="AO198" s="3">
        <f>VLOOKUP(INT(VLOOKUP(U198,模板计算相关数据!A:N,2,0)/30)+1,模板计算相关数据!$O$35:$U$40,3,0)+AE198</f>
        <v>0</v>
      </c>
      <c r="AP198" s="3">
        <f>VLOOKUP(INT(VLOOKUP(U198,模板计算相关数据!A:N,2,0)/30)+1,模板计算相关数据!$O$35:$U$40,4,0)+AF198</f>
        <v>5000</v>
      </c>
      <c r="AQ198" s="3">
        <f>VLOOKUP(INT(VLOOKUP(U198,模板计算相关数据!A:N,2,0)/30)+1,模板计算相关数据!$O$35:$U$40,5,0)+AG198</f>
        <v>0</v>
      </c>
      <c r="AR198" s="3">
        <f>VLOOKUP(INT(VLOOKUP(U198,模板计算相关数据!A:N,2,0)/30)+1,模板计算相关数据!$O$35:$U$40,6,0)+AH198</f>
        <v>0</v>
      </c>
      <c r="AS198" s="3">
        <f>VLOOKUP(INT(VLOOKUP(U198,模板计算相关数据!A:N,2,0)/30)+1,模板计算相关数据!$O$35:$U$40,7,0)+AI198</f>
        <v>0</v>
      </c>
      <c r="AT198" s="3">
        <f>VLOOKUP(INT(VLOOKUP(U198,模板计算相关数据!A:N,2,0)/30)+1,模板计算相关数据!$O$35:$V$40,8,0)</f>
        <v>0</v>
      </c>
      <c r="AU198" s="2"/>
    </row>
    <row r="199" spans="1:47" x14ac:dyDescent="0.2">
      <c r="A199" s="19">
        <v>101060203</v>
      </c>
      <c r="B199" s="19"/>
      <c r="C199" s="69" t="s">
        <v>994</v>
      </c>
      <c r="D199" s="87" t="s">
        <v>1020</v>
      </c>
      <c r="E199" s="2">
        <v>1</v>
      </c>
      <c r="F199" s="3">
        <v>2</v>
      </c>
      <c r="G199" s="3">
        <v>1001901</v>
      </c>
      <c r="H199" s="3">
        <v>3</v>
      </c>
      <c r="I199" s="3">
        <v>4</v>
      </c>
      <c r="J199" s="3">
        <v>5</v>
      </c>
      <c r="K199" s="3"/>
      <c r="L199" s="91" t="s">
        <v>1542</v>
      </c>
      <c r="M199" s="3"/>
      <c r="N199" s="2">
        <v>1</v>
      </c>
      <c r="O199" s="2"/>
      <c r="P199" s="3" t="s">
        <v>1615</v>
      </c>
      <c r="Q199" s="95">
        <f t="shared" si="15"/>
        <v>5.6000000000000014</v>
      </c>
      <c r="R199" s="133">
        <f>IF(P199=模板计算相关数据!$AB$24,VLOOKUP(X199,模板计算相关数据!$P$47:$T$50,2,0),VLOOKUP(X199,模板计算相关数据!$P$4:$U$7,3,0))*VLOOKUP(Y199,模板计算相关数据!$P$22:$X$30,8,0)</f>
        <v>5.6000000000000014</v>
      </c>
      <c r="S199" s="62">
        <f t="shared" si="12"/>
        <v>6.6693344004268367</v>
      </c>
      <c r="T199" s="133">
        <f>IF(P199=模板计算相关数据!$AB$24,VLOOKUP(X199,模板计算相关数据!$P$47:$T$50,5,0),VLOOKUP(X199,模板计算相关数据!$P$4:$U$7,6,0))*VLOOKUP(Y199,模板计算相关数据!$P$22:$X$30,9,0)</f>
        <v>6.6693344004268367</v>
      </c>
      <c r="U199" s="95">
        <v>7</v>
      </c>
      <c r="V199" s="95">
        <f t="shared" si="16"/>
        <v>15</v>
      </c>
      <c r="W199" s="29">
        <f>VLOOKUP(U199,模板计算相关数据!A:N,2,0)</f>
        <v>12</v>
      </c>
      <c r="X199" s="3" t="s">
        <v>151</v>
      </c>
      <c r="Y199" s="3" t="s">
        <v>255</v>
      </c>
      <c r="Z199" s="95">
        <v>1</v>
      </c>
      <c r="AA199" s="95">
        <v>1</v>
      </c>
      <c r="AB199" s="95">
        <v>1</v>
      </c>
      <c r="AC199" s="95">
        <v>1</v>
      </c>
      <c r="AD199" s="95">
        <v>0</v>
      </c>
      <c r="AE199" s="95">
        <v>0</v>
      </c>
      <c r="AF199" s="95">
        <v>0</v>
      </c>
      <c r="AG199" s="95">
        <v>0</v>
      </c>
      <c r="AH199" s="95">
        <v>0</v>
      </c>
      <c r="AI199" s="95">
        <v>0</v>
      </c>
      <c r="AJ199" s="3">
        <f>INT(VLOOKUP(U199,模板计算相关数据!A:N,4,0)*VLOOKUP(U199,模板计算相关数据!A:N,14,0)*(1+MAX(0,(VLOOKUP(U199,模板计算相关数据!A:N,7,0)-AQ199))*VLOOKUP(U199,模板计算相关数据!A:N,8,0))*(1-(AL199+AM199)*0.5/((AL199+AM199)*0.5+(VLOOKUP(U199,模板计算相关数据!A:N,2,0)+模板计算相关数据!$AC$27)*模板计算相关数据!$AC$28))*Q199*Z199)</f>
        <v>1381</v>
      </c>
      <c r="AK199" s="3">
        <f>INT(VLOOKUP(U199,模板计算相关数据!A:N,3,0)/模板计算相关数据!$W$35/(1+MAX(0,(AO199/10000-VLOOKUP(U199,模板计算相关数据!A:N,9,0)))*AP199/10000)/(1-VLOOKUP(U199,模板计算相关数据!A:N,5,0)/(VLOOKUP(U199,模板计算相关数据!A:N,5,0)+(VLOOKUP(U199,模板计算相关数据!A:N,2,0)+模板计算相关数据!$AC$27)*模板计算相关数据!$AC$28))/S199*AA199)</f>
        <v>262</v>
      </c>
      <c r="AL199" s="3">
        <f>INT(VLOOKUP(U199,模板计算相关数据!A:N,5,0)*VLOOKUP(X199,模板计算相关数据!$P$4:$T$7,4,0)*VLOOKUP(Y199,模板计算相关数据!$P$22:$U$30,4,0)*AB199)</f>
        <v>471</v>
      </c>
      <c r="AM199" s="3">
        <f>INT(VLOOKUP(U199,模板计算相关数据!A:N,6,0)*VLOOKUP(X199,模板计算相关数据!$P$4:$T$7,4,0)*VLOOKUP(Y199,模板计算相关数据!$P$22:$U$30,5,0)*AC199)</f>
        <v>875</v>
      </c>
      <c r="AN199" s="3">
        <f>VLOOKUP(U199,模板计算相关数据!A:N,10,0)*0.5*VLOOKUP(Y199,模板计算相关数据!$P$22:$U$30,6,0)+AD199</f>
        <v>225</v>
      </c>
      <c r="AO199" s="3">
        <f>VLOOKUP(INT(VLOOKUP(U199,模板计算相关数据!A:N,2,0)/30)+1,模板计算相关数据!$O$35:$U$40,3,0)+AE199</f>
        <v>0</v>
      </c>
      <c r="AP199" s="3">
        <f>VLOOKUP(INT(VLOOKUP(U199,模板计算相关数据!A:N,2,0)/30)+1,模板计算相关数据!$O$35:$U$40,4,0)+AF199</f>
        <v>5000</v>
      </c>
      <c r="AQ199" s="3">
        <f>VLOOKUP(INT(VLOOKUP(U199,模板计算相关数据!A:N,2,0)/30)+1,模板计算相关数据!$O$35:$U$40,5,0)+AG199</f>
        <v>0</v>
      </c>
      <c r="AR199" s="3">
        <f>VLOOKUP(INT(VLOOKUP(U199,模板计算相关数据!A:N,2,0)/30)+1,模板计算相关数据!$O$35:$U$40,6,0)+AH199</f>
        <v>0</v>
      </c>
      <c r="AS199" s="3">
        <f>VLOOKUP(INT(VLOOKUP(U199,模板计算相关数据!A:N,2,0)/30)+1,模板计算相关数据!$O$35:$U$40,7,0)+AI199</f>
        <v>0</v>
      </c>
      <c r="AT199" s="3">
        <f>VLOOKUP(INT(VLOOKUP(U199,模板计算相关数据!A:N,2,0)/30)+1,模板计算相关数据!$O$35:$V$40,8,0)</f>
        <v>0</v>
      </c>
      <c r="AU199" s="2"/>
    </row>
    <row r="200" spans="1:47" x14ac:dyDescent="0.2">
      <c r="A200" s="17">
        <v>101060301</v>
      </c>
      <c r="B200" s="17"/>
      <c r="C200" s="69" t="s">
        <v>996</v>
      </c>
      <c r="D200" s="33" t="s">
        <v>1018</v>
      </c>
      <c r="E200" s="2">
        <v>1</v>
      </c>
      <c r="F200" s="3">
        <v>1</v>
      </c>
      <c r="G200" s="3">
        <v>1002101</v>
      </c>
      <c r="H200" s="3">
        <v>4</v>
      </c>
      <c r="I200" s="3">
        <v>4</v>
      </c>
      <c r="J200" s="3">
        <v>1</v>
      </c>
      <c r="K200" s="3"/>
      <c r="L200" s="91" t="s">
        <v>953</v>
      </c>
      <c r="M200" s="3"/>
      <c r="N200" s="2">
        <v>1</v>
      </c>
      <c r="O200" s="2"/>
      <c r="P200" s="3" t="s">
        <v>1613</v>
      </c>
      <c r="Q200" s="95">
        <f t="shared" si="15"/>
        <v>3.5739607843137255</v>
      </c>
      <c r="R200" s="133">
        <f>IF(P200=模板计算相关数据!$AB$24,VLOOKUP(X200,模板计算相关数据!$P$47:$T$50,2,0),VLOOKUP(X200,模板计算相关数据!$P$4:$U$7,3,0))*VLOOKUP(Y200,模板计算相关数据!$P$22:$X$30,8,0)</f>
        <v>3.5739607843137255</v>
      </c>
      <c r="S200" s="62">
        <v>7.04</v>
      </c>
      <c r="T200" s="133">
        <f>IF(P200=模板计算相关数据!$AB$24,VLOOKUP(X200,模板计算相关数据!$P$47:$T$50,5,0),VLOOKUP(X200,模板计算相关数据!$P$4:$U$7,6,0))*VLOOKUP(Y200,模板计算相关数据!$P$22:$X$30,9,0)</f>
        <v>7.1399909464914808</v>
      </c>
      <c r="U200" s="95">
        <v>8</v>
      </c>
      <c r="V200" s="95">
        <f t="shared" si="16"/>
        <v>20</v>
      </c>
      <c r="W200" s="29">
        <f>VLOOKUP(U200,模板计算相关数据!A:N,2,0)</f>
        <v>17</v>
      </c>
      <c r="X200" s="3" t="s">
        <v>151</v>
      </c>
      <c r="Y200" s="3" t="s">
        <v>162</v>
      </c>
      <c r="Z200" s="95">
        <v>1.05</v>
      </c>
      <c r="AA200" s="95">
        <v>1.05</v>
      </c>
      <c r="AB200" s="95">
        <v>1</v>
      </c>
      <c r="AC200" s="95">
        <v>1</v>
      </c>
      <c r="AD200" s="95">
        <v>0</v>
      </c>
      <c r="AE200" s="95">
        <v>0</v>
      </c>
      <c r="AF200" s="95">
        <v>0</v>
      </c>
      <c r="AG200" s="95">
        <v>0</v>
      </c>
      <c r="AH200" s="95">
        <v>0</v>
      </c>
      <c r="AI200" s="95">
        <v>0</v>
      </c>
      <c r="AJ200" s="3">
        <f>INT(VLOOKUP(U200,模板计算相关数据!A:N,4,0)*VLOOKUP(U200,模板计算相关数据!A:N,14,0)*(1+MAX(0,(VLOOKUP(U200,模板计算相关数据!A:N,7,0)-AQ200))*VLOOKUP(U200,模板计算相关数据!A:N,8,0))*(1-(AL200+AM200)*0.5/((AL200+AM200)*0.5+(VLOOKUP(U200,模板计算相关数据!A:N,2,0)+模板计算相关数据!$AC$27)*模板计算相关数据!$AC$28))*Q200*Z200)</f>
        <v>1240</v>
      </c>
      <c r="AK200" s="3">
        <f>INT(VLOOKUP(U200,模板计算相关数据!A:N,3,0)/模板计算相关数据!$W$35/(1+MAX(0,(AO200/10000-VLOOKUP(U200,模板计算相关数据!A:N,9,0)))*AP200/10000)/(1-VLOOKUP(U200,模板计算相关数据!A:N,5,0)/(VLOOKUP(U200,模板计算相关数据!A:N,5,0)+(VLOOKUP(U200,模板计算相关数据!A:N,2,0)+模板计算相关数据!$AC$27)*模板计算相关数据!$AC$28))/S200*AA200)</f>
        <v>334</v>
      </c>
      <c r="AL200" s="3">
        <f>INT(VLOOKUP(U200,模板计算相关数据!A:N,5,0)*VLOOKUP(X200,模板计算相关数据!$P$4:$T$7,4,0)*VLOOKUP(Y200,模板计算相关数据!$P$22:$U$30,4,0)*AB200)</f>
        <v>555</v>
      </c>
      <c r="AM200" s="3">
        <f>INT(VLOOKUP(U200,模板计算相关数据!A:N,6,0)*VLOOKUP(X200,模板计算相关数据!$P$4:$T$7,4,0)*VLOOKUP(Y200,模板计算相关数据!$P$22:$U$30,5,0)*AC200)</f>
        <v>936</v>
      </c>
      <c r="AN200" s="3">
        <f>VLOOKUP(U200,模板计算相关数据!A:N,10,0)*0.5*VLOOKUP(Y200,模板计算相关数据!$P$22:$U$30,6,0)+AD200</f>
        <v>250</v>
      </c>
      <c r="AO200" s="3">
        <f>VLOOKUP(INT(VLOOKUP(U200,模板计算相关数据!A:N,2,0)/30)+1,模板计算相关数据!$O$35:$U$40,3,0)+AE200</f>
        <v>0</v>
      </c>
      <c r="AP200" s="3">
        <f>VLOOKUP(INT(VLOOKUP(U200,模板计算相关数据!A:N,2,0)/30)+1,模板计算相关数据!$O$35:$U$40,4,0)+AF200</f>
        <v>5000</v>
      </c>
      <c r="AQ200" s="3">
        <f>VLOOKUP(INT(VLOOKUP(U200,模板计算相关数据!A:N,2,0)/30)+1,模板计算相关数据!$O$35:$U$40,5,0)+AG200</f>
        <v>0</v>
      </c>
      <c r="AR200" s="3">
        <f>VLOOKUP(INT(VLOOKUP(U200,模板计算相关数据!A:N,2,0)/30)+1,模板计算相关数据!$O$35:$U$40,6,0)+AH200</f>
        <v>0</v>
      </c>
      <c r="AS200" s="3">
        <f>VLOOKUP(INT(VLOOKUP(U200,模板计算相关数据!A:N,2,0)/30)+1,模板计算相关数据!$O$35:$U$40,7,0)+AI200</f>
        <v>0</v>
      </c>
      <c r="AT200" s="3">
        <f>VLOOKUP(INT(VLOOKUP(U200,模板计算相关数据!A:N,2,0)/30)+1,模板计算相关数据!$O$35:$V$40,8,0)</f>
        <v>0</v>
      </c>
      <c r="AU200" s="69" t="s">
        <v>1569</v>
      </c>
    </row>
    <row r="201" spans="1:47" x14ac:dyDescent="0.2">
      <c r="A201" s="19">
        <v>101060401</v>
      </c>
      <c r="B201" s="19"/>
      <c r="C201" s="69" t="s">
        <v>996</v>
      </c>
      <c r="D201" s="33" t="s">
        <v>1019</v>
      </c>
      <c r="E201" s="2">
        <v>1</v>
      </c>
      <c r="F201" s="3">
        <v>1</v>
      </c>
      <c r="G201" s="3">
        <v>1002101</v>
      </c>
      <c r="H201" s="3">
        <v>4</v>
      </c>
      <c r="I201" s="3">
        <v>4</v>
      </c>
      <c r="J201" s="3">
        <v>1</v>
      </c>
      <c r="K201" s="3"/>
      <c r="L201" s="91" t="s">
        <v>953</v>
      </c>
      <c r="M201" s="3"/>
      <c r="N201" s="2">
        <v>1</v>
      </c>
      <c r="O201" s="2"/>
      <c r="P201" s="3" t="s">
        <v>1613</v>
      </c>
      <c r="Q201" s="95">
        <f t="shared" si="15"/>
        <v>3.5739607843137255</v>
      </c>
      <c r="R201" s="133">
        <f>IF(P201=模板计算相关数据!$AB$24,VLOOKUP(X201,模板计算相关数据!$P$47:$T$50,2,0),VLOOKUP(X201,模板计算相关数据!$P$4:$U$7,3,0))*VLOOKUP(Y201,模板计算相关数据!$P$22:$X$30,8,0)</f>
        <v>3.5739607843137255</v>
      </c>
      <c r="S201" s="62">
        <v>7.04</v>
      </c>
      <c r="T201" s="133">
        <f>IF(P201=模板计算相关数据!$AB$24,VLOOKUP(X201,模板计算相关数据!$P$47:$T$50,5,0),VLOOKUP(X201,模板计算相关数据!$P$4:$U$7,6,0))*VLOOKUP(Y201,模板计算相关数据!$P$22:$X$30,9,0)</f>
        <v>7.1399909464914808</v>
      </c>
      <c r="U201" s="95">
        <v>8</v>
      </c>
      <c r="V201" s="95">
        <f t="shared" si="16"/>
        <v>20</v>
      </c>
      <c r="W201" s="29">
        <f>VLOOKUP(U201,模板计算相关数据!A:N,2,0)</f>
        <v>17</v>
      </c>
      <c r="X201" s="3" t="s">
        <v>151</v>
      </c>
      <c r="Y201" s="3" t="s">
        <v>162</v>
      </c>
      <c r="Z201" s="95">
        <v>1.05</v>
      </c>
      <c r="AA201" s="95">
        <v>1.05</v>
      </c>
      <c r="AB201" s="95">
        <v>1</v>
      </c>
      <c r="AC201" s="95">
        <v>1</v>
      </c>
      <c r="AD201" s="95">
        <v>0</v>
      </c>
      <c r="AE201" s="95">
        <v>0</v>
      </c>
      <c r="AF201" s="95">
        <v>0</v>
      </c>
      <c r="AG201" s="95">
        <v>0</v>
      </c>
      <c r="AH201" s="95">
        <v>0</v>
      </c>
      <c r="AI201" s="95">
        <v>0</v>
      </c>
      <c r="AJ201" s="3">
        <f>INT(VLOOKUP(U201,模板计算相关数据!A:N,4,0)*VLOOKUP(U201,模板计算相关数据!A:N,14,0)*(1+MAX(0,(VLOOKUP(U201,模板计算相关数据!A:N,7,0)-AQ201))*VLOOKUP(U201,模板计算相关数据!A:N,8,0))*(1-(AL201+AM201)*0.5/((AL201+AM201)*0.5+(VLOOKUP(U201,模板计算相关数据!A:N,2,0)+模板计算相关数据!$AC$27)*模板计算相关数据!$AC$28))*Q201*Z201)</f>
        <v>1240</v>
      </c>
      <c r="AK201" s="3">
        <f>INT(VLOOKUP(U201,模板计算相关数据!A:N,3,0)/模板计算相关数据!$W$35/(1+MAX(0,(AO201/10000-VLOOKUP(U201,模板计算相关数据!A:N,9,0)))*AP201/10000)/(1-VLOOKUP(U201,模板计算相关数据!A:N,5,0)/(VLOOKUP(U201,模板计算相关数据!A:N,5,0)+(VLOOKUP(U201,模板计算相关数据!A:N,2,0)+模板计算相关数据!$AC$27)*模板计算相关数据!$AC$28))/S201*AA201)</f>
        <v>334</v>
      </c>
      <c r="AL201" s="3">
        <f>INT(VLOOKUP(U201,模板计算相关数据!A:N,5,0)*VLOOKUP(X201,模板计算相关数据!$P$4:$T$7,4,0)*VLOOKUP(Y201,模板计算相关数据!$P$22:$U$30,4,0)*AB201)</f>
        <v>555</v>
      </c>
      <c r="AM201" s="3">
        <f>INT(VLOOKUP(U201,模板计算相关数据!A:N,6,0)*VLOOKUP(X201,模板计算相关数据!$P$4:$T$7,4,0)*VLOOKUP(Y201,模板计算相关数据!$P$22:$U$30,5,0)*AC201)</f>
        <v>936</v>
      </c>
      <c r="AN201" s="3">
        <f>VLOOKUP(U201,模板计算相关数据!A:N,10,0)*0.5*VLOOKUP(Y201,模板计算相关数据!$P$22:$U$30,6,0)+AD201</f>
        <v>250</v>
      </c>
      <c r="AO201" s="3">
        <f>VLOOKUP(INT(VLOOKUP(U201,模板计算相关数据!A:N,2,0)/30)+1,模板计算相关数据!$O$35:$U$40,3,0)+AE201</f>
        <v>0</v>
      </c>
      <c r="AP201" s="3">
        <f>VLOOKUP(INT(VLOOKUP(U201,模板计算相关数据!A:N,2,0)/30)+1,模板计算相关数据!$O$35:$U$40,4,0)+AF201</f>
        <v>5000</v>
      </c>
      <c r="AQ201" s="3">
        <f>VLOOKUP(INT(VLOOKUP(U201,模板计算相关数据!A:N,2,0)/30)+1,模板计算相关数据!$O$35:$U$40,5,0)+AG201</f>
        <v>0</v>
      </c>
      <c r="AR201" s="3">
        <f>VLOOKUP(INT(VLOOKUP(U201,模板计算相关数据!A:N,2,0)/30)+1,模板计算相关数据!$O$35:$U$40,6,0)+AH201</f>
        <v>0</v>
      </c>
      <c r="AS201" s="3">
        <f>VLOOKUP(INT(VLOOKUP(U201,模板计算相关数据!A:N,2,0)/30)+1,模板计算相关数据!$O$35:$U$40,7,0)+AI201</f>
        <v>0</v>
      </c>
      <c r="AT201" s="3">
        <f>VLOOKUP(INT(VLOOKUP(U201,模板计算相关数据!A:N,2,0)/30)+1,模板计算相关数据!$O$35:$V$40,8,0)</f>
        <v>0</v>
      </c>
      <c r="AU201" s="2"/>
    </row>
    <row r="202" spans="1:47" x14ac:dyDescent="0.2">
      <c r="A202" s="19">
        <v>101060402</v>
      </c>
      <c r="B202" s="19"/>
      <c r="C202" s="69" t="s">
        <v>997</v>
      </c>
      <c r="D202" s="33" t="s">
        <v>1019</v>
      </c>
      <c r="E202" s="2">
        <v>1</v>
      </c>
      <c r="F202" s="3">
        <v>2</v>
      </c>
      <c r="G202" s="3">
        <v>1002201</v>
      </c>
      <c r="H202" s="3">
        <v>1</v>
      </c>
      <c r="I202" s="3">
        <v>4</v>
      </c>
      <c r="J202" s="3">
        <v>1</v>
      </c>
      <c r="K202" s="3"/>
      <c r="L202" s="91" t="s">
        <v>954</v>
      </c>
      <c r="M202" s="3"/>
      <c r="N202" s="2">
        <v>1</v>
      </c>
      <c r="O202" s="2"/>
      <c r="P202" s="3" t="s">
        <v>1613</v>
      </c>
      <c r="Q202" s="95">
        <f t="shared" si="15"/>
        <v>3.5338039215686279</v>
      </c>
      <c r="R202" s="133">
        <f>IF(P202=模板计算相关数据!$AB$24,VLOOKUP(X202,模板计算相关数据!$P$47:$T$50,2,0),VLOOKUP(X202,模板计算相关数据!$P$4:$U$7,3,0))*VLOOKUP(Y202,模板计算相关数据!$P$22:$X$30,8,0)</f>
        <v>3.5338039215686279</v>
      </c>
      <c r="S202" s="62">
        <v>7</v>
      </c>
      <c r="T202" s="133">
        <f>IF(P202=模板计算相关数据!$AB$24,VLOOKUP(X202,模板计算相关数据!$P$47:$T$50,5,0),VLOOKUP(X202,模板计算相关数据!$P$4:$U$7,6,0))*VLOOKUP(Y202,模板计算相关数据!$P$22:$X$30,9,0)</f>
        <v>7.080688696105339</v>
      </c>
      <c r="U202" s="95">
        <v>8</v>
      </c>
      <c r="V202" s="95">
        <f t="shared" si="16"/>
        <v>20</v>
      </c>
      <c r="W202" s="29">
        <f>VLOOKUP(U202,模板计算相关数据!A:N,2,0)</f>
        <v>17</v>
      </c>
      <c r="X202" s="3" t="s">
        <v>151</v>
      </c>
      <c r="Y202" s="3" t="s">
        <v>152</v>
      </c>
      <c r="Z202" s="95">
        <v>1.05</v>
      </c>
      <c r="AA202" s="95">
        <v>1.05</v>
      </c>
      <c r="AB202" s="95">
        <v>1</v>
      </c>
      <c r="AC202" s="95">
        <v>1</v>
      </c>
      <c r="AD202" s="95">
        <v>0</v>
      </c>
      <c r="AE202" s="95">
        <v>0</v>
      </c>
      <c r="AF202" s="95">
        <v>0</v>
      </c>
      <c r="AG202" s="95">
        <v>0</v>
      </c>
      <c r="AH202" s="95">
        <v>0</v>
      </c>
      <c r="AI202" s="95">
        <v>0</v>
      </c>
      <c r="AJ202" s="3">
        <f>INT(VLOOKUP(U202,模板计算相关数据!A:N,4,0)*VLOOKUP(U202,模板计算相关数据!A:N,14,0)*(1+MAX(0,(VLOOKUP(U202,模板计算相关数据!A:N,7,0)-AQ202))*VLOOKUP(U202,模板计算相关数据!A:N,8,0))*(1-(AL202+AM202)*0.5/((AL202+AM202)*0.5+(VLOOKUP(U202,模板计算相关数据!A:N,2,0)+模板计算相关数据!$AC$27)*模板计算相关数据!$AC$28))*Q202*Z202)</f>
        <v>1226</v>
      </c>
      <c r="AK202" s="3">
        <f>INT(VLOOKUP(U202,模板计算相关数据!A:N,3,0)/模板计算相关数据!$W$35/(1+MAX(0,(AO202/10000-VLOOKUP(U202,模板计算相关数据!A:N,9,0)))*AP202/10000)/(1-VLOOKUP(U202,模板计算相关数据!A:N,5,0)/(VLOOKUP(U202,模板计算相关数据!A:N,5,0)+(VLOOKUP(U202,模板计算相关数据!A:N,2,0)+模板计算相关数据!$AC$27)*模板计算相关数据!$AC$28))/S202*AA202)</f>
        <v>336</v>
      </c>
      <c r="AL202" s="3">
        <f>INT(VLOOKUP(U202,模板计算相关数据!A:N,5,0)*VLOOKUP(X202,模板计算相关数据!$P$4:$T$7,4,0)*VLOOKUP(Y202,模板计算相关数据!$P$22:$U$30,4,0)*AB202)</f>
        <v>936</v>
      </c>
      <c r="AM202" s="3">
        <f>INT(VLOOKUP(U202,模板计算相关数据!A:N,6,0)*VLOOKUP(X202,模板计算相关数据!$P$4:$T$7,4,0)*VLOOKUP(Y202,模板计算相关数据!$P$22:$U$30,5,0)*AC202)</f>
        <v>555</v>
      </c>
      <c r="AN202" s="3">
        <f>VLOOKUP(U202,模板计算相关数据!A:N,10,0)*0.5*VLOOKUP(Y202,模板计算相关数据!$P$22:$U$30,6,0)+AD202</f>
        <v>250</v>
      </c>
      <c r="AO202" s="3">
        <f>VLOOKUP(INT(VLOOKUP(U202,模板计算相关数据!A:N,2,0)/30)+1,模板计算相关数据!$O$35:$U$40,3,0)+AE202</f>
        <v>0</v>
      </c>
      <c r="AP202" s="3">
        <f>VLOOKUP(INT(VLOOKUP(U202,模板计算相关数据!A:N,2,0)/30)+1,模板计算相关数据!$O$35:$U$40,4,0)+AF202</f>
        <v>5000</v>
      </c>
      <c r="AQ202" s="3">
        <f>VLOOKUP(INT(VLOOKUP(U202,模板计算相关数据!A:N,2,0)/30)+1,模板计算相关数据!$O$35:$U$40,5,0)+AG202</f>
        <v>0</v>
      </c>
      <c r="AR202" s="3">
        <f>VLOOKUP(INT(VLOOKUP(U202,模板计算相关数据!A:N,2,0)/30)+1,模板计算相关数据!$O$35:$U$40,6,0)+AH202</f>
        <v>0</v>
      </c>
      <c r="AS202" s="3">
        <f>VLOOKUP(INT(VLOOKUP(U202,模板计算相关数据!A:N,2,0)/30)+1,模板计算相关数据!$O$35:$U$40,7,0)+AI202</f>
        <v>0</v>
      </c>
      <c r="AT202" s="3">
        <f>VLOOKUP(INT(VLOOKUP(U202,模板计算相关数据!A:N,2,0)/30)+1,模板计算相关数据!$O$35:$V$40,8,0)</f>
        <v>0</v>
      </c>
      <c r="AU202" s="2"/>
    </row>
    <row r="203" spans="1:47" x14ac:dyDescent="0.2">
      <c r="A203" s="19">
        <v>101060501</v>
      </c>
      <c r="B203" s="19"/>
      <c r="C203" s="69" t="s">
        <v>997</v>
      </c>
      <c r="D203" s="33" t="s">
        <v>1019</v>
      </c>
      <c r="E203" s="2">
        <v>1</v>
      </c>
      <c r="F203" s="3">
        <v>2</v>
      </c>
      <c r="G203" s="3">
        <v>1002201</v>
      </c>
      <c r="H203" s="3">
        <v>1</v>
      </c>
      <c r="I203" s="3">
        <v>4</v>
      </c>
      <c r="J203" s="3">
        <v>1</v>
      </c>
      <c r="K203" s="3"/>
      <c r="L203" s="91" t="s">
        <v>954</v>
      </c>
      <c r="M203" s="3"/>
      <c r="N203" s="2">
        <v>1</v>
      </c>
      <c r="O203" s="2"/>
      <c r="P203" s="3" t="s">
        <v>1613</v>
      </c>
      <c r="Q203" s="95">
        <f t="shared" ref="Q203" si="18">R203</f>
        <v>3.5338039215686279</v>
      </c>
      <c r="R203" s="133">
        <f>IF(P203=模板计算相关数据!$AB$24,VLOOKUP(X203,模板计算相关数据!$P$47:$T$50,2,0),VLOOKUP(X203,模板计算相关数据!$P$4:$U$7,3,0))*VLOOKUP(Y203,模板计算相关数据!$P$22:$X$30,8,0)</f>
        <v>3.5338039215686279</v>
      </c>
      <c r="S203" s="62">
        <v>7</v>
      </c>
      <c r="T203" s="133">
        <f>IF(P203=模板计算相关数据!$AB$24,VLOOKUP(X203,模板计算相关数据!$P$47:$T$50,5,0),VLOOKUP(X203,模板计算相关数据!$P$4:$U$7,6,0))*VLOOKUP(Y203,模板计算相关数据!$P$22:$X$30,9,0)</f>
        <v>7.080688696105339</v>
      </c>
      <c r="U203" s="95">
        <v>8</v>
      </c>
      <c r="V203" s="95">
        <f t="shared" si="16"/>
        <v>20</v>
      </c>
      <c r="W203" s="29">
        <f>VLOOKUP(U203,模板计算相关数据!A:N,2,0)</f>
        <v>17</v>
      </c>
      <c r="X203" s="3" t="s">
        <v>151</v>
      </c>
      <c r="Y203" s="3" t="s">
        <v>152</v>
      </c>
      <c r="Z203" s="95">
        <v>1.05</v>
      </c>
      <c r="AA203" s="95">
        <v>1.05</v>
      </c>
      <c r="AB203" s="95">
        <v>1</v>
      </c>
      <c r="AC203" s="95">
        <v>1</v>
      </c>
      <c r="AD203" s="95">
        <v>0</v>
      </c>
      <c r="AE203" s="95">
        <v>0</v>
      </c>
      <c r="AF203" s="95">
        <v>0</v>
      </c>
      <c r="AG203" s="95">
        <v>0</v>
      </c>
      <c r="AH203" s="95">
        <v>0</v>
      </c>
      <c r="AI203" s="95">
        <v>0</v>
      </c>
      <c r="AJ203" s="3">
        <f>INT(VLOOKUP(U203,模板计算相关数据!A:N,4,0)*VLOOKUP(U203,模板计算相关数据!A:N,14,0)*(1+MAX(0,(VLOOKUP(U203,模板计算相关数据!A:N,7,0)-AQ203))*VLOOKUP(U203,模板计算相关数据!A:N,8,0))*(1-(AL203+AM203)*0.5/((AL203+AM203)*0.5+(VLOOKUP(U203,模板计算相关数据!A:N,2,0)+模板计算相关数据!$AC$27)*模板计算相关数据!$AC$28))*Q203*Z203)</f>
        <v>1226</v>
      </c>
      <c r="AK203" s="3">
        <f>INT(VLOOKUP(U203,模板计算相关数据!A:N,3,0)/模板计算相关数据!$W$35/(1+MAX(0,(AO203/10000-VLOOKUP(U203,模板计算相关数据!A:N,9,0)))*AP203/10000)/(1-VLOOKUP(U203,模板计算相关数据!A:N,5,0)/(VLOOKUP(U203,模板计算相关数据!A:N,5,0)+(VLOOKUP(U203,模板计算相关数据!A:N,2,0)+模板计算相关数据!$AC$27)*模板计算相关数据!$AC$28))/S203*AA203)</f>
        <v>336</v>
      </c>
      <c r="AL203" s="3">
        <f>INT(VLOOKUP(U203,模板计算相关数据!A:N,5,0)*VLOOKUP(X203,模板计算相关数据!$P$4:$T$7,4,0)*VLOOKUP(Y203,模板计算相关数据!$P$22:$U$30,4,0)*AB203)</f>
        <v>936</v>
      </c>
      <c r="AM203" s="3">
        <f>INT(VLOOKUP(U203,模板计算相关数据!A:N,6,0)*VLOOKUP(X203,模板计算相关数据!$P$4:$T$7,4,0)*VLOOKUP(Y203,模板计算相关数据!$P$22:$U$30,5,0)*AC203)</f>
        <v>555</v>
      </c>
      <c r="AN203" s="3">
        <f>VLOOKUP(U203,模板计算相关数据!A:N,10,0)*0.5*VLOOKUP(Y203,模板计算相关数据!$P$22:$U$30,6,0)+AD203</f>
        <v>250</v>
      </c>
      <c r="AO203" s="3">
        <f>VLOOKUP(INT(VLOOKUP(U203,模板计算相关数据!A:N,2,0)/30)+1,模板计算相关数据!$O$35:$U$40,3,0)+AE203</f>
        <v>0</v>
      </c>
      <c r="AP203" s="3">
        <f>VLOOKUP(INT(VLOOKUP(U203,模板计算相关数据!A:N,2,0)/30)+1,模板计算相关数据!$O$35:$U$40,4,0)+AF203</f>
        <v>5000</v>
      </c>
      <c r="AQ203" s="3">
        <f>VLOOKUP(INT(VLOOKUP(U203,模板计算相关数据!A:N,2,0)/30)+1,模板计算相关数据!$O$35:$U$40,5,0)+AG203</f>
        <v>0</v>
      </c>
      <c r="AR203" s="3">
        <f>VLOOKUP(INT(VLOOKUP(U203,模板计算相关数据!A:N,2,0)/30)+1,模板计算相关数据!$O$35:$U$40,6,0)+AH203</f>
        <v>0</v>
      </c>
      <c r="AS203" s="3">
        <f>VLOOKUP(INT(VLOOKUP(U203,模板计算相关数据!A:N,2,0)/30)+1,模板计算相关数据!$O$35:$U$40,7,0)+AI203</f>
        <v>0</v>
      </c>
      <c r="AT203" s="3">
        <f>VLOOKUP(INT(VLOOKUP(U203,模板计算相关数据!A:N,2,0)/30)+1,模板计算相关数据!$O$35:$V$40,8,0)</f>
        <v>0</v>
      </c>
      <c r="AU203" s="2"/>
    </row>
    <row r="204" spans="1:47" x14ac:dyDescent="0.2">
      <c r="A204" s="19">
        <v>101060502</v>
      </c>
      <c r="B204" s="19"/>
      <c r="C204" s="69" t="s">
        <v>1599</v>
      </c>
      <c r="D204" s="33" t="s">
        <v>1019</v>
      </c>
      <c r="E204" s="2">
        <v>1</v>
      </c>
      <c r="F204" s="3">
        <v>5</v>
      </c>
      <c r="G204" s="3">
        <v>1002401</v>
      </c>
      <c r="H204" s="3">
        <v>5</v>
      </c>
      <c r="I204" s="3">
        <v>4</v>
      </c>
      <c r="J204" s="3">
        <v>1</v>
      </c>
      <c r="K204" s="3">
        <v>1</v>
      </c>
      <c r="L204" s="91" t="s">
        <v>1541</v>
      </c>
      <c r="M204" s="3"/>
      <c r="N204" s="2">
        <v>1</v>
      </c>
      <c r="O204" s="2"/>
      <c r="P204" s="3" t="s">
        <v>1613</v>
      </c>
      <c r="Q204" s="95">
        <v>17</v>
      </c>
      <c r="R204" s="133">
        <f>IF(P204=模板计算相关数据!$AB$24,VLOOKUP(X204,模板计算相关数据!$P$47:$T$50,2,0),VLOOKUP(X204,模板计算相关数据!$P$4:$U$7,3,0))*VLOOKUP(Y204,模板计算相关数据!$P$22:$X$30,8,0)</f>
        <v>23.083921568627449</v>
      </c>
      <c r="S204" s="62">
        <v>3.4</v>
      </c>
      <c r="T204" s="133">
        <f>IF(P204=模板计算相关数据!$AB$24,VLOOKUP(X204,模板计算相关数据!$P$47:$T$50,5,0),VLOOKUP(X204,模板计算相关数据!$P$4:$U$7,6,0))*VLOOKUP(Y204,模板计算相关数据!$P$22:$X$30,9,0)</f>
        <v>3.1342460257760378</v>
      </c>
      <c r="U204" s="95">
        <v>8</v>
      </c>
      <c r="V204" s="95">
        <f t="shared" si="16"/>
        <v>20</v>
      </c>
      <c r="W204" s="29">
        <f>VLOOKUP(U204,模板计算相关数据!A:N,2,0)</f>
        <v>17</v>
      </c>
      <c r="X204" s="3" t="s">
        <v>178</v>
      </c>
      <c r="Y204" s="3" t="s">
        <v>159</v>
      </c>
      <c r="Z204" s="95">
        <v>1</v>
      </c>
      <c r="AA204" s="95">
        <v>1</v>
      </c>
      <c r="AB204" s="95">
        <v>0.95</v>
      </c>
      <c r="AC204" s="95">
        <v>1</v>
      </c>
      <c r="AD204" s="95">
        <v>0</v>
      </c>
      <c r="AE204" s="95">
        <v>0</v>
      </c>
      <c r="AF204" s="95">
        <v>0</v>
      </c>
      <c r="AG204" s="95">
        <v>0</v>
      </c>
      <c r="AH204" s="95">
        <v>0</v>
      </c>
      <c r="AI204" s="95">
        <v>2000</v>
      </c>
      <c r="AJ204" s="3">
        <f>INT(VLOOKUP(U204,模板计算相关数据!A:N,4,0)*VLOOKUP(U204,模板计算相关数据!A:N,14,0)*(1+MAX(0,(VLOOKUP(U204,模板计算相关数据!A:N,7,0)-AQ204))*VLOOKUP(U204,模板计算相关数据!A:N,8,0))*(1-(AL204+AM204)*0.5/((AL204+AM204)*0.5+(VLOOKUP(U204,模板计算相关数据!A:N,2,0)+模板计算相关数据!$AC$27)*模板计算相关数据!$AC$28))*Q204*Z204)</f>
        <v>4812</v>
      </c>
      <c r="AK204" s="3">
        <f>INT(VLOOKUP(U204,模板计算相关数据!A:N,3,0)/模板计算相关数据!$W$35/(1+MAX(0,(AO204/10000-VLOOKUP(U204,模板计算相关数据!A:N,9,0)))*AP204/10000)/(1-VLOOKUP(U204,模板计算相关数据!A:N,5,0)/(VLOOKUP(U204,模板计算相关数据!A:N,5,0)+(VLOOKUP(U204,模板计算相关数据!A:N,2,0)+模板计算相关数据!$AC$27)*模板计算相关数据!$AC$28))/S204*AA204)</f>
        <v>659</v>
      </c>
      <c r="AL204" s="3">
        <f>INT(VLOOKUP(U204,模板计算相关数据!A:N,5,0)*VLOOKUP(X204,模板计算相关数据!$P$4:$T$7,4,0)*VLOOKUP(Y204,模板计算相关数据!$P$22:$U$30,4,0)*AB204)</f>
        <v>1532</v>
      </c>
      <c r="AM204" s="3">
        <f>INT(VLOOKUP(U204,模板计算相关数据!A:N,6,0)*VLOOKUP(X204,模板计算相关数据!$P$4:$T$7,4,0)*VLOOKUP(Y204,模板计算相关数据!$P$22:$U$30,5,0)*AC204)</f>
        <v>884</v>
      </c>
      <c r="AN204" s="3">
        <f>VLOOKUP(U204,模板计算相关数据!A:N,10,0)*0.5*VLOOKUP(Y204,模板计算相关数据!$P$22:$U$30,6,0)+AD204</f>
        <v>275</v>
      </c>
      <c r="AO204" s="3">
        <f>VLOOKUP(INT(VLOOKUP(U204,模板计算相关数据!A:N,2,0)/30)+1,模板计算相关数据!$O$35:$U$40,3,0)+AE204</f>
        <v>0</v>
      </c>
      <c r="AP204" s="3">
        <f>VLOOKUP(INT(VLOOKUP(U204,模板计算相关数据!A:N,2,0)/30)+1,模板计算相关数据!$O$35:$U$40,4,0)+AF204</f>
        <v>5000</v>
      </c>
      <c r="AQ204" s="3">
        <f>VLOOKUP(INT(VLOOKUP(U204,模板计算相关数据!A:N,2,0)/30)+1,模板计算相关数据!$O$35:$U$40,5,0)+AG204</f>
        <v>0</v>
      </c>
      <c r="AR204" s="3">
        <f>VLOOKUP(INT(VLOOKUP(U204,模板计算相关数据!A:N,2,0)/30)+1,模板计算相关数据!$O$35:$U$40,6,0)+AH204</f>
        <v>0</v>
      </c>
      <c r="AS204" s="3">
        <f>VLOOKUP(INT(VLOOKUP(U204,模板计算相关数据!A:N,2,0)/30)+1,模板计算相关数据!$O$35:$U$40,7,0)+AI204</f>
        <v>2000</v>
      </c>
      <c r="AT204" s="3">
        <f>VLOOKUP(INT(VLOOKUP(U204,模板计算相关数据!A:N,2,0)/30)+1,模板计算相关数据!$O$35:$V$40,8,0)</f>
        <v>0</v>
      </c>
      <c r="AU204" s="69" t="s">
        <v>1570</v>
      </c>
    </row>
    <row r="205" spans="1:47" x14ac:dyDescent="0.2">
      <c r="A205" s="17">
        <v>101070101</v>
      </c>
      <c r="B205" s="17"/>
      <c r="C205" s="69" t="s">
        <v>995</v>
      </c>
      <c r="D205" s="87" t="s">
        <v>1621</v>
      </c>
      <c r="E205" s="2">
        <v>1</v>
      </c>
      <c r="F205" s="3">
        <v>3</v>
      </c>
      <c r="G205" s="3">
        <v>1001801</v>
      </c>
      <c r="H205" s="3">
        <v>1</v>
      </c>
      <c r="I205" s="3">
        <v>4</v>
      </c>
      <c r="J205" s="3">
        <v>5</v>
      </c>
      <c r="K205" s="3"/>
      <c r="L205" s="91" t="s">
        <v>951</v>
      </c>
      <c r="M205" s="3"/>
      <c r="N205" s="2">
        <v>1</v>
      </c>
      <c r="O205" s="2"/>
      <c r="P205" s="3" t="s">
        <v>1615</v>
      </c>
      <c r="Q205" s="95">
        <f t="shared" si="15"/>
        <v>4.417254901960785</v>
      </c>
      <c r="R205" s="133">
        <f>IF(P205=模板计算相关数据!$AB$24,VLOOKUP(X205,模板计算相关数据!$P$47:$T$50,2,0),VLOOKUP(X205,模板计算相关数据!$P$4:$U$7,3,0))*VLOOKUP(Y205,模板计算相关数据!$P$22:$X$30,8,0)</f>
        <v>4.417254901960785</v>
      </c>
      <c r="S205" s="62">
        <f t="shared" si="12"/>
        <v>5.4285280003474252</v>
      </c>
      <c r="T205" s="133">
        <f>IF(P205=模板计算相关数据!$AB$24,VLOOKUP(X205,模板计算相关数据!$P$47:$T$50,5,0),VLOOKUP(X205,模板计算相关数据!$P$4:$U$7,6,0))*VLOOKUP(Y205,模板计算相关数据!$P$22:$X$30,9,0)</f>
        <v>5.4285280003474252</v>
      </c>
      <c r="U205" s="95">
        <v>9</v>
      </c>
      <c r="V205" s="95">
        <f t="shared" si="16"/>
        <v>22</v>
      </c>
      <c r="W205" s="29">
        <f>VLOOKUP(U205,模板计算相关数据!A:N,2,0)</f>
        <v>19</v>
      </c>
      <c r="X205" s="3" t="s">
        <v>151</v>
      </c>
      <c r="Y205" s="3" t="s">
        <v>152</v>
      </c>
      <c r="Z205" s="95">
        <v>1.05</v>
      </c>
      <c r="AA205" s="95">
        <v>1.05</v>
      </c>
      <c r="AB205" s="95">
        <v>1</v>
      </c>
      <c r="AC205" s="95">
        <v>1</v>
      </c>
      <c r="AD205" s="95">
        <v>0</v>
      </c>
      <c r="AE205" s="95">
        <v>0</v>
      </c>
      <c r="AF205" s="95">
        <v>0</v>
      </c>
      <c r="AG205" s="95">
        <v>0</v>
      </c>
      <c r="AH205" s="95">
        <v>0</v>
      </c>
      <c r="AI205" s="95">
        <v>0</v>
      </c>
      <c r="AJ205" s="3">
        <f>INT(VLOOKUP(U205,模板计算相关数据!A:N,4,0)*VLOOKUP(U205,模板计算相关数据!A:N,14,0)*(1+MAX(0,(VLOOKUP(U205,模板计算相关数据!A:N,7,0)-AQ205))*VLOOKUP(U205,模板计算相关数据!A:N,8,0))*(1-(AL205+AM205)*0.5/((AL205+AM205)*0.5+(VLOOKUP(U205,模板计算相关数据!A:N,2,0)+模板计算相关数据!$AC$27)*模板计算相关数据!$AC$28))*Q205*Z205)</f>
        <v>1673</v>
      </c>
      <c r="AK205" s="3">
        <f>INT(VLOOKUP(U205,模板计算相关数据!A:N,3,0)/模板计算相关数据!$W$35/(1+MAX(0,(AO205/10000-VLOOKUP(U205,模板计算相关数据!A:N,9,0)))*AP205/10000)/(1-VLOOKUP(U205,模板计算相关数据!A:N,5,0)/(VLOOKUP(U205,模板计算相关数据!A:N,5,0)+(VLOOKUP(U205,模板计算相关数据!A:N,2,0)+模板计算相关数据!$AC$27)*模板计算相关数据!$AC$28))/S205*AA205)</f>
        <v>471</v>
      </c>
      <c r="AL205" s="3">
        <f>INT(VLOOKUP(U205,模板计算相关数据!A:N,5,0)*VLOOKUP(X205,模板计算相关数据!$P$4:$T$7,4,0)*VLOOKUP(Y205,模板计算相关数据!$P$22:$U$30,4,0)*AB205)</f>
        <v>1020</v>
      </c>
      <c r="AM205" s="3">
        <f>INT(VLOOKUP(U205,模板计算相关数据!A:N,6,0)*VLOOKUP(X205,模板计算相关数据!$P$4:$T$7,4,0)*VLOOKUP(Y205,模板计算相关数据!$P$22:$U$30,5,0)*AC205)</f>
        <v>604</v>
      </c>
      <c r="AN205" s="3">
        <f>VLOOKUP(U205,模板计算相关数据!A:N,10,0)*0.5*VLOOKUP(Y205,模板计算相关数据!$P$22:$U$30,6,0)+AD205</f>
        <v>250</v>
      </c>
      <c r="AO205" s="3">
        <f>VLOOKUP(INT(VLOOKUP(U205,模板计算相关数据!A:N,2,0)/30)+1,模板计算相关数据!$O$35:$U$40,3,0)+AE205</f>
        <v>0</v>
      </c>
      <c r="AP205" s="3">
        <f>VLOOKUP(INT(VLOOKUP(U205,模板计算相关数据!A:N,2,0)/30)+1,模板计算相关数据!$O$35:$U$40,4,0)+AF205</f>
        <v>5000</v>
      </c>
      <c r="AQ205" s="3">
        <f>VLOOKUP(INT(VLOOKUP(U205,模板计算相关数据!A:N,2,0)/30)+1,模板计算相关数据!$O$35:$U$40,5,0)+AG205</f>
        <v>0</v>
      </c>
      <c r="AR205" s="3">
        <f>VLOOKUP(INT(VLOOKUP(U205,模板计算相关数据!A:N,2,0)/30)+1,模板计算相关数据!$O$35:$U$40,6,0)+AH205</f>
        <v>0</v>
      </c>
      <c r="AS205" s="3">
        <f>VLOOKUP(INT(VLOOKUP(U205,模板计算相关数据!A:N,2,0)/30)+1,模板计算相关数据!$O$35:$U$40,7,0)+AI205</f>
        <v>0</v>
      </c>
      <c r="AT205" s="3">
        <f>VLOOKUP(INT(VLOOKUP(U205,模板计算相关数据!A:N,2,0)/30)+1,模板计算相关数据!$O$35:$V$40,8,0)</f>
        <v>0</v>
      </c>
      <c r="AU205" s="2"/>
    </row>
    <row r="206" spans="1:47" x14ac:dyDescent="0.2">
      <c r="A206" s="17">
        <v>101070102</v>
      </c>
      <c r="B206" s="17"/>
      <c r="C206" s="69" t="s">
        <v>995</v>
      </c>
      <c r="D206" s="87" t="s">
        <v>1621</v>
      </c>
      <c r="E206" s="2">
        <v>1</v>
      </c>
      <c r="F206" s="3">
        <v>3</v>
      </c>
      <c r="G206" s="3">
        <v>1001801</v>
      </c>
      <c r="H206" s="3">
        <v>1</v>
      </c>
      <c r="I206" s="3">
        <v>4</v>
      </c>
      <c r="J206" s="3">
        <v>5</v>
      </c>
      <c r="K206" s="3"/>
      <c r="L206" s="91" t="s">
        <v>951</v>
      </c>
      <c r="M206" s="3"/>
      <c r="N206" s="2">
        <v>1</v>
      </c>
      <c r="O206" s="2"/>
      <c r="P206" s="3" t="s">
        <v>1615</v>
      </c>
      <c r="Q206" s="95">
        <f t="shared" si="15"/>
        <v>4.417254901960785</v>
      </c>
      <c r="R206" s="133">
        <f>IF(P206=模板计算相关数据!$AB$24,VLOOKUP(X206,模板计算相关数据!$P$47:$T$50,2,0),VLOOKUP(X206,模板计算相关数据!$P$4:$U$7,3,0))*VLOOKUP(Y206,模板计算相关数据!$P$22:$X$30,8,0)</f>
        <v>4.417254901960785</v>
      </c>
      <c r="S206" s="62">
        <f t="shared" si="12"/>
        <v>5.4285280003474252</v>
      </c>
      <c r="T206" s="133">
        <f>IF(P206=模板计算相关数据!$AB$24,VLOOKUP(X206,模板计算相关数据!$P$47:$T$50,5,0),VLOOKUP(X206,模板计算相关数据!$P$4:$U$7,6,0))*VLOOKUP(Y206,模板计算相关数据!$P$22:$X$30,9,0)</f>
        <v>5.4285280003474252</v>
      </c>
      <c r="U206" s="95">
        <v>9</v>
      </c>
      <c r="V206" s="95">
        <f t="shared" si="16"/>
        <v>22</v>
      </c>
      <c r="W206" s="29">
        <f>VLOOKUP(U206,模板计算相关数据!A:N,2,0)</f>
        <v>19</v>
      </c>
      <c r="X206" s="3" t="s">
        <v>151</v>
      </c>
      <c r="Y206" s="3" t="s">
        <v>152</v>
      </c>
      <c r="Z206" s="95">
        <v>1.05</v>
      </c>
      <c r="AA206" s="95">
        <v>1.05</v>
      </c>
      <c r="AB206" s="95">
        <v>1</v>
      </c>
      <c r="AC206" s="95">
        <v>1</v>
      </c>
      <c r="AD206" s="95">
        <v>0</v>
      </c>
      <c r="AE206" s="95">
        <v>0</v>
      </c>
      <c r="AF206" s="95">
        <v>0</v>
      </c>
      <c r="AG206" s="95">
        <v>0</v>
      </c>
      <c r="AH206" s="95">
        <v>0</v>
      </c>
      <c r="AI206" s="95">
        <v>0</v>
      </c>
      <c r="AJ206" s="3">
        <f>INT(VLOOKUP(U206,模板计算相关数据!A:N,4,0)*VLOOKUP(U206,模板计算相关数据!A:N,14,0)*(1+MAX(0,(VLOOKUP(U206,模板计算相关数据!A:N,7,0)-AQ206))*VLOOKUP(U206,模板计算相关数据!A:N,8,0))*(1-(AL206+AM206)*0.5/((AL206+AM206)*0.5+(VLOOKUP(U206,模板计算相关数据!A:N,2,0)+模板计算相关数据!$AC$27)*模板计算相关数据!$AC$28))*Q206*Z206)</f>
        <v>1673</v>
      </c>
      <c r="AK206" s="3">
        <f>INT(VLOOKUP(U206,模板计算相关数据!A:N,3,0)/模板计算相关数据!$W$35/(1+MAX(0,(AO206/10000-VLOOKUP(U206,模板计算相关数据!A:N,9,0)))*AP206/10000)/(1-VLOOKUP(U206,模板计算相关数据!A:N,5,0)/(VLOOKUP(U206,模板计算相关数据!A:N,5,0)+(VLOOKUP(U206,模板计算相关数据!A:N,2,0)+模板计算相关数据!$AC$27)*模板计算相关数据!$AC$28))/S206*AA206)</f>
        <v>471</v>
      </c>
      <c r="AL206" s="3">
        <f>INT(VLOOKUP(U206,模板计算相关数据!A:N,5,0)*VLOOKUP(X206,模板计算相关数据!$P$4:$T$7,4,0)*VLOOKUP(Y206,模板计算相关数据!$P$22:$U$30,4,0)*AB206)</f>
        <v>1020</v>
      </c>
      <c r="AM206" s="3">
        <f>INT(VLOOKUP(U206,模板计算相关数据!A:N,6,0)*VLOOKUP(X206,模板计算相关数据!$P$4:$T$7,4,0)*VLOOKUP(Y206,模板计算相关数据!$P$22:$U$30,5,0)*AC206)</f>
        <v>604</v>
      </c>
      <c r="AN206" s="3">
        <f>VLOOKUP(U206,模板计算相关数据!A:N,10,0)*0.5*VLOOKUP(Y206,模板计算相关数据!$P$22:$U$30,6,0)+AD206</f>
        <v>250</v>
      </c>
      <c r="AO206" s="3">
        <f>VLOOKUP(INT(VLOOKUP(U206,模板计算相关数据!A:N,2,0)/30)+1,模板计算相关数据!$O$35:$U$40,3,0)+AE206</f>
        <v>0</v>
      </c>
      <c r="AP206" s="3">
        <f>VLOOKUP(INT(VLOOKUP(U206,模板计算相关数据!A:N,2,0)/30)+1,模板计算相关数据!$O$35:$U$40,4,0)+AF206</f>
        <v>5000</v>
      </c>
      <c r="AQ206" s="3">
        <f>VLOOKUP(INT(VLOOKUP(U206,模板计算相关数据!A:N,2,0)/30)+1,模板计算相关数据!$O$35:$U$40,5,0)+AG206</f>
        <v>0</v>
      </c>
      <c r="AR206" s="3">
        <f>VLOOKUP(INT(VLOOKUP(U206,模板计算相关数据!A:N,2,0)/30)+1,模板计算相关数据!$O$35:$U$40,6,0)+AH206</f>
        <v>0</v>
      </c>
      <c r="AS206" s="3">
        <f>VLOOKUP(INT(VLOOKUP(U206,模板计算相关数据!A:N,2,0)/30)+1,模板计算相关数据!$O$35:$U$40,7,0)+AI206</f>
        <v>0</v>
      </c>
      <c r="AT206" s="3">
        <f>VLOOKUP(INT(VLOOKUP(U206,模板计算相关数据!A:N,2,0)/30)+1,模板计算相关数据!$O$35:$V$40,8,0)</f>
        <v>0</v>
      </c>
      <c r="AU206" s="2"/>
    </row>
    <row r="207" spans="1:47" x14ac:dyDescent="0.2">
      <c r="A207" s="17">
        <v>101070103</v>
      </c>
      <c r="B207" s="17"/>
      <c r="C207" s="69" t="s">
        <v>994</v>
      </c>
      <c r="D207" s="87" t="s">
        <v>1621</v>
      </c>
      <c r="E207" s="2">
        <v>1</v>
      </c>
      <c r="F207" s="3">
        <v>1</v>
      </c>
      <c r="G207" s="3">
        <v>1001901</v>
      </c>
      <c r="H207" s="3">
        <v>3</v>
      </c>
      <c r="I207" s="3">
        <v>4</v>
      </c>
      <c r="J207" s="3">
        <v>5</v>
      </c>
      <c r="K207" s="3"/>
      <c r="L207" s="91" t="s">
        <v>1542</v>
      </c>
      <c r="M207" s="3"/>
      <c r="N207" s="2">
        <v>1</v>
      </c>
      <c r="O207" s="2"/>
      <c r="P207" s="3" t="s">
        <v>1615</v>
      </c>
      <c r="Q207" s="95">
        <f t="shared" si="15"/>
        <v>5.6000000000000014</v>
      </c>
      <c r="R207" s="133">
        <f>IF(P207=模板计算相关数据!$AB$24,VLOOKUP(X207,模板计算相关数据!$P$47:$T$50,2,0),VLOOKUP(X207,模板计算相关数据!$P$4:$U$7,3,0))*VLOOKUP(Y207,模板计算相关数据!$P$22:$X$30,8,0)</f>
        <v>5.6000000000000014</v>
      </c>
      <c r="S207" s="62">
        <f t="shared" si="12"/>
        <v>6.6693344004268367</v>
      </c>
      <c r="T207" s="133">
        <f>IF(P207=模板计算相关数据!$AB$24,VLOOKUP(X207,模板计算相关数据!$P$47:$T$50,5,0),VLOOKUP(X207,模板计算相关数据!$P$4:$U$7,6,0))*VLOOKUP(Y207,模板计算相关数据!$P$22:$X$30,9,0)</f>
        <v>6.6693344004268367</v>
      </c>
      <c r="U207" s="95">
        <v>9</v>
      </c>
      <c r="V207" s="95">
        <f t="shared" si="16"/>
        <v>22</v>
      </c>
      <c r="W207" s="29">
        <f>VLOOKUP(U207,模板计算相关数据!A:N,2,0)</f>
        <v>19</v>
      </c>
      <c r="X207" s="3" t="s">
        <v>151</v>
      </c>
      <c r="Y207" s="3" t="s">
        <v>255</v>
      </c>
      <c r="Z207" s="95">
        <v>1.05</v>
      </c>
      <c r="AA207" s="95">
        <v>1.05</v>
      </c>
      <c r="AB207" s="95">
        <v>1</v>
      </c>
      <c r="AC207" s="95">
        <v>1</v>
      </c>
      <c r="AD207" s="95">
        <v>0</v>
      </c>
      <c r="AE207" s="95">
        <v>0</v>
      </c>
      <c r="AF207" s="95">
        <v>0</v>
      </c>
      <c r="AG207" s="95">
        <v>0</v>
      </c>
      <c r="AH207" s="95">
        <v>0</v>
      </c>
      <c r="AI207" s="95">
        <v>0</v>
      </c>
      <c r="AJ207" s="3">
        <f>INT(VLOOKUP(U207,模板计算相关数据!A:N,4,0)*VLOOKUP(U207,模板计算相关数据!A:N,14,0)*(1+MAX(0,(VLOOKUP(U207,模板计算相关数据!A:N,7,0)-AQ207))*VLOOKUP(U207,模板计算相关数据!A:N,8,0))*(1-(AL207+AM207)*0.5/((AL207+AM207)*0.5+(VLOOKUP(U207,模板计算相关数据!A:N,2,0)+模板计算相关数据!$AC$27)*模板计算相关数据!$AC$28))*Q207*Z207)</f>
        <v>2032</v>
      </c>
      <c r="AK207" s="3">
        <f>INT(VLOOKUP(U207,模板计算相关数据!A:N,3,0)/模板计算相关数据!$W$35/(1+MAX(0,(AO207/10000-VLOOKUP(U207,模板计算相关数据!A:N,9,0)))*AP207/10000)/(1-VLOOKUP(U207,模板计算相关数据!A:N,5,0)/(VLOOKUP(U207,模板计算相关数据!A:N,5,0)+(VLOOKUP(U207,模板计算相关数据!A:N,2,0)+模板计算相关数据!$AC$27)*模板计算相关数据!$AC$28))/S207*AA207)</f>
        <v>383</v>
      </c>
      <c r="AL207" s="3">
        <f>INT(VLOOKUP(U207,模板计算相关数据!A:N,5,0)*VLOOKUP(X207,模板计算相关数据!$P$4:$T$7,4,0)*VLOOKUP(Y207,模板计算相关数据!$P$22:$U$30,4,0)*AB207)</f>
        <v>661</v>
      </c>
      <c r="AM207" s="3">
        <f>INT(VLOOKUP(U207,模板计算相关数据!A:N,6,0)*VLOOKUP(X207,模板计算相关数据!$P$4:$T$7,4,0)*VLOOKUP(Y207,模板计算相关数据!$P$22:$U$30,5,0)*AC207)</f>
        <v>1228</v>
      </c>
      <c r="AN207" s="3">
        <f>VLOOKUP(U207,模板计算相关数据!A:N,10,0)*0.5*VLOOKUP(Y207,模板计算相关数据!$P$22:$U$30,6,0)+AD207</f>
        <v>225</v>
      </c>
      <c r="AO207" s="3">
        <f>VLOOKUP(INT(VLOOKUP(U207,模板计算相关数据!A:N,2,0)/30)+1,模板计算相关数据!$O$35:$U$40,3,0)+AE207</f>
        <v>0</v>
      </c>
      <c r="AP207" s="3">
        <f>VLOOKUP(INT(VLOOKUP(U207,模板计算相关数据!A:N,2,0)/30)+1,模板计算相关数据!$O$35:$U$40,4,0)+AF207</f>
        <v>5000</v>
      </c>
      <c r="AQ207" s="3">
        <f>VLOOKUP(INT(VLOOKUP(U207,模板计算相关数据!A:N,2,0)/30)+1,模板计算相关数据!$O$35:$U$40,5,0)+AG207</f>
        <v>0</v>
      </c>
      <c r="AR207" s="3">
        <f>VLOOKUP(INT(VLOOKUP(U207,模板计算相关数据!A:N,2,0)/30)+1,模板计算相关数据!$O$35:$U$40,6,0)+AH207</f>
        <v>0</v>
      </c>
      <c r="AS207" s="3">
        <f>VLOOKUP(INT(VLOOKUP(U207,模板计算相关数据!A:N,2,0)/30)+1,模板计算相关数据!$O$35:$U$40,7,0)+AI207</f>
        <v>0</v>
      </c>
      <c r="AT207" s="3">
        <f>VLOOKUP(INT(VLOOKUP(U207,模板计算相关数据!A:N,2,0)/30)+1,模板计算相关数据!$O$35:$V$40,8,0)</f>
        <v>0</v>
      </c>
      <c r="AU207" s="2"/>
    </row>
    <row r="208" spans="1:47" x14ac:dyDescent="0.2">
      <c r="A208" s="19">
        <v>101070201</v>
      </c>
      <c r="B208" s="19"/>
      <c r="C208" s="69" t="s">
        <v>995</v>
      </c>
      <c r="D208" s="87" t="s">
        <v>1621</v>
      </c>
      <c r="E208" s="2">
        <v>1</v>
      </c>
      <c r="F208" s="3">
        <v>3</v>
      </c>
      <c r="G208" s="3">
        <v>1001801</v>
      </c>
      <c r="H208" s="3">
        <v>1</v>
      </c>
      <c r="I208" s="3">
        <v>4</v>
      </c>
      <c r="J208" s="3">
        <v>5</v>
      </c>
      <c r="K208" s="3"/>
      <c r="L208" s="91" t="s">
        <v>951</v>
      </c>
      <c r="M208" s="3"/>
      <c r="N208" s="2">
        <v>1</v>
      </c>
      <c r="O208" s="2"/>
      <c r="P208" s="3" t="s">
        <v>1615</v>
      </c>
      <c r="Q208" s="95">
        <f t="shared" si="15"/>
        <v>4.417254901960785</v>
      </c>
      <c r="R208" s="133">
        <f>IF(P208=模板计算相关数据!$AB$24,VLOOKUP(X208,模板计算相关数据!$P$47:$T$50,2,0),VLOOKUP(X208,模板计算相关数据!$P$4:$U$7,3,0))*VLOOKUP(Y208,模板计算相关数据!$P$22:$X$30,8,0)</f>
        <v>4.417254901960785</v>
      </c>
      <c r="S208" s="62">
        <f t="shared" si="12"/>
        <v>5.4285280003474252</v>
      </c>
      <c r="T208" s="133">
        <f>IF(P208=模板计算相关数据!$AB$24,VLOOKUP(X208,模板计算相关数据!$P$47:$T$50,5,0),VLOOKUP(X208,模板计算相关数据!$P$4:$U$7,6,0))*VLOOKUP(Y208,模板计算相关数据!$P$22:$X$30,9,0)</f>
        <v>5.4285280003474252</v>
      </c>
      <c r="U208" s="95">
        <v>9</v>
      </c>
      <c r="V208" s="95">
        <f t="shared" si="16"/>
        <v>22</v>
      </c>
      <c r="W208" s="29">
        <f>VLOOKUP(U208,模板计算相关数据!A:N,2,0)</f>
        <v>19</v>
      </c>
      <c r="X208" s="3" t="s">
        <v>151</v>
      </c>
      <c r="Y208" s="3" t="s">
        <v>152</v>
      </c>
      <c r="Z208" s="95">
        <v>1.1000000000000001</v>
      </c>
      <c r="AA208" s="95">
        <v>1.1000000000000001</v>
      </c>
      <c r="AB208" s="95">
        <v>1</v>
      </c>
      <c r="AC208" s="95">
        <v>1</v>
      </c>
      <c r="AD208" s="95">
        <v>0</v>
      </c>
      <c r="AE208" s="95">
        <v>0</v>
      </c>
      <c r="AF208" s="95">
        <v>0</v>
      </c>
      <c r="AG208" s="95">
        <v>0</v>
      </c>
      <c r="AH208" s="95">
        <v>0</v>
      </c>
      <c r="AI208" s="95">
        <v>0</v>
      </c>
      <c r="AJ208" s="3">
        <f>INT(VLOOKUP(U208,模板计算相关数据!A:N,4,0)*VLOOKUP(U208,模板计算相关数据!A:N,14,0)*(1+MAX(0,(VLOOKUP(U208,模板计算相关数据!A:N,7,0)-AQ208))*VLOOKUP(U208,模板计算相关数据!A:N,8,0))*(1-(AL208+AM208)*0.5/((AL208+AM208)*0.5+(VLOOKUP(U208,模板计算相关数据!A:N,2,0)+模板计算相关数据!$AC$27)*模板计算相关数据!$AC$28))*Q208*Z208)</f>
        <v>1753</v>
      </c>
      <c r="AK208" s="3">
        <f>INT(VLOOKUP(U208,模板计算相关数据!A:N,3,0)/模板计算相关数据!$W$35/(1+MAX(0,(AO208/10000-VLOOKUP(U208,模板计算相关数据!A:N,9,0)))*AP208/10000)/(1-VLOOKUP(U208,模板计算相关数据!A:N,5,0)/(VLOOKUP(U208,模板计算相关数据!A:N,5,0)+(VLOOKUP(U208,模板计算相关数据!A:N,2,0)+模板计算相关数据!$AC$27)*模板计算相关数据!$AC$28))/S208*AA208)</f>
        <v>493</v>
      </c>
      <c r="AL208" s="3">
        <f>INT(VLOOKUP(U208,模板计算相关数据!A:N,5,0)*VLOOKUP(X208,模板计算相关数据!$P$4:$T$7,4,0)*VLOOKUP(Y208,模板计算相关数据!$P$22:$U$30,4,0)*AB208)</f>
        <v>1020</v>
      </c>
      <c r="AM208" s="3">
        <f>INT(VLOOKUP(U208,模板计算相关数据!A:N,6,0)*VLOOKUP(X208,模板计算相关数据!$P$4:$T$7,4,0)*VLOOKUP(Y208,模板计算相关数据!$P$22:$U$30,5,0)*AC208)</f>
        <v>604</v>
      </c>
      <c r="AN208" s="3">
        <f>VLOOKUP(U208,模板计算相关数据!A:N,10,0)*0.5*VLOOKUP(Y208,模板计算相关数据!$P$22:$U$30,6,0)+AD208</f>
        <v>250</v>
      </c>
      <c r="AO208" s="3">
        <f>VLOOKUP(INT(VLOOKUP(U208,模板计算相关数据!A:N,2,0)/30)+1,模板计算相关数据!$O$35:$U$40,3,0)+AE208</f>
        <v>0</v>
      </c>
      <c r="AP208" s="3">
        <f>VLOOKUP(INT(VLOOKUP(U208,模板计算相关数据!A:N,2,0)/30)+1,模板计算相关数据!$O$35:$U$40,4,0)+AF208</f>
        <v>5000</v>
      </c>
      <c r="AQ208" s="3">
        <f>VLOOKUP(INT(VLOOKUP(U208,模板计算相关数据!A:N,2,0)/30)+1,模板计算相关数据!$O$35:$U$40,5,0)+AG208</f>
        <v>0</v>
      </c>
      <c r="AR208" s="3">
        <f>VLOOKUP(INT(VLOOKUP(U208,模板计算相关数据!A:N,2,0)/30)+1,模板计算相关数据!$O$35:$U$40,6,0)+AH208</f>
        <v>0</v>
      </c>
      <c r="AS208" s="3">
        <f>VLOOKUP(INT(VLOOKUP(U208,模板计算相关数据!A:N,2,0)/30)+1,模板计算相关数据!$O$35:$U$40,7,0)+AI208</f>
        <v>0</v>
      </c>
      <c r="AT208" s="3">
        <f>VLOOKUP(INT(VLOOKUP(U208,模板计算相关数据!A:N,2,0)/30)+1,模板计算相关数据!$O$35:$V$40,8,0)</f>
        <v>0</v>
      </c>
      <c r="AU208" s="2"/>
    </row>
    <row r="209" spans="1:47" x14ac:dyDescent="0.2">
      <c r="A209" s="19">
        <v>101070202</v>
      </c>
      <c r="B209" s="19"/>
      <c r="C209" s="69" t="s">
        <v>994</v>
      </c>
      <c r="D209" s="87" t="s">
        <v>1621</v>
      </c>
      <c r="E209" s="2">
        <v>1</v>
      </c>
      <c r="F209" s="3">
        <v>1</v>
      </c>
      <c r="G209" s="3">
        <v>1001901</v>
      </c>
      <c r="H209" s="3">
        <v>3</v>
      </c>
      <c r="I209" s="3">
        <v>4</v>
      </c>
      <c r="J209" s="3">
        <v>5</v>
      </c>
      <c r="K209" s="3"/>
      <c r="L209" s="91" t="s">
        <v>1542</v>
      </c>
      <c r="M209" s="3"/>
      <c r="N209" s="2">
        <v>1</v>
      </c>
      <c r="O209" s="2"/>
      <c r="P209" s="3" t="s">
        <v>1615</v>
      </c>
      <c r="Q209" s="95">
        <f t="shared" si="15"/>
        <v>5.6000000000000014</v>
      </c>
      <c r="R209" s="133">
        <f>IF(P209=模板计算相关数据!$AB$24,VLOOKUP(X209,模板计算相关数据!$P$47:$T$50,2,0),VLOOKUP(X209,模板计算相关数据!$P$4:$U$7,3,0))*VLOOKUP(Y209,模板计算相关数据!$P$22:$X$30,8,0)</f>
        <v>5.6000000000000014</v>
      </c>
      <c r="S209" s="62">
        <f t="shared" si="12"/>
        <v>6.6693344004268367</v>
      </c>
      <c r="T209" s="133">
        <f>IF(P209=模板计算相关数据!$AB$24,VLOOKUP(X209,模板计算相关数据!$P$47:$T$50,5,0),VLOOKUP(X209,模板计算相关数据!$P$4:$U$7,6,0))*VLOOKUP(Y209,模板计算相关数据!$P$22:$X$30,9,0)</f>
        <v>6.6693344004268367</v>
      </c>
      <c r="U209" s="95">
        <v>9</v>
      </c>
      <c r="V209" s="95">
        <f t="shared" si="16"/>
        <v>22</v>
      </c>
      <c r="W209" s="29">
        <f>VLOOKUP(U209,模板计算相关数据!A:N,2,0)</f>
        <v>19</v>
      </c>
      <c r="X209" s="3" t="s">
        <v>151</v>
      </c>
      <c r="Y209" s="3" t="s">
        <v>255</v>
      </c>
      <c r="Z209" s="95">
        <v>1.1000000000000001</v>
      </c>
      <c r="AA209" s="95">
        <v>1.05</v>
      </c>
      <c r="AB209" s="95">
        <v>1</v>
      </c>
      <c r="AC209" s="95">
        <v>1</v>
      </c>
      <c r="AD209" s="95">
        <v>0</v>
      </c>
      <c r="AE209" s="95">
        <v>0</v>
      </c>
      <c r="AF209" s="95">
        <v>0</v>
      </c>
      <c r="AG209" s="95">
        <v>0</v>
      </c>
      <c r="AH209" s="95">
        <v>0</v>
      </c>
      <c r="AI209" s="95">
        <v>0</v>
      </c>
      <c r="AJ209" s="3">
        <f>INT(VLOOKUP(U209,模板计算相关数据!A:N,4,0)*VLOOKUP(U209,模板计算相关数据!A:N,14,0)*(1+MAX(0,(VLOOKUP(U209,模板计算相关数据!A:N,7,0)-AQ209))*VLOOKUP(U209,模板计算相关数据!A:N,8,0))*(1-(AL209+AM209)*0.5/((AL209+AM209)*0.5+(VLOOKUP(U209,模板计算相关数据!A:N,2,0)+模板计算相关数据!$AC$27)*模板计算相关数据!$AC$28))*Q209*Z209)</f>
        <v>2129</v>
      </c>
      <c r="AK209" s="3">
        <f>INT(VLOOKUP(U209,模板计算相关数据!A:N,3,0)/模板计算相关数据!$W$35/(1+MAX(0,(AO209/10000-VLOOKUP(U209,模板计算相关数据!A:N,9,0)))*AP209/10000)/(1-VLOOKUP(U209,模板计算相关数据!A:N,5,0)/(VLOOKUP(U209,模板计算相关数据!A:N,5,0)+(VLOOKUP(U209,模板计算相关数据!A:N,2,0)+模板计算相关数据!$AC$27)*模板计算相关数据!$AC$28))/S209*AA209)</f>
        <v>383</v>
      </c>
      <c r="AL209" s="3">
        <f>INT(VLOOKUP(U209,模板计算相关数据!A:N,5,0)*VLOOKUP(X209,模板计算相关数据!$P$4:$T$7,4,0)*VLOOKUP(Y209,模板计算相关数据!$P$22:$U$30,4,0)*AB209)</f>
        <v>661</v>
      </c>
      <c r="AM209" s="3">
        <f>INT(VLOOKUP(U209,模板计算相关数据!A:N,6,0)*VLOOKUP(X209,模板计算相关数据!$P$4:$T$7,4,0)*VLOOKUP(Y209,模板计算相关数据!$P$22:$U$30,5,0)*AC209)</f>
        <v>1228</v>
      </c>
      <c r="AN209" s="3">
        <f>VLOOKUP(U209,模板计算相关数据!A:N,10,0)*0.5*VLOOKUP(Y209,模板计算相关数据!$P$22:$U$30,6,0)+AD209</f>
        <v>225</v>
      </c>
      <c r="AO209" s="3">
        <f>VLOOKUP(INT(VLOOKUP(U209,模板计算相关数据!A:N,2,0)/30)+1,模板计算相关数据!$O$35:$U$40,3,0)+AE209</f>
        <v>0</v>
      </c>
      <c r="AP209" s="3">
        <f>VLOOKUP(INT(VLOOKUP(U209,模板计算相关数据!A:N,2,0)/30)+1,模板计算相关数据!$O$35:$U$40,4,0)+AF209</f>
        <v>5000</v>
      </c>
      <c r="AQ209" s="3">
        <f>VLOOKUP(INT(VLOOKUP(U209,模板计算相关数据!A:N,2,0)/30)+1,模板计算相关数据!$O$35:$U$40,5,0)+AG209</f>
        <v>0</v>
      </c>
      <c r="AR209" s="3">
        <f>VLOOKUP(INT(VLOOKUP(U209,模板计算相关数据!A:N,2,0)/30)+1,模板计算相关数据!$O$35:$U$40,6,0)+AH209</f>
        <v>0</v>
      </c>
      <c r="AS209" s="3">
        <f>VLOOKUP(INT(VLOOKUP(U209,模板计算相关数据!A:N,2,0)/30)+1,模板计算相关数据!$O$35:$U$40,7,0)+AI209</f>
        <v>0</v>
      </c>
      <c r="AT209" s="3">
        <f>VLOOKUP(INT(VLOOKUP(U209,模板计算相关数据!A:N,2,0)/30)+1,模板计算相关数据!$O$35:$V$40,8,0)</f>
        <v>0</v>
      </c>
      <c r="AU209" s="2"/>
    </row>
    <row r="210" spans="1:47" x14ac:dyDescent="0.2">
      <c r="A210" s="17">
        <v>101090101</v>
      </c>
      <c r="B210" s="17"/>
      <c r="C210" s="69" t="s">
        <v>990</v>
      </c>
      <c r="D210" s="87" t="s">
        <v>1620</v>
      </c>
      <c r="E210" s="2">
        <v>1</v>
      </c>
      <c r="F210" s="3">
        <v>2</v>
      </c>
      <c r="G210" s="3">
        <v>1001301</v>
      </c>
      <c r="H210" s="3">
        <v>1</v>
      </c>
      <c r="I210" s="3">
        <v>4</v>
      </c>
      <c r="J210" s="3">
        <v>1</v>
      </c>
      <c r="K210" s="3"/>
      <c r="L210" s="91" t="s">
        <v>947</v>
      </c>
      <c r="M210" s="3"/>
      <c r="N210" s="2">
        <v>1</v>
      </c>
      <c r="O210" s="2"/>
      <c r="P210" s="3" t="s">
        <v>1615</v>
      </c>
      <c r="Q210" s="95">
        <f t="shared" si="15"/>
        <v>4.417254901960785</v>
      </c>
      <c r="R210" s="133">
        <f>IF(P210=模板计算相关数据!$AB$24,VLOOKUP(X210,模板计算相关数据!$P$47:$T$50,2,0),VLOOKUP(X210,模板计算相关数据!$P$4:$U$7,3,0))*VLOOKUP(Y210,模板计算相关数据!$P$22:$X$30,8,0)</f>
        <v>4.417254901960785</v>
      </c>
      <c r="S210" s="62">
        <f t="shared" si="12"/>
        <v>5.4285280003474252</v>
      </c>
      <c r="T210" s="133">
        <f>IF(P210=模板计算相关数据!$AB$24,VLOOKUP(X210,模板计算相关数据!$P$47:$T$50,5,0),VLOOKUP(X210,模板计算相关数据!$P$4:$U$7,6,0))*VLOOKUP(Y210,模板计算相关数据!$P$22:$X$30,9,0)</f>
        <v>5.4285280003474252</v>
      </c>
      <c r="U210" s="95">
        <v>8</v>
      </c>
      <c r="V210" s="95">
        <f t="shared" si="16"/>
        <v>20</v>
      </c>
      <c r="W210" s="29">
        <f>VLOOKUP(U210,模板计算相关数据!A:N,2,0)</f>
        <v>17</v>
      </c>
      <c r="X210" s="3" t="s">
        <v>151</v>
      </c>
      <c r="Y210" s="3" t="s">
        <v>152</v>
      </c>
      <c r="Z210" s="95">
        <v>1.1000000000000001</v>
      </c>
      <c r="AA210" s="95">
        <v>1.1000000000000001</v>
      </c>
      <c r="AB210" s="95">
        <v>1</v>
      </c>
      <c r="AC210" s="95">
        <v>1</v>
      </c>
      <c r="AD210" s="95">
        <v>0</v>
      </c>
      <c r="AE210" s="95">
        <v>0</v>
      </c>
      <c r="AF210" s="95">
        <v>0</v>
      </c>
      <c r="AG210" s="95">
        <v>0</v>
      </c>
      <c r="AH210" s="95">
        <v>0</v>
      </c>
      <c r="AI210" s="95">
        <v>0</v>
      </c>
      <c r="AJ210" s="3">
        <f>INT(VLOOKUP(U210,模板计算相关数据!A:N,4,0)*VLOOKUP(U210,模板计算相关数据!A:N,14,0)*(1+MAX(0,(VLOOKUP(U210,模板计算相关数据!A:N,7,0)-AQ210))*VLOOKUP(U210,模板计算相关数据!A:N,8,0))*(1-(AL210+AM210)*0.5/((AL210+AM210)*0.5+(VLOOKUP(U210,模板计算相关数据!A:N,2,0)+模板计算相关数据!$AC$27)*模板计算相关数据!$AC$28))*Q210*Z210)</f>
        <v>1605</v>
      </c>
      <c r="AK210" s="3">
        <f>INT(VLOOKUP(U210,模板计算相关数据!A:N,3,0)/模板计算相关数据!$W$35/(1+MAX(0,(AO210/10000-VLOOKUP(U210,模板计算相关数据!A:N,9,0)))*AP210/10000)/(1-VLOOKUP(U210,模板计算相关数据!A:N,5,0)/(VLOOKUP(U210,模板计算相关数据!A:N,5,0)+(VLOOKUP(U210,模板计算相关数据!A:N,2,0)+模板计算相关数据!$AC$27)*模板计算相关数据!$AC$28))/S210*AA210)</f>
        <v>454</v>
      </c>
      <c r="AL210" s="3">
        <f>INT(VLOOKUP(U210,模板计算相关数据!A:N,5,0)*VLOOKUP(X210,模板计算相关数据!$P$4:$T$7,4,0)*VLOOKUP(Y210,模板计算相关数据!$P$22:$U$30,4,0)*AB210)</f>
        <v>936</v>
      </c>
      <c r="AM210" s="3">
        <f>INT(VLOOKUP(U210,模板计算相关数据!A:N,6,0)*VLOOKUP(X210,模板计算相关数据!$P$4:$T$7,4,0)*VLOOKUP(Y210,模板计算相关数据!$P$22:$U$30,5,0)*AC210)</f>
        <v>555</v>
      </c>
      <c r="AN210" s="3">
        <f>VLOOKUP(U210,模板计算相关数据!A:N,10,0)*0.5*VLOOKUP(Y210,模板计算相关数据!$P$22:$U$30,6,0)+AD210</f>
        <v>250</v>
      </c>
      <c r="AO210" s="3">
        <f>VLOOKUP(INT(VLOOKUP(U210,模板计算相关数据!A:N,2,0)/30)+1,模板计算相关数据!$O$35:$U$40,3,0)+AE210</f>
        <v>0</v>
      </c>
      <c r="AP210" s="3">
        <f>VLOOKUP(INT(VLOOKUP(U210,模板计算相关数据!A:N,2,0)/30)+1,模板计算相关数据!$O$35:$U$40,4,0)+AF210</f>
        <v>5000</v>
      </c>
      <c r="AQ210" s="3">
        <f>VLOOKUP(INT(VLOOKUP(U210,模板计算相关数据!A:N,2,0)/30)+1,模板计算相关数据!$O$35:$U$40,5,0)+AG210</f>
        <v>0</v>
      </c>
      <c r="AR210" s="3">
        <f>VLOOKUP(INT(VLOOKUP(U210,模板计算相关数据!A:N,2,0)/30)+1,模板计算相关数据!$O$35:$U$40,6,0)+AH210</f>
        <v>0</v>
      </c>
      <c r="AS210" s="3">
        <f>VLOOKUP(INT(VLOOKUP(U210,模板计算相关数据!A:N,2,0)/30)+1,模板计算相关数据!$O$35:$U$40,7,0)+AI210</f>
        <v>0</v>
      </c>
      <c r="AT210" s="3">
        <f>VLOOKUP(INT(VLOOKUP(U210,模板计算相关数据!A:N,2,0)/30)+1,模板计算相关数据!$O$35:$V$40,8,0)</f>
        <v>0</v>
      </c>
      <c r="AU210" s="2"/>
    </row>
    <row r="211" spans="1:47" x14ac:dyDescent="0.2">
      <c r="A211" s="17">
        <v>101090102</v>
      </c>
      <c r="B211" s="17"/>
      <c r="C211" s="69" t="s">
        <v>990</v>
      </c>
      <c r="D211" s="87" t="s">
        <v>1620</v>
      </c>
      <c r="E211" s="2">
        <v>1</v>
      </c>
      <c r="F211" s="3">
        <v>2</v>
      </c>
      <c r="G211" s="3">
        <v>1001301</v>
      </c>
      <c r="H211" s="3">
        <v>1</v>
      </c>
      <c r="I211" s="3">
        <v>4</v>
      </c>
      <c r="J211" s="3">
        <v>1</v>
      </c>
      <c r="K211" s="3"/>
      <c r="L211" s="91" t="s">
        <v>947</v>
      </c>
      <c r="M211" s="3"/>
      <c r="N211" s="2">
        <v>1</v>
      </c>
      <c r="O211" s="2"/>
      <c r="P211" s="3" t="s">
        <v>1615</v>
      </c>
      <c r="Q211" s="95">
        <f t="shared" si="15"/>
        <v>4.417254901960785</v>
      </c>
      <c r="R211" s="133">
        <f>IF(P211=模板计算相关数据!$AB$24,VLOOKUP(X211,模板计算相关数据!$P$47:$T$50,2,0),VLOOKUP(X211,模板计算相关数据!$P$4:$U$7,3,0))*VLOOKUP(Y211,模板计算相关数据!$P$22:$X$30,8,0)</f>
        <v>4.417254901960785</v>
      </c>
      <c r="S211" s="62">
        <f t="shared" si="12"/>
        <v>5.4285280003474252</v>
      </c>
      <c r="T211" s="133">
        <f>IF(P211=模板计算相关数据!$AB$24,VLOOKUP(X211,模板计算相关数据!$P$47:$T$50,5,0),VLOOKUP(X211,模板计算相关数据!$P$4:$U$7,6,0))*VLOOKUP(Y211,模板计算相关数据!$P$22:$X$30,9,0)</f>
        <v>5.4285280003474252</v>
      </c>
      <c r="U211" s="95">
        <v>8</v>
      </c>
      <c r="V211" s="95">
        <f t="shared" si="16"/>
        <v>20</v>
      </c>
      <c r="W211" s="29">
        <f>VLOOKUP(U211,模板计算相关数据!A:N,2,0)</f>
        <v>17</v>
      </c>
      <c r="X211" s="3" t="s">
        <v>151</v>
      </c>
      <c r="Y211" s="3" t="s">
        <v>152</v>
      </c>
      <c r="Z211" s="95">
        <v>1.1000000000000001</v>
      </c>
      <c r="AA211" s="95">
        <v>1.1000000000000001</v>
      </c>
      <c r="AB211" s="95">
        <v>1</v>
      </c>
      <c r="AC211" s="95">
        <v>1</v>
      </c>
      <c r="AD211" s="95">
        <v>0</v>
      </c>
      <c r="AE211" s="95">
        <v>0</v>
      </c>
      <c r="AF211" s="95">
        <v>0</v>
      </c>
      <c r="AG211" s="95">
        <v>0</v>
      </c>
      <c r="AH211" s="95">
        <v>0</v>
      </c>
      <c r="AI211" s="95">
        <v>0</v>
      </c>
      <c r="AJ211" s="3">
        <f>INT(VLOOKUP(U211,模板计算相关数据!A:N,4,0)*VLOOKUP(U211,模板计算相关数据!A:N,14,0)*(1+MAX(0,(VLOOKUP(U211,模板计算相关数据!A:N,7,0)-AQ211))*VLOOKUP(U211,模板计算相关数据!A:N,8,0))*(1-(AL211+AM211)*0.5/((AL211+AM211)*0.5+(VLOOKUP(U211,模板计算相关数据!A:N,2,0)+模板计算相关数据!$AC$27)*模板计算相关数据!$AC$28))*Q211*Z211)</f>
        <v>1605</v>
      </c>
      <c r="AK211" s="3">
        <f>INT(VLOOKUP(U211,模板计算相关数据!A:N,3,0)/模板计算相关数据!$W$35/(1+MAX(0,(AO211/10000-VLOOKUP(U211,模板计算相关数据!A:N,9,0)))*AP211/10000)/(1-VLOOKUP(U211,模板计算相关数据!A:N,5,0)/(VLOOKUP(U211,模板计算相关数据!A:N,5,0)+(VLOOKUP(U211,模板计算相关数据!A:N,2,0)+模板计算相关数据!$AC$27)*模板计算相关数据!$AC$28))/S211*AA211)</f>
        <v>454</v>
      </c>
      <c r="AL211" s="3">
        <f>INT(VLOOKUP(U211,模板计算相关数据!A:N,5,0)*VLOOKUP(X211,模板计算相关数据!$P$4:$T$7,4,0)*VLOOKUP(Y211,模板计算相关数据!$P$22:$U$30,4,0)*AB211)</f>
        <v>936</v>
      </c>
      <c r="AM211" s="3">
        <f>INT(VLOOKUP(U211,模板计算相关数据!A:N,6,0)*VLOOKUP(X211,模板计算相关数据!$P$4:$T$7,4,0)*VLOOKUP(Y211,模板计算相关数据!$P$22:$U$30,5,0)*AC211)</f>
        <v>555</v>
      </c>
      <c r="AN211" s="3">
        <f>VLOOKUP(U211,模板计算相关数据!A:N,10,0)*0.5*VLOOKUP(Y211,模板计算相关数据!$P$22:$U$30,6,0)+AD211</f>
        <v>250</v>
      </c>
      <c r="AO211" s="3">
        <f>VLOOKUP(INT(VLOOKUP(U211,模板计算相关数据!A:N,2,0)/30)+1,模板计算相关数据!$O$35:$U$40,3,0)+AE211</f>
        <v>0</v>
      </c>
      <c r="AP211" s="3">
        <f>VLOOKUP(INT(VLOOKUP(U211,模板计算相关数据!A:N,2,0)/30)+1,模板计算相关数据!$O$35:$U$40,4,0)+AF211</f>
        <v>5000</v>
      </c>
      <c r="AQ211" s="3">
        <f>VLOOKUP(INT(VLOOKUP(U211,模板计算相关数据!A:N,2,0)/30)+1,模板计算相关数据!$O$35:$U$40,5,0)+AG211</f>
        <v>0</v>
      </c>
      <c r="AR211" s="3">
        <f>VLOOKUP(INT(VLOOKUP(U211,模板计算相关数据!A:N,2,0)/30)+1,模板计算相关数据!$O$35:$U$40,6,0)+AH211</f>
        <v>0</v>
      </c>
      <c r="AS211" s="3">
        <f>VLOOKUP(INT(VLOOKUP(U211,模板计算相关数据!A:N,2,0)/30)+1,模板计算相关数据!$O$35:$U$40,7,0)+AI211</f>
        <v>0</v>
      </c>
      <c r="AT211" s="3">
        <f>VLOOKUP(INT(VLOOKUP(U211,模板计算相关数据!A:N,2,0)/30)+1,模板计算相关数据!$O$35:$V$40,8,0)</f>
        <v>0</v>
      </c>
      <c r="AU211" s="2"/>
    </row>
    <row r="212" spans="1:47" x14ac:dyDescent="0.2">
      <c r="A212" s="17">
        <v>101090103</v>
      </c>
      <c r="B212" s="17"/>
      <c r="C212" s="69" t="s">
        <v>1746</v>
      </c>
      <c r="D212" s="87" t="s">
        <v>1620</v>
      </c>
      <c r="E212" s="2">
        <v>2</v>
      </c>
      <c r="F212" s="3">
        <v>1</v>
      </c>
      <c r="G212" s="3">
        <v>1001401</v>
      </c>
      <c r="H212" s="3">
        <v>4</v>
      </c>
      <c r="I212" s="3">
        <v>4</v>
      </c>
      <c r="J212" s="3">
        <v>1</v>
      </c>
      <c r="K212" s="3"/>
      <c r="L212" s="91" t="s">
        <v>948</v>
      </c>
      <c r="M212" s="3"/>
      <c r="N212" s="2">
        <v>1</v>
      </c>
      <c r="O212" s="2"/>
      <c r="P212" s="3" t="s">
        <v>1615</v>
      </c>
      <c r="Q212" s="95">
        <f t="shared" si="15"/>
        <v>4.4674509803921572</v>
      </c>
      <c r="R212" s="133">
        <f>IF(P212=模板计算相关数据!$AB$24,VLOOKUP(X212,模板计算相关数据!$P$47:$T$50,2,0),VLOOKUP(X212,模板计算相关数据!$P$4:$U$7,3,0))*VLOOKUP(Y212,模板计算相关数据!$P$22:$X$30,8,0)</f>
        <v>4.4674509803921572</v>
      </c>
      <c r="S212" s="62">
        <f t="shared" si="12"/>
        <v>5.4739930589768004</v>
      </c>
      <c r="T212" s="133">
        <f>IF(P212=模板计算相关数据!$AB$24,VLOOKUP(X212,模板计算相关数据!$P$47:$T$50,5,0),VLOOKUP(X212,模板计算相关数据!$P$4:$U$7,6,0))*VLOOKUP(Y212,模板计算相关数据!$P$22:$X$30,9,0)</f>
        <v>5.4739930589768004</v>
      </c>
      <c r="U212" s="95">
        <v>8</v>
      </c>
      <c r="V212" s="95">
        <f t="shared" si="16"/>
        <v>20</v>
      </c>
      <c r="W212" s="29">
        <f>VLOOKUP(U212,模板计算相关数据!A:N,2,0)</f>
        <v>17</v>
      </c>
      <c r="X212" s="3" t="s">
        <v>151</v>
      </c>
      <c r="Y212" s="3" t="s">
        <v>162</v>
      </c>
      <c r="Z212" s="95">
        <v>1.1000000000000001</v>
      </c>
      <c r="AA212" s="95">
        <v>1.1000000000000001</v>
      </c>
      <c r="AB212" s="95">
        <v>1</v>
      </c>
      <c r="AC212" s="95">
        <v>1</v>
      </c>
      <c r="AD212" s="95">
        <v>0</v>
      </c>
      <c r="AE212" s="95">
        <v>0</v>
      </c>
      <c r="AF212" s="95">
        <v>0</v>
      </c>
      <c r="AG212" s="95">
        <v>0</v>
      </c>
      <c r="AH212" s="95">
        <v>0</v>
      </c>
      <c r="AI212" s="95">
        <v>0</v>
      </c>
      <c r="AJ212" s="3">
        <f>INT(VLOOKUP(U212,模板计算相关数据!A:N,4,0)*VLOOKUP(U212,模板计算相关数据!A:N,14,0)*(1+MAX(0,(VLOOKUP(U212,模板计算相关数据!A:N,7,0)-AQ212))*VLOOKUP(U212,模板计算相关数据!A:N,8,0))*(1-(AL212+AM212)*0.5/((AL212+AM212)*0.5+(VLOOKUP(U212,模板计算相关数据!A:N,2,0)+模板计算相关数据!$AC$27)*模板计算相关数据!$AC$28))*Q212*Z212)</f>
        <v>1624</v>
      </c>
      <c r="AK212" s="3">
        <f>INT(VLOOKUP(U212,模板计算相关数据!A:N,3,0)/模板计算相关数据!$W$35/(1+MAX(0,(AO212/10000-VLOOKUP(U212,模板计算相关数据!A:N,9,0)))*AP212/10000)/(1-VLOOKUP(U212,模板计算相关数据!A:N,5,0)/(VLOOKUP(U212,模板计算相关数据!A:N,5,0)+(VLOOKUP(U212,模板计算相关数据!A:N,2,0)+模板计算相关数据!$AC$27)*模板计算相关数据!$AC$28))/S212*AA212)</f>
        <v>450</v>
      </c>
      <c r="AL212" s="3">
        <f>INT(VLOOKUP(U212,模板计算相关数据!A:N,5,0)*VLOOKUP(X212,模板计算相关数据!$P$4:$T$7,4,0)*VLOOKUP(Y212,模板计算相关数据!$P$22:$U$30,4,0)*AB212)</f>
        <v>555</v>
      </c>
      <c r="AM212" s="3">
        <f>INT(VLOOKUP(U212,模板计算相关数据!A:N,6,0)*VLOOKUP(X212,模板计算相关数据!$P$4:$T$7,4,0)*VLOOKUP(Y212,模板计算相关数据!$P$22:$U$30,5,0)*AC212)</f>
        <v>936</v>
      </c>
      <c r="AN212" s="3">
        <f>VLOOKUP(U212,模板计算相关数据!A:N,10,0)*0.5*VLOOKUP(Y212,模板计算相关数据!$P$22:$U$30,6,0)+AD212</f>
        <v>250</v>
      </c>
      <c r="AO212" s="3">
        <f>VLOOKUP(INT(VLOOKUP(U212,模板计算相关数据!A:N,2,0)/30)+1,模板计算相关数据!$O$35:$U$40,3,0)+AE212</f>
        <v>0</v>
      </c>
      <c r="AP212" s="3">
        <f>VLOOKUP(INT(VLOOKUP(U212,模板计算相关数据!A:N,2,0)/30)+1,模板计算相关数据!$O$35:$U$40,4,0)+AF212</f>
        <v>5000</v>
      </c>
      <c r="AQ212" s="3">
        <f>VLOOKUP(INT(VLOOKUP(U212,模板计算相关数据!A:N,2,0)/30)+1,模板计算相关数据!$O$35:$U$40,5,0)+AG212</f>
        <v>0</v>
      </c>
      <c r="AR212" s="3">
        <f>VLOOKUP(INT(VLOOKUP(U212,模板计算相关数据!A:N,2,0)/30)+1,模板计算相关数据!$O$35:$U$40,6,0)+AH212</f>
        <v>0</v>
      </c>
      <c r="AS212" s="3">
        <f>VLOOKUP(INT(VLOOKUP(U212,模板计算相关数据!A:N,2,0)/30)+1,模板计算相关数据!$O$35:$U$40,7,0)+AI212</f>
        <v>0</v>
      </c>
      <c r="AT212" s="3">
        <f>VLOOKUP(INT(VLOOKUP(U212,模板计算相关数据!A:N,2,0)/30)+1,模板计算相关数据!$O$35:$V$40,8,0)</f>
        <v>0</v>
      </c>
      <c r="AU212" s="2"/>
    </row>
    <row r="213" spans="1:47" x14ac:dyDescent="0.2">
      <c r="A213" s="19">
        <v>101090201</v>
      </c>
      <c r="B213" s="19"/>
      <c r="C213" s="69" t="s">
        <v>990</v>
      </c>
      <c r="D213" s="87" t="s">
        <v>1620</v>
      </c>
      <c r="E213" s="2">
        <v>1</v>
      </c>
      <c r="F213" s="3">
        <v>2</v>
      </c>
      <c r="G213" s="3">
        <v>1001301</v>
      </c>
      <c r="H213" s="3">
        <v>1</v>
      </c>
      <c r="I213" s="3">
        <v>4</v>
      </c>
      <c r="J213" s="3">
        <v>1</v>
      </c>
      <c r="K213" s="3"/>
      <c r="L213" s="91" t="s">
        <v>947</v>
      </c>
      <c r="M213" s="3"/>
      <c r="N213" s="2">
        <v>1</v>
      </c>
      <c r="O213" s="2"/>
      <c r="P213" s="3" t="s">
        <v>1615</v>
      </c>
      <c r="Q213" s="95">
        <f t="shared" si="15"/>
        <v>4.417254901960785</v>
      </c>
      <c r="R213" s="133">
        <f>IF(P213=模板计算相关数据!$AB$24,VLOOKUP(X213,模板计算相关数据!$P$47:$T$50,2,0),VLOOKUP(X213,模板计算相关数据!$P$4:$U$7,3,0))*VLOOKUP(Y213,模板计算相关数据!$P$22:$X$30,8,0)</f>
        <v>4.417254901960785</v>
      </c>
      <c r="S213" s="62">
        <f t="shared" si="12"/>
        <v>5.4285280003474252</v>
      </c>
      <c r="T213" s="133">
        <f>IF(P213=模板计算相关数据!$AB$24,VLOOKUP(X213,模板计算相关数据!$P$47:$T$50,5,0),VLOOKUP(X213,模板计算相关数据!$P$4:$U$7,6,0))*VLOOKUP(Y213,模板计算相关数据!$P$22:$X$30,9,0)</f>
        <v>5.4285280003474252</v>
      </c>
      <c r="U213" s="95">
        <v>8</v>
      </c>
      <c r="V213" s="95">
        <f t="shared" si="16"/>
        <v>20</v>
      </c>
      <c r="W213" s="29">
        <f>VLOOKUP(U213,模板计算相关数据!A:N,2,0)</f>
        <v>17</v>
      </c>
      <c r="X213" s="3" t="s">
        <v>151</v>
      </c>
      <c r="Y213" s="3" t="s">
        <v>152</v>
      </c>
      <c r="Z213" s="95">
        <v>1.1000000000000001</v>
      </c>
      <c r="AA213" s="95">
        <v>1.1000000000000001</v>
      </c>
      <c r="AB213" s="95">
        <v>1</v>
      </c>
      <c r="AC213" s="95">
        <v>1</v>
      </c>
      <c r="AD213" s="95">
        <v>0</v>
      </c>
      <c r="AE213" s="95">
        <v>0</v>
      </c>
      <c r="AF213" s="95">
        <v>0</v>
      </c>
      <c r="AG213" s="95">
        <v>0</v>
      </c>
      <c r="AH213" s="95">
        <v>0</v>
      </c>
      <c r="AI213" s="95">
        <v>0</v>
      </c>
      <c r="AJ213" s="3">
        <f>INT(VLOOKUP(U213,模板计算相关数据!A:N,4,0)*VLOOKUP(U213,模板计算相关数据!A:N,14,0)*(1+MAX(0,(VLOOKUP(U213,模板计算相关数据!A:N,7,0)-AQ213))*VLOOKUP(U213,模板计算相关数据!A:N,8,0))*(1-(AL213+AM213)*0.5/((AL213+AM213)*0.5+(VLOOKUP(U213,模板计算相关数据!A:N,2,0)+模板计算相关数据!$AC$27)*模板计算相关数据!$AC$28))*Q213*Z213)</f>
        <v>1605</v>
      </c>
      <c r="AK213" s="3">
        <f>INT(VLOOKUP(U213,模板计算相关数据!A:N,3,0)/模板计算相关数据!$W$35/(1+MAX(0,(AO213/10000-VLOOKUP(U213,模板计算相关数据!A:N,9,0)))*AP213/10000)/(1-VLOOKUP(U213,模板计算相关数据!A:N,5,0)/(VLOOKUP(U213,模板计算相关数据!A:N,5,0)+(VLOOKUP(U213,模板计算相关数据!A:N,2,0)+模板计算相关数据!$AC$27)*模板计算相关数据!$AC$28))/S213*AA213)</f>
        <v>454</v>
      </c>
      <c r="AL213" s="3">
        <f>INT(VLOOKUP(U213,模板计算相关数据!A:N,5,0)*VLOOKUP(X213,模板计算相关数据!$P$4:$T$7,4,0)*VLOOKUP(Y213,模板计算相关数据!$P$22:$U$30,4,0)*AB213)</f>
        <v>936</v>
      </c>
      <c r="AM213" s="3">
        <f>INT(VLOOKUP(U213,模板计算相关数据!A:N,6,0)*VLOOKUP(X213,模板计算相关数据!$P$4:$T$7,4,0)*VLOOKUP(Y213,模板计算相关数据!$P$22:$U$30,5,0)*AC213)</f>
        <v>555</v>
      </c>
      <c r="AN213" s="3">
        <f>VLOOKUP(U213,模板计算相关数据!A:N,10,0)*0.5*VLOOKUP(Y213,模板计算相关数据!$P$22:$U$30,6,0)+AD213</f>
        <v>250</v>
      </c>
      <c r="AO213" s="3">
        <f>VLOOKUP(INT(VLOOKUP(U213,模板计算相关数据!A:N,2,0)/30)+1,模板计算相关数据!$O$35:$U$40,3,0)+AE213</f>
        <v>0</v>
      </c>
      <c r="AP213" s="3">
        <f>VLOOKUP(INT(VLOOKUP(U213,模板计算相关数据!A:N,2,0)/30)+1,模板计算相关数据!$O$35:$U$40,4,0)+AF213</f>
        <v>5000</v>
      </c>
      <c r="AQ213" s="3">
        <f>VLOOKUP(INT(VLOOKUP(U213,模板计算相关数据!A:N,2,0)/30)+1,模板计算相关数据!$O$35:$U$40,5,0)+AG213</f>
        <v>0</v>
      </c>
      <c r="AR213" s="3">
        <f>VLOOKUP(INT(VLOOKUP(U213,模板计算相关数据!A:N,2,0)/30)+1,模板计算相关数据!$O$35:$U$40,6,0)+AH213</f>
        <v>0</v>
      </c>
      <c r="AS213" s="3">
        <f>VLOOKUP(INT(VLOOKUP(U213,模板计算相关数据!A:N,2,0)/30)+1,模板计算相关数据!$O$35:$U$40,7,0)+AI213</f>
        <v>0</v>
      </c>
      <c r="AT213" s="3">
        <f>VLOOKUP(INT(VLOOKUP(U213,模板计算相关数据!A:N,2,0)/30)+1,模板计算相关数据!$O$35:$V$40,8,0)</f>
        <v>0</v>
      </c>
      <c r="AU213" s="2"/>
    </row>
    <row r="214" spans="1:47" x14ac:dyDescent="0.2">
      <c r="A214" s="19">
        <v>101090202</v>
      </c>
      <c r="B214" s="19"/>
      <c r="C214" s="69" t="s">
        <v>1746</v>
      </c>
      <c r="D214" s="87" t="s">
        <v>1620</v>
      </c>
      <c r="E214" s="2">
        <v>2</v>
      </c>
      <c r="F214" s="3">
        <v>1</v>
      </c>
      <c r="G214" s="3">
        <v>1001401</v>
      </c>
      <c r="H214" s="3">
        <v>4</v>
      </c>
      <c r="I214" s="3">
        <v>4</v>
      </c>
      <c r="J214" s="3">
        <v>1</v>
      </c>
      <c r="K214" s="3"/>
      <c r="L214" s="91" t="s">
        <v>948</v>
      </c>
      <c r="M214" s="3"/>
      <c r="N214" s="2">
        <v>1</v>
      </c>
      <c r="O214" s="2"/>
      <c r="P214" s="3" t="s">
        <v>1615</v>
      </c>
      <c r="Q214" s="95">
        <f t="shared" si="15"/>
        <v>4.4674509803921572</v>
      </c>
      <c r="R214" s="133">
        <f>IF(P214=模板计算相关数据!$AB$24,VLOOKUP(X214,模板计算相关数据!$P$47:$T$50,2,0),VLOOKUP(X214,模板计算相关数据!$P$4:$U$7,3,0))*VLOOKUP(Y214,模板计算相关数据!$P$22:$X$30,8,0)</f>
        <v>4.4674509803921572</v>
      </c>
      <c r="S214" s="62">
        <f t="shared" si="12"/>
        <v>5.4739930589768004</v>
      </c>
      <c r="T214" s="133">
        <f>IF(P214=模板计算相关数据!$AB$24,VLOOKUP(X214,模板计算相关数据!$P$47:$T$50,5,0),VLOOKUP(X214,模板计算相关数据!$P$4:$U$7,6,0))*VLOOKUP(Y214,模板计算相关数据!$P$22:$X$30,9,0)</f>
        <v>5.4739930589768004</v>
      </c>
      <c r="U214" s="95">
        <v>8</v>
      </c>
      <c r="V214" s="95">
        <f t="shared" si="16"/>
        <v>20</v>
      </c>
      <c r="W214" s="29">
        <f>VLOOKUP(U214,模板计算相关数据!A:N,2,0)</f>
        <v>17</v>
      </c>
      <c r="X214" s="3" t="s">
        <v>151</v>
      </c>
      <c r="Y214" s="3" t="s">
        <v>162</v>
      </c>
      <c r="Z214" s="95">
        <v>1.1000000000000001</v>
      </c>
      <c r="AA214" s="95">
        <v>1.1000000000000001</v>
      </c>
      <c r="AB214" s="95">
        <v>1</v>
      </c>
      <c r="AC214" s="95">
        <v>1</v>
      </c>
      <c r="AD214" s="95">
        <v>0</v>
      </c>
      <c r="AE214" s="95">
        <v>0</v>
      </c>
      <c r="AF214" s="95">
        <v>0</v>
      </c>
      <c r="AG214" s="95">
        <v>0</v>
      </c>
      <c r="AH214" s="95">
        <v>0</v>
      </c>
      <c r="AI214" s="95">
        <v>0</v>
      </c>
      <c r="AJ214" s="3">
        <f>INT(VLOOKUP(U214,模板计算相关数据!A:N,4,0)*VLOOKUP(U214,模板计算相关数据!A:N,14,0)*(1+MAX(0,(VLOOKUP(U214,模板计算相关数据!A:N,7,0)-AQ214))*VLOOKUP(U214,模板计算相关数据!A:N,8,0))*(1-(AL214+AM214)*0.5/((AL214+AM214)*0.5+(VLOOKUP(U214,模板计算相关数据!A:N,2,0)+模板计算相关数据!$AC$27)*模板计算相关数据!$AC$28))*Q214*Z214)</f>
        <v>1624</v>
      </c>
      <c r="AK214" s="3">
        <f>INT(VLOOKUP(U214,模板计算相关数据!A:N,3,0)/模板计算相关数据!$W$35/(1+MAX(0,(AO214/10000-VLOOKUP(U214,模板计算相关数据!A:N,9,0)))*AP214/10000)/(1-VLOOKUP(U214,模板计算相关数据!A:N,5,0)/(VLOOKUP(U214,模板计算相关数据!A:N,5,0)+(VLOOKUP(U214,模板计算相关数据!A:N,2,0)+模板计算相关数据!$AC$27)*模板计算相关数据!$AC$28))/S214*AA214)</f>
        <v>450</v>
      </c>
      <c r="AL214" s="3">
        <f>INT(VLOOKUP(U214,模板计算相关数据!A:N,5,0)*VLOOKUP(X214,模板计算相关数据!$P$4:$T$7,4,0)*VLOOKUP(Y214,模板计算相关数据!$P$22:$U$30,4,0)*AB214)</f>
        <v>555</v>
      </c>
      <c r="AM214" s="3">
        <f>INT(VLOOKUP(U214,模板计算相关数据!A:N,6,0)*VLOOKUP(X214,模板计算相关数据!$P$4:$T$7,4,0)*VLOOKUP(Y214,模板计算相关数据!$P$22:$U$30,5,0)*AC214)</f>
        <v>936</v>
      </c>
      <c r="AN214" s="3">
        <f>VLOOKUP(U214,模板计算相关数据!A:N,10,0)*0.5*VLOOKUP(Y214,模板计算相关数据!$P$22:$U$30,6,0)+AD214</f>
        <v>250</v>
      </c>
      <c r="AO214" s="3">
        <f>VLOOKUP(INT(VLOOKUP(U214,模板计算相关数据!A:N,2,0)/30)+1,模板计算相关数据!$O$35:$U$40,3,0)+AE214</f>
        <v>0</v>
      </c>
      <c r="AP214" s="3">
        <f>VLOOKUP(INT(VLOOKUP(U214,模板计算相关数据!A:N,2,0)/30)+1,模板计算相关数据!$O$35:$U$40,4,0)+AF214</f>
        <v>5000</v>
      </c>
      <c r="AQ214" s="3">
        <f>VLOOKUP(INT(VLOOKUP(U214,模板计算相关数据!A:N,2,0)/30)+1,模板计算相关数据!$O$35:$U$40,5,0)+AG214</f>
        <v>0</v>
      </c>
      <c r="AR214" s="3">
        <f>VLOOKUP(INT(VLOOKUP(U214,模板计算相关数据!A:N,2,0)/30)+1,模板计算相关数据!$O$35:$U$40,6,0)+AH214</f>
        <v>0</v>
      </c>
      <c r="AS214" s="3">
        <f>VLOOKUP(INT(VLOOKUP(U214,模板计算相关数据!A:N,2,0)/30)+1,模板计算相关数据!$O$35:$U$40,7,0)+AI214</f>
        <v>0</v>
      </c>
      <c r="AT214" s="3">
        <f>VLOOKUP(INT(VLOOKUP(U214,模板计算相关数据!A:N,2,0)/30)+1,模板计算相关数据!$O$35:$V$40,8,0)</f>
        <v>0</v>
      </c>
      <c r="AU214" s="2"/>
    </row>
    <row r="215" spans="1:47" x14ac:dyDescent="0.2">
      <c r="A215" s="19">
        <v>101090203</v>
      </c>
      <c r="B215" s="19"/>
      <c r="C215" s="69" t="s">
        <v>1746</v>
      </c>
      <c r="D215" s="87" t="s">
        <v>1620</v>
      </c>
      <c r="E215" s="2">
        <v>2</v>
      </c>
      <c r="F215" s="3">
        <v>1</v>
      </c>
      <c r="G215" s="3">
        <v>1001401</v>
      </c>
      <c r="H215" s="3">
        <v>4</v>
      </c>
      <c r="I215" s="3">
        <v>4</v>
      </c>
      <c r="J215" s="3">
        <v>1</v>
      </c>
      <c r="K215" s="3"/>
      <c r="L215" s="91" t="s">
        <v>948</v>
      </c>
      <c r="M215" s="3"/>
      <c r="N215" s="2">
        <v>1</v>
      </c>
      <c r="O215" s="2"/>
      <c r="P215" s="3" t="s">
        <v>1615</v>
      </c>
      <c r="Q215" s="95">
        <f t="shared" si="15"/>
        <v>4.4674509803921572</v>
      </c>
      <c r="R215" s="133">
        <f>IF(P215=模板计算相关数据!$AB$24,VLOOKUP(X215,模板计算相关数据!$P$47:$T$50,2,0),VLOOKUP(X215,模板计算相关数据!$P$4:$U$7,3,0))*VLOOKUP(Y215,模板计算相关数据!$P$22:$X$30,8,0)</f>
        <v>4.4674509803921572</v>
      </c>
      <c r="S215" s="62">
        <f t="shared" si="12"/>
        <v>5.4739930589768004</v>
      </c>
      <c r="T215" s="133">
        <f>IF(P215=模板计算相关数据!$AB$24,VLOOKUP(X215,模板计算相关数据!$P$47:$T$50,5,0),VLOOKUP(X215,模板计算相关数据!$P$4:$U$7,6,0))*VLOOKUP(Y215,模板计算相关数据!$P$22:$X$30,9,0)</f>
        <v>5.4739930589768004</v>
      </c>
      <c r="U215" s="95">
        <v>8</v>
      </c>
      <c r="V215" s="95">
        <f t="shared" si="16"/>
        <v>20</v>
      </c>
      <c r="W215" s="29">
        <f>VLOOKUP(U215,模板计算相关数据!A:N,2,0)</f>
        <v>17</v>
      </c>
      <c r="X215" s="3" t="s">
        <v>151</v>
      </c>
      <c r="Y215" s="3" t="s">
        <v>162</v>
      </c>
      <c r="Z215" s="95">
        <v>1.1000000000000001</v>
      </c>
      <c r="AA215" s="95">
        <v>1.1000000000000001</v>
      </c>
      <c r="AB215" s="95">
        <v>1</v>
      </c>
      <c r="AC215" s="95">
        <v>1</v>
      </c>
      <c r="AD215" s="95">
        <v>0</v>
      </c>
      <c r="AE215" s="95">
        <v>0</v>
      </c>
      <c r="AF215" s="95">
        <v>0</v>
      </c>
      <c r="AG215" s="95">
        <v>0</v>
      </c>
      <c r="AH215" s="95">
        <v>0</v>
      </c>
      <c r="AI215" s="95">
        <v>0</v>
      </c>
      <c r="AJ215" s="3">
        <f>INT(VLOOKUP(U215,模板计算相关数据!A:N,4,0)*VLOOKUP(U215,模板计算相关数据!A:N,14,0)*(1+MAX(0,(VLOOKUP(U215,模板计算相关数据!A:N,7,0)-AQ215))*VLOOKUP(U215,模板计算相关数据!A:N,8,0))*(1-(AL215+AM215)*0.5/((AL215+AM215)*0.5+(VLOOKUP(U215,模板计算相关数据!A:N,2,0)+模板计算相关数据!$AC$27)*模板计算相关数据!$AC$28))*Q215*Z215)</f>
        <v>1624</v>
      </c>
      <c r="AK215" s="3">
        <f>INT(VLOOKUP(U215,模板计算相关数据!A:N,3,0)/模板计算相关数据!$W$35/(1+MAX(0,(AO215/10000-VLOOKUP(U215,模板计算相关数据!A:N,9,0)))*AP215/10000)/(1-VLOOKUP(U215,模板计算相关数据!A:N,5,0)/(VLOOKUP(U215,模板计算相关数据!A:N,5,0)+(VLOOKUP(U215,模板计算相关数据!A:N,2,0)+模板计算相关数据!$AC$27)*模板计算相关数据!$AC$28))/S215*AA215)</f>
        <v>450</v>
      </c>
      <c r="AL215" s="3">
        <f>INT(VLOOKUP(U215,模板计算相关数据!A:N,5,0)*VLOOKUP(X215,模板计算相关数据!$P$4:$T$7,4,0)*VLOOKUP(Y215,模板计算相关数据!$P$22:$U$30,4,0)*AB215)</f>
        <v>555</v>
      </c>
      <c r="AM215" s="3">
        <f>INT(VLOOKUP(U215,模板计算相关数据!A:N,6,0)*VLOOKUP(X215,模板计算相关数据!$P$4:$T$7,4,0)*VLOOKUP(Y215,模板计算相关数据!$P$22:$U$30,5,0)*AC215)</f>
        <v>936</v>
      </c>
      <c r="AN215" s="3">
        <f>VLOOKUP(U215,模板计算相关数据!A:N,10,0)*0.5*VLOOKUP(Y215,模板计算相关数据!$P$22:$U$30,6,0)+AD215</f>
        <v>250</v>
      </c>
      <c r="AO215" s="3">
        <f>VLOOKUP(INT(VLOOKUP(U215,模板计算相关数据!A:N,2,0)/30)+1,模板计算相关数据!$O$35:$U$40,3,0)+AE215</f>
        <v>0</v>
      </c>
      <c r="AP215" s="3">
        <f>VLOOKUP(INT(VLOOKUP(U215,模板计算相关数据!A:N,2,0)/30)+1,模板计算相关数据!$O$35:$U$40,4,0)+AF215</f>
        <v>5000</v>
      </c>
      <c r="AQ215" s="3">
        <f>VLOOKUP(INT(VLOOKUP(U215,模板计算相关数据!A:N,2,0)/30)+1,模板计算相关数据!$O$35:$U$40,5,0)+AG215</f>
        <v>0</v>
      </c>
      <c r="AR215" s="3">
        <f>VLOOKUP(INT(VLOOKUP(U215,模板计算相关数据!A:N,2,0)/30)+1,模板计算相关数据!$O$35:$U$40,6,0)+AH215</f>
        <v>0</v>
      </c>
      <c r="AS215" s="3">
        <f>VLOOKUP(INT(VLOOKUP(U215,模板计算相关数据!A:N,2,0)/30)+1,模板计算相关数据!$O$35:$U$40,7,0)+AI215</f>
        <v>0</v>
      </c>
      <c r="AT215" s="3">
        <f>VLOOKUP(INT(VLOOKUP(U215,模板计算相关数据!A:N,2,0)/30)+1,模板计算相关数据!$O$35:$V$40,8,0)</f>
        <v>0</v>
      </c>
      <c r="AU215" s="2"/>
    </row>
    <row r="216" spans="1:47" x14ac:dyDescent="0.2">
      <c r="A216" s="17">
        <v>101090301</v>
      </c>
      <c r="B216" s="17"/>
      <c r="C216" s="69" t="s">
        <v>990</v>
      </c>
      <c r="D216" s="33" t="s">
        <v>1021</v>
      </c>
      <c r="E216" s="2">
        <v>1</v>
      </c>
      <c r="F216" s="3">
        <v>3</v>
      </c>
      <c r="G216" s="3">
        <v>1001301</v>
      </c>
      <c r="H216" s="3">
        <v>1</v>
      </c>
      <c r="I216" s="3">
        <v>4</v>
      </c>
      <c r="J216" s="3">
        <v>1</v>
      </c>
      <c r="K216" s="3"/>
      <c r="L216" s="91" t="s">
        <v>947</v>
      </c>
      <c r="M216" s="3"/>
      <c r="N216" s="2">
        <v>1</v>
      </c>
      <c r="O216" s="2"/>
      <c r="P216" s="3" t="s">
        <v>1613</v>
      </c>
      <c r="Q216" s="95">
        <f>R216</f>
        <v>3.5338039215686279</v>
      </c>
      <c r="R216" s="133">
        <f>IF(P216=模板计算相关数据!$AB$24,VLOOKUP(X216,模板计算相关数据!$P$47:$T$50,2,0),VLOOKUP(X216,模板计算相关数据!$P$4:$U$7,3,0))*VLOOKUP(Y216,模板计算相关数据!$P$22:$X$30,8,0)</f>
        <v>3.5338039215686279</v>
      </c>
      <c r="S216" s="62">
        <v>6.08</v>
      </c>
      <c r="T216" s="133">
        <f>IF(P216=模板计算相关数据!$AB$24,VLOOKUP(X216,模板计算相关数据!$P$47:$T$50,5,0),VLOOKUP(X216,模板计算相关数据!$P$4:$U$7,6,0))*VLOOKUP(Y216,模板计算相关数据!$P$22:$X$30,9,0)</f>
        <v>7.080688696105339</v>
      </c>
      <c r="U216" s="95">
        <v>10</v>
      </c>
      <c r="V216" s="95">
        <f t="shared" si="16"/>
        <v>24</v>
      </c>
      <c r="W216" s="29">
        <f>VLOOKUP(U216,模板计算相关数据!A:N,2,0)</f>
        <v>21</v>
      </c>
      <c r="X216" s="3" t="s">
        <v>151</v>
      </c>
      <c r="Y216" s="3" t="s">
        <v>152</v>
      </c>
      <c r="Z216" s="95">
        <v>1.05</v>
      </c>
      <c r="AA216" s="95">
        <v>1</v>
      </c>
      <c r="AB216" s="95">
        <v>1</v>
      </c>
      <c r="AC216" s="95">
        <v>1</v>
      </c>
      <c r="AD216" s="95">
        <v>0</v>
      </c>
      <c r="AE216" s="95">
        <v>0</v>
      </c>
      <c r="AF216" s="95">
        <v>0</v>
      </c>
      <c r="AG216" s="95">
        <v>0</v>
      </c>
      <c r="AH216" s="95">
        <v>0</v>
      </c>
      <c r="AI216" s="95">
        <v>0</v>
      </c>
      <c r="AJ216" s="3">
        <f>INT(VLOOKUP(U216,模板计算相关数据!A:N,4,0)*VLOOKUP(U216,模板计算相关数据!A:N,14,0)*(1+MAX(0,(VLOOKUP(U216,模板计算相关数据!A:N,7,0)-AQ216))*VLOOKUP(U216,模板计算相关数据!A:N,8,0))*(1-(AL216+AM216)*0.5/((AL216+AM216)*0.5+(VLOOKUP(U216,模板计算相关数据!A:N,2,0)+模板计算相关数据!$AC$27)*模板计算相关数据!$AC$28))*Q216*Z216)</f>
        <v>1850</v>
      </c>
      <c r="AK216" s="3">
        <f>INT(VLOOKUP(U216,模板计算相关数据!A:N,3,0)/模板计算相关数据!$W$35/(1+MAX(0,(AO216/10000-VLOOKUP(U216,模板计算相关数据!A:N,9,0)))*AP216/10000)/(1-VLOOKUP(U216,模板计算相关数据!A:N,5,0)/(VLOOKUP(U216,模板计算相关数据!A:N,5,0)+(VLOOKUP(U216,模板计算相关数据!A:N,2,0)+模板计算相关数据!$AC$27)*模板计算相关数据!$AC$28))/S216*AA216)</f>
        <v>678</v>
      </c>
      <c r="AL216" s="3">
        <f>INT(VLOOKUP(U216,模板计算相关数据!A:N,5,0)*VLOOKUP(X216,模板计算相关数据!$P$4:$T$7,4,0)*VLOOKUP(Y216,模板计算相关数据!$P$22:$U$30,4,0)*AB216)</f>
        <v>1498</v>
      </c>
      <c r="AM216" s="3">
        <f>INT(VLOOKUP(U216,模板计算相关数据!A:N,6,0)*VLOOKUP(X216,模板计算相关数据!$P$4:$T$7,4,0)*VLOOKUP(Y216,模板计算相关数据!$P$22:$U$30,5,0)*AC216)</f>
        <v>878</v>
      </c>
      <c r="AN216" s="3">
        <f>VLOOKUP(U216,模板计算相关数据!A:N,10,0)*0.5*VLOOKUP(Y216,模板计算相关数据!$P$22:$U$30,6,0)+AD216</f>
        <v>250</v>
      </c>
      <c r="AO216" s="3">
        <f>VLOOKUP(INT(VLOOKUP(U216,模板计算相关数据!A:N,2,0)/30)+1,模板计算相关数据!$O$35:$U$40,3,0)+AE216</f>
        <v>0</v>
      </c>
      <c r="AP216" s="3">
        <f>VLOOKUP(INT(VLOOKUP(U216,模板计算相关数据!A:N,2,0)/30)+1,模板计算相关数据!$O$35:$U$40,4,0)+AF216</f>
        <v>5000</v>
      </c>
      <c r="AQ216" s="3">
        <f>VLOOKUP(INT(VLOOKUP(U216,模板计算相关数据!A:N,2,0)/30)+1,模板计算相关数据!$O$35:$U$40,5,0)+AG216</f>
        <v>0</v>
      </c>
      <c r="AR216" s="3">
        <f>VLOOKUP(INT(VLOOKUP(U216,模板计算相关数据!A:N,2,0)/30)+1,模板计算相关数据!$O$35:$U$40,6,0)+AH216</f>
        <v>0</v>
      </c>
      <c r="AS216" s="3">
        <f>VLOOKUP(INT(VLOOKUP(U216,模板计算相关数据!A:N,2,0)/30)+1,模板计算相关数据!$O$35:$U$40,7,0)+AI216</f>
        <v>0</v>
      </c>
      <c r="AT216" s="3">
        <f>VLOOKUP(INT(VLOOKUP(U216,模板计算相关数据!A:N,2,0)/30)+1,模板计算相关数据!$O$35:$V$40,8,0)</f>
        <v>0</v>
      </c>
      <c r="AU216" s="2"/>
    </row>
    <row r="217" spans="1:47" x14ac:dyDescent="0.2">
      <c r="A217" s="17">
        <v>101090302</v>
      </c>
      <c r="B217" s="17"/>
      <c r="C217" s="69" t="s">
        <v>1746</v>
      </c>
      <c r="D217" s="33" t="s">
        <v>1021</v>
      </c>
      <c r="E217" s="2">
        <v>2</v>
      </c>
      <c r="F217" s="3">
        <v>1</v>
      </c>
      <c r="G217" s="3">
        <v>1001401</v>
      </c>
      <c r="H217" s="3">
        <v>4</v>
      </c>
      <c r="I217" s="3">
        <v>4</v>
      </c>
      <c r="J217" s="3">
        <v>1</v>
      </c>
      <c r="K217" s="3"/>
      <c r="L217" s="91" t="s">
        <v>948</v>
      </c>
      <c r="M217" s="3"/>
      <c r="N217" s="2">
        <v>1</v>
      </c>
      <c r="O217" s="2"/>
      <c r="P217" s="3" t="s">
        <v>1613</v>
      </c>
      <c r="Q217" s="95">
        <f>R217</f>
        <v>3.5739607843137255</v>
      </c>
      <c r="R217" s="133">
        <f>IF(P217=模板计算相关数据!$AB$24,VLOOKUP(X217,模板计算相关数据!$P$47:$T$50,2,0),VLOOKUP(X217,模板计算相关数据!$P$4:$U$7,3,0))*VLOOKUP(Y217,模板计算相关数据!$P$22:$X$30,8,0)</f>
        <v>3.5739607843137255</v>
      </c>
      <c r="S217" s="62">
        <v>6.14</v>
      </c>
      <c r="T217" s="133">
        <f>IF(P217=模板计算相关数据!$AB$24,VLOOKUP(X217,模板计算相关数据!$P$47:$T$50,5,0),VLOOKUP(X217,模板计算相关数据!$P$4:$U$7,6,0))*VLOOKUP(Y217,模板计算相关数据!$P$22:$X$30,9,0)</f>
        <v>7.1399909464914808</v>
      </c>
      <c r="U217" s="95">
        <v>10</v>
      </c>
      <c r="V217" s="95">
        <f t="shared" si="16"/>
        <v>24</v>
      </c>
      <c r="W217" s="29">
        <f>VLOOKUP(U217,模板计算相关数据!A:N,2,0)</f>
        <v>21</v>
      </c>
      <c r="X217" s="3" t="s">
        <v>151</v>
      </c>
      <c r="Y217" s="3" t="s">
        <v>162</v>
      </c>
      <c r="Z217" s="95">
        <v>1.05</v>
      </c>
      <c r="AA217" s="95">
        <v>1</v>
      </c>
      <c r="AB217" s="95">
        <v>1</v>
      </c>
      <c r="AC217" s="95">
        <v>1</v>
      </c>
      <c r="AD217" s="95">
        <v>0</v>
      </c>
      <c r="AE217" s="95">
        <v>0</v>
      </c>
      <c r="AF217" s="95">
        <v>0</v>
      </c>
      <c r="AG217" s="95">
        <v>0</v>
      </c>
      <c r="AH217" s="95">
        <v>0</v>
      </c>
      <c r="AI217" s="95">
        <v>0</v>
      </c>
      <c r="AJ217" s="3">
        <f>INT(VLOOKUP(U217,模板计算相关数据!A:N,4,0)*VLOOKUP(U217,模板计算相关数据!A:N,14,0)*(1+MAX(0,(VLOOKUP(U217,模板计算相关数据!A:N,7,0)-AQ217))*VLOOKUP(U217,模板计算相关数据!A:N,8,0))*(1-(AL217+AM217)*0.5/((AL217+AM217)*0.5+(VLOOKUP(U217,模板计算相关数据!A:N,2,0)+模板计算相关数据!$AC$27)*模板计算相关数据!$AC$28))*Q217*Z217)</f>
        <v>1873</v>
      </c>
      <c r="AK217" s="3">
        <f>INT(VLOOKUP(U217,模板计算相关数据!A:N,3,0)/模板计算相关数据!$W$35/(1+MAX(0,(AO217/10000-VLOOKUP(U217,模板计算相关数据!A:N,9,0)))*AP217/10000)/(1-VLOOKUP(U217,模板计算相关数据!A:N,5,0)/(VLOOKUP(U217,模板计算相关数据!A:N,5,0)+(VLOOKUP(U217,模板计算相关数据!A:N,2,0)+模板计算相关数据!$AC$27)*模板计算相关数据!$AC$28))/S217*AA217)</f>
        <v>672</v>
      </c>
      <c r="AL217" s="3">
        <f>INT(VLOOKUP(U217,模板计算相关数据!A:N,5,0)*VLOOKUP(X217,模板计算相关数据!$P$4:$T$7,4,0)*VLOOKUP(Y217,模板计算相关数据!$P$22:$U$30,4,0)*AB217)</f>
        <v>887</v>
      </c>
      <c r="AM217" s="3">
        <f>INT(VLOOKUP(U217,模板计算相关数据!A:N,6,0)*VLOOKUP(X217,模板计算相关数据!$P$4:$T$7,4,0)*VLOOKUP(Y217,模板计算相关数据!$P$22:$U$30,5,0)*AC217)</f>
        <v>1482</v>
      </c>
      <c r="AN217" s="3">
        <f>VLOOKUP(U217,模板计算相关数据!A:N,10,0)*0.5*VLOOKUP(Y217,模板计算相关数据!$P$22:$U$30,6,0)+AD217</f>
        <v>250</v>
      </c>
      <c r="AO217" s="3">
        <f>VLOOKUP(INT(VLOOKUP(U217,模板计算相关数据!A:N,2,0)/30)+1,模板计算相关数据!$O$35:$U$40,3,0)+AE217</f>
        <v>0</v>
      </c>
      <c r="AP217" s="3">
        <f>VLOOKUP(INT(VLOOKUP(U217,模板计算相关数据!A:N,2,0)/30)+1,模板计算相关数据!$O$35:$U$40,4,0)+AF217</f>
        <v>5000</v>
      </c>
      <c r="AQ217" s="3">
        <f>VLOOKUP(INT(VLOOKUP(U217,模板计算相关数据!A:N,2,0)/30)+1,模板计算相关数据!$O$35:$U$40,5,0)+AG217</f>
        <v>0</v>
      </c>
      <c r="AR217" s="3">
        <f>VLOOKUP(INT(VLOOKUP(U217,模板计算相关数据!A:N,2,0)/30)+1,模板计算相关数据!$O$35:$U$40,6,0)+AH217</f>
        <v>0</v>
      </c>
      <c r="AS217" s="3">
        <f>VLOOKUP(INT(VLOOKUP(U217,模板计算相关数据!A:N,2,0)/30)+1,模板计算相关数据!$O$35:$U$40,7,0)+AI217</f>
        <v>0</v>
      </c>
      <c r="AT217" s="3">
        <f>VLOOKUP(INT(VLOOKUP(U217,模板计算相关数据!A:N,2,0)/30)+1,模板计算相关数据!$O$35:$V$40,8,0)</f>
        <v>0</v>
      </c>
      <c r="AU217" s="2"/>
    </row>
    <row r="218" spans="1:47" x14ac:dyDescent="0.2">
      <c r="A218" s="17">
        <v>101090303</v>
      </c>
      <c r="B218" s="17"/>
      <c r="C218" s="69" t="s">
        <v>992</v>
      </c>
      <c r="D218" s="33" t="s">
        <v>1021</v>
      </c>
      <c r="E218" s="2">
        <v>1</v>
      </c>
      <c r="F218" s="3">
        <v>3</v>
      </c>
      <c r="G218" s="3">
        <v>1001701</v>
      </c>
      <c r="H218" s="3">
        <v>6</v>
      </c>
      <c r="I218" s="3">
        <v>4</v>
      </c>
      <c r="J218" s="3">
        <v>1</v>
      </c>
      <c r="K218" s="3">
        <v>1</v>
      </c>
      <c r="L218" s="91" t="s">
        <v>950</v>
      </c>
      <c r="M218" s="3"/>
      <c r="N218" s="2">
        <v>1</v>
      </c>
      <c r="O218" s="2"/>
      <c r="P218" s="3" t="s">
        <v>1613</v>
      </c>
      <c r="Q218" s="95">
        <v>17.5</v>
      </c>
      <c r="R218" s="133">
        <f>IF(P218=模板计算相关数据!$AB$24,VLOOKUP(X218,模板计算相关数据!$P$47:$T$50,2,0),VLOOKUP(X218,模板计算相关数据!$P$4:$U$7,3,0))*VLOOKUP(Y218,模板计算相关数据!$P$22:$X$30,8,0)</f>
        <v>23.083921568627449</v>
      </c>
      <c r="S218" s="62">
        <v>3.53</v>
      </c>
      <c r="T218" s="133">
        <f>IF(P218=模板计算相关数据!$AB$24,VLOOKUP(X218,模板计算相关数据!$P$47:$T$50,5,0),VLOOKUP(X218,模板计算相关数据!$P$4:$U$7,6,0))*VLOOKUP(Y218,模板计算相关数据!$P$22:$X$30,9,0)</f>
        <v>3.1342460257760378</v>
      </c>
      <c r="U218" s="95">
        <v>10</v>
      </c>
      <c r="V218" s="95">
        <f t="shared" si="16"/>
        <v>24</v>
      </c>
      <c r="W218" s="29">
        <f>VLOOKUP(U218,模板计算相关数据!A:N,2,0)</f>
        <v>21</v>
      </c>
      <c r="X218" s="3" t="s">
        <v>178</v>
      </c>
      <c r="Y218" s="3" t="s">
        <v>159</v>
      </c>
      <c r="Z218" s="95">
        <v>1</v>
      </c>
      <c r="AA218" s="95">
        <v>1</v>
      </c>
      <c r="AB218" s="95">
        <v>1</v>
      </c>
      <c r="AC218" s="95">
        <v>1</v>
      </c>
      <c r="AD218" s="95">
        <v>0</v>
      </c>
      <c r="AE218" s="95">
        <v>0</v>
      </c>
      <c r="AF218" s="95">
        <v>0</v>
      </c>
      <c r="AG218" s="95">
        <v>0</v>
      </c>
      <c r="AH218" s="95">
        <v>0</v>
      </c>
      <c r="AI218" s="95">
        <v>2000</v>
      </c>
      <c r="AJ218" s="3">
        <f>INT(VLOOKUP(U218,模板计算相关数据!A:N,4,0)*VLOOKUP(U218,模板计算相关数据!A:N,14,0)*(1+MAX(0,(VLOOKUP(U218,模板计算相关数据!A:N,7,0)-AQ218))*VLOOKUP(U218,模板计算相关数据!A:N,8,0))*(1-(AL218+AM218)*0.5/((AL218+AM218)*0.5+(VLOOKUP(U218,模板计算相关数据!A:N,2,0)+模板计算相关数据!$AC$27)*模板计算相关数据!$AC$28))*Q218*Z218)</f>
        <v>7134</v>
      </c>
      <c r="AK218" s="3">
        <f>INT(VLOOKUP(U218,模板计算相关数据!A:N,3,0)/模板计算相关数据!$W$35/(1+MAX(0,(AO218/10000-VLOOKUP(U218,模板计算相关数据!A:N,9,0)))*AP218/10000)/(1-VLOOKUP(U218,模板计算相关数据!A:N,5,0)/(VLOOKUP(U218,模板计算相关数据!A:N,5,0)+(VLOOKUP(U218,模板计算相关数据!A:N,2,0)+模板计算相关数据!$AC$27)*模板计算相关数据!$AC$28))/S218*AA218)</f>
        <v>1169</v>
      </c>
      <c r="AL218" s="3">
        <f>INT(VLOOKUP(U218,模板计算相关数据!A:N,5,0)*VLOOKUP(X218,模板计算相关数据!$P$4:$T$7,4,0)*VLOOKUP(Y218,模板计算相关数据!$P$22:$U$30,4,0)*AB218)</f>
        <v>2580</v>
      </c>
      <c r="AM218" s="3">
        <f>INT(VLOOKUP(U218,模板计算相关数据!A:N,6,0)*VLOOKUP(X218,模板计算相关数据!$P$4:$T$7,4,0)*VLOOKUP(Y218,模板计算相关数据!$P$22:$U$30,5,0)*AC218)</f>
        <v>1400</v>
      </c>
      <c r="AN218" s="3">
        <f>VLOOKUP(U218,模板计算相关数据!A:N,10,0)*0.5*VLOOKUP(Y218,模板计算相关数据!$P$22:$U$30,6,0)+AD218</f>
        <v>275</v>
      </c>
      <c r="AO218" s="3">
        <f>VLOOKUP(INT(VLOOKUP(U218,模板计算相关数据!A:N,2,0)/30)+1,模板计算相关数据!$O$35:$U$40,3,0)+AE218</f>
        <v>0</v>
      </c>
      <c r="AP218" s="3">
        <f>VLOOKUP(INT(VLOOKUP(U218,模板计算相关数据!A:N,2,0)/30)+1,模板计算相关数据!$O$35:$U$40,4,0)+AF218</f>
        <v>5000</v>
      </c>
      <c r="AQ218" s="3">
        <f>VLOOKUP(INT(VLOOKUP(U218,模板计算相关数据!A:N,2,0)/30)+1,模板计算相关数据!$O$35:$U$40,5,0)+AG218</f>
        <v>0</v>
      </c>
      <c r="AR218" s="3">
        <f>VLOOKUP(INT(VLOOKUP(U218,模板计算相关数据!A:N,2,0)/30)+1,模板计算相关数据!$O$35:$U$40,6,0)+AH218</f>
        <v>0</v>
      </c>
      <c r="AS218" s="3">
        <f>VLOOKUP(INT(VLOOKUP(U218,模板计算相关数据!A:N,2,0)/30)+1,模板计算相关数据!$O$35:$U$40,7,0)+AI218</f>
        <v>2000</v>
      </c>
      <c r="AT218" s="3">
        <f>VLOOKUP(INT(VLOOKUP(U218,模板计算相关数据!A:N,2,0)/30)+1,模板计算相关数据!$O$35:$V$40,8,0)</f>
        <v>0</v>
      </c>
      <c r="AU218" s="69" t="s">
        <v>1932</v>
      </c>
    </row>
    <row r="219" spans="1:47" x14ac:dyDescent="0.2">
      <c r="A219" s="17">
        <v>101090304</v>
      </c>
      <c r="B219" s="17"/>
      <c r="C219" s="69" t="s">
        <v>991</v>
      </c>
      <c r="D219" s="33" t="s">
        <v>1021</v>
      </c>
      <c r="E219" s="2">
        <v>1</v>
      </c>
      <c r="F219" s="3">
        <v>2</v>
      </c>
      <c r="G219" s="3">
        <v>1001501</v>
      </c>
      <c r="H219" s="3">
        <v>2</v>
      </c>
      <c r="I219" s="3">
        <v>4</v>
      </c>
      <c r="J219" s="3">
        <v>1</v>
      </c>
      <c r="K219" s="3"/>
      <c r="L219" s="91" t="s">
        <v>949</v>
      </c>
      <c r="M219" s="3"/>
      <c r="N219" s="2">
        <v>1</v>
      </c>
      <c r="O219" s="2"/>
      <c r="P219" s="3" t="s">
        <v>1613</v>
      </c>
      <c r="Q219" s="95">
        <v>8.5</v>
      </c>
      <c r="R219" s="133">
        <f>IF(P219=模板计算相关数据!$AB$24,VLOOKUP(X219,模板计算相关数据!$P$47:$T$50,2,0),VLOOKUP(X219,模板计算相关数据!$P$4:$U$7,3,0))*VLOOKUP(Y219,模板计算相关数据!$P$22:$X$30,8,0)</f>
        <v>5.5529411764705889</v>
      </c>
      <c r="S219" s="62">
        <v>8.8000000000000007</v>
      </c>
      <c r="T219" s="133">
        <f>IF(P219=模板计算相关数据!$AB$24,VLOOKUP(X219,模板计算相关数据!$P$47:$T$50,5,0),VLOOKUP(X219,模板计算相关数据!$P$4:$U$7,6,0))*VLOOKUP(Y219,模板计算相关数据!$P$22:$X$30,9,0)</f>
        <v>10.81871724633354</v>
      </c>
      <c r="U219" s="95">
        <v>10</v>
      </c>
      <c r="V219" s="95">
        <f t="shared" si="16"/>
        <v>24</v>
      </c>
      <c r="W219" s="29">
        <f>VLOOKUP(U219,模板计算相关数据!A:N,2,0)</f>
        <v>21</v>
      </c>
      <c r="X219" s="3" t="s">
        <v>151</v>
      </c>
      <c r="Y219" s="3" t="s">
        <v>155</v>
      </c>
      <c r="Z219" s="95">
        <v>1.1499999999999999</v>
      </c>
      <c r="AA219" s="95">
        <v>1.1499999999999999</v>
      </c>
      <c r="AB219" s="95">
        <v>1</v>
      </c>
      <c r="AC219" s="95">
        <v>1</v>
      </c>
      <c r="AD219" s="95">
        <v>0</v>
      </c>
      <c r="AE219" s="95">
        <v>0</v>
      </c>
      <c r="AF219" s="95">
        <v>0</v>
      </c>
      <c r="AG219" s="95">
        <v>0</v>
      </c>
      <c r="AH219" s="95">
        <v>0</v>
      </c>
      <c r="AI219" s="95">
        <v>0</v>
      </c>
      <c r="AJ219" s="3">
        <f>INT(VLOOKUP(U219,模板计算相关数据!A:N,4,0)*VLOOKUP(U219,模板计算相关数据!A:N,14,0)*(1+MAX(0,(VLOOKUP(U219,模板计算相关数据!A:N,7,0)-AQ219))*VLOOKUP(U219,模板计算相关数据!A:N,8,0))*(1-(AL219+AM219)*0.5/((AL219+AM219)*0.5+(VLOOKUP(U219,模板计算相关数据!A:N,2,0)+模板计算相关数据!$AC$27)*模板计算相关数据!$AC$28))*Q219*Z219)</f>
        <v>4609</v>
      </c>
      <c r="AK219" s="3">
        <f>INT(VLOOKUP(U219,模板计算相关数据!A:N,3,0)/模板计算相关数据!$W$35/(1+MAX(0,(AO219/10000-VLOOKUP(U219,模板计算相关数据!A:N,9,0)))*AP219/10000)/(1-VLOOKUP(U219,模板计算相关数据!A:N,5,0)/(VLOOKUP(U219,模板计算相关数据!A:N,5,0)+(VLOOKUP(U219,模板计算相关数据!A:N,2,0)+模板计算相关数据!$AC$27)*模板计算相关数据!$AC$28))/S219*AA219)</f>
        <v>539</v>
      </c>
      <c r="AL219" s="3">
        <f>INT(VLOOKUP(U219,模板计算相关数据!A:N,5,0)*VLOOKUP(X219,模板计算相关数据!$P$4:$T$7,4,0)*VLOOKUP(Y219,模板计算相关数据!$P$22:$U$30,4,0)*AB219)</f>
        <v>1803</v>
      </c>
      <c r="AM219" s="3">
        <f>INT(VLOOKUP(U219,模板计算相关数据!A:N,6,0)*VLOOKUP(X219,模板计算相关数据!$P$4:$T$7,4,0)*VLOOKUP(Y219,模板计算相关数据!$P$22:$U$30,5,0)*AC219)</f>
        <v>988</v>
      </c>
      <c r="AN219" s="3">
        <f>VLOOKUP(U219,模板计算相关数据!A:N,10,0)*0.5*VLOOKUP(Y219,模板计算相关数据!$P$22:$U$30,6,0)+AD219</f>
        <v>225</v>
      </c>
      <c r="AO219" s="3">
        <f>VLOOKUP(INT(VLOOKUP(U219,模板计算相关数据!A:N,2,0)/30)+1,模板计算相关数据!$O$35:$U$40,3,0)+AE219</f>
        <v>0</v>
      </c>
      <c r="AP219" s="3">
        <f>VLOOKUP(INT(VLOOKUP(U219,模板计算相关数据!A:N,2,0)/30)+1,模板计算相关数据!$O$35:$U$40,4,0)+AF219</f>
        <v>5000</v>
      </c>
      <c r="AQ219" s="3">
        <f>VLOOKUP(INT(VLOOKUP(U219,模板计算相关数据!A:N,2,0)/30)+1,模板计算相关数据!$O$35:$U$40,5,0)+AG219</f>
        <v>0</v>
      </c>
      <c r="AR219" s="3">
        <f>VLOOKUP(INT(VLOOKUP(U219,模板计算相关数据!A:N,2,0)/30)+1,模板计算相关数据!$O$35:$U$40,6,0)+AH219</f>
        <v>0</v>
      </c>
      <c r="AS219" s="3">
        <f>VLOOKUP(INT(VLOOKUP(U219,模板计算相关数据!A:N,2,0)/30)+1,模板计算相关数据!$O$35:$U$40,7,0)+AI219</f>
        <v>0</v>
      </c>
      <c r="AT219" s="3">
        <f>VLOOKUP(INT(VLOOKUP(U219,模板计算相关数据!A:N,2,0)/30)+1,模板计算相关数据!$O$35:$V$40,8,0)</f>
        <v>0</v>
      </c>
      <c r="AU219" s="2"/>
    </row>
    <row r="220" spans="1:47" x14ac:dyDescent="0.2">
      <c r="A220" s="19">
        <v>101110101</v>
      </c>
      <c r="B220" s="19"/>
      <c r="C220" s="69" t="s">
        <v>990</v>
      </c>
      <c r="D220" s="87" t="s">
        <v>1622</v>
      </c>
      <c r="E220" s="2">
        <v>1</v>
      </c>
      <c r="F220" s="3">
        <v>2</v>
      </c>
      <c r="G220" s="3">
        <v>1001301</v>
      </c>
      <c r="H220" s="3">
        <v>1</v>
      </c>
      <c r="I220" s="3">
        <v>4</v>
      </c>
      <c r="J220" s="3">
        <v>1</v>
      </c>
      <c r="K220" s="3"/>
      <c r="L220" s="91" t="s">
        <v>947</v>
      </c>
      <c r="M220" s="3"/>
      <c r="N220" s="2">
        <v>1</v>
      </c>
      <c r="O220" s="2"/>
      <c r="P220" s="3" t="s">
        <v>1615</v>
      </c>
      <c r="Q220" s="95">
        <f t="shared" si="15"/>
        <v>4.417254901960785</v>
      </c>
      <c r="R220" s="133">
        <f>IF(P220=模板计算相关数据!$AB$24,VLOOKUP(X220,模板计算相关数据!$P$47:$T$50,2,0),VLOOKUP(X220,模板计算相关数据!$P$4:$U$7,3,0))*VLOOKUP(Y220,模板计算相关数据!$P$22:$X$30,8,0)</f>
        <v>4.417254901960785</v>
      </c>
      <c r="S220" s="62">
        <f t="shared" si="12"/>
        <v>5.4285280003474252</v>
      </c>
      <c r="T220" s="133">
        <f>IF(P220=模板计算相关数据!$AB$24,VLOOKUP(X220,模板计算相关数据!$P$47:$T$50,5,0),VLOOKUP(X220,模板计算相关数据!$P$4:$U$7,6,0))*VLOOKUP(Y220,模板计算相关数据!$P$22:$X$30,9,0)</f>
        <v>5.4285280003474252</v>
      </c>
      <c r="U220" s="95">
        <v>11</v>
      </c>
      <c r="V220" s="95">
        <f t="shared" si="16"/>
        <v>26</v>
      </c>
      <c r="W220" s="29">
        <f>VLOOKUP(U220,模板计算相关数据!A:N,2,0)</f>
        <v>23</v>
      </c>
      <c r="X220" s="3" t="s">
        <v>151</v>
      </c>
      <c r="Y220" s="3" t="s">
        <v>152</v>
      </c>
      <c r="Z220" s="95">
        <v>1.1000000000000001</v>
      </c>
      <c r="AA220" s="95">
        <v>1.1000000000000001</v>
      </c>
      <c r="AB220" s="95">
        <v>1</v>
      </c>
      <c r="AC220" s="95">
        <v>1</v>
      </c>
      <c r="AD220" s="95">
        <v>0</v>
      </c>
      <c r="AE220" s="95">
        <v>0</v>
      </c>
      <c r="AF220" s="95">
        <v>0</v>
      </c>
      <c r="AG220" s="95">
        <v>0</v>
      </c>
      <c r="AH220" s="95">
        <v>0</v>
      </c>
      <c r="AI220" s="95">
        <v>0</v>
      </c>
      <c r="AJ220" s="3">
        <f>INT(VLOOKUP(U220,模板计算相关数据!A:N,4,0)*VLOOKUP(U220,模板计算相关数据!A:N,14,0)*(1+MAX(0,(VLOOKUP(U220,模板计算相关数据!A:N,7,0)-AQ220))*VLOOKUP(U220,模板计算相关数据!A:N,8,0))*(1-(AL220+AM220)*0.5/((AL220+AM220)*0.5+(VLOOKUP(U220,模板计算相关数据!A:N,2,0)+模板计算相关数据!$AC$27)*模板计算相关数据!$AC$28))*Q220*Z220)</f>
        <v>2584</v>
      </c>
      <c r="AK220" s="3">
        <f>INT(VLOOKUP(U220,模板计算相关数据!A:N,3,0)/模板计算相关数据!$W$35/(1+MAX(0,(AO220/10000-VLOOKUP(U220,模板计算相关数据!A:N,9,0)))*AP220/10000)/(1-VLOOKUP(U220,模板计算相关数据!A:N,5,0)/(VLOOKUP(U220,模板计算相关数据!A:N,5,0)+(VLOOKUP(U220,模板计算相关数据!A:N,2,0)+模板计算相关数据!$AC$27)*模板计算相关数据!$AC$28))/S220*AA220)</f>
        <v>875</v>
      </c>
      <c r="AL220" s="3">
        <f>INT(VLOOKUP(U220,模板计算相关数据!A:N,5,0)*VLOOKUP(X220,模板计算相关数据!$P$4:$T$7,4,0)*VLOOKUP(Y220,模板计算相关数据!$P$22:$U$30,4,0)*AB220)</f>
        <v>1581</v>
      </c>
      <c r="AM220" s="3">
        <f>INT(VLOOKUP(U220,模板计算相关数据!A:N,6,0)*VLOOKUP(X220,模板计算相关数据!$P$4:$T$7,4,0)*VLOOKUP(Y220,模板计算相关数据!$P$22:$U$30,5,0)*AC220)</f>
        <v>928</v>
      </c>
      <c r="AN220" s="3">
        <f>VLOOKUP(U220,模板计算相关数据!A:N,10,0)*0.5*VLOOKUP(Y220,模板计算相关数据!$P$22:$U$30,6,0)+AD220</f>
        <v>250</v>
      </c>
      <c r="AO220" s="3">
        <f>VLOOKUP(INT(VLOOKUP(U220,模板计算相关数据!A:N,2,0)/30)+1,模板计算相关数据!$O$35:$U$40,3,0)+AE220</f>
        <v>0</v>
      </c>
      <c r="AP220" s="3">
        <f>VLOOKUP(INT(VLOOKUP(U220,模板计算相关数据!A:N,2,0)/30)+1,模板计算相关数据!$O$35:$U$40,4,0)+AF220</f>
        <v>5000</v>
      </c>
      <c r="AQ220" s="3">
        <f>VLOOKUP(INT(VLOOKUP(U220,模板计算相关数据!A:N,2,0)/30)+1,模板计算相关数据!$O$35:$U$40,5,0)+AG220</f>
        <v>0</v>
      </c>
      <c r="AR220" s="3">
        <f>VLOOKUP(INT(VLOOKUP(U220,模板计算相关数据!A:N,2,0)/30)+1,模板计算相关数据!$O$35:$U$40,6,0)+AH220</f>
        <v>0</v>
      </c>
      <c r="AS220" s="3">
        <f>VLOOKUP(INT(VLOOKUP(U220,模板计算相关数据!A:N,2,0)/30)+1,模板计算相关数据!$O$35:$U$40,7,0)+AI220</f>
        <v>0</v>
      </c>
      <c r="AT220" s="3">
        <f>VLOOKUP(INT(VLOOKUP(U220,模板计算相关数据!A:N,2,0)/30)+1,模板计算相关数据!$O$35:$V$40,8,0)</f>
        <v>0</v>
      </c>
      <c r="AU220" s="2"/>
    </row>
    <row r="221" spans="1:47" x14ac:dyDescent="0.2">
      <c r="A221" s="19">
        <v>101110102</v>
      </c>
      <c r="B221" s="19"/>
      <c r="C221" s="69" t="s">
        <v>1746</v>
      </c>
      <c r="D221" s="87" t="s">
        <v>1622</v>
      </c>
      <c r="E221" s="2">
        <v>2</v>
      </c>
      <c r="F221" s="3">
        <v>1</v>
      </c>
      <c r="G221" s="3">
        <v>1001401</v>
      </c>
      <c r="H221" s="3">
        <v>4</v>
      </c>
      <c r="I221" s="3">
        <v>4</v>
      </c>
      <c r="J221" s="3">
        <v>1</v>
      </c>
      <c r="K221" s="3"/>
      <c r="L221" s="91" t="s">
        <v>948</v>
      </c>
      <c r="M221" s="3"/>
      <c r="N221" s="2">
        <v>1</v>
      </c>
      <c r="O221" s="2"/>
      <c r="P221" s="3" t="s">
        <v>1615</v>
      </c>
      <c r="Q221" s="95">
        <f t="shared" si="15"/>
        <v>4.4674509803921572</v>
      </c>
      <c r="R221" s="133">
        <f>IF(P221=模板计算相关数据!$AB$24,VLOOKUP(X221,模板计算相关数据!$P$47:$T$50,2,0),VLOOKUP(X221,模板计算相关数据!$P$4:$U$7,3,0))*VLOOKUP(Y221,模板计算相关数据!$P$22:$X$30,8,0)</f>
        <v>4.4674509803921572</v>
      </c>
      <c r="S221" s="62">
        <f t="shared" si="12"/>
        <v>5.4739930589768004</v>
      </c>
      <c r="T221" s="133">
        <f>IF(P221=模板计算相关数据!$AB$24,VLOOKUP(X221,模板计算相关数据!$P$47:$T$50,5,0),VLOOKUP(X221,模板计算相关数据!$P$4:$U$7,6,0))*VLOOKUP(Y221,模板计算相关数据!$P$22:$X$30,9,0)</f>
        <v>5.4739930589768004</v>
      </c>
      <c r="U221" s="95">
        <v>11</v>
      </c>
      <c r="V221" s="95">
        <f t="shared" si="16"/>
        <v>26</v>
      </c>
      <c r="W221" s="29">
        <f>VLOOKUP(U221,模板计算相关数据!A:N,2,0)</f>
        <v>23</v>
      </c>
      <c r="X221" s="3" t="s">
        <v>151</v>
      </c>
      <c r="Y221" s="3" t="s">
        <v>162</v>
      </c>
      <c r="Z221" s="95">
        <v>1.1000000000000001</v>
      </c>
      <c r="AA221" s="95">
        <v>1.1000000000000001</v>
      </c>
      <c r="AB221" s="95">
        <v>1</v>
      </c>
      <c r="AC221" s="95">
        <v>1</v>
      </c>
      <c r="AD221" s="95">
        <v>0</v>
      </c>
      <c r="AE221" s="95">
        <v>0</v>
      </c>
      <c r="AF221" s="95">
        <v>0</v>
      </c>
      <c r="AG221" s="95">
        <v>0</v>
      </c>
      <c r="AH221" s="95">
        <v>0</v>
      </c>
      <c r="AI221" s="95">
        <v>0</v>
      </c>
      <c r="AJ221" s="3">
        <f>INT(VLOOKUP(U221,模板计算相关数据!A:N,4,0)*VLOOKUP(U221,模板计算相关数据!A:N,14,0)*(1+MAX(0,(VLOOKUP(U221,模板计算相关数据!A:N,7,0)-AQ221))*VLOOKUP(U221,模板计算相关数据!A:N,8,0))*(1-(AL221+AM221)*0.5/((AL221+AM221)*0.5+(VLOOKUP(U221,模板计算相关数据!A:N,2,0)+模板计算相关数据!$AC$27)*模板计算相关数据!$AC$28))*Q221*Z221)</f>
        <v>2615</v>
      </c>
      <c r="AK221" s="3">
        <f>INT(VLOOKUP(U221,模板计算相关数据!A:N,3,0)/模板计算相关数据!$W$35/(1+MAX(0,(AO221/10000-VLOOKUP(U221,模板计算相关数据!A:N,9,0)))*AP221/10000)/(1-VLOOKUP(U221,模板计算相关数据!A:N,5,0)/(VLOOKUP(U221,模板计算相关数据!A:N,5,0)+(VLOOKUP(U221,模板计算相关数据!A:N,2,0)+模板计算相关数据!$AC$27)*模板计算相关数据!$AC$28))/S221*AA221)</f>
        <v>868</v>
      </c>
      <c r="AL221" s="3">
        <f>INT(VLOOKUP(U221,模板计算相关数据!A:N,5,0)*VLOOKUP(X221,模板计算相关数据!$P$4:$T$7,4,0)*VLOOKUP(Y221,模板计算相关数据!$P$22:$U$30,4,0)*AB221)</f>
        <v>937</v>
      </c>
      <c r="AM221" s="3">
        <f>INT(VLOOKUP(U221,模板计算相关数据!A:N,6,0)*VLOOKUP(X221,模板计算相关数据!$P$4:$T$7,4,0)*VLOOKUP(Y221,模板计算相关数据!$P$22:$U$30,5,0)*AC221)</f>
        <v>1566</v>
      </c>
      <c r="AN221" s="3">
        <f>VLOOKUP(U221,模板计算相关数据!A:N,10,0)*0.5*VLOOKUP(Y221,模板计算相关数据!$P$22:$U$30,6,0)+AD221</f>
        <v>250</v>
      </c>
      <c r="AO221" s="3">
        <f>VLOOKUP(INT(VLOOKUP(U221,模板计算相关数据!A:N,2,0)/30)+1,模板计算相关数据!$O$35:$U$40,3,0)+AE221</f>
        <v>0</v>
      </c>
      <c r="AP221" s="3">
        <f>VLOOKUP(INT(VLOOKUP(U221,模板计算相关数据!A:N,2,0)/30)+1,模板计算相关数据!$O$35:$U$40,4,0)+AF221</f>
        <v>5000</v>
      </c>
      <c r="AQ221" s="3">
        <f>VLOOKUP(INT(VLOOKUP(U221,模板计算相关数据!A:N,2,0)/30)+1,模板计算相关数据!$O$35:$U$40,5,0)+AG221</f>
        <v>0</v>
      </c>
      <c r="AR221" s="3">
        <f>VLOOKUP(INT(VLOOKUP(U221,模板计算相关数据!A:N,2,0)/30)+1,模板计算相关数据!$O$35:$U$40,6,0)+AH221</f>
        <v>0</v>
      </c>
      <c r="AS221" s="3">
        <f>VLOOKUP(INT(VLOOKUP(U221,模板计算相关数据!A:N,2,0)/30)+1,模板计算相关数据!$O$35:$U$40,7,0)+AI221</f>
        <v>0</v>
      </c>
      <c r="AT221" s="3">
        <f>VLOOKUP(INT(VLOOKUP(U221,模板计算相关数据!A:N,2,0)/30)+1,模板计算相关数据!$O$35:$V$40,8,0)</f>
        <v>0</v>
      </c>
      <c r="AU221" s="2"/>
    </row>
    <row r="222" spans="1:47" x14ac:dyDescent="0.2">
      <c r="A222" s="17">
        <v>101110201</v>
      </c>
      <c r="B222" s="17"/>
      <c r="C222" s="69" t="s">
        <v>990</v>
      </c>
      <c r="D222" s="87" t="s">
        <v>1622</v>
      </c>
      <c r="E222" s="2">
        <v>1</v>
      </c>
      <c r="F222" s="3">
        <v>2</v>
      </c>
      <c r="G222" s="3">
        <v>1001301</v>
      </c>
      <c r="H222" s="3">
        <v>1</v>
      </c>
      <c r="I222" s="3">
        <v>4</v>
      </c>
      <c r="J222" s="3">
        <v>1</v>
      </c>
      <c r="K222" s="3"/>
      <c r="L222" s="91" t="s">
        <v>947</v>
      </c>
      <c r="M222" s="3"/>
      <c r="N222" s="2">
        <v>1</v>
      </c>
      <c r="O222" s="2"/>
      <c r="P222" s="3" t="s">
        <v>1615</v>
      </c>
      <c r="Q222" s="95">
        <f t="shared" si="15"/>
        <v>4.417254901960785</v>
      </c>
      <c r="R222" s="133">
        <f>IF(P222=模板计算相关数据!$AB$24,VLOOKUP(X222,模板计算相关数据!$P$47:$T$50,2,0),VLOOKUP(X222,模板计算相关数据!$P$4:$U$7,3,0))*VLOOKUP(Y222,模板计算相关数据!$P$22:$X$30,8,0)</f>
        <v>4.417254901960785</v>
      </c>
      <c r="S222" s="62">
        <f t="shared" si="12"/>
        <v>5.4285280003474252</v>
      </c>
      <c r="T222" s="133">
        <f>IF(P222=模板计算相关数据!$AB$24,VLOOKUP(X222,模板计算相关数据!$P$47:$T$50,5,0),VLOOKUP(X222,模板计算相关数据!$P$4:$U$7,6,0))*VLOOKUP(Y222,模板计算相关数据!$P$22:$X$30,9,0)</f>
        <v>5.4285280003474252</v>
      </c>
      <c r="U222" s="95">
        <v>11</v>
      </c>
      <c r="V222" s="95">
        <f t="shared" si="16"/>
        <v>26</v>
      </c>
      <c r="W222" s="29">
        <f>VLOOKUP(U222,模板计算相关数据!A:N,2,0)</f>
        <v>23</v>
      </c>
      <c r="X222" s="3" t="s">
        <v>151</v>
      </c>
      <c r="Y222" s="3" t="s">
        <v>152</v>
      </c>
      <c r="Z222" s="95">
        <v>1.1000000000000001</v>
      </c>
      <c r="AA222" s="95">
        <v>1.1000000000000001</v>
      </c>
      <c r="AB222" s="95">
        <v>1</v>
      </c>
      <c r="AC222" s="95">
        <v>1</v>
      </c>
      <c r="AD222" s="95">
        <v>0</v>
      </c>
      <c r="AE222" s="95">
        <v>0</v>
      </c>
      <c r="AF222" s="95">
        <v>0</v>
      </c>
      <c r="AG222" s="95">
        <v>0</v>
      </c>
      <c r="AH222" s="95">
        <v>0</v>
      </c>
      <c r="AI222" s="95">
        <v>0</v>
      </c>
      <c r="AJ222" s="3">
        <f>INT(VLOOKUP(U222,模板计算相关数据!A:N,4,0)*VLOOKUP(U222,模板计算相关数据!A:N,14,0)*(1+MAX(0,(VLOOKUP(U222,模板计算相关数据!A:N,7,0)-AQ222))*VLOOKUP(U222,模板计算相关数据!A:N,8,0))*(1-(AL222+AM222)*0.5/((AL222+AM222)*0.5+(VLOOKUP(U222,模板计算相关数据!A:N,2,0)+模板计算相关数据!$AC$27)*模板计算相关数据!$AC$28))*Q222*Z222)</f>
        <v>2584</v>
      </c>
      <c r="AK222" s="3">
        <f>INT(VLOOKUP(U222,模板计算相关数据!A:N,3,0)/模板计算相关数据!$W$35/(1+MAX(0,(AO222/10000-VLOOKUP(U222,模板计算相关数据!A:N,9,0)))*AP222/10000)/(1-VLOOKUP(U222,模板计算相关数据!A:N,5,0)/(VLOOKUP(U222,模板计算相关数据!A:N,5,0)+(VLOOKUP(U222,模板计算相关数据!A:N,2,0)+模板计算相关数据!$AC$27)*模板计算相关数据!$AC$28))/S222*AA222)</f>
        <v>875</v>
      </c>
      <c r="AL222" s="3">
        <f>INT(VLOOKUP(U222,模板计算相关数据!A:N,5,0)*VLOOKUP(X222,模板计算相关数据!$P$4:$T$7,4,0)*VLOOKUP(Y222,模板计算相关数据!$P$22:$U$30,4,0)*AB222)</f>
        <v>1581</v>
      </c>
      <c r="AM222" s="3">
        <f>INT(VLOOKUP(U222,模板计算相关数据!A:N,6,0)*VLOOKUP(X222,模板计算相关数据!$P$4:$T$7,4,0)*VLOOKUP(Y222,模板计算相关数据!$P$22:$U$30,5,0)*AC222)</f>
        <v>928</v>
      </c>
      <c r="AN222" s="3">
        <f>VLOOKUP(U222,模板计算相关数据!A:N,10,0)*0.5*VLOOKUP(Y222,模板计算相关数据!$P$22:$U$30,6,0)+AD222</f>
        <v>250</v>
      </c>
      <c r="AO222" s="3">
        <f>VLOOKUP(INT(VLOOKUP(U222,模板计算相关数据!A:N,2,0)/30)+1,模板计算相关数据!$O$35:$U$40,3,0)+AE222</f>
        <v>0</v>
      </c>
      <c r="AP222" s="3">
        <f>VLOOKUP(INT(VLOOKUP(U222,模板计算相关数据!A:N,2,0)/30)+1,模板计算相关数据!$O$35:$U$40,4,0)+AF222</f>
        <v>5000</v>
      </c>
      <c r="AQ222" s="3">
        <f>VLOOKUP(INT(VLOOKUP(U222,模板计算相关数据!A:N,2,0)/30)+1,模板计算相关数据!$O$35:$U$40,5,0)+AG222</f>
        <v>0</v>
      </c>
      <c r="AR222" s="3">
        <f>VLOOKUP(INT(VLOOKUP(U222,模板计算相关数据!A:N,2,0)/30)+1,模板计算相关数据!$O$35:$U$40,6,0)+AH222</f>
        <v>0</v>
      </c>
      <c r="AS222" s="3">
        <f>VLOOKUP(INT(VLOOKUP(U222,模板计算相关数据!A:N,2,0)/30)+1,模板计算相关数据!$O$35:$U$40,7,0)+AI222</f>
        <v>0</v>
      </c>
      <c r="AT222" s="3">
        <f>VLOOKUP(INT(VLOOKUP(U222,模板计算相关数据!A:N,2,0)/30)+1,模板计算相关数据!$O$35:$V$40,8,0)</f>
        <v>0</v>
      </c>
      <c r="AU222" s="2"/>
    </row>
    <row r="223" spans="1:47" x14ac:dyDescent="0.2">
      <c r="A223" s="17">
        <v>101110202</v>
      </c>
      <c r="B223" s="17"/>
      <c r="C223" s="69" t="s">
        <v>1746</v>
      </c>
      <c r="D223" s="87" t="s">
        <v>1622</v>
      </c>
      <c r="E223" s="2">
        <v>2</v>
      </c>
      <c r="F223" s="3">
        <v>1</v>
      </c>
      <c r="G223" s="3">
        <v>1001401</v>
      </c>
      <c r="H223" s="3">
        <v>4</v>
      </c>
      <c r="I223" s="3">
        <v>4</v>
      </c>
      <c r="J223" s="3">
        <v>1</v>
      </c>
      <c r="K223" s="3"/>
      <c r="L223" s="91" t="s">
        <v>948</v>
      </c>
      <c r="M223" s="3"/>
      <c r="N223" s="2">
        <v>1</v>
      </c>
      <c r="O223" s="2"/>
      <c r="P223" s="3" t="s">
        <v>1615</v>
      </c>
      <c r="Q223" s="95">
        <f t="shared" ref="Q223:Q272" si="19">R223</f>
        <v>4.4674509803921572</v>
      </c>
      <c r="R223" s="133">
        <f>IF(P223=模板计算相关数据!$AB$24,VLOOKUP(X223,模板计算相关数据!$P$47:$T$50,2,0),VLOOKUP(X223,模板计算相关数据!$P$4:$U$7,3,0))*VLOOKUP(Y223,模板计算相关数据!$P$22:$X$30,8,0)</f>
        <v>4.4674509803921572</v>
      </c>
      <c r="S223" s="62">
        <f t="shared" ref="S223:S272" si="20">T223</f>
        <v>5.4739930589768004</v>
      </c>
      <c r="T223" s="133">
        <f>IF(P223=模板计算相关数据!$AB$24,VLOOKUP(X223,模板计算相关数据!$P$47:$T$50,5,0),VLOOKUP(X223,模板计算相关数据!$P$4:$U$7,6,0))*VLOOKUP(Y223,模板计算相关数据!$P$22:$X$30,9,0)</f>
        <v>5.4739930589768004</v>
      </c>
      <c r="U223" s="95">
        <v>11</v>
      </c>
      <c r="V223" s="95">
        <f t="shared" si="16"/>
        <v>26</v>
      </c>
      <c r="W223" s="29">
        <f>VLOOKUP(U223,模板计算相关数据!A:N,2,0)</f>
        <v>23</v>
      </c>
      <c r="X223" s="3" t="s">
        <v>151</v>
      </c>
      <c r="Y223" s="3" t="s">
        <v>162</v>
      </c>
      <c r="Z223" s="95">
        <v>1.1000000000000001</v>
      </c>
      <c r="AA223" s="95">
        <v>1.1000000000000001</v>
      </c>
      <c r="AB223" s="95">
        <v>1</v>
      </c>
      <c r="AC223" s="95">
        <v>1</v>
      </c>
      <c r="AD223" s="95">
        <v>0</v>
      </c>
      <c r="AE223" s="95">
        <v>0</v>
      </c>
      <c r="AF223" s="95">
        <v>0</v>
      </c>
      <c r="AG223" s="95">
        <v>0</v>
      </c>
      <c r="AH223" s="95">
        <v>0</v>
      </c>
      <c r="AI223" s="95">
        <v>0</v>
      </c>
      <c r="AJ223" s="3">
        <f>INT(VLOOKUP(U223,模板计算相关数据!A:N,4,0)*VLOOKUP(U223,模板计算相关数据!A:N,14,0)*(1+MAX(0,(VLOOKUP(U223,模板计算相关数据!A:N,7,0)-AQ223))*VLOOKUP(U223,模板计算相关数据!A:N,8,0))*(1-(AL223+AM223)*0.5/((AL223+AM223)*0.5+(VLOOKUP(U223,模板计算相关数据!A:N,2,0)+模板计算相关数据!$AC$27)*模板计算相关数据!$AC$28))*Q223*Z223)</f>
        <v>2615</v>
      </c>
      <c r="AK223" s="3">
        <f>INT(VLOOKUP(U223,模板计算相关数据!A:N,3,0)/模板计算相关数据!$W$35/(1+MAX(0,(AO223/10000-VLOOKUP(U223,模板计算相关数据!A:N,9,0)))*AP223/10000)/(1-VLOOKUP(U223,模板计算相关数据!A:N,5,0)/(VLOOKUP(U223,模板计算相关数据!A:N,5,0)+(VLOOKUP(U223,模板计算相关数据!A:N,2,0)+模板计算相关数据!$AC$27)*模板计算相关数据!$AC$28))/S223*AA223)</f>
        <v>868</v>
      </c>
      <c r="AL223" s="3">
        <f>INT(VLOOKUP(U223,模板计算相关数据!A:N,5,0)*VLOOKUP(X223,模板计算相关数据!$P$4:$T$7,4,0)*VLOOKUP(Y223,模板计算相关数据!$P$22:$U$30,4,0)*AB223)</f>
        <v>937</v>
      </c>
      <c r="AM223" s="3">
        <f>INT(VLOOKUP(U223,模板计算相关数据!A:N,6,0)*VLOOKUP(X223,模板计算相关数据!$P$4:$T$7,4,0)*VLOOKUP(Y223,模板计算相关数据!$P$22:$U$30,5,0)*AC223)</f>
        <v>1566</v>
      </c>
      <c r="AN223" s="3">
        <f>VLOOKUP(U223,模板计算相关数据!A:N,10,0)*0.5*VLOOKUP(Y223,模板计算相关数据!$P$22:$U$30,6,0)+AD223</f>
        <v>250</v>
      </c>
      <c r="AO223" s="3">
        <f>VLOOKUP(INT(VLOOKUP(U223,模板计算相关数据!A:N,2,0)/30)+1,模板计算相关数据!$O$35:$U$40,3,0)+AE223</f>
        <v>0</v>
      </c>
      <c r="AP223" s="3">
        <f>VLOOKUP(INT(VLOOKUP(U223,模板计算相关数据!A:N,2,0)/30)+1,模板计算相关数据!$O$35:$U$40,4,0)+AF223</f>
        <v>5000</v>
      </c>
      <c r="AQ223" s="3">
        <f>VLOOKUP(INT(VLOOKUP(U223,模板计算相关数据!A:N,2,0)/30)+1,模板计算相关数据!$O$35:$U$40,5,0)+AG223</f>
        <v>0</v>
      </c>
      <c r="AR223" s="3">
        <f>VLOOKUP(INT(VLOOKUP(U223,模板计算相关数据!A:N,2,0)/30)+1,模板计算相关数据!$O$35:$U$40,6,0)+AH223</f>
        <v>0</v>
      </c>
      <c r="AS223" s="3">
        <f>VLOOKUP(INT(VLOOKUP(U223,模板计算相关数据!A:N,2,0)/30)+1,模板计算相关数据!$O$35:$U$40,7,0)+AI223</f>
        <v>0</v>
      </c>
      <c r="AT223" s="3">
        <f>VLOOKUP(INT(VLOOKUP(U223,模板计算相关数据!A:N,2,0)/30)+1,模板计算相关数据!$O$35:$V$40,8,0)</f>
        <v>0</v>
      </c>
      <c r="AU223" s="2"/>
    </row>
    <row r="224" spans="1:47" x14ac:dyDescent="0.2">
      <c r="A224" s="19">
        <v>101110301</v>
      </c>
      <c r="B224" s="19"/>
      <c r="C224" s="69" t="s">
        <v>995</v>
      </c>
      <c r="D224" s="33" t="s">
        <v>1022</v>
      </c>
      <c r="E224" s="2">
        <v>1</v>
      </c>
      <c r="F224" s="3">
        <v>1</v>
      </c>
      <c r="G224" s="3">
        <v>1001801</v>
      </c>
      <c r="H224" s="3">
        <v>1</v>
      </c>
      <c r="I224" s="3">
        <v>4</v>
      </c>
      <c r="J224" s="3">
        <v>5</v>
      </c>
      <c r="K224" s="3"/>
      <c r="L224" s="91" t="s">
        <v>951</v>
      </c>
      <c r="M224" s="3"/>
      <c r="N224" s="2">
        <v>1</v>
      </c>
      <c r="O224" s="2"/>
      <c r="P224" s="3" t="s">
        <v>1613</v>
      </c>
      <c r="Q224" s="95">
        <f t="shared" si="19"/>
        <v>3.5338039215686279</v>
      </c>
      <c r="R224" s="133">
        <f>IF(P224=模板计算相关数据!$AB$24,VLOOKUP(X224,模板计算相关数据!$P$47:$T$50,2,0),VLOOKUP(X224,模板计算相关数据!$P$4:$U$7,3,0))*VLOOKUP(Y224,模板计算相关数据!$P$22:$X$30,8,0)</f>
        <v>3.5338039215686279</v>
      </c>
      <c r="S224" s="62">
        <v>8</v>
      </c>
      <c r="T224" s="133">
        <f>IF(P224=模板计算相关数据!$AB$24,VLOOKUP(X224,模板计算相关数据!$P$47:$T$50,5,0),VLOOKUP(X224,模板计算相关数据!$P$4:$U$7,6,0))*VLOOKUP(Y224,模板计算相关数据!$P$22:$X$30,9,0)</f>
        <v>7.080688696105339</v>
      </c>
      <c r="U224" s="95">
        <v>12</v>
      </c>
      <c r="V224" s="95">
        <f t="shared" si="16"/>
        <v>29</v>
      </c>
      <c r="W224" s="29">
        <f>VLOOKUP(U224,模板计算相关数据!A:N,2,0)</f>
        <v>26</v>
      </c>
      <c r="X224" s="3" t="s">
        <v>151</v>
      </c>
      <c r="Y224" s="3" t="s">
        <v>152</v>
      </c>
      <c r="Z224" s="99">
        <v>1</v>
      </c>
      <c r="AA224" s="95">
        <v>1.1000000000000001</v>
      </c>
      <c r="AB224" s="95">
        <v>1</v>
      </c>
      <c r="AC224" s="95">
        <v>1</v>
      </c>
      <c r="AD224" s="95">
        <v>0</v>
      </c>
      <c r="AE224" s="95">
        <v>0</v>
      </c>
      <c r="AF224" s="95">
        <v>0</v>
      </c>
      <c r="AG224" s="95">
        <v>0</v>
      </c>
      <c r="AH224" s="95">
        <v>0</v>
      </c>
      <c r="AI224" s="95">
        <v>0</v>
      </c>
      <c r="AJ224" s="3">
        <f>INT(VLOOKUP(U224,模板计算相关数据!A:N,4,0)*VLOOKUP(U224,模板计算相关数据!A:N,14,0)*(1+MAX(0,(VLOOKUP(U224,模板计算相关数据!A:N,7,0)-AQ224))*VLOOKUP(U224,模板计算相关数据!A:N,8,0))*(1-(AL224+AM224)*0.5/((AL224+AM224)*0.5+(VLOOKUP(U224,模板计算相关数据!A:N,2,0)+模板计算相关数据!$AC$27)*模板计算相关数据!$AC$28))*Q224*Z224)</f>
        <v>2256</v>
      </c>
      <c r="AK224" s="3">
        <f>INT(VLOOKUP(U224,模板计算相关数据!A:N,3,0)/模板计算相关数据!$W$35/(1+MAX(0,(AO224/10000-VLOOKUP(U224,模板计算相关数据!A:N,9,0)))*AP224/10000)/(1-VLOOKUP(U224,模板计算相关数据!A:N,5,0)/(VLOOKUP(U224,模板计算相关数据!A:N,5,0)+(VLOOKUP(U224,模板计算相关数据!A:N,2,0)+模板计算相关数据!$AC$27)*模板计算相关数据!$AC$28))/S224*AA224)</f>
        <v>657</v>
      </c>
      <c r="AL224" s="3">
        <f>INT(VLOOKUP(U224,模板计算相关数据!A:N,5,0)*VLOOKUP(X224,模板计算相关数据!$P$4:$T$7,4,0)*VLOOKUP(Y224,模板计算相关数据!$P$22:$U$30,4,0)*AB224)</f>
        <v>1707</v>
      </c>
      <c r="AM224" s="3">
        <f>INT(VLOOKUP(U224,模板计算相关数据!A:N,6,0)*VLOOKUP(X224,模板计算相关数据!$P$4:$T$7,4,0)*VLOOKUP(Y224,模板计算相关数据!$P$22:$U$30,5,0)*AC224)</f>
        <v>1232</v>
      </c>
      <c r="AN224" s="3">
        <f>VLOOKUP(U224,模板计算相关数据!A:N,10,0)*0.5*VLOOKUP(Y224,模板计算相关数据!$P$22:$U$30,6,0)+AD224</f>
        <v>250</v>
      </c>
      <c r="AO224" s="3">
        <f>VLOOKUP(INT(VLOOKUP(U224,模板计算相关数据!A:N,2,0)/30)+1,模板计算相关数据!$O$35:$U$40,3,0)+AE224</f>
        <v>0</v>
      </c>
      <c r="AP224" s="3">
        <f>VLOOKUP(INT(VLOOKUP(U224,模板计算相关数据!A:N,2,0)/30)+1,模板计算相关数据!$O$35:$U$40,4,0)+AF224</f>
        <v>5000</v>
      </c>
      <c r="AQ224" s="3">
        <f>VLOOKUP(INT(VLOOKUP(U224,模板计算相关数据!A:N,2,0)/30)+1,模板计算相关数据!$O$35:$U$40,5,0)+AG224</f>
        <v>0</v>
      </c>
      <c r="AR224" s="3">
        <f>VLOOKUP(INT(VLOOKUP(U224,模板计算相关数据!A:N,2,0)/30)+1,模板计算相关数据!$O$35:$U$40,6,0)+AH224</f>
        <v>0</v>
      </c>
      <c r="AS224" s="3">
        <f>VLOOKUP(INT(VLOOKUP(U224,模板计算相关数据!A:N,2,0)/30)+1,模板计算相关数据!$O$35:$U$40,7,0)+AI224</f>
        <v>0</v>
      </c>
      <c r="AT224" s="3">
        <f>VLOOKUP(INT(VLOOKUP(U224,模板计算相关数据!A:N,2,0)/30)+1,模板计算相关数据!$O$35:$V$40,8,0)</f>
        <v>0</v>
      </c>
      <c r="AU224" s="2"/>
    </row>
    <row r="225" spans="1:47" x14ac:dyDescent="0.2">
      <c r="A225" s="19">
        <v>101110302</v>
      </c>
      <c r="B225" s="19"/>
      <c r="C225" s="69" t="s">
        <v>994</v>
      </c>
      <c r="D225" s="33" t="s">
        <v>1022</v>
      </c>
      <c r="E225" s="2">
        <v>1</v>
      </c>
      <c r="F225" s="3">
        <v>2</v>
      </c>
      <c r="G225" s="3">
        <v>1001901</v>
      </c>
      <c r="H225" s="3">
        <v>3</v>
      </c>
      <c r="I225" s="3">
        <v>4</v>
      </c>
      <c r="J225" s="3">
        <v>5</v>
      </c>
      <c r="K225" s="3"/>
      <c r="L225" s="91" t="s">
        <v>1542</v>
      </c>
      <c r="M225" s="3"/>
      <c r="N225" s="2">
        <v>1</v>
      </c>
      <c r="O225" s="2"/>
      <c r="P225" s="3" t="s">
        <v>1613</v>
      </c>
      <c r="Q225" s="95">
        <f t="shared" si="19"/>
        <v>4.4800000000000013</v>
      </c>
      <c r="R225" s="133">
        <f>IF(P225=模板计算相关数据!$AB$24,VLOOKUP(X225,模板计算相关数据!$P$47:$T$50,2,0),VLOOKUP(X225,模板计算相关数据!$P$4:$U$7,3,0))*VLOOKUP(Y225,模板计算相关数据!$P$22:$X$30,8,0)</f>
        <v>4.4800000000000013</v>
      </c>
      <c r="S225" s="62">
        <f t="shared" si="20"/>
        <v>8.6991318266437023</v>
      </c>
      <c r="T225" s="133">
        <f>IF(P225=模板计算相关数据!$AB$24,VLOOKUP(X225,模板计算相关数据!$P$47:$T$50,5,0),VLOOKUP(X225,模板计算相关数据!$P$4:$U$7,6,0))*VLOOKUP(Y225,模板计算相关数据!$P$22:$X$30,9,0)</f>
        <v>8.6991318266437023</v>
      </c>
      <c r="U225" s="95">
        <v>12</v>
      </c>
      <c r="V225" s="95">
        <f t="shared" si="16"/>
        <v>29</v>
      </c>
      <c r="W225" s="29">
        <f>VLOOKUP(U225,模板计算相关数据!A:N,2,0)</f>
        <v>26</v>
      </c>
      <c r="X225" s="3" t="s">
        <v>151</v>
      </c>
      <c r="Y225" s="3" t="s">
        <v>255</v>
      </c>
      <c r="Z225" s="99">
        <v>1</v>
      </c>
      <c r="AA225" s="95">
        <v>1</v>
      </c>
      <c r="AB225" s="95">
        <v>1</v>
      </c>
      <c r="AC225" s="95">
        <v>1</v>
      </c>
      <c r="AD225" s="95">
        <v>0</v>
      </c>
      <c r="AE225" s="95">
        <v>0</v>
      </c>
      <c r="AF225" s="95">
        <v>0</v>
      </c>
      <c r="AG225" s="95">
        <v>0</v>
      </c>
      <c r="AH225" s="95">
        <v>0</v>
      </c>
      <c r="AI225" s="95">
        <v>0</v>
      </c>
      <c r="AJ225" s="3">
        <f>INT(VLOOKUP(U225,模板计算相关数据!A:N,4,0)*VLOOKUP(U225,模板计算相关数据!A:N,14,0)*(1+MAX(0,(VLOOKUP(U225,模板计算相关数据!A:N,7,0)-AQ225))*VLOOKUP(U225,模板计算相关数据!A:N,8,0))*(1-(AL225+AM225)*0.5/((AL225+AM225)*0.5+(VLOOKUP(U225,模板计算相关数据!A:N,2,0)+模板计算相关数据!$AC$27)*模板计算相关数据!$AC$28))*Q225*Z225)</f>
        <v>2656</v>
      </c>
      <c r="AK225" s="3">
        <f>INT(VLOOKUP(U225,模板计算相关数据!A:N,3,0)/模板计算相关数据!$W$35/(1+MAX(0,(AO225/10000-VLOOKUP(U225,模板计算相关数据!A:N,9,0)))*AP225/10000)/(1-VLOOKUP(U225,模板计算相关数据!A:N,5,0)/(VLOOKUP(U225,模板计算相关数据!A:N,5,0)+(VLOOKUP(U225,模板计算相关数据!A:N,2,0)+模板计算相关数据!$AC$27)*模板计算相关数据!$AC$28))/S225*AA225)</f>
        <v>549</v>
      </c>
      <c r="AL225" s="3">
        <f>INT(VLOOKUP(U225,模板计算相关数据!A:N,5,0)*VLOOKUP(X225,模板计算相关数据!$P$4:$T$7,4,0)*VLOOKUP(Y225,模板计算相关数据!$P$22:$U$30,4,0)*AB225)</f>
        <v>1106</v>
      </c>
      <c r="AM225" s="3">
        <f>INT(VLOOKUP(U225,模板计算相关数据!A:N,6,0)*VLOOKUP(X225,模板计算相关数据!$P$4:$T$7,4,0)*VLOOKUP(Y225,模板计算相关数据!$P$22:$U$30,5,0)*AC225)</f>
        <v>2503</v>
      </c>
      <c r="AN225" s="3">
        <f>VLOOKUP(U225,模板计算相关数据!A:N,10,0)*0.5*VLOOKUP(Y225,模板计算相关数据!$P$22:$U$30,6,0)+AD225</f>
        <v>225</v>
      </c>
      <c r="AO225" s="3">
        <f>VLOOKUP(INT(VLOOKUP(U225,模板计算相关数据!A:N,2,0)/30)+1,模板计算相关数据!$O$35:$U$40,3,0)+AE225</f>
        <v>0</v>
      </c>
      <c r="AP225" s="3">
        <f>VLOOKUP(INT(VLOOKUP(U225,模板计算相关数据!A:N,2,0)/30)+1,模板计算相关数据!$O$35:$U$40,4,0)+AF225</f>
        <v>5000</v>
      </c>
      <c r="AQ225" s="3">
        <f>VLOOKUP(INT(VLOOKUP(U225,模板计算相关数据!A:N,2,0)/30)+1,模板计算相关数据!$O$35:$U$40,5,0)+AG225</f>
        <v>0</v>
      </c>
      <c r="AR225" s="3">
        <f>VLOOKUP(INT(VLOOKUP(U225,模板计算相关数据!A:N,2,0)/30)+1,模板计算相关数据!$O$35:$U$40,6,0)+AH225</f>
        <v>0</v>
      </c>
      <c r="AS225" s="3">
        <f>VLOOKUP(INT(VLOOKUP(U225,模板计算相关数据!A:N,2,0)/30)+1,模板计算相关数据!$O$35:$U$40,7,0)+AI225</f>
        <v>0</v>
      </c>
      <c r="AT225" s="3">
        <f>VLOOKUP(INT(VLOOKUP(U225,模板计算相关数据!A:N,2,0)/30)+1,模板计算相关数据!$O$35:$V$40,8,0)</f>
        <v>0</v>
      </c>
      <c r="AU225" s="2"/>
    </row>
    <row r="226" spans="1:47" x14ac:dyDescent="0.2">
      <c r="A226" s="19">
        <v>101110303</v>
      </c>
      <c r="B226" s="19"/>
      <c r="C226" s="69" t="s">
        <v>944</v>
      </c>
      <c r="D226" s="33" t="s">
        <v>1023</v>
      </c>
      <c r="E226" s="2">
        <v>2</v>
      </c>
      <c r="F226" s="3">
        <v>1</v>
      </c>
      <c r="G226" s="3">
        <v>103001</v>
      </c>
      <c r="H226" s="3">
        <v>4</v>
      </c>
      <c r="I226" s="3">
        <v>4</v>
      </c>
      <c r="J226" s="3">
        <v>5</v>
      </c>
      <c r="K226" s="3">
        <v>2</v>
      </c>
      <c r="L226" s="91" t="s">
        <v>956</v>
      </c>
      <c r="M226" s="3"/>
      <c r="N226" s="2">
        <v>1</v>
      </c>
      <c r="O226" s="2"/>
      <c r="P226" s="3" t="s">
        <v>1613</v>
      </c>
      <c r="Q226" s="95">
        <v>6.6</v>
      </c>
      <c r="R226" s="133">
        <f>IF(P226=模板计算相关数据!$AB$24,VLOOKUP(X226,模板计算相关数据!$P$47:$T$50,2,0),VLOOKUP(X226,模板计算相关数据!$P$4:$U$7,3,0))*VLOOKUP(Y226,模板计算相关数据!$P$22:$X$30,8,0)</f>
        <v>7.1479215686274511</v>
      </c>
      <c r="S226" s="62">
        <v>3.5</v>
      </c>
      <c r="T226" s="133">
        <f>IF(P226=模板计算相关数据!$AB$24,VLOOKUP(X226,模板计算相关数据!$P$47:$T$50,5,0),VLOOKUP(X226,模板计算相关数据!$P$4:$U$7,6,0))*VLOOKUP(Y226,模板计算相关数据!$P$22:$X$30,9,0)</f>
        <v>4.1054947942326008</v>
      </c>
      <c r="U226" s="95">
        <v>12</v>
      </c>
      <c r="V226" s="95">
        <f t="shared" si="16"/>
        <v>29</v>
      </c>
      <c r="W226" s="29">
        <f>VLOOKUP(U226,模板计算相关数据!A:N,2,0)</f>
        <v>26</v>
      </c>
      <c r="X226" s="3" t="s">
        <v>158</v>
      </c>
      <c r="Y226" s="3" t="s">
        <v>162</v>
      </c>
      <c r="Z226" s="99">
        <v>1</v>
      </c>
      <c r="AA226" s="95">
        <v>1</v>
      </c>
      <c r="AB226" s="95">
        <v>1</v>
      </c>
      <c r="AC226" s="95">
        <v>1</v>
      </c>
      <c r="AD226" s="95">
        <v>0</v>
      </c>
      <c r="AE226" s="95">
        <v>0</v>
      </c>
      <c r="AF226" s="95">
        <v>0</v>
      </c>
      <c r="AG226" s="95">
        <v>0</v>
      </c>
      <c r="AH226" s="95">
        <v>0</v>
      </c>
      <c r="AI226" s="95">
        <v>2000</v>
      </c>
      <c r="AJ226" s="3">
        <f>INT(VLOOKUP(U226,模板计算相关数据!A:N,4,0)*VLOOKUP(U226,模板计算相关数据!A:N,14,0)*(1+MAX(0,(VLOOKUP(U226,模板计算相关数据!A:N,7,0)-AQ226))*VLOOKUP(U226,模板计算相关数据!A:N,8,0))*(1-(AL226+AM226)*0.5/((AL226+AM226)*0.5+(VLOOKUP(U226,模板计算相关数据!A:N,2,0)+模板计算相关数据!$AC$27)*模板计算相关数据!$AC$28))*Q226*Z226)</f>
        <v>3810</v>
      </c>
      <c r="AK226" s="3">
        <f>INT(VLOOKUP(U226,模板计算相关数据!A:N,3,0)/模板计算相关数据!$W$35/(1+MAX(0,(AO226/10000-VLOOKUP(U226,模板计算相关数据!A:N,9,0)))*AP226/10000)/(1-VLOOKUP(U226,模板计算相关数据!A:N,5,0)/(VLOOKUP(U226,模板计算相关数据!A:N,5,0)+(VLOOKUP(U226,模板计算相关数据!A:N,2,0)+模板计算相关数据!$AC$27)*模板计算相关数据!$AC$28))/S226*AA226)</f>
        <v>1366</v>
      </c>
      <c r="AL226" s="3">
        <f>INT(VLOOKUP(U226,模板计算相关数据!A:N,5,0)*VLOOKUP(X226,模板计算相关数据!$P$4:$T$7,4,0)*VLOOKUP(Y226,模板计算相关数据!$P$22:$U$30,4,0)*AB226)</f>
        <v>1264</v>
      </c>
      <c r="AM226" s="3">
        <f>INT(VLOOKUP(U226,模板计算相关数据!A:N,6,0)*VLOOKUP(X226,模板计算相关数据!$P$4:$T$7,4,0)*VLOOKUP(Y226,模板计算相关数据!$P$22:$U$30,5,0)*AC226)</f>
        <v>2599</v>
      </c>
      <c r="AN226" s="3">
        <f>VLOOKUP(U226,模板计算相关数据!A:N,10,0)*0.5*VLOOKUP(Y226,模板计算相关数据!$P$22:$U$30,6,0)+AD226</f>
        <v>250</v>
      </c>
      <c r="AO226" s="3">
        <f>VLOOKUP(INT(VLOOKUP(U226,模板计算相关数据!A:N,2,0)/30)+1,模板计算相关数据!$O$35:$U$40,3,0)+AE226</f>
        <v>0</v>
      </c>
      <c r="AP226" s="3">
        <f>VLOOKUP(INT(VLOOKUP(U226,模板计算相关数据!A:N,2,0)/30)+1,模板计算相关数据!$O$35:$U$40,4,0)+AF226</f>
        <v>5000</v>
      </c>
      <c r="AQ226" s="3">
        <f>VLOOKUP(INT(VLOOKUP(U226,模板计算相关数据!A:N,2,0)/30)+1,模板计算相关数据!$O$35:$U$40,5,0)+AG226</f>
        <v>0</v>
      </c>
      <c r="AR226" s="3">
        <f>VLOOKUP(INT(VLOOKUP(U226,模板计算相关数据!A:N,2,0)/30)+1,模板计算相关数据!$O$35:$U$40,6,0)+AH226</f>
        <v>0</v>
      </c>
      <c r="AS226" s="3">
        <f>VLOOKUP(INT(VLOOKUP(U226,模板计算相关数据!A:N,2,0)/30)+1,模板计算相关数据!$O$35:$U$40,7,0)+AI226</f>
        <v>2000</v>
      </c>
      <c r="AT226" s="3">
        <f>VLOOKUP(INT(VLOOKUP(U226,模板计算相关数据!A:N,2,0)/30)+1,模板计算相关数据!$O$35:$V$40,8,0)</f>
        <v>0</v>
      </c>
      <c r="AU226" s="2"/>
    </row>
    <row r="227" spans="1:47" x14ac:dyDescent="0.2">
      <c r="A227" s="19">
        <v>101110304</v>
      </c>
      <c r="B227" s="19"/>
      <c r="C227" s="69" t="s">
        <v>993</v>
      </c>
      <c r="D227" s="33" t="s">
        <v>1023</v>
      </c>
      <c r="E227" s="2">
        <v>1</v>
      </c>
      <c r="F227" s="3">
        <v>2</v>
      </c>
      <c r="G227" s="3">
        <v>1002001</v>
      </c>
      <c r="H227" s="3">
        <v>5</v>
      </c>
      <c r="I227" s="3">
        <v>4</v>
      </c>
      <c r="J227" s="3">
        <v>5</v>
      </c>
      <c r="K227" s="3">
        <v>2</v>
      </c>
      <c r="L227" s="91" t="s">
        <v>952</v>
      </c>
      <c r="M227" s="3"/>
      <c r="N227" s="2">
        <v>1</v>
      </c>
      <c r="O227" s="2"/>
      <c r="P227" s="3" t="s">
        <v>1613</v>
      </c>
      <c r="Q227" s="95">
        <v>7.1</v>
      </c>
      <c r="R227" s="133">
        <f>IF(P227=模板计算相关数据!$AB$24,VLOOKUP(X227,模板计算相关数据!$P$47:$T$50,2,0),VLOOKUP(X227,模板计算相关数据!$P$4:$U$7,3,0))*VLOOKUP(Y227,模板计算相关数据!$P$22:$X$30,8,0)</f>
        <v>9.2335686274509801</v>
      </c>
      <c r="S227" s="62">
        <v>5</v>
      </c>
      <c r="T227" s="133">
        <f>IF(P227=模板计算相关数据!$AB$24,VLOOKUP(X227,模板计算相关数据!$P$47:$T$50,5,0),VLOOKUP(X227,模板计算相关数据!$P$4:$U$7,6,0))*VLOOKUP(Y227,模板计算相关数据!$P$22:$X$30,9,0)</f>
        <v>4.8058439061899252</v>
      </c>
      <c r="U227" s="95">
        <v>12</v>
      </c>
      <c r="V227" s="95">
        <f t="shared" si="16"/>
        <v>29</v>
      </c>
      <c r="W227" s="29">
        <f>VLOOKUP(U227,模板计算相关数据!A:N,2,0)</f>
        <v>26</v>
      </c>
      <c r="X227" s="3" t="s">
        <v>158</v>
      </c>
      <c r="Y227" s="3" t="s">
        <v>159</v>
      </c>
      <c r="Z227" s="99">
        <v>1</v>
      </c>
      <c r="AA227" s="95">
        <v>1</v>
      </c>
      <c r="AB227" s="95">
        <v>1</v>
      </c>
      <c r="AC227" s="95">
        <v>1</v>
      </c>
      <c r="AD227" s="95">
        <v>0</v>
      </c>
      <c r="AE227" s="95">
        <v>0</v>
      </c>
      <c r="AF227" s="95">
        <v>0</v>
      </c>
      <c r="AG227" s="95">
        <v>0</v>
      </c>
      <c r="AH227" s="95">
        <v>0</v>
      </c>
      <c r="AI227" s="95">
        <v>0</v>
      </c>
      <c r="AJ227" s="3">
        <f>INT(VLOOKUP(U227,模板计算相关数据!A:N,4,0)*VLOOKUP(U227,模板计算相关数据!A:N,14,0)*(1+MAX(0,(VLOOKUP(U227,模板计算相关数据!A:N,7,0)-AQ227))*VLOOKUP(U227,模板计算相关数据!A:N,8,0))*(1-(AL227+AM227)*0.5/((AL227+AM227)*0.5+(VLOOKUP(U227,模板计算相关数据!A:N,2,0)+模板计算相关数据!$AC$27)*模板计算相关数据!$AC$28))*Q227*Z227)</f>
        <v>4005</v>
      </c>
      <c r="AK227" s="3">
        <f>INT(VLOOKUP(U227,模板计算相关数据!A:N,3,0)/模板计算相关数据!$W$35/(1+MAX(0,(AO227/10000-VLOOKUP(U227,模板计算相关数据!A:N,9,0)))*AP227/10000)/(1-VLOOKUP(U227,模板计算相关数据!A:N,5,0)/(VLOOKUP(U227,模板计算相关数据!A:N,5,0)+(VLOOKUP(U227,模板计算相关数据!A:N,2,0)+模板计算相关数据!$AC$27)*模板计算相关数据!$AC$28))/S227*AA227)</f>
        <v>956</v>
      </c>
      <c r="AL227" s="3">
        <f>INT(VLOOKUP(U227,模板计算相关数据!A:N,5,0)*VLOOKUP(X227,模板计算相关数据!$P$4:$T$7,4,0)*VLOOKUP(Y227,模板计算相关数据!$P$22:$U$30,4,0)*AB227)</f>
        <v>2450</v>
      </c>
      <c r="AM227" s="3">
        <f>INT(VLOOKUP(U227,模板计算相关数据!A:N,6,0)*VLOOKUP(X227,模板计算相关数据!$P$4:$T$7,4,0)*VLOOKUP(Y227,模板计算相关数据!$P$22:$U$30,5,0)*AC227)</f>
        <v>1636</v>
      </c>
      <c r="AN227" s="3">
        <f>VLOOKUP(U227,模板计算相关数据!A:N,10,0)*0.5*VLOOKUP(Y227,模板计算相关数据!$P$22:$U$30,6,0)+AD227</f>
        <v>275</v>
      </c>
      <c r="AO227" s="3">
        <f>VLOOKUP(INT(VLOOKUP(U227,模板计算相关数据!A:N,2,0)/30)+1,模板计算相关数据!$O$35:$U$40,3,0)+AE227</f>
        <v>0</v>
      </c>
      <c r="AP227" s="3">
        <f>VLOOKUP(INT(VLOOKUP(U227,模板计算相关数据!A:N,2,0)/30)+1,模板计算相关数据!$O$35:$U$40,4,0)+AF227</f>
        <v>5000</v>
      </c>
      <c r="AQ227" s="3">
        <f>VLOOKUP(INT(VLOOKUP(U227,模板计算相关数据!A:N,2,0)/30)+1,模板计算相关数据!$O$35:$U$40,5,0)+AG227</f>
        <v>0</v>
      </c>
      <c r="AR227" s="3">
        <f>VLOOKUP(INT(VLOOKUP(U227,模板计算相关数据!A:N,2,0)/30)+1,模板计算相关数据!$O$35:$U$40,6,0)+AH227</f>
        <v>0</v>
      </c>
      <c r="AS227" s="3">
        <f>VLOOKUP(INT(VLOOKUP(U227,模板计算相关数据!A:N,2,0)/30)+1,模板计算相关数据!$O$35:$U$40,7,0)+AI227</f>
        <v>0</v>
      </c>
      <c r="AT227" s="3">
        <f>VLOOKUP(INT(VLOOKUP(U227,模板计算相关数据!A:N,2,0)/30)+1,模板计算相关数据!$O$35:$V$40,8,0)</f>
        <v>0</v>
      </c>
      <c r="AU227" s="2"/>
    </row>
    <row r="228" spans="1:47" x14ac:dyDescent="0.2">
      <c r="A228" s="17">
        <v>101120101</v>
      </c>
      <c r="B228" s="17"/>
      <c r="C228" s="69" t="s">
        <v>996</v>
      </c>
      <c r="D228" s="87" t="s">
        <v>1623</v>
      </c>
      <c r="E228" s="2">
        <v>1</v>
      </c>
      <c r="F228" s="3">
        <v>1</v>
      </c>
      <c r="G228" s="3">
        <v>1002101</v>
      </c>
      <c r="H228" s="3">
        <v>4</v>
      </c>
      <c r="I228" s="3">
        <v>4</v>
      </c>
      <c r="J228" s="3">
        <v>1</v>
      </c>
      <c r="K228" s="3"/>
      <c r="L228" s="91" t="s">
        <v>953</v>
      </c>
      <c r="M228" s="3"/>
      <c r="N228" s="2">
        <v>1</v>
      </c>
      <c r="O228" s="2"/>
      <c r="P228" s="3" t="s">
        <v>1615</v>
      </c>
      <c r="Q228" s="95">
        <f t="shared" si="19"/>
        <v>4.4674509803921572</v>
      </c>
      <c r="R228" s="133">
        <f>IF(P228=模板计算相关数据!$AB$24,VLOOKUP(X228,模板计算相关数据!$P$47:$T$50,2,0),VLOOKUP(X228,模板计算相关数据!$P$4:$U$7,3,0))*VLOOKUP(Y228,模板计算相关数据!$P$22:$X$30,8,0)</f>
        <v>4.4674509803921572</v>
      </c>
      <c r="S228" s="62">
        <f t="shared" si="20"/>
        <v>5.4739930589768004</v>
      </c>
      <c r="T228" s="133">
        <f>IF(P228=模板计算相关数据!$AB$24,VLOOKUP(X228,模板计算相关数据!$P$47:$T$50,5,0),VLOOKUP(X228,模板计算相关数据!$P$4:$U$7,6,0))*VLOOKUP(Y228,模板计算相关数据!$P$22:$X$30,9,0)</f>
        <v>5.4739930589768004</v>
      </c>
      <c r="U228" s="95">
        <v>12</v>
      </c>
      <c r="V228" s="95">
        <f t="shared" si="16"/>
        <v>29</v>
      </c>
      <c r="W228" s="29">
        <f>VLOOKUP(U228,模板计算相关数据!A:N,2,0)</f>
        <v>26</v>
      </c>
      <c r="X228" s="3" t="s">
        <v>151</v>
      </c>
      <c r="Y228" s="3" t="s">
        <v>162</v>
      </c>
      <c r="Z228" s="95">
        <v>1.1000000000000001</v>
      </c>
      <c r="AA228" s="95">
        <v>1.1000000000000001</v>
      </c>
      <c r="AB228" s="95">
        <v>1</v>
      </c>
      <c r="AC228" s="95">
        <v>1</v>
      </c>
      <c r="AD228" s="95">
        <v>0</v>
      </c>
      <c r="AE228" s="95">
        <v>0</v>
      </c>
      <c r="AF228" s="95">
        <v>0</v>
      </c>
      <c r="AG228" s="95">
        <v>0</v>
      </c>
      <c r="AH228" s="95">
        <v>0</v>
      </c>
      <c r="AI228" s="95">
        <v>0</v>
      </c>
      <c r="AJ228" s="3">
        <f>INT(VLOOKUP(U228,模板计算相关数据!A:N,4,0)*VLOOKUP(U228,模板计算相关数据!A:N,14,0)*(1+MAX(0,(VLOOKUP(U228,模板计算相关数据!A:N,7,0)-AQ228))*VLOOKUP(U228,模板计算相关数据!A:N,8,0))*(1-(AL228+AM228)*0.5/((AL228+AM228)*0.5+(VLOOKUP(U228,模板计算相关数据!A:N,2,0)+模板计算相关数据!$AC$27)*模板计算相关数据!$AC$28))*Q228*Z228)</f>
        <v>3084</v>
      </c>
      <c r="AK228" s="3">
        <f>INT(VLOOKUP(U228,模板计算相关数据!A:N,3,0)/模板计算相关数据!$W$35/(1+MAX(0,(AO228/10000-VLOOKUP(U228,模板计算相关数据!A:N,9,0)))*AP228/10000)/(1-VLOOKUP(U228,模板计算相关数据!A:N,5,0)/(VLOOKUP(U228,模板计算相关数据!A:N,5,0)+(VLOOKUP(U228,模板计算相关数据!A:N,2,0)+模板计算相关数据!$AC$27)*模板计算相关数据!$AC$28))/S228*AA228)</f>
        <v>961</v>
      </c>
      <c r="AL228" s="3">
        <f>INT(VLOOKUP(U228,模板计算相关数据!A:N,5,0)*VLOOKUP(X228,模板计算相关数据!$P$4:$T$7,4,0)*VLOOKUP(Y228,模板计算相关数据!$P$22:$U$30,4,0)*AB228)</f>
        <v>1011</v>
      </c>
      <c r="AM228" s="3">
        <f>INT(VLOOKUP(U228,模板计算相关数据!A:N,6,0)*VLOOKUP(X228,模板计算相关数据!$P$4:$T$7,4,0)*VLOOKUP(Y228,模板计算相关数据!$P$22:$U$30,5,0)*AC228)</f>
        <v>2079</v>
      </c>
      <c r="AN228" s="3">
        <f>VLOOKUP(U228,模板计算相关数据!A:N,10,0)*0.5*VLOOKUP(Y228,模板计算相关数据!$P$22:$U$30,6,0)+AD228</f>
        <v>250</v>
      </c>
      <c r="AO228" s="3">
        <f>VLOOKUP(INT(VLOOKUP(U228,模板计算相关数据!A:N,2,0)/30)+1,模板计算相关数据!$O$35:$U$40,3,0)+AE228</f>
        <v>0</v>
      </c>
      <c r="AP228" s="3">
        <f>VLOOKUP(INT(VLOOKUP(U228,模板计算相关数据!A:N,2,0)/30)+1,模板计算相关数据!$O$35:$U$40,4,0)+AF228</f>
        <v>5000</v>
      </c>
      <c r="AQ228" s="3">
        <f>VLOOKUP(INT(VLOOKUP(U228,模板计算相关数据!A:N,2,0)/30)+1,模板计算相关数据!$O$35:$U$40,5,0)+AG228</f>
        <v>0</v>
      </c>
      <c r="AR228" s="3">
        <f>VLOOKUP(INT(VLOOKUP(U228,模板计算相关数据!A:N,2,0)/30)+1,模板计算相关数据!$O$35:$U$40,6,0)+AH228</f>
        <v>0</v>
      </c>
      <c r="AS228" s="3">
        <f>VLOOKUP(INT(VLOOKUP(U228,模板计算相关数据!A:N,2,0)/30)+1,模板计算相关数据!$O$35:$U$40,7,0)+AI228</f>
        <v>0</v>
      </c>
      <c r="AT228" s="3">
        <f>VLOOKUP(INT(VLOOKUP(U228,模板计算相关数据!A:N,2,0)/30)+1,模板计算相关数据!$O$35:$V$40,8,0)</f>
        <v>0</v>
      </c>
      <c r="AU228" s="2"/>
    </row>
    <row r="229" spans="1:47" x14ac:dyDescent="0.2">
      <c r="A229" s="17">
        <v>101120102</v>
      </c>
      <c r="B229" s="17"/>
      <c r="C229" s="69" t="s">
        <v>997</v>
      </c>
      <c r="D229" s="87" t="s">
        <v>1623</v>
      </c>
      <c r="E229" s="2">
        <v>1</v>
      </c>
      <c r="F229" s="3">
        <v>2</v>
      </c>
      <c r="G229" s="3">
        <v>1002201</v>
      </c>
      <c r="H229" s="3">
        <v>1</v>
      </c>
      <c r="I229" s="3">
        <v>4</v>
      </c>
      <c r="J229" s="3">
        <v>1</v>
      </c>
      <c r="K229" s="3"/>
      <c r="L229" s="91" t="s">
        <v>954</v>
      </c>
      <c r="M229" s="3"/>
      <c r="N229" s="2">
        <v>1</v>
      </c>
      <c r="O229" s="2"/>
      <c r="P229" s="3" t="s">
        <v>1615</v>
      </c>
      <c r="Q229" s="95">
        <f t="shared" si="19"/>
        <v>4.417254901960785</v>
      </c>
      <c r="R229" s="133">
        <f>IF(P229=模板计算相关数据!$AB$24,VLOOKUP(X229,模板计算相关数据!$P$47:$T$50,2,0),VLOOKUP(X229,模板计算相关数据!$P$4:$U$7,3,0))*VLOOKUP(Y229,模板计算相关数据!$P$22:$X$30,8,0)</f>
        <v>4.417254901960785</v>
      </c>
      <c r="S229" s="62">
        <f t="shared" si="20"/>
        <v>5.4285280003474252</v>
      </c>
      <c r="T229" s="133">
        <f>IF(P229=模板计算相关数据!$AB$24,VLOOKUP(X229,模板计算相关数据!$P$47:$T$50,5,0),VLOOKUP(X229,模板计算相关数据!$P$4:$U$7,6,0))*VLOOKUP(Y229,模板计算相关数据!$P$22:$X$30,9,0)</f>
        <v>5.4285280003474252</v>
      </c>
      <c r="U229" s="95">
        <v>12</v>
      </c>
      <c r="V229" s="95">
        <f t="shared" si="16"/>
        <v>29</v>
      </c>
      <c r="W229" s="29">
        <f>VLOOKUP(U229,模板计算相关数据!A:N,2,0)</f>
        <v>26</v>
      </c>
      <c r="X229" s="3" t="s">
        <v>151</v>
      </c>
      <c r="Y229" s="3" t="s">
        <v>152</v>
      </c>
      <c r="Z229" s="95">
        <v>1.1000000000000001</v>
      </c>
      <c r="AA229" s="95">
        <v>1.1000000000000001</v>
      </c>
      <c r="AB229" s="95">
        <v>1</v>
      </c>
      <c r="AC229" s="95">
        <v>1</v>
      </c>
      <c r="AD229" s="95">
        <v>0</v>
      </c>
      <c r="AE229" s="95">
        <v>0</v>
      </c>
      <c r="AF229" s="95">
        <v>0</v>
      </c>
      <c r="AG229" s="95">
        <v>0</v>
      </c>
      <c r="AH229" s="95">
        <v>0</v>
      </c>
      <c r="AI229" s="95">
        <v>0</v>
      </c>
      <c r="AJ229" s="3">
        <f>INT(VLOOKUP(U229,模板计算相关数据!A:N,4,0)*VLOOKUP(U229,模板计算相关数据!A:N,14,0)*(1+MAX(0,(VLOOKUP(U229,模板计算相关数据!A:N,7,0)-AQ229))*VLOOKUP(U229,模板计算相关数据!A:N,8,0))*(1-(AL229+AM229)*0.5/((AL229+AM229)*0.5+(VLOOKUP(U229,模板计算相关数据!A:N,2,0)+模板计算相关数据!$AC$27)*模板计算相关数据!$AC$28))*Q229*Z229)</f>
        <v>3103</v>
      </c>
      <c r="AK229" s="3">
        <f>INT(VLOOKUP(U229,模板计算相关数据!A:N,3,0)/模板计算相关数据!$W$35/(1+MAX(0,(AO229/10000-VLOOKUP(U229,模板计算相关数据!A:N,9,0)))*AP229/10000)/(1-VLOOKUP(U229,模板计算相关数据!A:N,5,0)/(VLOOKUP(U229,模板计算相关数据!A:N,5,0)+(VLOOKUP(U229,模板计算相关数据!A:N,2,0)+模板计算相关数据!$AC$27)*模板计算相关数据!$AC$28))/S229*AA229)</f>
        <v>969</v>
      </c>
      <c r="AL229" s="3">
        <f>INT(VLOOKUP(U229,模板计算相关数据!A:N,5,0)*VLOOKUP(X229,模板计算相关数据!$P$4:$T$7,4,0)*VLOOKUP(Y229,模板计算相关数据!$P$22:$U$30,4,0)*AB229)</f>
        <v>1707</v>
      </c>
      <c r="AM229" s="3">
        <f>INT(VLOOKUP(U229,模板计算相关数据!A:N,6,0)*VLOOKUP(X229,模板计算相关数据!$P$4:$T$7,4,0)*VLOOKUP(Y229,模板计算相关数据!$P$22:$U$30,5,0)*AC229)</f>
        <v>1232</v>
      </c>
      <c r="AN229" s="3">
        <f>VLOOKUP(U229,模板计算相关数据!A:N,10,0)*0.5*VLOOKUP(Y229,模板计算相关数据!$P$22:$U$30,6,0)+AD229</f>
        <v>250</v>
      </c>
      <c r="AO229" s="3">
        <f>VLOOKUP(INT(VLOOKUP(U229,模板计算相关数据!A:N,2,0)/30)+1,模板计算相关数据!$O$35:$U$40,3,0)+AE229</f>
        <v>0</v>
      </c>
      <c r="AP229" s="3">
        <f>VLOOKUP(INT(VLOOKUP(U229,模板计算相关数据!A:N,2,0)/30)+1,模板计算相关数据!$O$35:$U$40,4,0)+AF229</f>
        <v>5000</v>
      </c>
      <c r="AQ229" s="3">
        <f>VLOOKUP(INT(VLOOKUP(U229,模板计算相关数据!A:N,2,0)/30)+1,模板计算相关数据!$O$35:$U$40,5,0)+AG229</f>
        <v>0</v>
      </c>
      <c r="AR229" s="3">
        <f>VLOOKUP(INT(VLOOKUP(U229,模板计算相关数据!A:N,2,0)/30)+1,模板计算相关数据!$O$35:$U$40,6,0)+AH229</f>
        <v>0</v>
      </c>
      <c r="AS229" s="3">
        <f>VLOOKUP(INT(VLOOKUP(U229,模板计算相关数据!A:N,2,0)/30)+1,模板计算相关数据!$O$35:$U$40,7,0)+AI229</f>
        <v>0</v>
      </c>
      <c r="AT229" s="3">
        <f>VLOOKUP(INT(VLOOKUP(U229,模板计算相关数据!A:N,2,0)/30)+1,模板计算相关数据!$O$35:$V$40,8,0)</f>
        <v>0</v>
      </c>
      <c r="AU229" s="2"/>
    </row>
    <row r="230" spans="1:47" x14ac:dyDescent="0.2">
      <c r="A230" s="17">
        <v>101120103</v>
      </c>
      <c r="B230" s="17"/>
      <c r="C230" s="69" t="s">
        <v>1382</v>
      </c>
      <c r="D230" s="87" t="s">
        <v>1623</v>
      </c>
      <c r="E230" s="2">
        <v>1</v>
      </c>
      <c r="F230" s="3">
        <v>1</v>
      </c>
      <c r="G230" s="3">
        <v>1002301</v>
      </c>
      <c r="H230" s="3">
        <v>5</v>
      </c>
      <c r="I230" s="3">
        <v>4</v>
      </c>
      <c r="J230" s="3">
        <v>1</v>
      </c>
      <c r="K230" s="3"/>
      <c r="L230" s="91" t="s">
        <v>955</v>
      </c>
      <c r="M230" s="3"/>
      <c r="N230" s="2">
        <v>1</v>
      </c>
      <c r="O230" s="2"/>
      <c r="P230" s="3" t="s">
        <v>1615</v>
      </c>
      <c r="Q230" s="95">
        <f t="shared" si="19"/>
        <v>5.7709803921568623</v>
      </c>
      <c r="R230" s="133">
        <f>IF(P230=模板计算相关数据!$AB$24,VLOOKUP(X230,模板计算相关数据!$P$47:$T$50,2,0),VLOOKUP(X230,模板计算相关数据!$P$4:$U$7,3,0))*VLOOKUP(Y230,模板计算相关数据!$P$22:$X$30,8,0)</f>
        <v>5.7709803921568623</v>
      </c>
      <c r="S230" s="62">
        <f t="shared" si="20"/>
        <v>6.4077918749199023</v>
      </c>
      <c r="T230" s="133">
        <f>IF(P230=模板计算相关数据!$AB$24,VLOOKUP(X230,模板计算相关数据!$P$47:$T$50,5,0),VLOOKUP(X230,模板计算相关数据!$P$4:$U$7,6,0))*VLOOKUP(Y230,模板计算相关数据!$P$22:$X$30,9,0)</f>
        <v>6.4077918749199023</v>
      </c>
      <c r="U230" s="95">
        <v>12</v>
      </c>
      <c r="V230" s="95">
        <f t="shared" si="16"/>
        <v>29</v>
      </c>
      <c r="W230" s="29">
        <f>VLOOKUP(U230,模板计算相关数据!A:N,2,0)</f>
        <v>26</v>
      </c>
      <c r="X230" s="3" t="s">
        <v>151</v>
      </c>
      <c r="Y230" s="3" t="s">
        <v>243</v>
      </c>
      <c r="Z230" s="95">
        <v>1.1000000000000001</v>
      </c>
      <c r="AA230" s="95">
        <v>1.1000000000000001</v>
      </c>
      <c r="AB230" s="95">
        <v>1</v>
      </c>
      <c r="AC230" s="95">
        <v>1</v>
      </c>
      <c r="AD230" s="95">
        <v>0</v>
      </c>
      <c r="AE230" s="95">
        <v>0</v>
      </c>
      <c r="AF230" s="95">
        <v>0</v>
      </c>
      <c r="AG230" s="95">
        <v>0</v>
      </c>
      <c r="AH230" s="95">
        <v>0</v>
      </c>
      <c r="AI230" s="95">
        <v>0</v>
      </c>
      <c r="AJ230" s="3">
        <f>INT(VLOOKUP(U230,模板计算相关数据!A:N,4,0)*VLOOKUP(U230,模板计算相关数据!A:N,14,0)*(1+MAX(0,(VLOOKUP(U230,模板计算相关数据!A:N,7,0)-AQ230))*VLOOKUP(U230,模板计算相关数据!A:N,8,0))*(1-(AL230+AM230)*0.5/((AL230+AM230)*0.5+(VLOOKUP(U230,模板计算相关数据!A:N,2,0)+模板计算相关数据!$AC$27)*模板计算相关数据!$AC$28))*Q230*Z230)</f>
        <v>3824</v>
      </c>
      <c r="AK230" s="3">
        <f>INT(VLOOKUP(U230,模板计算相关数据!A:N,3,0)/模板计算相关数据!$W$35/(1+MAX(0,(AO230/10000-VLOOKUP(U230,模板计算相关数据!A:N,9,0)))*AP230/10000)/(1-VLOOKUP(U230,模板计算相关数据!A:N,5,0)/(VLOOKUP(U230,模板计算相关数据!A:N,5,0)+(VLOOKUP(U230,模板计算相关数据!A:N,2,0)+模板计算相关数据!$AC$27)*模板计算相关数据!$AC$28))/S230*AA230)</f>
        <v>821</v>
      </c>
      <c r="AL230" s="3">
        <f>INT(VLOOKUP(U230,模板计算相关数据!A:N,5,0)*VLOOKUP(X230,模板计算相关数据!$P$4:$T$7,4,0)*VLOOKUP(Y230,模板计算相关数据!$P$22:$U$30,4,0)*AB230)</f>
        <v>1074</v>
      </c>
      <c r="AM230" s="3">
        <f>INT(VLOOKUP(U230,模板计算相关数据!A:N,6,0)*VLOOKUP(X230,模板计算相关数据!$P$4:$T$7,4,0)*VLOOKUP(Y230,模板计算相关数据!$P$22:$U$30,5,0)*AC230)</f>
        <v>2387</v>
      </c>
      <c r="AN230" s="3">
        <f>VLOOKUP(U230,模板计算相关数据!A:N,10,0)*0.5*VLOOKUP(Y230,模板计算相关数据!$P$22:$U$30,6,0)+AD230</f>
        <v>275</v>
      </c>
      <c r="AO230" s="3">
        <f>VLOOKUP(INT(VLOOKUP(U230,模板计算相关数据!A:N,2,0)/30)+1,模板计算相关数据!$O$35:$U$40,3,0)+AE230</f>
        <v>0</v>
      </c>
      <c r="AP230" s="3">
        <f>VLOOKUP(INT(VLOOKUP(U230,模板计算相关数据!A:N,2,0)/30)+1,模板计算相关数据!$O$35:$U$40,4,0)+AF230</f>
        <v>5000</v>
      </c>
      <c r="AQ230" s="3">
        <f>VLOOKUP(INT(VLOOKUP(U230,模板计算相关数据!A:N,2,0)/30)+1,模板计算相关数据!$O$35:$U$40,5,0)+AG230</f>
        <v>0</v>
      </c>
      <c r="AR230" s="3">
        <f>VLOOKUP(INT(VLOOKUP(U230,模板计算相关数据!A:N,2,0)/30)+1,模板计算相关数据!$O$35:$U$40,6,0)+AH230</f>
        <v>0</v>
      </c>
      <c r="AS230" s="3">
        <f>VLOOKUP(INT(VLOOKUP(U230,模板计算相关数据!A:N,2,0)/30)+1,模板计算相关数据!$O$35:$U$40,7,0)+AI230</f>
        <v>0</v>
      </c>
      <c r="AT230" s="3">
        <f>VLOOKUP(INT(VLOOKUP(U230,模板计算相关数据!A:N,2,0)/30)+1,模板计算相关数据!$O$35:$V$40,8,0)</f>
        <v>0</v>
      </c>
      <c r="AU230" s="2"/>
    </row>
    <row r="231" spans="1:47" x14ac:dyDescent="0.2">
      <c r="A231" s="19">
        <v>101120201</v>
      </c>
      <c r="B231" s="19"/>
      <c r="C231" s="69" t="s">
        <v>996</v>
      </c>
      <c r="D231" s="87" t="s">
        <v>1623</v>
      </c>
      <c r="E231" s="2">
        <v>1</v>
      </c>
      <c r="F231" s="3">
        <v>1</v>
      </c>
      <c r="G231" s="3">
        <v>1002101</v>
      </c>
      <c r="H231" s="3">
        <v>4</v>
      </c>
      <c r="I231" s="3">
        <v>4</v>
      </c>
      <c r="J231" s="3">
        <v>1</v>
      </c>
      <c r="K231" s="3"/>
      <c r="L231" s="91" t="s">
        <v>953</v>
      </c>
      <c r="M231" s="3"/>
      <c r="N231" s="2">
        <v>1</v>
      </c>
      <c r="O231" s="2"/>
      <c r="P231" s="3" t="s">
        <v>1615</v>
      </c>
      <c r="Q231" s="95">
        <f t="shared" si="19"/>
        <v>4.4674509803921572</v>
      </c>
      <c r="R231" s="133">
        <f>IF(P231=模板计算相关数据!$AB$24,VLOOKUP(X231,模板计算相关数据!$P$47:$T$50,2,0),VLOOKUP(X231,模板计算相关数据!$P$4:$U$7,3,0))*VLOOKUP(Y231,模板计算相关数据!$P$22:$X$30,8,0)</f>
        <v>4.4674509803921572</v>
      </c>
      <c r="S231" s="62">
        <f t="shared" si="20"/>
        <v>5.4739930589768004</v>
      </c>
      <c r="T231" s="133">
        <f>IF(P231=模板计算相关数据!$AB$24,VLOOKUP(X231,模板计算相关数据!$P$47:$T$50,5,0),VLOOKUP(X231,模板计算相关数据!$P$4:$U$7,6,0))*VLOOKUP(Y231,模板计算相关数据!$P$22:$X$30,9,0)</f>
        <v>5.4739930589768004</v>
      </c>
      <c r="U231" s="95">
        <v>12</v>
      </c>
      <c r="V231" s="95">
        <f t="shared" si="16"/>
        <v>29</v>
      </c>
      <c r="W231" s="29">
        <f>VLOOKUP(U231,模板计算相关数据!A:N,2,0)</f>
        <v>26</v>
      </c>
      <c r="X231" s="3" t="s">
        <v>151</v>
      </c>
      <c r="Y231" s="3" t="s">
        <v>162</v>
      </c>
      <c r="Z231" s="95">
        <v>1.1000000000000001</v>
      </c>
      <c r="AA231" s="95">
        <v>1.1000000000000001</v>
      </c>
      <c r="AB231" s="95">
        <v>1</v>
      </c>
      <c r="AC231" s="95">
        <v>1</v>
      </c>
      <c r="AD231" s="95">
        <v>0</v>
      </c>
      <c r="AE231" s="95">
        <v>0</v>
      </c>
      <c r="AF231" s="95">
        <v>0</v>
      </c>
      <c r="AG231" s="95">
        <v>0</v>
      </c>
      <c r="AH231" s="95">
        <v>0</v>
      </c>
      <c r="AI231" s="95">
        <v>0</v>
      </c>
      <c r="AJ231" s="3">
        <f>INT(VLOOKUP(U231,模板计算相关数据!A:N,4,0)*VLOOKUP(U231,模板计算相关数据!A:N,14,0)*(1+MAX(0,(VLOOKUP(U231,模板计算相关数据!A:N,7,0)-AQ231))*VLOOKUP(U231,模板计算相关数据!A:N,8,0))*(1-(AL231+AM231)*0.5/((AL231+AM231)*0.5+(VLOOKUP(U231,模板计算相关数据!A:N,2,0)+模板计算相关数据!$AC$27)*模板计算相关数据!$AC$28))*Q231*Z231)</f>
        <v>3084</v>
      </c>
      <c r="AK231" s="3">
        <f>INT(VLOOKUP(U231,模板计算相关数据!A:N,3,0)/模板计算相关数据!$W$35/(1+MAX(0,(AO231/10000-VLOOKUP(U231,模板计算相关数据!A:N,9,0)))*AP231/10000)/(1-VLOOKUP(U231,模板计算相关数据!A:N,5,0)/(VLOOKUP(U231,模板计算相关数据!A:N,5,0)+(VLOOKUP(U231,模板计算相关数据!A:N,2,0)+模板计算相关数据!$AC$27)*模板计算相关数据!$AC$28))/S231*AA231)</f>
        <v>961</v>
      </c>
      <c r="AL231" s="3">
        <f>INT(VLOOKUP(U231,模板计算相关数据!A:N,5,0)*VLOOKUP(X231,模板计算相关数据!$P$4:$T$7,4,0)*VLOOKUP(Y231,模板计算相关数据!$P$22:$U$30,4,0)*AB231)</f>
        <v>1011</v>
      </c>
      <c r="AM231" s="3">
        <f>INT(VLOOKUP(U231,模板计算相关数据!A:N,6,0)*VLOOKUP(X231,模板计算相关数据!$P$4:$T$7,4,0)*VLOOKUP(Y231,模板计算相关数据!$P$22:$U$30,5,0)*AC231)</f>
        <v>2079</v>
      </c>
      <c r="AN231" s="3">
        <f>VLOOKUP(U231,模板计算相关数据!A:N,10,0)*0.5*VLOOKUP(Y231,模板计算相关数据!$P$22:$U$30,6,0)+AD231</f>
        <v>250</v>
      </c>
      <c r="AO231" s="3">
        <f>VLOOKUP(INT(VLOOKUP(U231,模板计算相关数据!A:N,2,0)/30)+1,模板计算相关数据!$O$35:$U$40,3,0)+AE231</f>
        <v>0</v>
      </c>
      <c r="AP231" s="3">
        <f>VLOOKUP(INT(VLOOKUP(U231,模板计算相关数据!A:N,2,0)/30)+1,模板计算相关数据!$O$35:$U$40,4,0)+AF231</f>
        <v>5000</v>
      </c>
      <c r="AQ231" s="3">
        <f>VLOOKUP(INT(VLOOKUP(U231,模板计算相关数据!A:N,2,0)/30)+1,模板计算相关数据!$O$35:$U$40,5,0)+AG231</f>
        <v>0</v>
      </c>
      <c r="AR231" s="3">
        <f>VLOOKUP(INT(VLOOKUP(U231,模板计算相关数据!A:N,2,0)/30)+1,模板计算相关数据!$O$35:$U$40,6,0)+AH231</f>
        <v>0</v>
      </c>
      <c r="AS231" s="3">
        <f>VLOOKUP(INT(VLOOKUP(U231,模板计算相关数据!A:N,2,0)/30)+1,模板计算相关数据!$O$35:$U$40,7,0)+AI231</f>
        <v>0</v>
      </c>
      <c r="AT231" s="3">
        <f>VLOOKUP(INT(VLOOKUP(U231,模板计算相关数据!A:N,2,0)/30)+1,模板计算相关数据!$O$35:$V$40,8,0)</f>
        <v>0</v>
      </c>
      <c r="AU231" s="2"/>
    </row>
    <row r="232" spans="1:47" x14ac:dyDescent="0.2">
      <c r="A232" s="19">
        <v>101120202</v>
      </c>
      <c r="B232" s="19"/>
      <c r="C232" s="69" t="s">
        <v>997</v>
      </c>
      <c r="D232" s="87" t="s">
        <v>1623</v>
      </c>
      <c r="E232" s="2">
        <v>1</v>
      </c>
      <c r="F232" s="3">
        <v>2</v>
      </c>
      <c r="G232" s="3">
        <v>1002201</v>
      </c>
      <c r="H232" s="3">
        <v>1</v>
      </c>
      <c r="I232" s="3">
        <v>4</v>
      </c>
      <c r="J232" s="3">
        <v>1</v>
      </c>
      <c r="K232" s="3"/>
      <c r="L232" s="91" t="s">
        <v>954</v>
      </c>
      <c r="M232" s="3"/>
      <c r="N232" s="2">
        <v>1</v>
      </c>
      <c r="O232" s="2"/>
      <c r="P232" s="3" t="s">
        <v>1615</v>
      </c>
      <c r="Q232" s="95">
        <f t="shared" si="19"/>
        <v>4.417254901960785</v>
      </c>
      <c r="R232" s="133">
        <f>IF(P232=模板计算相关数据!$AB$24,VLOOKUP(X232,模板计算相关数据!$P$47:$T$50,2,0),VLOOKUP(X232,模板计算相关数据!$P$4:$U$7,3,0))*VLOOKUP(Y232,模板计算相关数据!$P$22:$X$30,8,0)</f>
        <v>4.417254901960785</v>
      </c>
      <c r="S232" s="62">
        <f t="shared" si="20"/>
        <v>5.4285280003474252</v>
      </c>
      <c r="T232" s="133">
        <f>IF(P232=模板计算相关数据!$AB$24,VLOOKUP(X232,模板计算相关数据!$P$47:$T$50,5,0),VLOOKUP(X232,模板计算相关数据!$P$4:$U$7,6,0))*VLOOKUP(Y232,模板计算相关数据!$P$22:$X$30,9,0)</f>
        <v>5.4285280003474252</v>
      </c>
      <c r="U232" s="95">
        <v>12</v>
      </c>
      <c r="V232" s="95">
        <f t="shared" si="16"/>
        <v>29</v>
      </c>
      <c r="W232" s="29">
        <f>VLOOKUP(U232,模板计算相关数据!A:N,2,0)</f>
        <v>26</v>
      </c>
      <c r="X232" s="3" t="s">
        <v>151</v>
      </c>
      <c r="Y232" s="3" t="s">
        <v>152</v>
      </c>
      <c r="Z232" s="95">
        <v>1.1000000000000001</v>
      </c>
      <c r="AA232" s="95">
        <v>1.1000000000000001</v>
      </c>
      <c r="AB232" s="95">
        <v>1</v>
      </c>
      <c r="AC232" s="95">
        <v>1</v>
      </c>
      <c r="AD232" s="95">
        <v>0</v>
      </c>
      <c r="AE232" s="95">
        <v>0</v>
      </c>
      <c r="AF232" s="95">
        <v>0</v>
      </c>
      <c r="AG232" s="95">
        <v>0</v>
      </c>
      <c r="AH232" s="95">
        <v>0</v>
      </c>
      <c r="AI232" s="95">
        <v>0</v>
      </c>
      <c r="AJ232" s="3">
        <f>INT(VLOOKUP(U232,模板计算相关数据!A:N,4,0)*VLOOKUP(U232,模板计算相关数据!A:N,14,0)*(1+MAX(0,(VLOOKUP(U232,模板计算相关数据!A:N,7,0)-AQ232))*VLOOKUP(U232,模板计算相关数据!A:N,8,0))*(1-(AL232+AM232)*0.5/((AL232+AM232)*0.5+(VLOOKUP(U232,模板计算相关数据!A:N,2,0)+模板计算相关数据!$AC$27)*模板计算相关数据!$AC$28))*Q232*Z232)</f>
        <v>3103</v>
      </c>
      <c r="AK232" s="3">
        <f>INT(VLOOKUP(U232,模板计算相关数据!A:N,3,0)/模板计算相关数据!$W$35/(1+MAX(0,(AO232/10000-VLOOKUP(U232,模板计算相关数据!A:N,9,0)))*AP232/10000)/(1-VLOOKUP(U232,模板计算相关数据!A:N,5,0)/(VLOOKUP(U232,模板计算相关数据!A:N,5,0)+(VLOOKUP(U232,模板计算相关数据!A:N,2,0)+模板计算相关数据!$AC$27)*模板计算相关数据!$AC$28))/S232*AA232)</f>
        <v>969</v>
      </c>
      <c r="AL232" s="3">
        <f>INT(VLOOKUP(U232,模板计算相关数据!A:N,5,0)*VLOOKUP(X232,模板计算相关数据!$P$4:$T$7,4,0)*VLOOKUP(Y232,模板计算相关数据!$P$22:$U$30,4,0)*AB232)</f>
        <v>1707</v>
      </c>
      <c r="AM232" s="3">
        <f>INT(VLOOKUP(U232,模板计算相关数据!A:N,6,0)*VLOOKUP(X232,模板计算相关数据!$P$4:$T$7,4,0)*VLOOKUP(Y232,模板计算相关数据!$P$22:$U$30,5,0)*AC232)</f>
        <v>1232</v>
      </c>
      <c r="AN232" s="3">
        <f>VLOOKUP(U232,模板计算相关数据!A:N,10,0)*0.5*VLOOKUP(Y232,模板计算相关数据!$P$22:$U$30,6,0)+AD232</f>
        <v>250</v>
      </c>
      <c r="AO232" s="3">
        <f>VLOOKUP(INT(VLOOKUP(U232,模板计算相关数据!A:N,2,0)/30)+1,模板计算相关数据!$O$35:$U$40,3,0)+AE232</f>
        <v>0</v>
      </c>
      <c r="AP232" s="3">
        <f>VLOOKUP(INT(VLOOKUP(U232,模板计算相关数据!A:N,2,0)/30)+1,模板计算相关数据!$O$35:$U$40,4,0)+AF232</f>
        <v>5000</v>
      </c>
      <c r="AQ232" s="3">
        <f>VLOOKUP(INT(VLOOKUP(U232,模板计算相关数据!A:N,2,0)/30)+1,模板计算相关数据!$O$35:$U$40,5,0)+AG232</f>
        <v>0</v>
      </c>
      <c r="AR232" s="3">
        <f>VLOOKUP(INT(VLOOKUP(U232,模板计算相关数据!A:N,2,0)/30)+1,模板计算相关数据!$O$35:$U$40,6,0)+AH232</f>
        <v>0</v>
      </c>
      <c r="AS232" s="3">
        <f>VLOOKUP(INT(VLOOKUP(U232,模板计算相关数据!A:N,2,0)/30)+1,模板计算相关数据!$O$35:$U$40,7,0)+AI232</f>
        <v>0</v>
      </c>
      <c r="AT232" s="3">
        <f>VLOOKUP(INT(VLOOKUP(U232,模板计算相关数据!A:N,2,0)/30)+1,模板计算相关数据!$O$35:$V$40,8,0)</f>
        <v>0</v>
      </c>
      <c r="AU232" s="2"/>
    </row>
    <row r="233" spans="1:47" x14ac:dyDescent="0.2">
      <c r="A233" s="19">
        <v>101120203</v>
      </c>
      <c r="B233" s="19"/>
      <c r="C233" s="69" t="s">
        <v>998</v>
      </c>
      <c r="D233" s="87" t="s">
        <v>1623</v>
      </c>
      <c r="E233" s="2">
        <v>1</v>
      </c>
      <c r="F233" s="3">
        <v>1</v>
      </c>
      <c r="G233" s="3">
        <v>1002301</v>
      </c>
      <c r="H233" s="3">
        <v>5</v>
      </c>
      <c r="I233" s="3">
        <v>4</v>
      </c>
      <c r="J233" s="3">
        <v>1</v>
      </c>
      <c r="K233" s="3"/>
      <c r="L233" s="91" t="s">
        <v>955</v>
      </c>
      <c r="M233" s="3"/>
      <c r="N233" s="2">
        <v>1</v>
      </c>
      <c r="O233" s="2"/>
      <c r="P233" s="3" t="s">
        <v>1615</v>
      </c>
      <c r="Q233" s="95">
        <f t="shared" si="19"/>
        <v>5.7709803921568623</v>
      </c>
      <c r="R233" s="133">
        <f>IF(P233=模板计算相关数据!$AB$24,VLOOKUP(X233,模板计算相关数据!$P$47:$T$50,2,0),VLOOKUP(X233,模板计算相关数据!$P$4:$U$7,3,0))*VLOOKUP(Y233,模板计算相关数据!$P$22:$X$30,8,0)</f>
        <v>5.7709803921568623</v>
      </c>
      <c r="S233" s="62">
        <f t="shared" si="20"/>
        <v>6.4077918749199023</v>
      </c>
      <c r="T233" s="133">
        <f>IF(P233=模板计算相关数据!$AB$24,VLOOKUP(X233,模板计算相关数据!$P$47:$T$50,5,0),VLOOKUP(X233,模板计算相关数据!$P$4:$U$7,6,0))*VLOOKUP(Y233,模板计算相关数据!$P$22:$X$30,9,0)</f>
        <v>6.4077918749199023</v>
      </c>
      <c r="U233" s="95">
        <v>12</v>
      </c>
      <c r="V233" s="95">
        <f t="shared" si="16"/>
        <v>29</v>
      </c>
      <c r="W233" s="29">
        <f>VLOOKUP(U233,模板计算相关数据!A:N,2,0)</f>
        <v>26</v>
      </c>
      <c r="X233" s="3" t="s">
        <v>151</v>
      </c>
      <c r="Y233" s="3" t="s">
        <v>243</v>
      </c>
      <c r="Z233" s="95">
        <v>1.1000000000000001</v>
      </c>
      <c r="AA233" s="95">
        <v>1.1000000000000001</v>
      </c>
      <c r="AB233" s="95">
        <v>1</v>
      </c>
      <c r="AC233" s="95">
        <v>1</v>
      </c>
      <c r="AD233" s="95">
        <v>0</v>
      </c>
      <c r="AE233" s="95">
        <v>0</v>
      </c>
      <c r="AF233" s="95">
        <v>0</v>
      </c>
      <c r="AG233" s="95">
        <v>0</v>
      </c>
      <c r="AH233" s="95">
        <v>0</v>
      </c>
      <c r="AI233" s="95">
        <v>0</v>
      </c>
      <c r="AJ233" s="3">
        <f>INT(VLOOKUP(U233,模板计算相关数据!A:N,4,0)*VLOOKUP(U233,模板计算相关数据!A:N,14,0)*(1+MAX(0,(VLOOKUP(U233,模板计算相关数据!A:N,7,0)-AQ233))*VLOOKUP(U233,模板计算相关数据!A:N,8,0))*(1-(AL233+AM233)*0.5/((AL233+AM233)*0.5+(VLOOKUP(U233,模板计算相关数据!A:N,2,0)+模板计算相关数据!$AC$27)*模板计算相关数据!$AC$28))*Q233*Z233)</f>
        <v>3824</v>
      </c>
      <c r="AK233" s="3">
        <f>INT(VLOOKUP(U233,模板计算相关数据!A:N,3,0)/模板计算相关数据!$W$35/(1+MAX(0,(AO233/10000-VLOOKUP(U233,模板计算相关数据!A:N,9,0)))*AP233/10000)/(1-VLOOKUP(U233,模板计算相关数据!A:N,5,0)/(VLOOKUP(U233,模板计算相关数据!A:N,5,0)+(VLOOKUP(U233,模板计算相关数据!A:N,2,0)+模板计算相关数据!$AC$27)*模板计算相关数据!$AC$28))/S233*AA233)</f>
        <v>821</v>
      </c>
      <c r="AL233" s="3">
        <f>INT(VLOOKUP(U233,模板计算相关数据!A:N,5,0)*VLOOKUP(X233,模板计算相关数据!$P$4:$T$7,4,0)*VLOOKUP(Y233,模板计算相关数据!$P$22:$U$30,4,0)*AB233)</f>
        <v>1074</v>
      </c>
      <c r="AM233" s="3">
        <f>INT(VLOOKUP(U233,模板计算相关数据!A:N,6,0)*VLOOKUP(X233,模板计算相关数据!$P$4:$T$7,4,0)*VLOOKUP(Y233,模板计算相关数据!$P$22:$U$30,5,0)*AC233)</f>
        <v>2387</v>
      </c>
      <c r="AN233" s="3">
        <f>VLOOKUP(U233,模板计算相关数据!A:N,10,0)*0.5*VLOOKUP(Y233,模板计算相关数据!$P$22:$U$30,6,0)+AD233</f>
        <v>275</v>
      </c>
      <c r="AO233" s="3">
        <f>VLOOKUP(INT(VLOOKUP(U233,模板计算相关数据!A:N,2,0)/30)+1,模板计算相关数据!$O$35:$U$40,3,0)+AE233</f>
        <v>0</v>
      </c>
      <c r="AP233" s="3">
        <f>VLOOKUP(INT(VLOOKUP(U233,模板计算相关数据!A:N,2,0)/30)+1,模板计算相关数据!$O$35:$U$40,4,0)+AF233</f>
        <v>5000</v>
      </c>
      <c r="AQ233" s="3">
        <f>VLOOKUP(INT(VLOOKUP(U233,模板计算相关数据!A:N,2,0)/30)+1,模板计算相关数据!$O$35:$U$40,5,0)+AG233</f>
        <v>0</v>
      </c>
      <c r="AR233" s="3">
        <f>VLOOKUP(INT(VLOOKUP(U233,模板计算相关数据!A:N,2,0)/30)+1,模板计算相关数据!$O$35:$U$40,6,0)+AH233</f>
        <v>0</v>
      </c>
      <c r="AS233" s="3">
        <f>VLOOKUP(INT(VLOOKUP(U233,模板计算相关数据!A:N,2,0)/30)+1,模板计算相关数据!$O$35:$U$40,7,0)+AI233</f>
        <v>0</v>
      </c>
      <c r="AT233" s="3">
        <f>VLOOKUP(INT(VLOOKUP(U233,模板计算相关数据!A:N,2,0)/30)+1,模板计算相关数据!$O$35:$V$40,8,0)</f>
        <v>0</v>
      </c>
      <c r="AU233" s="2"/>
    </row>
    <row r="234" spans="1:47" x14ac:dyDescent="0.2">
      <c r="A234" s="17">
        <v>101120301</v>
      </c>
      <c r="B234" s="17"/>
      <c r="C234" s="69" t="s">
        <v>996</v>
      </c>
      <c r="D234" s="33" t="s">
        <v>1024</v>
      </c>
      <c r="E234" s="2">
        <v>1</v>
      </c>
      <c r="F234" s="3">
        <v>2</v>
      </c>
      <c r="G234" s="3">
        <v>1002101</v>
      </c>
      <c r="H234" s="3">
        <v>4</v>
      </c>
      <c r="I234" s="3">
        <v>4</v>
      </c>
      <c r="J234" s="3">
        <v>1</v>
      </c>
      <c r="K234" s="3"/>
      <c r="L234" s="91" t="s">
        <v>953</v>
      </c>
      <c r="M234" s="3"/>
      <c r="N234" s="2">
        <v>1</v>
      </c>
      <c r="O234" s="2"/>
      <c r="P234" s="3" t="s">
        <v>1613</v>
      </c>
      <c r="Q234" s="95">
        <f>R234</f>
        <v>3.5739607843137255</v>
      </c>
      <c r="R234" s="133">
        <f>IF(P234=模板计算相关数据!$AB$24,VLOOKUP(X234,模板计算相关数据!$P$47:$T$50,2,0),VLOOKUP(X234,模板计算相关数据!$P$4:$U$7,3,0))*VLOOKUP(Y234,模板计算相关数据!$P$22:$X$30,8,0)</f>
        <v>3.5739607843137255</v>
      </c>
      <c r="S234" s="62">
        <f t="shared" si="20"/>
        <v>7.1399909464914808</v>
      </c>
      <c r="T234" s="133">
        <f>IF(P234=模板计算相关数据!$AB$24,VLOOKUP(X234,模板计算相关数据!$P$47:$T$50,5,0),VLOOKUP(X234,模板计算相关数据!$P$4:$U$7,6,0))*VLOOKUP(Y234,模板计算相关数据!$P$22:$X$30,9,0)</f>
        <v>7.1399909464914808</v>
      </c>
      <c r="U234" s="95">
        <v>13</v>
      </c>
      <c r="V234" s="95">
        <f t="shared" si="16"/>
        <v>33</v>
      </c>
      <c r="W234" s="29">
        <f>VLOOKUP(U234,模板计算相关数据!A:N,2,0)</f>
        <v>30</v>
      </c>
      <c r="X234" s="3" t="s">
        <v>151</v>
      </c>
      <c r="Y234" s="3" t="s">
        <v>162</v>
      </c>
      <c r="Z234" s="99">
        <v>1</v>
      </c>
      <c r="AA234" s="95">
        <v>1</v>
      </c>
      <c r="AB234" s="95">
        <v>1</v>
      </c>
      <c r="AC234" s="95">
        <v>1</v>
      </c>
      <c r="AD234" s="95">
        <v>0</v>
      </c>
      <c r="AE234" s="95">
        <v>0</v>
      </c>
      <c r="AF234" s="95">
        <v>0</v>
      </c>
      <c r="AG234" s="95">
        <v>0</v>
      </c>
      <c r="AH234" s="95">
        <v>0</v>
      </c>
      <c r="AI234" s="95">
        <v>0</v>
      </c>
      <c r="AJ234" s="3">
        <f>INT(VLOOKUP(U234,模板计算相关数据!A:N,4,0)*VLOOKUP(U234,模板计算相关数据!A:N,14,0)*(1+MAX(0,(VLOOKUP(U234,模板计算相关数据!A:N,7,0)-AQ234))*VLOOKUP(U234,模板计算相关数据!A:N,8,0))*(1-(AL234+AM234)*0.5/((AL234+AM234)*0.5+(VLOOKUP(U234,模板计算相关数据!A:N,2,0)+模板计算相关数据!$AC$27)*模板计算相关数据!$AC$28))*Q234*Z234)</f>
        <v>2487</v>
      </c>
      <c r="AK234" s="3">
        <f>INT(VLOOKUP(U234,模板计算相关数据!A:N,3,0)/模板计算相关数据!$W$35/(1+MAX(0,(AO234/10000-VLOOKUP(U234,模板计算相关数据!A:N,9,0)))*AP234/10000)/(1-VLOOKUP(U234,模板计算相关数据!A:N,5,0)/(VLOOKUP(U234,模板计算相关数据!A:N,5,0)+(VLOOKUP(U234,模板计算相关数据!A:N,2,0)+模板计算相关数据!$AC$27)*模板计算相关数据!$AC$28))/S234*AA234)</f>
        <v>848</v>
      </c>
      <c r="AL234" s="3">
        <f>INT(VLOOKUP(U234,模板计算相关数据!A:N,5,0)*VLOOKUP(X234,模板计算相关数据!$P$4:$T$7,4,0)*VLOOKUP(Y234,模板计算相关数据!$P$22:$U$30,4,0)*AB234)</f>
        <v>1345</v>
      </c>
      <c r="AM234" s="3">
        <f>INT(VLOOKUP(U234,模板计算相关数据!A:N,6,0)*VLOOKUP(X234,模板计算相关数据!$P$4:$T$7,4,0)*VLOOKUP(Y234,模板计算相关数据!$P$22:$U$30,5,0)*AC234)</f>
        <v>2270</v>
      </c>
      <c r="AN234" s="3">
        <f>VLOOKUP(U234,模板计算相关数据!A:N,10,0)*0.5*VLOOKUP(Y234,模板计算相关数据!$P$22:$U$30,6,0)+AD234</f>
        <v>250</v>
      </c>
      <c r="AO234" s="3">
        <f>VLOOKUP(INT(VLOOKUP(U234,模板计算相关数据!A:N,2,0)/30)+1,模板计算相关数据!$O$35:$U$40,3,0)+AE234</f>
        <v>0</v>
      </c>
      <c r="AP234" s="3">
        <f>VLOOKUP(INT(VLOOKUP(U234,模板计算相关数据!A:N,2,0)/30)+1,模板计算相关数据!$O$35:$U$40,4,0)+AF234</f>
        <v>5000</v>
      </c>
      <c r="AQ234" s="3">
        <f>VLOOKUP(INT(VLOOKUP(U234,模板计算相关数据!A:N,2,0)/30)+1,模板计算相关数据!$O$35:$U$40,5,0)+AG234</f>
        <v>0</v>
      </c>
      <c r="AR234" s="3">
        <f>VLOOKUP(INT(VLOOKUP(U234,模板计算相关数据!A:N,2,0)/30)+1,模板计算相关数据!$O$35:$U$40,6,0)+AH234</f>
        <v>0</v>
      </c>
      <c r="AS234" s="3">
        <f>VLOOKUP(INT(VLOOKUP(U234,模板计算相关数据!A:N,2,0)/30)+1,模板计算相关数据!$O$35:$U$40,7,0)+AI234</f>
        <v>0</v>
      </c>
      <c r="AT234" s="3">
        <f>VLOOKUP(INT(VLOOKUP(U234,模板计算相关数据!A:N,2,0)/30)+1,模板计算相关数据!$O$35:$V$40,8,0)</f>
        <v>0</v>
      </c>
      <c r="AU234" s="2"/>
    </row>
    <row r="235" spans="1:47" x14ac:dyDescent="0.2">
      <c r="A235" s="17">
        <v>101120302</v>
      </c>
      <c r="B235" s="17"/>
      <c r="C235" s="69" t="s">
        <v>997</v>
      </c>
      <c r="D235" s="33" t="s">
        <v>1024</v>
      </c>
      <c r="E235" s="2">
        <v>1</v>
      </c>
      <c r="F235" s="3">
        <v>2</v>
      </c>
      <c r="G235" s="3">
        <v>1002201</v>
      </c>
      <c r="H235" s="3">
        <v>1</v>
      </c>
      <c r="I235" s="3">
        <v>4</v>
      </c>
      <c r="J235" s="3">
        <v>1</v>
      </c>
      <c r="K235" s="3"/>
      <c r="L235" s="91" t="s">
        <v>954</v>
      </c>
      <c r="M235" s="3"/>
      <c r="N235" s="2">
        <v>1</v>
      </c>
      <c r="O235" s="2"/>
      <c r="P235" s="3" t="s">
        <v>1613</v>
      </c>
      <c r="Q235" s="95">
        <f t="shared" ref="Q235:Q239" si="21">R235</f>
        <v>3.5338039215686279</v>
      </c>
      <c r="R235" s="133">
        <f>IF(P235=模板计算相关数据!$AB$24,VLOOKUP(X235,模板计算相关数据!$P$47:$T$50,2,0),VLOOKUP(X235,模板计算相关数据!$P$4:$U$7,3,0))*VLOOKUP(Y235,模板计算相关数据!$P$22:$X$30,8,0)</f>
        <v>3.5338039215686279</v>
      </c>
      <c r="S235" s="62">
        <f t="shared" si="20"/>
        <v>7.080688696105339</v>
      </c>
      <c r="T235" s="133">
        <f>IF(P235=模板计算相关数据!$AB$24,VLOOKUP(X235,模板计算相关数据!$P$47:$T$50,5,0),VLOOKUP(X235,模板计算相关数据!$P$4:$U$7,6,0))*VLOOKUP(Y235,模板计算相关数据!$P$22:$X$30,9,0)</f>
        <v>7.080688696105339</v>
      </c>
      <c r="U235" s="95">
        <v>13</v>
      </c>
      <c r="V235" s="95">
        <f t="shared" si="16"/>
        <v>33</v>
      </c>
      <c r="W235" s="29">
        <f>VLOOKUP(U235,模板计算相关数据!A:N,2,0)</f>
        <v>30</v>
      </c>
      <c r="X235" s="3" t="s">
        <v>151</v>
      </c>
      <c r="Y235" s="3" t="s">
        <v>152</v>
      </c>
      <c r="Z235" s="99">
        <v>1</v>
      </c>
      <c r="AA235" s="95">
        <v>1</v>
      </c>
      <c r="AB235" s="95">
        <v>1</v>
      </c>
      <c r="AC235" s="95">
        <v>1</v>
      </c>
      <c r="AD235" s="95">
        <v>0</v>
      </c>
      <c r="AE235" s="95">
        <v>0</v>
      </c>
      <c r="AF235" s="95">
        <v>0</v>
      </c>
      <c r="AG235" s="95">
        <v>0</v>
      </c>
      <c r="AH235" s="95">
        <v>0</v>
      </c>
      <c r="AI235" s="95">
        <v>0</v>
      </c>
      <c r="AJ235" s="3">
        <f>INT(VLOOKUP(U235,模板计算相关数据!A:N,4,0)*VLOOKUP(U235,模板计算相关数据!A:N,14,0)*(1+MAX(0,(VLOOKUP(U235,模板计算相关数据!A:N,7,0)-AQ235))*VLOOKUP(U235,模板计算相关数据!A:N,8,0))*(1-(AL235+AM235)*0.5/((AL235+AM235)*0.5+(VLOOKUP(U235,模板计算相关数据!A:N,2,0)+模板计算相关数据!$AC$27)*模板计算相关数据!$AC$28))*Q235*Z235)</f>
        <v>2459</v>
      </c>
      <c r="AK235" s="3">
        <f>INT(VLOOKUP(U235,模板计算相关数据!A:N,3,0)/模板计算相关数据!$W$35/(1+MAX(0,(AO235/10000-VLOOKUP(U235,模板计算相关数据!A:N,9,0)))*AP235/10000)/(1-VLOOKUP(U235,模板计算相关数据!A:N,5,0)/(VLOOKUP(U235,模板计算相关数据!A:N,5,0)+(VLOOKUP(U235,模板计算相关数据!A:N,2,0)+模板计算相关数据!$AC$27)*模板计算相关数据!$AC$28))/S235*AA235)</f>
        <v>855</v>
      </c>
      <c r="AL235" s="3">
        <f>INT(VLOOKUP(U235,模板计算相关数据!A:N,5,0)*VLOOKUP(X235,模板计算相关数据!$P$4:$T$7,4,0)*VLOOKUP(Y235,模板计算相关数据!$P$22:$U$30,4,0)*AB235)</f>
        <v>2270</v>
      </c>
      <c r="AM235" s="3">
        <f>INT(VLOOKUP(U235,模板计算相关数据!A:N,6,0)*VLOOKUP(X235,模板计算相关数据!$P$4:$T$7,4,0)*VLOOKUP(Y235,模板计算相关数据!$P$22:$U$30,5,0)*AC235)</f>
        <v>1345</v>
      </c>
      <c r="AN235" s="3">
        <f>VLOOKUP(U235,模板计算相关数据!A:N,10,0)*0.5*VLOOKUP(Y235,模板计算相关数据!$P$22:$U$30,6,0)+AD235</f>
        <v>250</v>
      </c>
      <c r="AO235" s="3">
        <f>VLOOKUP(INT(VLOOKUP(U235,模板计算相关数据!A:N,2,0)/30)+1,模板计算相关数据!$O$35:$U$40,3,0)+AE235</f>
        <v>0</v>
      </c>
      <c r="AP235" s="3">
        <f>VLOOKUP(INT(VLOOKUP(U235,模板计算相关数据!A:N,2,0)/30)+1,模板计算相关数据!$O$35:$U$40,4,0)+AF235</f>
        <v>5000</v>
      </c>
      <c r="AQ235" s="3">
        <f>VLOOKUP(INT(VLOOKUP(U235,模板计算相关数据!A:N,2,0)/30)+1,模板计算相关数据!$O$35:$U$40,5,0)+AG235</f>
        <v>0</v>
      </c>
      <c r="AR235" s="3">
        <f>VLOOKUP(INT(VLOOKUP(U235,模板计算相关数据!A:N,2,0)/30)+1,模板计算相关数据!$O$35:$U$40,6,0)+AH235</f>
        <v>0</v>
      </c>
      <c r="AS235" s="3">
        <f>VLOOKUP(INT(VLOOKUP(U235,模板计算相关数据!A:N,2,0)/30)+1,模板计算相关数据!$O$35:$U$40,7,0)+AI235</f>
        <v>0</v>
      </c>
      <c r="AT235" s="3">
        <f>VLOOKUP(INT(VLOOKUP(U235,模板计算相关数据!A:N,2,0)/30)+1,模板计算相关数据!$O$35:$V$40,8,0)</f>
        <v>0</v>
      </c>
      <c r="AU235" s="2"/>
    </row>
    <row r="236" spans="1:47" x14ac:dyDescent="0.2">
      <c r="A236" s="17">
        <v>101120303</v>
      </c>
      <c r="B236" s="17"/>
      <c r="C236" s="69" t="s">
        <v>998</v>
      </c>
      <c r="D236" s="33" t="s">
        <v>1024</v>
      </c>
      <c r="E236" s="2">
        <v>1</v>
      </c>
      <c r="F236" s="3">
        <v>1</v>
      </c>
      <c r="G236" s="3">
        <v>1002301</v>
      </c>
      <c r="H236" s="3">
        <v>5</v>
      </c>
      <c r="I236" s="3">
        <v>4</v>
      </c>
      <c r="J236" s="3">
        <v>1</v>
      </c>
      <c r="K236" s="3"/>
      <c r="L236" s="91" t="s">
        <v>955</v>
      </c>
      <c r="M236" s="3"/>
      <c r="N236" s="2">
        <v>1</v>
      </c>
      <c r="O236" s="2"/>
      <c r="P236" s="3" t="s">
        <v>1613</v>
      </c>
      <c r="Q236" s="95">
        <f t="shared" si="21"/>
        <v>4.61678431372549</v>
      </c>
      <c r="R236" s="133">
        <f>IF(P236=模板计算相关数据!$AB$24,VLOOKUP(X236,模板计算相关数据!$P$47:$T$50,2,0),VLOOKUP(X236,模板计算相关数据!$P$4:$U$7,3,0))*VLOOKUP(Y236,模板计算相关数据!$P$22:$X$30,8,0)</f>
        <v>4.61678431372549</v>
      </c>
      <c r="S236" s="62">
        <f t="shared" si="20"/>
        <v>8.357989402069439</v>
      </c>
      <c r="T236" s="133">
        <f>IF(P236=模板计算相关数据!$AB$24,VLOOKUP(X236,模板计算相关数据!$P$47:$T$50,5,0),VLOOKUP(X236,模板计算相关数据!$P$4:$U$7,6,0))*VLOOKUP(Y236,模板计算相关数据!$P$22:$X$30,9,0)</f>
        <v>8.357989402069439</v>
      </c>
      <c r="U236" s="95">
        <v>13</v>
      </c>
      <c r="V236" s="95">
        <f t="shared" si="16"/>
        <v>33</v>
      </c>
      <c r="W236" s="29">
        <f>VLOOKUP(U236,模板计算相关数据!A:N,2,0)</f>
        <v>30</v>
      </c>
      <c r="X236" s="3" t="s">
        <v>151</v>
      </c>
      <c r="Y236" s="3" t="s">
        <v>243</v>
      </c>
      <c r="Z236" s="99">
        <v>1</v>
      </c>
      <c r="AA236" s="95">
        <v>1</v>
      </c>
      <c r="AB236" s="95">
        <v>1</v>
      </c>
      <c r="AC236" s="95">
        <v>1</v>
      </c>
      <c r="AD236" s="95">
        <v>0</v>
      </c>
      <c r="AE236" s="95">
        <v>0</v>
      </c>
      <c r="AF236" s="95">
        <v>0</v>
      </c>
      <c r="AG236" s="95">
        <v>0</v>
      </c>
      <c r="AH236" s="95">
        <v>0</v>
      </c>
      <c r="AI236" s="95">
        <v>0</v>
      </c>
      <c r="AJ236" s="3">
        <f>INT(VLOOKUP(U236,模板计算相关数据!A:N,4,0)*VLOOKUP(U236,模板计算相关数据!A:N,14,0)*(1+MAX(0,(VLOOKUP(U236,模板计算相关数据!A:N,7,0)-AQ236))*VLOOKUP(U236,模板计算相关数据!A:N,8,0))*(1-(AL236+AM236)*0.5/((AL236+AM236)*0.5+(VLOOKUP(U236,模板计算相关数据!A:N,2,0)+模板计算相关数据!$AC$27)*模板计算相关数据!$AC$28))*Q236*Z236)</f>
        <v>3085</v>
      </c>
      <c r="AK236" s="3">
        <f>INT(VLOOKUP(U236,模板计算相关数据!A:N,3,0)/模板计算相关数据!$W$35/(1+MAX(0,(AO236/10000-VLOOKUP(U236,模板计算相关数据!A:N,9,0)))*AP236/10000)/(1-VLOOKUP(U236,模板计算相关数据!A:N,5,0)/(VLOOKUP(U236,模板计算相关数据!A:N,5,0)+(VLOOKUP(U236,模板计算相关数据!A:N,2,0)+模板计算相关数据!$AC$27)*模板计算相关数据!$AC$28))/S236*AA236)</f>
        <v>724</v>
      </c>
      <c r="AL236" s="3">
        <f>INT(VLOOKUP(U236,模板计算相关数据!A:N,5,0)*VLOOKUP(X236,模板计算相关数据!$P$4:$T$7,4,0)*VLOOKUP(Y236,模板计算相关数据!$P$22:$U$30,4,0)*AB236)</f>
        <v>1429</v>
      </c>
      <c r="AM236" s="3">
        <f>INT(VLOOKUP(U236,模板计算相关数据!A:N,6,0)*VLOOKUP(X236,模板计算相关数据!$P$4:$T$7,4,0)*VLOOKUP(Y236,模板计算相关数据!$P$22:$U$30,5,0)*AC236)</f>
        <v>2606</v>
      </c>
      <c r="AN236" s="3">
        <f>VLOOKUP(U236,模板计算相关数据!A:N,10,0)*0.5*VLOOKUP(Y236,模板计算相关数据!$P$22:$U$30,6,0)+AD236</f>
        <v>275</v>
      </c>
      <c r="AO236" s="3">
        <f>VLOOKUP(INT(VLOOKUP(U236,模板计算相关数据!A:N,2,0)/30)+1,模板计算相关数据!$O$35:$U$40,3,0)+AE236</f>
        <v>0</v>
      </c>
      <c r="AP236" s="3">
        <f>VLOOKUP(INT(VLOOKUP(U236,模板计算相关数据!A:N,2,0)/30)+1,模板计算相关数据!$O$35:$U$40,4,0)+AF236</f>
        <v>5000</v>
      </c>
      <c r="AQ236" s="3">
        <f>VLOOKUP(INT(VLOOKUP(U236,模板计算相关数据!A:N,2,0)/30)+1,模板计算相关数据!$O$35:$U$40,5,0)+AG236</f>
        <v>0</v>
      </c>
      <c r="AR236" s="3">
        <f>VLOOKUP(INT(VLOOKUP(U236,模板计算相关数据!A:N,2,0)/30)+1,模板计算相关数据!$O$35:$U$40,6,0)+AH236</f>
        <v>0</v>
      </c>
      <c r="AS236" s="3">
        <f>VLOOKUP(INT(VLOOKUP(U236,模板计算相关数据!A:N,2,0)/30)+1,模板计算相关数据!$O$35:$U$40,7,0)+AI236</f>
        <v>0</v>
      </c>
      <c r="AT236" s="3">
        <f>VLOOKUP(INT(VLOOKUP(U236,模板计算相关数据!A:N,2,0)/30)+1,模板计算相关数据!$O$35:$V$40,8,0)</f>
        <v>0</v>
      </c>
      <c r="AU236" s="2"/>
    </row>
    <row r="237" spans="1:47" x14ac:dyDescent="0.2">
      <c r="A237" s="19">
        <v>101120401</v>
      </c>
      <c r="B237" s="19"/>
      <c r="C237" s="69" t="s">
        <v>996</v>
      </c>
      <c r="D237" s="33" t="s">
        <v>1025</v>
      </c>
      <c r="E237" s="2">
        <v>1</v>
      </c>
      <c r="F237" s="3">
        <v>2</v>
      </c>
      <c r="G237" s="3">
        <v>1002101</v>
      </c>
      <c r="H237" s="3">
        <v>4</v>
      </c>
      <c r="I237" s="3">
        <v>4</v>
      </c>
      <c r="J237" s="3">
        <v>1</v>
      </c>
      <c r="K237" s="3"/>
      <c r="L237" s="91" t="s">
        <v>953</v>
      </c>
      <c r="M237" s="3"/>
      <c r="N237" s="2">
        <v>1</v>
      </c>
      <c r="O237" s="2"/>
      <c r="P237" s="3" t="s">
        <v>1613</v>
      </c>
      <c r="Q237" s="95">
        <f t="shared" si="21"/>
        <v>3.5739607843137255</v>
      </c>
      <c r="R237" s="133">
        <f>IF(P237=模板计算相关数据!$AB$24,VLOOKUP(X237,模板计算相关数据!$P$47:$T$50,2,0),VLOOKUP(X237,模板计算相关数据!$P$4:$U$7,3,0))*VLOOKUP(Y237,模板计算相关数据!$P$22:$X$30,8,0)</f>
        <v>3.5739607843137255</v>
      </c>
      <c r="S237" s="62">
        <f t="shared" si="20"/>
        <v>7.1399909464914808</v>
      </c>
      <c r="T237" s="133">
        <f>IF(P237=模板计算相关数据!$AB$24,VLOOKUP(X237,模板计算相关数据!$P$47:$T$50,5,0),VLOOKUP(X237,模板计算相关数据!$P$4:$U$7,6,0))*VLOOKUP(Y237,模板计算相关数据!$P$22:$X$30,9,0)</f>
        <v>7.1399909464914808</v>
      </c>
      <c r="U237" s="95">
        <v>13</v>
      </c>
      <c r="V237" s="95">
        <f t="shared" si="16"/>
        <v>33</v>
      </c>
      <c r="W237" s="29">
        <f>VLOOKUP(U237,模板计算相关数据!A:N,2,0)</f>
        <v>30</v>
      </c>
      <c r="X237" s="3" t="s">
        <v>151</v>
      </c>
      <c r="Y237" s="3" t="s">
        <v>162</v>
      </c>
      <c r="Z237" s="99">
        <v>1</v>
      </c>
      <c r="AA237" s="95">
        <v>1</v>
      </c>
      <c r="AB237" s="95">
        <v>1</v>
      </c>
      <c r="AC237" s="95">
        <v>1</v>
      </c>
      <c r="AD237" s="95">
        <v>0</v>
      </c>
      <c r="AE237" s="95">
        <v>0</v>
      </c>
      <c r="AF237" s="95">
        <v>0</v>
      </c>
      <c r="AG237" s="95">
        <v>0</v>
      </c>
      <c r="AH237" s="95">
        <v>0</v>
      </c>
      <c r="AI237" s="95">
        <v>0</v>
      </c>
      <c r="AJ237" s="3">
        <f>INT(VLOOKUP(U237,模板计算相关数据!A:N,4,0)*VLOOKUP(U237,模板计算相关数据!A:N,14,0)*(1+MAX(0,(VLOOKUP(U237,模板计算相关数据!A:N,7,0)-AQ237))*VLOOKUP(U237,模板计算相关数据!A:N,8,0))*(1-(AL237+AM237)*0.5/((AL237+AM237)*0.5+(VLOOKUP(U237,模板计算相关数据!A:N,2,0)+模板计算相关数据!$AC$27)*模板计算相关数据!$AC$28))*Q237*Z237)</f>
        <v>2487</v>
      </c>
      <c r="AK237" s="3">
        <f>INT(VLOOKUP(U237,模板计算相关数据!A:N,3,0)/模板计算相关数据!$W$35/(1+MAX(0,(AO237/10000-VLOOKUP(U237,模板计算相关数据!A:N,9,0)))*AP237/10000)/(1-VLOOKUP(U237,模板计算相关数据!A:N,5,0)/(VLOOKUP(U237,模板计算相关数据!A:N,5,0)+(VLOOKUP(U237,模板计算相关数据!A:N,2,0)+模板计算相关数据!$AC$27)*模板计算相关数据!$AC$28))/S237*AA237)</f>
        <v>848</v>
      </c>
      <c r="AL237" s="3">
        <f>INT(VLOOKUP(U237,模板计算相关数据!A:N,5,0)*VLOOKUP(X237,模板计算相关数据!$P$4:$T$7,4,0)*VLOOKUP(Y237,模板计算相关数据!$P$22:$U$30,4,0)*AB237)</f>
        <v>1345</v>
      </c>
      <c r="AM237" s="3">
        <f>INT(VLOOKUP(U237,模板计算相关数据!A:N,6,0)*VLOOKUP(X237,模板计算相关数据!$P$4:$T$7,4,0)*VLOOKUP(Y237,模板计算相关数据!$P$22:$U$30,5,0)*AC237)</f>
        <v>2270</v>
      </c>
      <c r="AN237" s="3">
        <f>VLOOKUP(U237,模板计算相关数据!A:N,10,0)*0.5*VLOOKUP(Y237,模板计算相关数据!$P$22:$U$30,6,0)+AD237</f>
        <v>250</v>
      </c>
      <c r="AO237" s="3">
        <f>VLOOKUP(INT(VLOOKUP(U237,模板计算相关数据!A:N,2,0)/30)+1,模板计算相关数据!$O$35:$U$40,3,0)+AE237</f>
        <v>0</v>
      </c>
      <c r="AP237" s="3">
        <f>VLOOKUP(INT(VLOOKUP(U237,模板计算相关数据!A:N,2,0)/30)+1,模板计算相关数据!$O$35:$U$40,4,0)+AF237</f>
        <v>5000</v>
      </c>
      <c r="AQ237" s="3">
        <f>VLOOKUP(INT(VLOOKUP(U237,模板计算相关数据!A:N,2,0)/30)+1,模板计算相关数据!$O$35:$U$40,5,0)+AG237</f>
        <v>0</v>
      </c>
      <c r="AR237" s="3">
        <f>VLOOKUP(INT(VLOOKUP(U237,模板计算相关数据!A:N,2,0)/30)+1,模板计算相关数据!$O$35:$U$40,6,0)+AH237</f>
        <v>0</v>
      </c>
      <c r="AS237" s="3">
        <f>VLOOKUP(INT(VLOOKUP(U237,模板计算相关数据!A:N,2,0)/30)+1,模板计算相关数据!$O$35:$U$40,7,0)+AI237</f>
        <v>0</v>
      </c>
      <c r="AT237" s="3">
        <f>VLOOKUP(INT(VLOOKUP(U237,模板计算相关数据!A:N,2,0)/30)+1,模板计算相关数据!$O$35:$V$40,8,0)</f>
        <v>0</v>
      </c>
      <c r="AU237" s="2"/>
    </row>
    <row r="238" spans="1:47" x14ac:dyDescent="0.2">
      <c r="A238" s="19">
        <v>101120402</v>
      </c>
      <c r="B238" s="19"/>
      <c r="C238" s="69" t="s">
        <v>997</v>
      </c>
      <c r="D238" s="33" t="s">
        <v>1025</v>
      </c>
      <c r="E238" s="2">
        <v>1</v>
      </c>
      <c r="F238" s="3">
        <v>2</v>
      </c>
      <c r="G238" s="3">
        <v>1002201</v>
      </c>
      <c r="H238" s="3">
        <v>1</v>
      </c>
      <c r="I238" s="3">
        <v>4</v>
      </c>
      <c r="J238" s="3">
        <v>1</v>
      </c>
      <c r="K238" s="3"/>
      <c r="L238" s="91" t="s">
        <v>954</v>
      </c>
      <c r="M238" s="3"/>
      <c r="N238" s="2">
        <v>1</v>
      </c>
      <c r="O238" s="2"/>
      <c r="P238" s="3" t="s">
        <v>1613</v>
      </c>
      <c r="Q238" s="95">
        <f t="shared" si="21"/>
        <v>3.5338039215686279</v>
      </c>
      <c r="R238" s="133">
        <f>IF(P238=模板计算相关数据!$AB$24,VLOOKUP(X238,模板计算相关数据!$P$47:$T$50,2,0),VLOOKUP(X238,模板计算相关数据!$P$4:$U$7,3,0))*VLOOKUP(Y238,模板计算相关数据!$P$22:$X$30,8,0)</f>
        <v>3.5338039215686279</v>
      </c>
      <c r="S238" s="62">
        <f t="shared" si="20"/>
        <v>7.080688696105339</v>
      </c>
      <c r="T238" s="133">
        <f>IF(P238=模板计算相关数据!$AB$24,VLOOKUP(X238,模板计算相关数据!$P$47:$T$50,5,0),VLOOKUP(X238,模板计算相关数据!$P$4:$U$7,6,0))*VLOOKUP(Y238,模板计算相关数据!$P$22:$X$30,9,0)</f>
        <v>7.080688696105339</v>
      </c>
      <c r="U238" s="95">
        <v>13</v>
      </c>
      <c r="V238" s="95">
        <f t="shared" si="16"/>
        <v>33</v>
      </c>
      <c r="W238" s="29">
        <f>VLOOKUP(U238,模板计算相关数据!A:N,2,0)</f>
        <v>30</v>
      </c>
      <c r="X238" s="3" t="s">
        <v>151</v>
      </c>
      <c r="Y238" s="3" t="s">
        <v>152</v>
      </c>
      <c r="Z238" s="99">
        <v>1</v>
      </c>
      <c r="AA238" s="95">
        <v>1</v>
      </c>
      <c r="AB238" s="95">
        <v>1</v>
      </c>
      <c r="AC238" s="95">
        <v>1</v>
      </c>
      <c r="AD238" s="95">
        <v>0</v>
      </c>
      <c r="AE238" s="95">
        <v>0</v>
      </c>
      <c r="AF238" s="95">
        <v>0</v>
      </c>
      <c r="AG238" s="95">
        <v>0</v>
      </c>
      <c r="AH238" s="95">
        <v>0</v>
      </c>
      <c r="AI238" s="95">
        <v>0</v>
      </c>
      <c r="AJ238" s="3">
        <f>INT(VLOOKUP(U238,模板计算相关数据!A:N,4,0)*VLOOKUP(U238,模板计算相关数据!A:N,14,0)*(1+MAX(0,(VLOOKUP(U238,模板计算相关数据!A:N,7,0)-AQ238))*VLOOKUP(U238,模板计算相关数据!A:N,8,0))*(1-(AL238+AM238)*0.5/((AL238+AM238)*0.5+(VLOOKUP(U238,模板计算相关数据!A:N,2,0)+模板计算相关数据!$AC$27)*模板计算相关数据!$AC$28))*Q238*Z238)</f>
        <v>2459</v>
      </c>
      <c r="AK238" s="3">
        <f>INT(VLOOKUP(U238,模板计算相关数据!A:N,3,0)/模板计算相关数据!$W$35/(1+MAX(0,(AO238/10000-VLOOKUP(U238,模板计算相关数据!A:N,9,0)))*AP238/10000)/(1-VLOOKUP(U238,模板计算相关数据!A:N,5,0)/(VLOOKUP(U238,模板计算相关数据!A:N,5,0)+(VLOOKUP(U238,模板计算相关数据!A:N,2,0)+模板计算相关数据!$AC$27)*模板计算相关数据!$AC$28))/S238*AA238)</f>
        <v>855</v>
      </c>
      <c r="AL238" s="3">
        <f>INT(VLOOKUP(U238,模板计算相关数据!A:N,5,0)*VLOOKUP(X238,模板计算相关数据!$P$4:$T$7,4,0)*VLOOKUP(Y238,模板计算相关数据!$P$22:$U$30,4,0)*AB238)</f>
        <v>2270</v>
      </c>
      <c r="AM238" s="3">
        <f>INT(VLOOKUP(U238,模板计算相关数据!A:N,6,0)*VLOOKUP(X238,模板计算相关数据!$P$4:$T$7,4,0)*VLOOKUP(Y238,模板计算相关数据!$P$22:$U$30,5,0)*AC238)</f>
        <v>1345</v>
      </c>
      <c r="AN238" s="3">
        <f>VLOOKUP(U238,模板计算相关数据!A:N,10,0)*0.5*VLOOKUP(Y238,模板计算相关数据!$P$22:$U$30,6,0)+AD238</f>
        <v>250</v>
      </c>
      <c r="AO238" s="3">
        <f>VLOOKUP(INT(VLOOKUP(U238,模板计算相关数据!A:N,2,0)/30)+1,模板计算相关数据!$O$35:$U$40,3,0)+AE238</f>
        <v>0</v>
      </c>
      <c r="AP238" s="3">
        <f>VLOOKUP(INT(VLOOKUP(U238,模板计算相关数据!A:N,2,0)/30)+1,模板计算相关数据!$O$35:$U$40,4,0)+AF238</f>
        <v>5000</v>
      </c>
      <c r="AQ238" s="3">
        <f>VLOOKUP(INT(VLOOKUP(U238,模板计算相关数据!A:N,2,0)/30)+1,模板计算相关数据!$O$35:$U$40,5,0)+AG238</f>
        <v>0</v>
      </c>
      <c r="AR238" s="3">
        <f>VLOOKUP(INT(VLOOKUP(U238,模板计算相关数据!A:N,2,0)/30)+1,模板计算相关数据!$O$35:$U$40,6,0)+AH238</f>
        <v>0</v>
      </c>
      <c r="AS238" s="3">
        <f>VLOOKUP(INT(VLOOKUP(U238,模板计算相关数据!A:N,2,0)/30)+1,模板计算相关数据!$O$35:$U$40,7,0)+AI238</f>
        <v>0</v>
      </c>
      <c r="AT238" s="3">
        <f>VLOOKUP(INT(VLOOKUP(U238,模板计算相关数据!A:N,2,0)/30)+1,模板计算相关数据!$O$35:$V$40,8,0)</f>
        <v>0</v>
      </c>
      <c r="AU238" s="2"/>
    </row>
    <row r="239" spans="1:47" x14ac:dyDescent="0.2">
      <c r="A239" s="19">
        <v>101120403</v>
      </c>
      <c r="B239" s="19"/>
      <c r="C239" s="69" t="s">
        <v>998</v>
      </c>
      <c r="D239" s="33" t="s">
        <v>1024</v>
      </c>
      <c r="E239" s="2">
        <v>1</v>
      </c>
      <c r="F239" s="3">
        <v>1</v>
      </c>
      <c r="G239" s="3">
        <v>1002301</v>
      </c>
      <c r="H239" s="3">
        <v>5</v>
      </c>
      <c r="I239" s="3">
        <v>4</v>
      </c>
      <c r="J239" s="3">
        <v>1</v>
      </c>
      <c r="K239" s="3"/>
      <c r="L239" s="91" t="s">
        <v>955</v>
      </c>
      <c r="M239" s="3"/>
      <c r="N239" s="2">
        <v>1</v>
      </c>
      <c r="O239" s="2"/>
      <c r="P239" s="3" t="s">
        <v>1613</v>
      </c>
      <c r="Q239" s="95">
        <f t="shared" si="21"/>
        <v>4.61678431372549</v>
      </c>
      <c r="R239" s="133">
        <f>IF(P239=模板计算相关数据!$AB$24,VLOOKUP(X239,模板计算相关数据!$P$47:$T$50,2,0),VLOOKUP(X239,模板计算相关数据!$P$4:$U$7,3,0))*VLOOKUP(Y239,模板计算相关数据!$P$22:$X$30,8,0)</f>
        <v>4.61678431372549</v>
      </c>
      <c r="S239" s="62">
        <f t="shared" si="20"/>
        <v>8.357989402069439</v>
      </c>
      <c r="T239" s="133">
        <f>IF(P239=模板计算相关数据!$AB$24,VLOOKUP(X239,模板计算相关数据!$P$47:$T$50,5,0),VLOOKUP(X239,模板计算相关数据!$P$4:$U$7,6,0))*VLOOKUP(Y239,模板计算相关数据!$P$22:$X$30,9,0)</f>
        <v>8.357989402069439</v>
      </c>
      <c r="U239" s="95">
        <v>13</v>
      </c>
      <c r="V239" s="95">
        <f t="shared" si="16"/>
        <v>33</v>
      </c>
      <c r="W239" s="29">
        <f>VLOOKUP(U239,模板计算相关数据!A:N,2,0)</f>
        <v>30</v>
      </c>
      <c r="X239" s="3" t="s">
        <v>151</v>
      </c>
      <c r="Y239" s="3" t="s">
        <v>243</v>
      </c>
      <c r="Z239" s="99">
        <v>1</v>
      </c>
      <c r="AA239" s="95">
        <v>1</v>
      </c>
      <c r="AB239" s="95">
        <v>1</v>
      </c>
      <c r="AC239" s="95">
        <v>1</v>
      </c>
      <c r="AD239" s="95">
        <v>0</v>
      </c>
      <c r="AE239" s="95">
        <v>0</v>
      </c>
      <c r="AF239" s="95">
        <v>0</v>
      </c>
      <c r="AG239" s="95">
        <v>0</v>
      </c>
      <c r="AH239" s="95">
        <v>0</v>
      </c>
      <c r="AI239" s="95">
        <v>0</v>
      </c>
      <c r="AJ239" s="3">
        <f>INT(VLOOKUP(U239,模板计算相关数据!A:N,4,0)*VLOOKUP(U239,模板计算相关数据!A:N,14,0)*(1+MAX(0,(VLOOKUP(U239,模板计算相关数据!A:N,7,0)-AQ239))*VLOOKUP(U239,模板计算相关数据!A:N,8,0))*(1-(AL239+AM239)*0.5/((AL239+AM239)*0.5+(VLOOKUP(U239,模板计算相关数据!A:N,2,0)+模板计算相关数据!$AC$27)*模板计算相关数据!$AC$28))*Q239*Z239)</f>
        <v>3085</v>
      </c>
      <c r="AK239" s="3">
        <f>INT(VLOOKUP(U239,模板计算相关数据!A:N,3,0)/模板计算相关数据!$W$35/(1+MAX(0,(AO239/10000-VLOOKUP(U239,模板计算相关数据!A:N,9,0)))*AP239/10000)/(1-VLOOKUP(U239,模板计算相关数据!A:N,5,0)/(VLOOKUP(U239,模板计算相关数据!A:N,5,0)+(VLOOKUP(U239,模板计算相关数据!A:N,2,0)+模板计算相关数据!$AC$27)*模板计算相关数据!$AC$28))/S239*AA239)</f>
        <v>724</v>
      </c>
      <c r="AL239" s="3">
        <f>INT(VLOOKUP(U239,模板计算相关数据!A:N,5,0)*VLOOKUP(X239,模板计算相关数据!$P$4:$T$7,4,0)*VLOOKUP(Y239,模板计算相关数据!$P$22:$U$30,4,0)*AB239)</f>
        <v>1429</v>
      </c>
      <c r="AM239" s="3">
        <f>INT(VLOOKUP(U239,模板计算相关数据!A:N,6,0)*VLOOKUP(X239,模板计算相关数据!$P$4:$T$7,4,0)*VLOOKUP(Y239,模板计算相关数据!$P$22:$U$30,5,0)*AC239)</f>
        <v>2606</v>
      </c>
      <c r="AN239" s="3">
        <f>VLOOKUP(U239,模板计算相关数据!A:N,10,0)*0.5*VLOOKUP(Y239,模板计算相关数据!$P$22:$U$30,6,0)+AD239</f>
        <v>275</v>
      </c>
      <c r="AO239" s="3">
        <f>VLOOKUP(INT(VLOOKUP(U239,模板计算相关数据!A:N,2,0)/30)+1,模板计算相关数据!$O$35:$U$40,3,0)+AE239</f>
        <v>0</v>
      </c>
      <c r="AP239" s="3">
        <f>VLOOKUP(INT(VLOOKUP(U239,模板计算相关数据!A:N,2,0)/30)+1,模板计算相关数据!$O$35:$U$40,4,0)+AF239</f>
        <v>5000</v>
      </c>
      <c r="AQ239" s="3">
        <f>VLOOKUP(INT(VLOOKUP(U239,模板计算相关数据!A:N,2,0)/30)+1,模板计算相关数据!$O$35:$U$40,5,0)+AG239</f>
        <v>0</v>
      </c>
      <c r="AR239" s="3">
        <f>VLOOKUP(INT(VLOOKUP(U239,模板计算相关数据!A:N,2,0)/30)+1,模板计算相关数据!$O$35:$U$40,6,0)+AH239</f>
        <v>0</v>
      </c>
      <c r="AS239" s="3">
        <f>VLOOKUP(INT(VLOOKUP(U239,模板计算相关数据!A:N,2,0)/30)+1,模板计算相关数据!$O$35:$U$40,7,0)+AI239</f>
        <v>0</v>
      </c>
      <c r="AT239" s="3">
        <f>VLOOKUP(INT(VLOOKUP(U239,模板计算相关数据!A:N,2,0)/30)+1,模板计算相关数据!$O$35:$V$40,8,0)</f>
        <v>0</v>
      </c>
      <c r="AU239" s="2"/>
    </row>
    <row r="240" spans="1:47" x14ac:dyDescent="0.2">
      <c r="A240" s="19">
        <v>101120404</v>
      </c>
      <c r="B240" s="19"/>
      <c r="C240" s="69" t="s">
        <v>944</v>
      </c>
      <c r="D240" s="33" t="s">
        <v>1024</v>
      </c>
      <c r="E240" s="2">
        <v>2</v>
      </c>
      <c r="F240" s="3">
        <v>1</v>
      </c>
      <c r="G240" s="3">
        <v>103001</v>
      </c>
      <c r="H240" s="3">
        <v>4</v>
      </c>
      <c r="I240" s="3">
        <v>4</v>
      </c>
      <c r="J240" s="3">
        <v>5</v>
      </c>
      <c r="K240" s="3">
        <v>2</v>
      </c>
      <c r="L240" s="91" t="s">
        <v>956</v>
      </c>
      <c r="M240" s="3"/>
      <c r="N240" s="2">
        <v>1</v>
      </c>
      <c r="O240" s="2"/>
      <c r="P240" s="3" t="s">
        <v>1613</v>
      </c>
      <c r="Q240" s="95">
        <f>R240</f>
        <v>7.1479215686274511</v>
      </c>
      <c r="R240" s="133">
        <f>IF(P240=模板计算相关数据!$AB$24,VLOOKUP(X240,模板计算相关数据!$P$47:$T$50,2,0),VLOOKUP(X240,模板计算相关数据!$P$4:$U$7,3,0))*VLOOKUP(Y240,模板计算相关数据!$P$22:$X$30,8,0)</f>
        <v>7.1479215686274511</v>
      </c>
      <c r="S240" s="62">
        <v>4.5</v>
      </c>
      <c r="T240" s="133">
        <f>IF(P240=模板计算相关数据!$AB$24,VLOOKUP(X240,模板计算相关数据!$P$47:$T$50,5,0),VLOOKUP(X240,模板计算相关数据!$P$4:$U$7,6,0))*VLOOKUP(Y240,模板计算相关数据!$P$22:$X$30,9,0)</f>
        <v>4.1054947942326008</v>
      </c>
      <c r="U240" s="95">
        <v>13</v>
      </c>
      <c r="V240" s="95">
        <f t="shared" ref="V240:V303" si="22">W240+3</f>
        <v>33</v>
      </c>
      <c r="W240" s="29">
        <f>VLOOKUP(U240,模板计算相关数据!A:N,2,0)</f>
        <v>30</v>
      </c>
      <c r="X240" s="3" t="s">
        <v>158</v>
      </c>
      <c r="Y240" s="3" t="s">
        <v>162</v>
      </c>
      <c r="Z240" s="99">
        <v>1</v>
      </c>
      <c r="AA240" s="95">
        <v>0.9</v>
      </c>
      <c r="AB240" s="95">
        <v>1</v>
      </c>
      <c r="AC240" s="95">
        <v>1</v>
      </c>
      <c r="AD240" s="95">
        <v>0</v>
      </c>
      <c r="AE240" s="95">
        <v>0</v>
      </c>
      <c r="AF240" s="95">
        <v>0</v>
      </c>
      <c r="AG240" s="95">
        <v>0</v>
      </c>
      <c r="AH240" s="95">
        <v>0</v>
      </c>
      <c r="AI240" s="95">
        <v>2000</v>
      </c>
      <c r="AJ240" s="3">
        <f>INT(VLOOKUP(U240,模板计算相关数据!A:N,4,0)*VLOOKUP(U240,模板计算相关数据!A:N,14,0)*(1+MAX(0,(VLOOKUP(U240,模板计算相关数据!A:N,7,0)-AQ240))*VLOOKUP(U240,模板计算相关数据!A:N,8,0))*(1-(AL240+AM240)*0.5/((AL240+AM240)*0.5+(VLOOKUP(U240,模板计算相关数据!A:N,2,0)+模板计算相关数据!$AC$27)*模板计算相关数据!$AC$28))*Q240*Z240)</f>
        <v>4568</v>
      </c>
      <c r="AK240" s="3">
        <f>INT(VLOOKUP(U240,模板计算相关数据!A:N,3,0)/模板计算相关数据!$W$35/(1+MAX(0,(AO240/10000-VLOOKUP(U240,模板计算相关数据!A:N,9,0)))*AP240/10000)/(1-VLOOKUP(U240,模板计算相关数据!A:N,5,0)/(VLOOKUP(U240,模板计算相关数据!A:N,5,0)+(VLOOKUP(U240,模板计算相关数据!A:N,2,0)+模板计算相关数据!$AC$27)*模板计算相关数据!$AC$28))/S240*AA240)</f>
        <v>1211</v>
      </c>
      <c r="AL240" s="3">
        <f>INT(VLOOKUP(U240,模板计算相关数据!A:N,5,0)*VLOOKUP(X240,模板计算相关数据!$P$4:$T$7,4,0)*VLOOKUP(Y240,模板计算相关数据!$P$22:$U$30,4,0)*AB240)</f>
        <v>1681</v>
      </c>
      <c r="AM240" s="3">
        <f>INT(VLOOKUP(U240,模板计算相关数据!A:N,6,0)*VLOOKUP(X240,模板计算相关数据!$P$4:$T$7,4,0)*VLOOKUP(Y240,模板计算相关数据!$P$22:$U$30,5,0)*AC240)</f>
        <v>2838</v>
      </c>
      <c r="AN240" s="3">
        <f>VLOOKUP(U240,模板计算相关数据!A:N,10,0)*0.5*VLOOKUP(Y240,模板计算相关数据!$P$22:$U$30,6,0)+AD240</f>
        <v>250</v>
      </c>
      <c r="AO240" s="3">
        <f>VLOOKUP(INT(VLOOKUP(U240,模板计算相关数据!A:N,2,0)/30)+1,模板计算相关数据!$O$35:$U$40,3,0)+AE240</f>
        <v>0</v>
      </c>
      <c r="AP240" s="3">
        <f>VLOOKUP(INT(VLOOKUP(U240,模板计算相关数据!A:N,2,0)/30)+1,模板计算相关数据!$O$35:$U$40,4,0)+AF240</f>
        <v>5000</v>
      </c>
      <c r="AQ240" s="3">
        <f>VLOOKUP(INT(VLOOKUP(U240,模板计算相关数据!A:N,2,0)/30)+1,模板计算相关数据!$O$35:$U$40,5,0)+AG240</f>
        <v>0</v>
      </c>
      <c r="AR240" s="3">
        <f>VLOOKUP(INT(VLOOKUP(U240,模板计算相关数据!A:N,2,0)/30)+1,模板计算相关数据!$O$35:$U$40,6,0)+AH240</f>
        <v>0</v>
      </c>
      <c r="AS240" s="3">
        <f>VLOOKUP(INT(VLOOKUP(U240,模板计算相关数据!A:N,2,0)/30)+1,模板计算相关数据!$O$35:$U$40,7,0)+AI240</f>
        <v>2000</v>
      </c>
      <c r="AT240" s="3">
        <f>VLOOKUP(INT(VLOOKUP(U240,模板计算相关数据!A:N,2,0)/30)+1,模板计算相关数据!$O$35:$V$40,8,0)</f>
        <v>0</v>
      </c>
      <c r="AU240" s="69" t="s">
        <v>1571</v>
      </c>
    </row>
    <row r="241" spans="1:47" x14ac:dyDescent="0.2">
      <c r="A241" s="17">
        <v>101120501</v>
      </c>
      <c r="B241" s="17"/>
      <c r="C241" s="69" t="s">
        <v>996</v>
      </c>
      <c r="D241" s="33" t="s">
        <v>1026</v>
      </c>
      <c r="E241" s="2">
        <v>1</v>
      </c>
      <c r="F241" s="3">
        <v>2</v>
      </c>
      <c r="G241" s="3">
        <v>1002101</v>
      </c>
      <c r="H241" s="3">
        <v>4</v>
      </c>
      <c r="I241" s="3">
        <v>4</v>
      </c>
      <c r="J241" s="3">
        <v>1</v>
      </c>
      <c r="K241" s="3"/>
      <c r="L241" s="91" t="s">
        <v>953</v>
      </c>
      <c r="M241" s="3"/>
      <c r="N241" s="2">
        <v>1</v>
      </c>
      <c r="O241" s="2"/>
      <c r="P241" s="3" t="s">
        <v>1613</v>
      </c>
      <c r="Q241" s="95">
        <f t="shared" ref="Q241:Q243" si="23">R241</f>
        <v>3.5739607843137255</v>
      </c>
      <c r="R241" s="133">
        <f>IF(P241=模板计算相关数据!$AB$24,VLOOKUP(X241,模板计算相关数据!$P$47:$T$50,2,0),VLOOKUP(X241,模板计算相关数据!$P$4:$U$7,3,0))*VLOOKUP(Y241,模板计算相关数据!$P$22:$X$30,8,0)</f>
        <v>3.5739607843137255</v>
      </c>
      <c r="S241" s="62">
        <f t="shared" si="20"/>
        <v>7.1399909464914808</v>
      </c>
      <c r="T241" s="133">
        <f>IF(P241=模板计算相关数据!$AB$24,VLOOKUP(X241,模板计算相关数据!$P$47:$T$50,5,0),VLOOKUP(X241,模板计算相关数据!$P$4:$U$7,6,0))*VLOOKUP(Y241,模板计算相关数据!$P$22:$X$30,9,0)</f>
        <v>7.1399909464914808</v>
      </c>
      <c r="U241" s="95">
        <v>13</v>
      </c>
      <c r="V241" s="95">
        <f t="shared" si="22"/>
        <v>33</v>
      </c>
      <c r="W241" s="29">
        <f>VLOOKUP(U241,模板计算相关数据!A:N,2,0)</f>
        <v>30</v>
      </c>
      <c r="X241" s="3" t="s">
        <v>151</v>
      </c>
      <c r="Y241" s="3" t="s">
        <v>162</v>
      </c>
      <c r="Z241" s="99">
        <v>1</v>
      </c>
      <c r="AA241" s="95">
        <v>1</v>
      </c>
      <c r="AB241" s="95">
        <v>1</v>
      </c>
      <c r="AC241" s="95">
        <v>1</v>
      </c>
      <c r="AD241" s="95">
        <v>0</v>
      </c>
      <c r="AE241" s="95">
        <v>0</v>
      </c>
      <c r="AF241" s="95">
        <v>0</v>
      </c>
      <c r="AG241" s="95">
        <v>0</v>
      </c>
      <c r="AH241" s="95">
        <v>0</v>
      </c>
      <c r="AI241" s="95">
        <v>0</v>
      </c>
      <c r="AJ241" s="3">
        <f>INT(VLOOKUP(U241,模板计算相关数据!A:N,4,0)*VLOOKUP(U241,模板计算相关数据!A:N,14,0)*(1+MAX(0,(VLOOKUP(U241,模板计算相关数据!A:N,7,0)-AQ241))*VLOOKUP(U241,模板计算相关数据!A:N,8,0))*(1-(AL241+AM241)*0.5/((AL241+AM241)*0.5+(VLOOKUP(U241,模板计算相关数据!A:N,2,0)+模板计算相关数据!$AC$27)*模板计算相关数据!$AC$28))*Q241*Z241)</f>
        <v>2487</v>
      </c>
      <c r="AK241" s="3">
        <f>INT(VLOOKUP(U241,模板计算相关数据!A:N,3,0)/模板计算相关数据!$W$35/(1+MAX(0,(AO241/10000-VLOOKUP(U241,模板计算相关数据!A:N,9,0)))*AP241/10000)/(1-VLOOKUP(U241,模板计算相关数据!A:N,5,0)/(VLOOKUP(U241,模板计算相关数据!A:N,5,0)+(VLOOKUP(U241,模板计算相关数据!A:N,2,0)+模板计算相关数据!$AC$27)*模板计算相关数据!$AC$28))/S241*AA241)</f>
        <v>848</v>
      </c>
      <c r="AL241" s="3">
        <f>INT(VLOOKUP(U241,模板计算相关数据!A:N,5,0)*VLOOKUP(X241,模板计算相关数据!$P$4:$T$7,4,0)*VLOOKUP(Y241,模板计算相关数据!$P$22:$U$30,4,0)*AB241)</f>
        <v>1345</v>
      </c>
      <c r="AM241" s="3">
        <f>INT(VLOOKUP(U241,模板计算相关数据!A:N,6,0)*VLOOKUP(X241,模板计算相关数据!$P$4:$T$7,4,0)*VLOOKUP(Y241,模板计算相关数据!$P$22:$U$30,5,0)*AC241)</f>
        <v>2270</v>
      </c>
      <c r="AN241" s="3">
        <f>VLOOKUP(U241,模板计算相关数据!A:N,10,0)*0.5*VLOOKUP(Y241,模板计算相关数据!$P$22:$U$30,6,0)+AD241</f>
        <v>250</v>
      </c>
      <c r="AO241" s="3">
        <f>VLOOKUP(INT(VLOOKUP(U241,模板计算相关数据!A:N,2,0)/30)+1,模板计算相关数据!$O$35:$U$40,3,0)+AE241</f>
        <v>0</v>
      </c>
      <c r="AP241" s="3">
        <f>VLOOKUP(INT(VLOOKUP(U241,模板计算相关数据!A:N,2,0)/30)+1,模板计算相关数据!$O$35:$U$40,4,0)+AF241</f>
        <v>5000</v>
      </c>
      <c r="AQ241" s="3">
        <f>VLOOKUP(INT(VLOOKUP(U241,模板计算相关数据!A:N,2,0)/30)+1,模板计算相关数据!$O$35:$U$40,5,0)+AG241</f>
        <v>0</v>
      </c>
      <c r="AR241" s="3">
        <f>VLOOKUP(INT(VLOOKUP(U241,模板计算相关数据!A:N,2,0)/30)+1,模板计算相关数据!$O$35:$U$40,6,0)+AH241</f>
        <v>0</v>
      </c>
      <c r="AS241" s="3">
        <f>VLOOKUP(INT(VLOOKUP(U241,模板计算相关数据!A:N,2,0)/30)+1,模板计算相关数据!$O$35:$U$40,7,0)+AI241</f>
        <v>0</v>
      </c>
      <c r="AT241" s="3">
        <f>VLOOKUP(INT(VLOOKUP(U241,模板计算相关数据!A:N,2,0)/30)+1,模板计算相关数据!$O$35:$V$40,8,0)</f>
        <v>0</v>
      </c>
      <c r="AU241" s="2"/>
    </row>
    <row r="242" spans="1:47" x14ac:dyDescent="0.2">
      <c r="A242" s="17">
        <v>101120502</v>
      </c>
      <c r="B242" s="17"/>
      <c r="C242" s="69" t="s">
        <v>997</v>
      </c>
      <c r="D242" s="33" t="s">
        <v>1026</v>
      </c>
      <c r="E242" s="2">
        <v>1</v>
      </c>
      <c r="F242" s="3">
        <v>2</v>
      </c>
      <c r="G242" s="3">
        <v>1002201</v>
      </c>
      <c r="H242" s="3">
        <v>1</v>
      </c>
      <c r="I242" s="3">
        <v>4</v>
      </c>
      <c r="J242" s="3">
        <v>1</v>
      </c>
      <c r="K242" s="3"/>
      <c r="L242" s="91" t="s">
        <v>954</v>
      </c>
      <c r="M242" s="3"/>
      <c r="N242" s="2">
        <v>1</v>
      </c>
      <c r="O242" s="2"/>
      <c r="P242" s="3" t="s">
        <v>1613</v>
      </c>
      <c r="Q242" s="95">
        <f t="shared" si="23"/>
        <v>3.5338039215686279</v>
      </c>
      <c r="R242" s="133">
        <f>IF(P242=模板计算相关数据!$AB$24,VLOOKUP(X242,模板计算相关数据!$P$47:$T$50,2,0),VLOOKUP(X242,模板计算相关数据!$P$4:$U$7,3,0))*VLOOKUP(Y242,模板计算相关数据!$P$22:$X$30,8,0)</f>
        <v>3.5338039215686279</v>
      </c>
      <c r="S242" s="62">
        <f t="shared" si="20"/>
        <v>7.080688696105339</v>
      </c>
      <c r="T242" s="133">
        <f>IF(P242=模板计算相关数据!$AB$24,VLOOKUP(X242,模板计算相关数据!$P$47:$T$50,5,0),VLOOKUP(X242,模板计算相关数据!$P$4:$U$7,6,0))*VLOOKUP(Y242,模板计算相关数据!$P$22:$X$30,9,0)</f>
        <v>7.080688696105339</v>
      </c>
      <c r="U242" s="95">
        <v>13</v>
      </c>
      <c r="V242" s="95">
        <f t="shared" si="22"/>
        <v>33</v>
      </c>
      <c r="W242" s="29">
        <f>VLOOKUP(U242,模板计算相关数据!A:N,2,0)</f>
        <v>30</v>
      </c>
      <c r="X242" s="3" t="s">
        <v>151</v>
      </c>
      <c r="Y242" s="3" t="s">
        <v>152</v>
      </c>
      <c r="Z242" s="99">
        <v>1</v>
      </c>
      <c r="AA242" s="95">
        <v>1</v>
      </c>
      <c r="AB242" s="95">
        <v>1</v>
      </c>
      <c r="AC242" s="95">
        <v>1</v>
      </c>
      <c r="AD242" s="95">
        <v>0</v>
      </c>
      <c r="AE242" s="95">
        <v>0</v>
      </c>
      <c r="AF242" s="95">
        <v>0</v>
      </c>
      <c r="AG242" s="95">
        <v>0</v>
      </c>
      <c r="AH242" s="95">
        <v>0</v>
      </c>
      <c r="AI242" s="95">
        <v>0</v>
      </c>
      <c r="AJ242" s="3">
        <f>INT(VLOOKUP(U242,模板计算相关数据!A:N,4,0)*VLOOKUP(U242,模板计算相关数据!A:N,14,0)*(1+MAX(0,(VLOOKUP(U242,模板计算相关数据!A:N,7,0)-AQ242))*VLOOKUP(U242,模板计算相关数据!A:N,8,0))*(1-(AL242+AM242)*0.5/((AL242+AM242)*0.5+(VLOOKUP(U242,模板计算相关数据!A:N,2,0)+模板计算相关数据!$AC$27)*模板计算相关数据!$AC$28))*Q242*Z242)</f>
        <v>2459</v>
      </c>
      <c r="AK242" s="3">
        <f>INT(VLOOKUP(U242,模板计算相关数据!A:N,3,0)/模板计算相关数据!$W$35/(1+MAX(0,(AO242/10000-VLOOKUP(U242,模板计算相关数据!A:N,9,0)))*AP242/10000)/(1-VLOOKUP(U242,模板计算相关数据!A:N,5,0)/(VLOOKUP(U242,模板计算相关数据!A:N,5,0)+(VLOOKUP(U242,模板计算相关数据!A:N,2,0)+模板计算相关数据!$AC$27)*模板计算相关数据!$AC$28))/S242*AA242)</f>
        <v>855</v>
      </c>
      <c r="AL242" s="3">
        <f>INT(VLOOKUP(U242,模板计算相关数据!A:N,5,0)*VLOOKUP(X242,模板计算相关数据!$P$4:$T$7,4,0)*VLOOKUP(Y242,模板计算相关数据!$P$22:$U$30,4,0)*AB242)</f>
        <v>2270</v>
      </c>
      <c r="AM242" s="3">
        <f>INT(VLOOKUP(U242,模板计算相关数据!A:N,6,0)*VLOOKUP(X242,模板计算相关数据!$P$4:$T$7,4,0)*VLOOKUP(Y242,模板计算相关数据!$P$22:$U$30,5,0)*AC242)</f>
        <v>1345</v>
      </c>
      <c r="AN242" s="3">
        <f>VLOOKUP(U242,模板计算相关数据!A:N,10,0)*0.5*VLOOKUP(Y242,模板计算相关数据!$P$22:$U$30,6,0)+AD242</f>
        <v>250</v>
      </c>
      <c r="AO242" s="3">
        <f>VLOOKUP(INT(VLOOKUP(U242,模板计算相关数据!A:N,2,0)/30)+1,模板计算相关数据!$O$35:$U$40,3,0)+AE242</f>
        <v>0</v>
      </c>
      <c r="AP242" s="3">
        <f>VLOOKUP(INT(VLOOKUP(U242,模板计算相关数据!A:N,2,0)/30)+1,模板计算相关数据!$O$35:$U$40,4,0)+AF242</f>
        <v>5000</v>
      </c>
      <c r="AQ242" s="3">
        <f>VLOOKUP(INT(VLOOKUP(U242,模板计算相关数据!A:N,2,0)/30)+1,模板计算相关数据!$O$35:$U$40,5,0)+AG242</f>
        <v>0</v>
      </c>
      <c r="AR242" s="3">
        <f>VLOOKUP(INT(VLOOKUP(U242,模板计算相关数据!A:N,2,0)/30)+1,模板计算相关数据!$O$35:$U$40,6,0)+AH242</f>
        <v>0</v>
      </c>
      <c r="AS242" s="3">
        <f>VLOOKUP(INT(VLOOKUP(U242,模板计算相关数据!A:N,2,0)/30)+1,模板计算相关数据!$O$35:$U$40,7,0)+AI242</f>
        <v>0</v>
      </c>
      <c r="AT242" s="3">
        <f>VLOOKUP(INT(VLOOKUP(U242,模板计算相关数据!A:N,2,0)/30)+1,模板计算相关数据!$O$35:$V$40,8,0)</f>
        <v>0</v>
      </c>
      <c r="AU242" s="2"/>
    </row>
    <row r="243" spans="1:47" x14ac:dyDescent="0.2">
      <c r="A243" s="17">
        <v>101120503</v>
      </c>
      <c r="B243" s="17"/>
      <c r="C243" s="69" t="s">
        <v>998</v>
      </c>
      <c r="D243" s="33" t="s">
        <v>1026</v>
      </c>
      <c r="E243" s="2">
        <v>1</v>
      </c>
      <c r="F243" s="3">
        <v>1</v>
      </c>
      <c r="G243" s="3">
        <v>1002301</v>
      </c>
      <c r="H243" s="3">
        <v>5</v>
      </c>
      <c r="I243" s="3">
        <v>4</v>
      </c>
      <c r="J243" s="3">
        <v>1</v>
      </c>
      <c r="K243" s="3"/>
      <c r="L243" s="91" t="s">
        <v>955</v>
      </c>
      <c r="M243" s="3"/>
      <c r="N243" s="2">
        <v>1</v>
      </c>
      <c r="O243" s="2"/>
      <c r="P243" s="3" t="s">
        <v>1613</v>
      </c>
      <c r="Q243" s="95">
        <f t="shared" si="23"/>
        <v>4.61678431372549</v>
      </c>
      <c r="R243" s="133">
        <f>IF(P243=模板计算相关数据!$AB$24,VLOOKUP(X243,模板计算相关数据!$P$47:$T$50,2,0),VLOOKUP(X243,模板计算相关数据!$P$4:$U$7,3,0))*VLOOKUP(Y243,模板计算相关数据!$P$22:$X$30,8,0)</f>
        <v>4.61678431372549</v>
      </c>
      <c r="S243" s="62">
        <f t="shared" si="20"/>
        <v>8.357989402069439</v>
      </c>
      <c r="T243" s="133">
        <f>IF(P243=模板计算相关数据!$AB$24,VLOOKUP(X243,模板计算相关数据!$P$47:$T$50,5,0),VLOOKUP(X243,模板计算相关数据!$P$4:$U$7,6,0))*VLOOKUP(Y243,模板计算相关数据!$P$22:$X$30,9,0)</f>
        <v>8.357989402069439</v>
      </c>
      <c r="U243" s="95">
        <v>13</v>
      </c>
      <c r="V243" s="95">
        <f t="shared" si="22"/>
        <v>33</v>
      </c>
      <c r="W243" s="29">
        <f>VLOOKUP(U243,模板计算相关数据!A:N,2,0)</f>
        <v>30</v>
      </c>
      <c r="X243" s="3" t="s">
        <v>151</v>
      </c>
      <c r="Y243" s="3" t="s">
        <v>243</v>
      </c>
      <c r="Z243" s="99">
        <v>1</v>
      </c>
      <c r="AA243" s="95">
        <v>1</v>
      </c>
      <c r="AB243" s="95">
        <v>1</v>
      </c>
      <c r="AC243" s="95">
        <v>1</v>
      </c>
      <c r="AD243" s="95">
        <v>0</v>
      </c>
      <c r="AE243" s="95">
        <v>0</v>
      </c>
      <c r="AF243" s="95">
        <v>0</v>
      </c>
      <c r="AG243" s="95">
        <v>0</v>
      </c>
      <c r="AH243" s="95">
        <v>0</v>
      </c>
      <c r="AI243" s="95">
        <v>0</v>
      </c>
      <c r="AJ243" s="3">
        <f>INT(VLOOKUP(U243,模板计算相关数据!A:N,4,0)*VLOOKUP(U243,模板计算相关数据!A:N,14,0)*(1+MAX(0,(VLOOKUP(U243,模板计算相关数据!A:N,7,0)-AQ243))*VLOOKUP(U243,模板计算相关数据!A:N,8,0))*(1-(AL243+AM243)*0.5/((AL243+AM243)*0.5+(VLOOKUP(U243,模板计算相关数据!A:N,2,0)+模板计算相关数据!$AC$27)*模板计算相关数据!$AC$28))*Q243*Z243)</f>
        <v>3085</v>
      </c>
      <c r="AK243" s="3">
        <f>INT(VLOOKUP(U243,模板计算相关数据!A:N,3,0)/模板计算相关数据!$W$35/(1+MAX(0,(AO243/10000-VLOOKUP(U243,模板计算相关数据!A:N,9,0)))*AP243/10000)/(1-VLOOKUP(U243,模板计算相关数据!A:N,5,0)/(VLOOKUP(U243,模板计算相关数据!A:N,5,0)+(VLOOKUP(U243,模板计算相关数据!A:N,2,0)+模板计算相关数据!$AC$27)*模板计算相关数据!$AC$28))/S243*AA243)</f>
        <v>724</v>
      </c>
      <c r="AL243" s="3">
        <f>INT(VLOOKUP(U243,模板计算相关数据!A:N,5,0)*VLOOKUP(X243,模板计算相关数据!$P$4:$T$7,4,0)*VLOOKUP(Y243,模板计算相关数据!$P$22:$U$30,4,0)*AB243)</f>
        <v>1429</v>
      </c>
      <c r="AM243" s="3">
        <f>INT(VLOOKUP(U243,模板计算相关数据!A:N,6,0)*VLOOKUP(X243,模板计算相关数据!$P$4:$T$7,4,0)*VLOOKUP(Y243,模板计算相关数据!$P$22:$U$30,5,0)*AC243)</f>
        <v>2606</v>
      </c>
      <c r="AN243" s="3">
        <f>VLOOKUP(U243,模板计算相关数据!A:N,10,0)*0.5*VLOOKUP(Y243,模板计算相关数据!$P$22:$U$30,6,0)+AD243</f>
        <v>275</v>
      </c>
      <c r="AO243" s="3">
        <f>VLOOKUP(INT(VLOOKUP(U243,模板计算相关数据!A:N,2,0)/30)+1,模板计算相关数据!$O$35:$U$40,3,0)+AE243</f>
        <v>0</v>
      </c>
      <c r="AP243" s="3">
        <f>VLOOKUP(INT(VLOOKUP(U243,模板计算相关数据!A:N,2,0)/30)+1,模板计算相关数据!$O$35:$U$40,4,0)+AF243</f>
        <v>5000</v>
      </c>
      <c r="AQ243" s="3">
        <f>VLOOKUP(INT(VLOOKUP(U243,模板计算相关数据!A:N,2,0)/30)+1,模板计算相关数据!$O$35:$U$40,5,0)+AG243</f>
        <v>0</v>
      </c>
      <c r="AR243" s="3">
        <f>VLOOKUP(INT(VLOOKUP(U243,模板计算相关数据!A:N,2,0)/30)+1,模板计算相关数据!$O$35:$U$40,6,0)+AH243</f>
        <v>0</v>
      </c>
      <c r="AS243" s="3">
        <f>VLOOKUP(INT(VLOOKUP(U243,模板计算相关数据!A:N,2,0)/30)+1,模板计算相关数据!$O$35:$U$40,7,0)+AI243</f>
        <v>0</v>
      </c>
      <c r="AT243" s="3">
        <f>VLOOKUP(INT(VLOOKUP(U243,模板计算相关数据!A:N,2,0)/30)+1,模板计算相关数据!$O$35:$V$40,8,0)</f>
        <v>0</v>
      </c>
      <c r="AU243" s="2"/>
    </row>
    <row r="244" spans="1:47" x14ac:dyDescent="0.2">
      <c r="A244" s="17">
        <v>101120505</v>
      </c>
      <c r="B244" s="17"/>
      <c r="C244" s="69" t="s">
        <v>1599</v>
      </c>
      <c r="D244" s="33" t="s">
        <v>1026</v>
      </c>
      <c r="E244" s="2">
        <v>1</v>
      </c>
      <c r="F244" s="3">
        <v>5</v>
      </c>
      <c r="G244" s="3">
        <v>1002401</v>
      </c>
      <c r="H244" s="3">
        <v>5</v>
      </c>
      <c r="I244" s="3">
        <v>4</v>
      </c>
      <c r="J244" s="3">
        <v>1</v>
      </c>
      <c r="K244" s="3">
        <v>1</v>
      </c>
      <c r="L244" s="91" t="s">
        <v>1541</v>
      </c>
      <c r="M244" s="3"/>
      <c r="N244" s="2">
        <v>1</v>
      </c>
      <c r="O244" s="2"/>
      <c r="P244" s="3" t="s">
        <v>1613</v>
      </c>
      <c r="Q244" s="95">
        <v>13.5</v>
      </c>
      <c r="R244" s="133">
        <f>IF(P244=模板计算相关数据!$AB$24,VLOOKUP(X244,模板计算相关数据!$P$47:$T$50,2,0),VLOOKUP(X244,模板计算相关数据!$P$4:$U$7,3,0))*VLOOKUP(Y244,模板计算相关数据!$P$22:$X$30,8,0)</f>
        <v>23.083921568627449</v>
      </c>
      <c r="S244" s="62">
        <v>5.13</v>
      </c>
      <c r="T244" s="133">
        <f>IF(P244=模板计算相关数据!$AB$24,VLOOKUP(X244,模板计算相关数据!$P$47:$T$50,5,0),VLOOKUP(X244,模板计算相关数据!$P$4:$U$7,6,0))*VLOOKUP(Y244,模板计算相关数据!$P$22:$X$30,9,0)</f>
        <v>3.1342460257760378</v>
      </c>
      <c r="U244" s="95">
        <v>13</v>
      </c>
      <c r="V244" s="95">
        <f t="shared" si="22"/>
        <v>33</v>
      </c>
      <c r="W244" s="29">
        <f>VLOOKUP(U244,模板计算相关数据!A:N,2,0)</f>
        <v>30</v>
      </c>
      <c r="X244" s="3" t="s">
        <v>178</v>
      </c>
      <c r="Y244" s="3" t="s">
        <v>159</v>
      </c>
      <c r="Z244" s="99">
        <v>1.05</v>
      </c>
      <c r="AA244" s="95">
        <v>0.9</v>
      </c>
      <c r="AB244" s="95">
        <v>1</v>
      </c>
      <c r="AC244" s="95">
        <v>1</v>
      </c>
      <c r="AD244" s="95">
        <v>0</v>
      </c>
      <c r="AE244" s="95">
        <v>0</v>
      </c>
      <c r="AF244" s="95">
        <v>0</v>
      </c>
      <c r="AG244" s="95">
        <v>0</v>
      </c>
      <c r="AH244" s="95">
        <v>0</v>
      </c>
      <c r="AI244" s="95">
        <v>2000</v>
      </c>
      <c r="AJ244" s="3">
        <f>INT(VLOOKUP(U244,模板计算相关数据!A:N,4,0)*VLOOKUP(U244,模板计算相关数据!A:N,14,0)*(1+MAX(0,(VLOOKUP(U244,模板计算相关数据!A:N,7,0)-AQ244))*VLOOKUP(U244,模板计算相关数据!A:N,8,0))*(1-(AL244+AM244)*0.5/((AL244+AM244)*0.5+(VLOOKUP(U244,模板计算相关数据!A:N,2,0)+模板计算相关数据!$AC$27)*模板计算相关数据!$AC$28))*Q244*Z244)</f>
        <v>7953</v>
      </c>
      <c r="AK244" s="3">
        <f>INT(VLOOKUP(U244,模板计算相关数据!A:N,3,0)/模板计算相关数据!$W$35/(1+MAX(0,(AO244/10000-VLOOKUP(U244,模板计算相关数据!A:N,9,0)))*AP244/10000)/(1-VLOOKUP(U244,模板计算相关数据!A:N,5,0)/(VLOOKUP(U244,模板计算相关数据!A:N,5,0)+(VLOOKUP(U244,模板计算相关数据!A:N,2,0)+模板计算相关数据!$AC$27)*模板计算相关数据!$AC$28))/S244*AA244)</f>
        <v>1062</v>
      </c>
      <c r="AL244" s="3">
        <f>INT(VLOOKUP(U244,模板计算相关数据!A:N,5,0)*VLOOKUP(X244,模板计算相关数据!$P$4:$T$7,4,0)*VLOOKUP(Y244,模板计算相关数据!$P$22:$U$30,4,0)*AB244)</f>
        <v>3910</v>
      </c>
      <c r="AM244" s="3">
        <f>INT(VLOOKUP(U244,模板计算相关数据!A:N,6,0)*VLOOKUP(X244,模板计算相关数据!$P$4:$T$7,4,0)*VLOOKUP(Y244,模板计算相关数据!$P$22:$U$30,5,0)*AC244)</f>
        <v>2144</v>
      </c>
      <c r="AN244" s="3">
        <f>VLOOKUP(U244,模板计算相关数据!A:N,10,0)*0.5*VLOOKUP(Y244,模板计算相关数据!$P$22:$U$30,6,0)+AD244</f>
        <v>275</v>
      </c>
      <c r="AO244" s="3">
        <f>VLOOKUP(INT(VLOOKUP(U244,模板计算相关数据!A:N,2,0)/30)+1,模板计算相关数据!$O$35:$U$40,3,0)+AE244</f>
        <v>0</v>
      </c>
      <c r="AP244" s="3">
        <f>VLOOKUP(INT(VLOOKUP(U244,模板计算相关数据!A:N,2,0)/30)+1,模板计算相关数据!$O$35:$U$40,4,0)+AF244</f>
        <v>5000</v>
      </c>
      <c r="AQ244" s="3">
        <f>VLOOKUP(INT(VLOOKUP(U244,模板计算相关数据!A:N,2,0)/30)+1,模板计算相关数据!$O$35:$U$40,5,0)+AG244</f>
        <v>0</v>
      </c>
      <c r="AR244" s="3">
        <f>VLOOKUP(INT(VLOOKUP(U244,模板计算相关数据!A:N,2,0)/30)+1,模板计算相关数据!$O$35:$U$40,6,0)+AH244</f>
        <v>0</v>
      </c>
      <c r="AS244" s="3">
        <f>VLOOKUP(INT(VLOOKUP(U244,模板计算相关数据!A:N,2,0)/30)+1,模板计算相关数据!$O$35:$U$40,7,0)+AI244</f>
        <v>2000</v>
      </c>
      <c r="AT244" s="3">
        <f>VLOOKUP(INT(VLOOKUP(U244,模板计算相关数据!A:N,2,0)/30)+1,模板计算相关数据!$O$35:$V$40,8,0)</f>
        <v>0</v>
      </c>
      <c r="AU244" s="69" t="s">
        <v>1572</v>
      </c>
    </row>
    <row r="245" spans="1:47" x14ac:dyDescent="0.2">
      <c r="A245" s="19">
        <v>101130101</v>
      </c>
      <c r="B245" s="19"/>
      <c r="C245" s="69" t="s">
        <v>997</v>
      </c>
      <c r="D245" s="87" t="s">
        <v>1027</v>
      </c>
      <c r="E245" s="2">
        <v>1</v>
      </c>
      <c r="F245" s="3">
        <v>2</v>
      </c>
      <c r="G245" s="3">
        <v>1002201</v>
      </c>
      <c r="H245" s="3">
        <v>1</v>
      </c>
      <c r="I245" s="3">
        <v>4</v>
      </c>
      <c r="J245" s="3">
        <v>1</v>
      </c>
      <c r="K245" s="3"/>
      <c r="L245" s="91" t="s">
        <v>954</v>
      </c>
      <c r="M245" s="3"/>
      <c r="N245" s="2">
        <v>1</v>
      </c>
      <c r="O245" s="2"/>
      <c r="P245" s="3" t="s">
        <v>1615</v>
      </c>
      <c r="Q245" s="95">
        <f t="shared" si="19"/>
        <v>4.417254901960785</v>
      </c>
      <c r="R245" s="133">
        <f>IF(P245=模板计算相关数据!$AB$24,VLOOKUP(X245,模板计算相关数据!$P$47:$T$50,2,0),VLOOKUP(X245,模板计算相关数据!$P$4:$U$7,3,0))*VLOOKUP(Y245,模板计算相关数据!$P$22:$X$30,8,0)</f>
        <v>4.417254901960785</v>
      </c>
      <c r="S245" s="62">
        <f t="shared" si="20"/>
        <v>5.4285280003474252</v>
      </c>
      <c r="T245" s="133">
        <f>IF(P245=模板计算相关数据!$AB$24,VLOOKUP(X245,模板计算相关数据!$P$47:$T$50,5,0),VLOOKUP(X245,模板计算相关数据!$P$4:$U$7,6,0))*VLOOKUP(Y245,模板计算相关数据!$P$22:$X$30,9,0)</f>
        <v>5.4285280003474252</v>
      </c>
      <c r="U245" s="95">
        <v>13</v>
      </c>
      <c r="V245" s="95">
        <f t="shared" si="22"/>
        <v>33</v>
      </c>
      <c r="W245" s="29">
        <f>VLOOKUP(U245,模板计算相关数据!A:N,2,0)</f>
        <v>30</v>
      </c>
      <c r="X245" s="3" t="s">
        <v>151</v>
      </c>
      <c r="Y245" s="3" t="s">
        <v>152</v>
      </c>
      <c r="Z245" s="95">
        <v>1.1000000000000001</v>
      </c>
      <c r="AA245" s="95">
        <v>1.1499999999999999</v>
      </c>
      <c r="AB245" s="95">
        <v>1</v>
      </c>
      <c r="AC245" s="95">
        <v>1</v>
      </c>
      <c r="AD245" s="95">
        <v>0</v>
      </c>
      <c r="AE245" s="95">
        <v>0</v>
      </c>
      <c r="AF245" s="95">
        <v>0</v>
      </c>
      <c r="AG245" s="95">
        <v>0</v>
      </c>
      <c r="AH245" s="95">
        <v>0</v>
      </c>
      <c r="AI245" s="95">
        <v>0</v>
      </c>
      <c r="AJ245" s="3">
        <f>INT(VLOOKUP(U245,模板计算相关数据!A:N,4,0)*VLOOKUP(U245,模板计算相关数据!A:N,14,0)*(1+MAX(0,(VLOOKUP(U245,模板计算相关数据!A:N,7,0)-AQ245))*VLOOKUP(U245,模板计算相关数据!A:N,8,0))*(1-(AL245+AM245)*0.5/((AL245+AM245)*0.5+(VLOOKUP(U245,模板计算相关数据!A:N,2,0)+模板计算相关数据!$AC$27)*模板计算相关数据!$AC$28))*Q245*Z245)</f>
        <v>3382</v>
      </c>
      <c r="AK245" s="3">
        <f>INT(VLOOKUP(U245,模板计算相关数据!A:N,3,0)/模板计算相关数据!$W$35/(1+MAX(0,(AO245/10000-VLOOKUP(U245,模板计算相关数据!A:N,9,0)))*AP245/10000)/(1-VLOOKUP(U245,模板计算相关数据!A:N,5,0)/(VLOOKUP(U245,模板计算相关数据!A:N,5,0)+(VLOOKUP(U245,模板计算相关数据!A:N,2,0)+模板计算相关数据!$AC$27)*模板计算相关数据!$AC$28))/S245*AA245)</f>
        <v>1283</v>
      </c>
      <c r="AL245" s="3">
        <f>INT(VLOOKUP(U245,模板计算相关数据!A:N,5,0)*VLOOKUP(X245,模板计算相关数据!$P$4:$T$7,4,0)*VLOOKUP(Y245,模板计算相关数据!$P$22:$U$30,4,0)*AB245)</f>
        <v>2270</v>
      </c>
      <c r="AM245" s="3">
        <f>INT(VLOOKUP(U245,模板计算相关数据!A:N,6,0)*VLOOKUP(X245,模板计算相关数据!$P$4:$T$7,4,0)*VLOOKUP(Y245,模板计算相关数据!$P$22:$U$30,5,0)*AC245)</f>
        <v>1345</v>
      </c>
      <c r="AN245" s="3">
        <f>VLOOKUP(U245,模板计算相关数据!A:N,10,0)*0.5*VLOOKUP(Y245,模板计算相关数据!$P$22:$U$30,6,0)+AD245</f>
        <v>250</v>
      </c>
      <c r="AO245" s="3">
        <f>VLOOKUP(INT(VLOOKUP(U245,模板计算相关数据!A:N,2,0)/30)+1,模板计算相关数据!$O$35:$U$40,3,0)+AE245</f>
        <v>0</v>
      </c>
      <c r="AP245" s="3">
        <f>VLOOKUP(INT(VLOOKUP(U245,模板计算相关数据!A:N,2,0)/30)+1,模板计算相关数据!$O$35:$U$40,4,0)+AF245</f>
        <v>5000</v>
      </c>
      <c r="AQ245" s="3">
        <f>VLOOKUP(INT(VLOOKUP(U245,模板计算相关数据!A:N,2,0)/30)+1,模板计算相关数据!$O$35:$U$40,5,0)+AG245</f>
        <v>0</v>
      </c>
      <c r="AR245" s="3">
        <f>VLOOKUP(INT(VLOOKUP(U245,模板计算相关数据!A:N,2,0)/30)+1,模板计算相关数据!$O$35:$U$40,6,0)+AH245</f>
        <v>0</v>
      </c>
      <c r="AS245" s="3">
        <f>VLOOKUP(INT(VLOOKUP(U245,模板计算相关数据!A:N,2,0)/30)+1,模板计算相关数据!$O$35:$U$40,7,0)+AI245</f>
        <v>0</v>
      </c>
      <c r="AT245" s="3">
        <f>VLOOKUP(INT(VLOOKUP(U245,模板计算相关数据!A:N,2,0)/30)+1,模板计算相关数据!$O$35:$V$40,8,0)</f>
        <v>0</v>
      </c>
      <c r="AU245" s="2"/>
    </row>
    <row r="246" spans="1:47" x14ac:dyDescent="0.2">
      <c r="A246" s="19">
        <v>101130102</v>
      </c>
      <c r="B246" s="19"/>
      <c r="C246" s="69" t="s">
        <v>998</v>
      </c>
      <c r="D246" s="87" t="s">
        <v>1027</v>
      </c>
      <c r="E246" s="2">
        <v>1</v>
      </c>
      <c r="F246" s="3">
        <v>5</v>
      </c>
      <c r="G246" s="3">
        <v>1002301</v>
      </c>
      <c r="H246" s="3">
        <v>5</v>
      </c>
      <c r="I246" s="3">
        <v>4</v>
      </c>
      <c r="J246" s="3">
        <v>1</v>
      </c>
      <c r="K246" s="3"/>
      <c r="L246" s="91" t="s">
        <v>955</v>
      </c>
      <c r="M246" s="3"/>
      <c r="N246" s="2">
        <v>1</v>
      </c>
      <c r="O246" s="2"/>
      <c r="P246" s="3" t="s">
        <v>1615</v>
      </c>
      <c r="Q246" s="95">
        <f t="shared" si="19"/>
        <v>5.7709803921568623</v>
      </c>
      <c r="R246" s="133">
        <f>IF(P246=模板计算相关数据!$AB$24,VLOOKUP(X246,模板计算相关数据!$P$47:$T$50,2,0),VLOOKUP(X246,模板计算相关数据!$P$4:$U$7,3,0))*VLOOKUP(Y246,模板计算相关数据!$P$22:$X$30,8,0)</f>
        <v>5.7709803921568623</v>
      </c>
      <c r="S246" s="62">
        <f t="shared" si="20"/>
        <v>6.4077918749199023</v>
      </c>
      <c r="T246" s="133">
        <f>IF(P246=模板计算相关数据!$AB$24,VLOOKUP(X246,模板计算相关数据!$P$47:$T$50,5,0),VLOOKUP(X246,模板计算相关数据!$P$4:$U$7,6,0))*VLOOKUP(Y246,模板计算相关数据!$P$22:$X$30,9,0)</f>
        <v>6.4077918749199023</v>
      </c>
      <c r="U246" s="95">
        <v>13</v>
      </c>
      <c r="V246" s="95">
        <f t="shared" si="22"/>
        <v>33</v>
      </c>
      <c r="W246" s="29">
        <f>VLOOKUP(U246,模板计算相关数据!A:N,2,0)</f>
        <v>30</v>
      </c>
      <c r="X246" s="3" t="s">
        <v>151</v>
      </c>
      <c r="Y246" s="3" t="s">
        <v>243</v>
      </c>
      <c r="Z246" s="95">
        <v>1.1000000000000001</v>
      </c>
      <c r="AA246" s="95">
        <v>1.1499999999999999</v>
      </c>
      <c r="AB246" s="95">
        <v>1</v>
      </c>
      <c r="AC246" s="95">
        <v>1</v>
      </c>
      <c r="AD246" s="95">
        <v>0</v>
      </c>
      <c r="AE246" s="95">
        <v>0</v>
      </c>
      <c r="AF246" s="95">
        <v>0</v>
      </c>
      <c r="AG246" s="95">
        <v>0</v>
      </c>
      <c r="AH246" s="95">
        <v>0</v>
      </c>
      <c r="AI246" s="95">
        <v>0</v>
      </c>
      <c r="AJ246" s="3">
        <f>INT(VLOOKUP(U246,模板计算相关数据!A:N,4,0)*VLOOKUP(U246,模板计算相关数据!A:N,14,0)*(1+MAX(0,(VLOOKUP(U246,模板计算相关数据!A:N,7,0)-AQ246))*VLOOKUP(U246,模板计算相关数据!A:N,8,0))*(1-(AL246+AM246)*0.5/((AL246+AM246)*0.5+(VLOOKUP(U246,模板计算相关数据!A:N,2,0)+模板计算相关数据!$AC$27)*模板计算相关数据!$AC$28))*Q246*Z246)</f>
        <v>4242</v>
      </c>
      <c r="AK246" s="3">
        <f>INT(VLOOKUP(U246,模板计算相关数据!A:N,3,0)/模板计算相关数据!$W$35/(1+MAX(0,(AO246/10000-VLOOKUP(U246,模板计算相关数据!A:N,9,0)))*AP246/10000)/(1-VLOOKUP(U246,模板计算相关数据!A:N,5,0)/(VLOOKUP(U246,模板计算相关数据!A:N,5,0)+(VLOOKUP(U246,模板计算相关数据!A:N,2,0)+模板计算相关数据!$AC$27)*模板计算相关数据!$AC$28))/S246*AA246)</f>
        <v>1087</v>
      </c>
      <c r="AL246" s="3">
        <f>INT(VLOOKUP(U246,模板计算相关数据!A:N,5,0)*VLOOKUP(X246,模板计算相关数据!$P$4:$T$7,4,0)*VLOOKUP(Y246,模板计算相关数据!$P$22:$U$30,4,0)*AB246)</f>
        <v>1429</v>
      </c>
      <c r="AM246" s="3">
        <f>INT(VLOOKUP(U246,模板计算相关数据!A:N,6,0)*VLOOKUP(X246,模板计算相关数据!$P$4:$T$7,4,0)*VLOOKUP(Y246,模板计算相关数据!$P$22:$U$30,5,0)*AC246)</f>
        <v>2606</v>
      </c>
      <c r="AN246" s="3">
        <f>VLOOKUP(U246,模板计算相关数据!A:N,10,0)*0.5*VLOOKUP(Y246,模板计算相关数据!$P$22:$U$30,6,0)+AD246</f>
        <v>275</v>
      </c>
      <c r="AO246" s="3">
        <f>VLOOKUP(INT(VLOOKUP(U246,模板计算相关数据!A:N,2,0)/30)+1,模板计算相关数据!$O$35:$U$40,3,0)+AE246</f>
        <v>0</v>
      </c>
      <c r="AP246" s="3">
        <f>VLOOKUP(INT(VLOOKUP(U246,模板计算相关数据!A:N,2,0)/30)+1,模板计算相关数据!$O$35:$U$40,4,0)+AF246</f>
        <v>5000</v>
      </c>
      <c r="AQ246" s="3">
        <f>VLOOKUP(INT(VLOOKUP(U246,模板计算相关数据!A:N,2,0)/30)+1,模板计算相关数据!$O$35:$U$40,5,0)+AG246</f>
        <v>0</v>
      </c>
      <c r="AR246" s="3">
        <f>VLOOKUP(INT(VLOOKUP(U246,模板计算相关数据!A:N,2,0)/30)+1,模板计算相关数据!$O$35:$U$40,6,0)+AH246</f>
        <v>0</v>
      </c>
      <c r="AS246" s="3">
        <f>VLOOKUP(INT(VLOOKUP(U246,模板计算相关数据!A:N,2,0)/30)+1,模板计算相关数据!$O$35:$U$40,7,0)+AI246</f>
        <v>0</v>
      </c>
      <c r="AT246" s="3">
        <f>VLOOKUP(INT(VLOOKUP(U246,模板计算相关数据!A:N,2,0)/30)+1,模板计算相关数据!$O$35:$V$40,8,0)</f>
        <v>0</v>
      </c>
      <c r="AU246" s="2"/>
    </row>
    <row r="247" spans="1:47" x14ac:dyDescent="0.2">
      <c r="A247" s="19">
        <v>101130103</v>
      </c>
      <c r="B247" s="19"/>
      <c r="C247" s="69" t="s">
        <v>995</v>
      </c>
      <c r="D247" s="87" t="s">
        <v>1027</v>
      </c>
      <c r="E247" s="2">
        <v>1</v>
      </c>
      <c r="F247" s="3">
        <v>3</v>
      </c>
      <c r="G247" s="3">
        <v>1001801</v>
      </c>
      <c r="H247" s="3">
        <v>1</v>
      </c>
      <c r="I247" s="3">
        <v>4</v>
      </c>
      <c r="J247" s="3">
        <v>5</v>
      </c>
      <c r="K247" s="3"/>
      <c r="L247" s="91" t="s">
        <v>951</v>
      </c>
      <c r="M247" s="3"/>
      <c r="N247" s="2">
        <v>1</v>
      </c>
      <c r="O247" s="2"/>
      <c r="P247" s="3" t="s">
        <v>1615</v>
      </c>
      <c r="Q247" s="95">
        <f t="shared" si="19"/>
        <v>4.417254901960785</v>
      </c>
      <c r="R247" s="133">
        <f>IF(P247=模板计算相关数据!$AB$24,VLOOKUP(X247,模板计算相关数据!$P$47:$T$50,2,0),VLOOKUP(X247,模板计算相关数据!$P$4:$U$7,3,0))*VLOOKUP(Y247,模板计算相关数据!$P$22:$X$30,8,0)</f>
        <v>4.417254901960785</v>
      </c>
      <c r="S247" s="62">
        <f t="shared" si="20"/>
        <v>5.4285280003474252</v>
      </c>
      <c r="T247" s="133">
        <f>IF(P247=模板计算相关数据!$AB$24,VLOOKUP(X247,模板计算相关数据!$P$47:$T$50,5,0),VLOOKUP(X247,模板计算相关数据!$P$4:$U$7,6,0))*VLOOKUP(Y247,模板计算相关数据!$P$22:$X$30,9,0)</f>
        <v>5.4285280003474252</v>
      </c>
      <c r="U247" s="95">
        <v>13</v>
      </c>
      <c r="V247" s="95">
        <f t="shared" si="22"/>
        <v>33</v>
      </c>
      <c r="W247" s="29">
        <f>VLOOKUP(U247,模板计算相关数据!A:N,2,0)</f>
        <v>30</v>
      </c>
      <c r="X247" s="3" t="s">
        <v>151</v>
      </c>
      <c r="Y247" s="3" t="s">
        <v>152</v>
      </c>
      <c r="Z247" s="95">
        <v>1.1000000000000001</v>
      </c>
      <c r="AA247" s="95">
        <v>1.1499999999999999</v>
      </c>
      <c r="AB247" s="95">
        <v>1</v>
      </c>
      <c r="AC247" s="95">
        <v>1</v>
      </c>
      <c r="AD247" s="95">
        <v>0</v>
      </c>
      <c r="AE247" s="95">
        <v>0</v>
      </c>
      <c r="AF247" s="95">
        <v>0</v>
      </c>
      <c r="AG247" s="95">
        <v>0</v>
      </c>
      <c r="AH247" s="95">
        <v>0</v>
      </c>
      <c r="AI247" s="95">
        <v>0</v>
      </c>
      <c r="AJ247" s="3">
        <f>INT(VLOOKUP(U247,模板计算相关数据!A:N,4,0)*VLOOKUP(U247,模板计算相关数据!A:N,14,0)*(1+MAX(0,(VLOOKUP(U247,模板计算相关数据!A:N,7,0)-AQ247))*VLOOKUP(U247,模板计算相关数据!A:N,8,0))*(1-(AL247+AM247)*0.5/((AL247+AM247)*0.5+(VLOOKUP(U247,模板计算相关数据!A:N,2,0)+模板计算相关数据!$AC$27)*模板计算相关数据!$AC$28))*Q247*Z247)</f>
        <v>3382</v>
      </c>
      <c r="AK247" s="3">
        <f>INT(VLOOKUP(U247,模板计算相关数据!A:N,3,0)/模板计算相关数据!$W$35/(1+MAX(0,(AO247/10000-VLOOKUP(U247,模板计算相关数据!A:N,9,0)))*AP247/10000)/(1-VLOOKUP(U247,模板计算相关数据!A:N,5,0)/(VLOOKUP(U247,模板计算相关数据!A:N,5,0)+(VLOOKUP(U247,模板计算相关数据!A:N,2,0)+模板计算相关数据!$AC$27)*模板计算相关数据!$AC$28))/S247*AA247)</f>
        <v>1283</v>
      </c>
      <c r="AL247" s="3">
        <f>INT(VLOOKUP(U247,模板计算相关数据!A:N,5,0)*VLOOKUP(X247,模板计算相关数据!$P$4:$T$7,4,0)*VLOOKUP(Y247,模板计算相关数据!$P$22:$U$30,4,0)*AB247)</f>
        <v>2270</v>
      </c>
      <c r="AM247" s="3">
        <f>INT(VLOOKUP(U247,模板计算相关数据!A:N,6,0)*VLOOKUP(X247,模板计算相关数据!$P$4:$T$7,4,0)*VLOOKUP(Y247,模板计算相关数据!$P$22:$U$30,5,0)*AC247)</f>
        <v>1345</v>
      </c>
      <c r="AN247" s="3">
        <f>VLOOKUP(U247,模板计算相关数据!A:N,10,0)*0.5*VLOOKUP(Y247,模板计算相关数据!$P$22:$U$30,6,0)+AD247</f>
        <v>250</v>
      </c>
      <c r="AO247" s="3">
        <f>VLOOKUP(INT(VLOOKUP(U247,模板计算相关数据!A:N,2,0)/30)+1,模板计算相关数据!$O$35:$U$40,3,0)+AE247</f>
        <v>0</v>
      </c>
      <c r="AP247" s="3">
        <f>VLOOKUP(INT(VLOOKUP(U247,模板计算相关数据!A:N,2,0)/30)+1,模板计算相关数据!$O$35:$U$40,4,0)+AF247</f>
        <v>5000</v>
      </c>
      <c r="AQ247" s="3">
        <f>VLOOKUP(INT(VLOOKUP(U247,模板计算相关数据!A:N,2,0)/30)+1,模板计算相关数据!$O$35:$U$40,5,0)+AG247</f>
        <v>0</v>
      </c>
      <c r="AR247" s="3">
        <f>VLOOKUP(INT(VLOOKUP(U247,模板计算相关数据!A:N,2,0)/30)+1,模板计算相关数据!$O$35:$U$40,6,0)+AH247</f>
        <v>0</v>
      </c>
      <c r="AS247" s="3">
        <f>VLOOKUP(INT(VLOOKUP(U247,模板计算相关数据!A:N,2,0)/30)+1,模板计算相关数据!$O$35:$U$40,7,0)+AI247</f>
        <v>0</v>
      </c>
      <c r="AT247" s="3">
        <f>VLOOKUP(INT(VLOOKUP(U247,模板计算相关数据!A:N,2,0)/30)+1,模板计算相关数据!$O$35:$V$40,8,0)</f>
        <v>0</v>
      </c>
      <c r="AU247" s="2"/>
    </row>
    <row r="248" spans="1:47" x14ac:dyDescent="0.2">
      <c r="A248" s="17">
        <v>101130201</v>
      </c>
      <c r="B248" s="17"/>
      <c r="C248" s="69" t="s">
        <v>996</v>
      </c>
      <c r="D248" s="87" t="s">
        <v>1027</v>
      </c>
      <c r="E248" s="2">
        <v>1</v>
      </c>
      <c r="F248" s="3">
        <v>5</v>
      </c>
      <c r="G248" s="3">
        <v>1002101</v>
      </c>
      <c r="H248" s="3">
        <v>4</v>
      </c>
      <c r="I248" s="3">
        <v>4</v>
      </c>
      <c r="J248" s="3">
        <v>1</v>
      </c>
      <c r="K248" s="3"/>
      <c r="L248" s="91" t="s">
        <v>953</v>
      </c>
      <c r="M248" s="3"/>
      <c r="N248" s="2">
        <v>1</v>
      </c>
      <c r="O248" s="2"/>
      <c r="P248" s="3" t="s">
        <v>1615</v>
      </c>
      <c r="Q248" s="95">
        <f t="shared" si="19"/>
        <v>4.4674509803921572</v>
      </c>
      <c r="R248" s="133">
        <f>IF(P248=模板计算相关数据!$AB$24,VLOOKUP(X248,模板计算相关数据!$P$47:$T$50,2,0),VLOOKUP(X248,模板计算相关数据!$P$4:$U$7,3,0))*VLOOKUP(Y248,模板计算相关数据!$P$22:$X$30,8,0)</f>
        <v>4.4674509803921572</v>
      </c>
      <c r="S248" s="62">
        <f t="shared" si="20"/>
        <v>5.4739930589768004</v>
      </c>
      <c r="T248" s="133">
        <f>IF(P248=模板计算相关数据!$AB$24,VLOOKUP(X248,模板计算相关数据!$P$47:$T$50,5,0),VLOOKUP(X248,模板计算相关数据!$P$4:$U$7,6,0))*VLOOKUP(Y248,模板计算相关数据!$P$22:$X$30,9,0)</f>
        <v>5.4739930589768004</v>
      </c>
      <c r="U248" s="95">
        <v>13</v>
      </c>
      <c r="V248" s="95">
        <f t="shared" si="22"/>
        <v>33</v>
      </c>
      <c r="W248" s="29">
        <f>VLOOKUP(U248,模板计算相关数据!A:N,2,0)</f>
        <v>30</v>
      </c>
      <c r="X248" s="3" t="s">
        <v>151</v>
      </c>
      <c r="Y248" s="3" t="s">
        <v>162</v>
      </c>
      <c r="Z248" s="95">
        <v>1.1000000000000001</v>
      </c>
      <c r="AA248" s="95">
        <v>1.1499999999999999</v>
      </c>
      <c r="AB248" s="95">
        <v>1</v>
      </c>
      <c r="AC248" s="95">
        <v>1</v>
      </c>
      <c r="AD248" s="95">
        <v>0</v>
      </c>
      <c r="AE248" s="95">
        <v>0</v>
      </c>
      <c r="AF248" s="95">
        <v>0</v>
      </c>
      <c r="AG248" s="95">
        <v>0</v>
      </c>
      <c r="AH248" s="95">
        <v>0</v>
      </c>
      <c r="AI248" s="95">
        <v>0</v>
      </c>
      <c r="AJ248" s="3">
        <f>INT(VLOOKUP(U248,模板计算相关数据!A:N,4,0)*VLOOKUP(U248,模板计算相关数据!A:N,14,0)*(1+MAX(0,(VLOOKUP(U248,模板计算相关数据!A:N,7,0)-AQ248))*VLOOKUP(U248,模板计算相关数据!A:N,8,0))*(1-(AL248+AM248)*0.5/((AL248+AM248)*0.5+(VLOOKUP(U248,模板计算相关数据!A:N,2,0)+模板计算相关数据!$AC$27)*模板计算相关数据!$AC$28))*Q248*Z248)</f>
        <v>3420</v>
      </c>
      <c r="AK248" s="3">
        <f>INT(VLOOKUP(U248,模板计算相关数据!A:N,3,0)/模板计算相关数据!$W$35/(1+MAX(0,(AO248/10000-VLOOKUP(U248,模板计算相关数据!A:N,9,0)))*AP248/10000)/(1-VLOOKUP(U248,模板计算相关数据!A:N,5,0)/(VLOOKUP(U248,模板计算相关数据!A:N,5,0)+(VLOOKUP(U248,模板计算相关数据!A:N,2,0)+模板计算相关数据!$AC$27)*模板计算相关数据!$AC$28))/S248*AA248)</f>
        <v>1272</v>
      </c>
      <c r="AL248" s="3">
        <f>INT(VLOOKUP(U248,模板计算相关数据!A:N,5,0)*VLOOKUP(X248,模板计算相关数据!$P$4:$T$7,4,0)*VLOOKUP(Y248,模板计算相关数据!$P$22:$U$30,4,0)*AB248)</f>
        <v>1345</v>
      </c>
      <c r="AM248" s="3">
        <f>INT(VLOOKUP(U248,模板计算相关数据!A:N,6,0)*VLOOKUP(X248,模板计算相关数据!$P$4:$T$7,4,0)*VLOOKUP(Y248,模板计算相关数据!$P$22:$U$30,5,0)*AC248)</f>
        <v>2270</v>
      </c>
      <c r="AN248" s="3">
        <f>VLOOKUP(U248,模板计算相关数据!A:N,10,0)*0.5*VLOOKUP(Y248,模板计算相关数据!$P$22:$U$30,6,0)+AD248</f>
        <v>250</v>
      </c>
      <c r="AO248" s="3">
        <f>VLOOKUP(INT(VLOOKUP(U248,模板计算相关数据!A:N,2,0)/30)+1,模板计算相关数据!$O$35:$U$40,3,0)+AE248</f>
        <v>0</v>
      </c>
      <c r="AP248" s="3">
        <f>VLOOKUP(INT(VLOOKUP(U248,模板计算相关数据!A:N,2,0)/30)+1,模板计算相关数据!$O$35:$U$40,4,0)+AF248</f>
        <v>5000</v>
      </c>
      <c r="AQ248" s="3">
        <f>VLOOKUP(INT(VLOOKUP(U248,模板计算相关数据!A:N,2,0)/30)+1,模板计算相关数据!$O$35:$U$40,5,0)+AG248</f>
        <v>0</v>
      </c>
      <c r="AR248" s="3">
        <f>VLOOKUP(INT(VLOOKUP(U248,模板计算相关数据!A:N,2,0)/30)+1,模板计算相关数据!$O$35:$U$40,6,0)+AH248</f>
        <v>0</v>
      </c>
      <c r="AS248" s="3">
        <f>VLOOKUP(INT(VLOOKUP(U248,模板计算相关数据!A:N,2,0)/30)+1,模板计算相关数据!$O$35:$U$40,7,0)+AI248</f>
        <v>0</v>
      </c>
      <c r="AT248" s="3">
        <f>VLOOKUP(INT(VLOOKUP(U248,模板计算相关数据!A:N,2,0)/30)+1,模板计算相关数据!$O$35:$V$40,8,0)</f>
        <v>0</v>
      </c>
      <c r="AU248" s="2"/>
    </row>
    <row r="249" spans="1:47" x14ac:dyDescent="0.2">
      <c r="A249" s="17">
        <v>101130202</v>
      </c>
      <c r="B249" s="17"/>
      <c r="C249" s="69" t="s">
        <v>998</v>
      </c>
      <c r="D249" s="87" t="s">
        <v>1027</v>
      </c>
      <c r="E249" s="2">
        <v>1</v>
      </c>
      <c r="F249" s="3">
        <v>5</v>
      </c>
      <c r="G249" s="3">
        <v>1002301</v>
      </c>
      <c r="H249" s="3">
        <v>5</v>
      </c>
      <c r="I249" s="3">
        <v>4</v>
      </c>
      <c r="J249" s="3">
        <v>1</v>
      </c>
      <c r="K249" s="3"/>
      <c r="L249" s="91" t="s">
        <v>955</v>
      </c>
      <c r="M249" s="3"/>
      <c r="N249" s="2">
        <v>1</v>
      </c>
      <c r="O249" s="2"/>
      <c r="P249" s="3" t="s">
        <v>1615</v>
      </c>
      <c r="Q249" s="95">
        <f t="shared" si="19"/>
        <v>5.7709803921568623</v>
      </c>
      <c r="R249" s="133">
        <f>IF(P249=模板计算相关数据!$AB$24,VLOOKUP(X249,模板计算相关数据!$P$47:$T$50,2,0),VLOOKUP(X249,模板计算相关数据!$P$4:$U$7,3,0))*VLOOKUP(Y249,模板计算相关数据!$P$22:$X$30,8,0)</f>
        <v>5.7709803921568623</v>
      </c>
      <c r="S249" s="62">
        <f t="shared" si="20"/>
        <v>6.4077918749199023</v>
      </c>
      <c r="T249" s="133">
        <f>IF(P249=模板计算相关数据!$AB$24,VLOOKUP(X249,模板计算相关数据!$P$47:$T$50,5,0),VLOOKUP(X249,模板计算相关数据!$P$4:$U$7,6,0))*VLOOKUP(Y249,模板计算相关数据!$P$22:$X$30,9,0)</f>
        <v>6.4077918749199023</v>
      </c>
      <c r="U249" s="95">
        <v>13</v>
      </c>
      <c r="V249" s="95">
        <f t="shared" si="22"/>
        <v>33</v>
      </c>
      <c r="W249" s="29">
        <f>VLOOKUP(U249,模板计算相关数据!A:N,2,0)</f>
        <v>30</v>
      </c>
      <c r="X249" s="3" t="s">
        <v>151</v>
      </c>
      <c r="Y249" s="3" t="s">
        <v>243</v>
      </c>
      <c r="Z249" s="95">
        <v>1.1000000000000001</v>
      </c>
      <c r="AA249" s="95">
        <v>1.1499999999999999</v>
      </c>
      <c r="AB249" s="95">
        <v>1</v>
      </c>
      <c r="AC249" s="95">
        <v>1</v>
      </c>
      <c r="AD249" s="95">
        <v>0</v>
      </c>
      <c r="AE249" s="95">
        <v>0</v>
      </c>
      <c r="AF249" s="95">
        <v>0</v>
      </c>
      <c r="AG249" s="95">
        <v>0</v>
      </c>
      <c r="AH249" s="95">
        <v>0</v>
      </c>
      <c r="AI249" s="95">
        <v>0</v>
      </c>
      <c r="AJ249" s="3">
        <f>INT(VLOOKUP(U249,模板计算相关数据!A:N,4,0)*VLOOKUP(U249,模板计算相关数据!A:N,14,0)*(1+MAX(0,(VLOOKUP(U249,模板计算相关数据!A:N,7,0)-AQ249))*VLOOKUP(U249,模板计算相关数据!A:N,8,0))*(1-(AL249+AM249)*0.5/((AL249+AM249)*0.5+(VLOOKUP(U249,模板计算相关数据!A:N,2,0)+模板计算相关数据!$AC$27)*模板计算相关数据!$AC$28))*Q249*Z249)</f>
        <v>4242</v>
      </c>
      <c r="AK249" s="3">
        <f>INT(VLOOKUP(U249,模板计算相关数据!A:N,3,0)/模板计算相关数据!$W$35/(1+MAX(0,(AO249/10000-VLOOKUP(U249,模板计算相关数据!A:N,9,0)))*AP249/10000)/(1-VLOOKUP(U249,模板计算相关数据!A:N,5,0)/(VLOOKUP(U249,模板计算相关数据!A:N,5,0)+(VLOOKUP(U249,模板计算相关数据!A:N,2,0)+模板计算相关数据!$AC$27)*模板计算相关数据!$AC$28))/S249*AA249)</f>
        <v>1087</v>
      </c>
      <c r="AL249" s="3">
        <f>INT(VLOOKUP(U249,模板计算相关数据!A:N,5,0)*VLOOKUP(X249,模板计算相关数据!$P$4:$T$7,4,0)*VLOOKUP(Y249,模板计算相关数据!$P$22:$U$30,4,0)*AB249)</f>
        <v>1429</v>
      </c>
      <c r="AM249" s="3">
        <f>INT(VLOOKUP(U249,模板计算相关数据!A:N,6,0)*VLOOKUP(X249,模板计算相关数据!$P$4:$T$7,4,0)*VLOOKUP(Y249,模板计算相关数据!$P$22:$U$30,5,0)*AC249)</f>
        <v>2606</v>
      </c>
      <c r="AN249" s="3">
        <f>VLOOKUP(U249,模板计算相关数据!A:N,10,0)*0.5*VLOOKUP(Y249,模板计算相关数据!$P$22:$U$30,6,0)+AD249</f>
        <v>275</v>
      </c>
      <c r="AO249" s="3">
        <f>VLOOKUP(INT(VLOOKUP(U249,模板计算相关数据!A:N,2,0)/30)+1,模板计算相关数据!$O$35:$U$40,3,0)+AE249</f>
        <v>0</v>
      </c>
      <c r="AP249" s="3">
        <f>VLOOKUP(INT(VLOOKUP(U249,模板计算相关数据!A:N,2,0)/30)+1,模板计算相关数据!$O$35:$U$40,4,0)+AF249</f>
        <v>5000</v>
      </c>
      <c r="AQ249" s="3">
        <f>VLOOKUP(INT(VLOOKUP(U249,模板计算相关数据!A:N,2,0)/30)+1,模板计算相关数据!$O$35:$U$40,5,0)+AG249</f>
        <v>0</v>
      </c>
      <c r="AR249" s="3">
        <f>VLOOKUP(INT(VLOOKUP(U249,模板计算相关数据!A:N,2,0)/30)+1,模板计算相关数据!$O$35:$U$40,6,0)+AH249</f>
        <v>0</v>
      </c>
      <c r="AS249" s="3">
        <f>VLOOKUP(INT(VLOOKUP(U249,模板计算相关数据!A:N,2,0)/30)+1,模板计算相关数据!$O$35:$U$40,7,0)+AI249</f>
        <v>0</v>
      </c>
      <c r="AT249" s="3">
        <f>VLOOKUP(INT(VLOOKUP(U249,模板计算相关数据!A:N,2,0)/30)+1,模板计算相关数据!$O$35:$V$40,8,0)</f>
        <v>0</v>
      </c>
      <c r="AU249" s="2"/>
    </row>
    <row r="250" spans="1:47" x14ac:dyDescent="0.2">
      <c r="A250" s="17">
        <v>101130203</v>
      </c>
      <c r="B250" s="17"/>
      <c r="C250" s="69" t="s">
        <v>994</v>
      </c>
      <c r="D250" s="87" t="s">
        <v>1027</v>
      </c>
      <c r="E250" s="2">
        <v>1</v>
      </c>
      <c r="F250" s="3">
        <v>2</v>
      </c>
      <c r="G250" s="3">
        <v>1001901</v>
      </c>
      <c r="H250" s="3">
        <v>3</v>
      </c>
      <c r="I250" s="3">
        <v>4</v>
      </c>
      <c r="J250" s="3">
        <v>5</v>
      </c>
      <c r="K250" s="3"/>
      <c r="L250" s="91" t="s">
        <v>1542</v>
      </c>
      <c r="M250" s="3"/>
      <c r="N250" s="2">
        <v>1</v>
      </c>
      <c r="O250" s="2"/>
      <c r="P250" s="3" t="s">
        <v>1615</v>
      </c>
      <c r="Q250" s="95">
        <f t="shared" si="19"/>
        <v>5.6000000000000014</v>
      </c>
      <c r="R250" s="133">
        <f>IF(P250=模板计算相关数据!$AB$24,VLOOKUP(X250,模板计算相关数据!$P$47:$T$50,2,0),VLOOKUP(X250,模板计算相关数据!$P$4:$U$7,3,0))*VLOOKUP(Y250,模板计算相关数据!$P$22:$X$30,8,0)</f>
        <v>5.6000000000000014</v>
      </c>
      <c r="S250" s="62">
        <f t="shared" si="20"/>
        <v>6.6693344004268367</v>
      </c>
      <c r="T250" s="133">
        <f>IF(P250=模板计算相关数据!$AB$24,VLOOKUP(X250,模板计算相关数据!$P$47:$T$50,5,0),VLOOKUP(X250,模板计算相关数据!$P$4:$U$7,6,0))*VLOOKUP(Y250,模板计算相关数据!$P$22:$X$30,9,0)</f>
        <v>6.6693344004268367</v>
      </c>
      <c r="U250" s="95">
        <v>13</v>
      </c>
      <c r="V250" s="95">
        <f t="shared" si="22"/>
        <v>33</v>
      </c>
      <c r="W250" s="29">
        <f>VLOOKUP(U250,模板计算相关数据!A:N,2,0)</f>
        <v>30</v>
      </c>
      <c r="X250" s="3" t="s">
        <v>151</v>
      </c>
      <c r="Y250" s="3" t="s">
        <v>255</v>
      </c>
      <c r="Z250" s="95">
        <v>1.1000000000000001</v>
      </c>
      <c r="AA250" s="95">
        <v>1.1499999999999999</v>
      </c>
      <c r="AB250" s="95">
        <v>1</v>
      </c>
      <c r="AC250" s="95">
        <v>1</v>
      </c>
      <c r="AD250" s="95">
        <v>0</v>
      </c>
      <c r="AE250" s="95">
        <v>0</v>
      </c>
      <c r="AF250" s="95">
        <v>0</v>
      </c>
      <c r="AG250" s="95">
        <v>0</v>
      </c>
      <c r="AH250" s="95">
        <v>0</v>
      </c>
      <c r="AI250" s="95">
        <v>0</v>
      </c>
      <c r="AJ250" s="3">
        <f>INT(VLOOKUP(U250,模板计算相关数据!A:N,4,0)*VLOOKUP(U250,模板计算相关数据!A:N,14,0)*(1+MAX(0,(VLOOKUP(U250,模板计算相关数据!A:N,7,0)-AQ250))*VLOOKUP(U250,模板计算相关数据!A:N,8,0))*(1-(AL250+AM250)*0.5/((AL250+AM250)*0.5+(VLOOKUP(U250,模板计算相关数据!A:N,2,0)+模板计算相关数据!$AC$27)*模板计算相关数据!$AC$28))*Q250*Z250)</f>
        <v>4052</v>
      </c>
      <c r="AK250" s="3">
        <f>INT(VLOOKUP(U250,模板计算相关数据!A:N,3,0)/模板计算相关数据!$W$35/(1+MAX(0,(AO250/10000-VLOOKUP(U250,模板计算相关数据!A:N,9,0)))*AP250/10000)/(1-VLOOKUP(U250,模板计算相关数据!A:N,5,0)/(VLOOKUP(U250,模板计算相关数据!A:N,5,0)+(VLOOKUP(U250,模板计算相关数据!A:N,2,0)+模板计算相关数据!$AC$27)*模板计算相关数据!$AC$28))/S250*AA250)</f>
        <v>1044</v>
      </c>
      <c r="AL250" s="3">
        <f>INT(VLOOKUP(U250,模板计算相关数据!A:N,5,0)*VLOOKUP(X250,模板计算相关数据!$P$4:$T$7,4,0)*VLOOKUP(Y250,模板计算相关数据!$P$22:$U$30,4,0)*AB250)</f>
        <v>1471</v>
      </c>
      <c r="AM250" s="3">
        <f>INT(VLOOKUP(U250,模板计算相关数据!A:N,6,0)*VLOOKUP(X250,模板计算相关数据!$P$4:$T$7,4,0)*VLOOKUP(Y250,模板计算相关数据!$P$22:$U$30,5,0)*AC250)</f>
        <v>2733</v>
      </c>
      <c r="AN250" s="3">
        <f>VLOOKUP(U250,模板计算相关数据!A:N,10,0)*0.5*VLOOKUP(Y250,模板计算相关数据!$P$22:$U$30,6,0)+AD250</f>
        <v>225</v>
      </c>
      <c r="AO250" s="3">
        <f>VLOOKUP(INT(VLOOKUP(U250,模板计算相关数据!A:N,2,0)/30)+1,模板计算相关数据!$O$35:$U$40,3,0)+AE250</f>
        <v>0</v>
      </c>
      <c r="AP250" s="3">
        <f>VLOOKUP(INT(VLOOKUP(U250,模板计算相关数据!A:N,2,0)/30)+1,模板计算相关数据!$O$35:$U$40,4,0)+AF250</f>
        <v>5000</v>
      </c>
      <c r="AQ250" s="3">
        <f>VLOOKUP(INT(VLOOKUP(U250,模板计算相关数据!A:N,2,0)/30)+1,模板计算相关数据!$O$35:$U$40,5,0)+AG250</f>
        <v>0</v>
      </c>
      <c r="AR250" s="3">
        <f>VLOOKUP(INT(VLOOKUP(U250,模板计算相关数据!A:N,2,0)/30)+1,模板计算相关数据!$O$35:$U$40,6,0)+AH250</f>
        <v>0</v>
      </c>
      <c r="AS250" s="3">
        <f>VLOOKUP(INT(VLOOKUP(U250,模板计算相关数据!A:N,2,0)/30)+1,模板计算相关数据!$O$35:$U$40,7,0)+AI250</f>
        <v>0</v>
      </c>
      <c r="AT250" s="3">
        <f>VLOOKUP(INT(VLOOKUP(U250,模板计算相关数据!A:N,2,0)/30)+1,模板计算相关数据!$O$35:$V$40,8,0)</f>
        <v>0</v>
      </c>
      <c r="AU250" s="2"/>
    </row>
    <row r="251" spans="1:47" x14ac:dyDescent="0.2">
      <c r="A251" s="19">
        <v>101140101</v>
      </c>
      <c r="B251" s="19"/>
      <c r="C251" s="69" t="s">
        <v>996</v>
      </c>
      <c r="D251" s="87" t="s">
        <v>1624</v>
      </c>
      <c r="E251" s="2">
        <v>1</v>
      </c>
      <c r="F251" s="3">
        <v>5</v>
      </c>
      <c r="G251" s="3">
        <v>1002101</v>
      </c>
      <c r="H251" s="3">
        <v>4</v>
      </c>
      <c r="I251" s="3">
        <v>4</v>
      </c>
      <c r="J251" s="3">
        <v>1</v>
      </c>
      <c r="K251" s="3"/>
      <c r="L251" s="91" t="s">
        <v>953</v>
      </c>
      <c r="M251" s="3"/>
      <c r="N251" s="2">
        <v>1</v>
      </c>
      <c r="O251" s="2"/>
      <c r="P251" s="3" t="s">
        <v>1615</v>
      </c>
      <c r="Q251" s="95">
        <f t="shared" si="19"/>
        <v>4.4674509803921572</v>
      </c>
      <c r="R251" s="133">
        <f>IF(P251=模板计算相关数据!$AB$24,VLOOKUP(X251,模板计算相关数据!$P$47:$T$50,2,0),VLOOKUP(X251,模板计算相关数据!$P$4:$U$7,3,0))*VLOOKUP(Y251,模板计算相关数据!$P$22:$X$30,8,0)</f>
        <v>4.4674509803921572</v>
      </c>
      <c r="S251" s="62">
        <f t="shared" si="20"/>
        <v>5.4739930589768004</v>
      </c>
      <c r="T251" s="133">
        <f>IF(P251=模板计算相关数据!$AB$24,VLOOKUP(X251,模板计算相关数据!$P$47:$T$50,5,0),VLOOKUP(X251,模板计算相关数据!$P$4:$U$7,6,0))*VLOOKUP(Y251,模板计算相关数据!$P$22:$X$30,9,0)</f>
        <v>5.4739930589768004</v>
      </c>
      <c r="U251" s="95">
        <v>14</v>
      </c>
      <c r="V251" s="95">
        <f t="shared" si="22"/>
        <v>35</v>
      </c>
      <c r="W251" s="29">
        <f>VLOOKUP(U251,模板计算相关数据!A:N,2,0)</f>
        <v>32</v>
      </c>
      <c r="X251" s="3" t="s">
        <v>151</v>
      </c>
      <c r="Y251" s="3" t="s">
        <v>162</v>
      </c>
      <c r="Z251" s="95">
        <v>1.1499999999999999</v>
      </c>
      <c r="AA251" s="95">
        <v>1.2</v>
      </c>
      <c r="AB251" s="95">
        <v>1</v>
      </c>
      <c r="AC251" s="95">
        <v>1</v>
      </c>
      <c r="AD251" s="95">
        <v>0</v>
      </c>
      <c r="AE251" s="95">
        <v>0</v>
      </c>
      <c r="AF251" s="95">
        <v>0</v>
      </c>
      <c r="AG251" s="95">
        <v>0</v>
      </c>
      <c r="AH251" s="95">
        <v>0</v>
      </c>
      <c r="AI251" s="95">
        <v>0</v>
      </c>
      <c r="AJ251" s="3">
        <f>INT(VLOOKUP(U251,模板计算相关数据!A:N,4,0)*VLOOKUP(U251,模板计算相关数据!A:N,14,0)*(1+MAX(0,(VLOOKUP(U251,模板计算相关数据!A:N,7,0)-AQ251))*VLOOKUP(U251,模板计算相关数据!A:N,8,0))*(1-(AL251+AM251)*0.5/((AL251+AM251)*0.5+(VLOOKUP(U251,模板计算相关数据!A:N,2,0)+模板计算相关数据!$AC$27)*模板计算相关数据!$AC$28))*Q251*Z251)</f>
        <v>3767</v>
      </c>
      <c r="AK251" s="3">
        <f>INT(VLOOKUP(U251,模板计算相关数据!A:N,3,0)/模板计算相关数据!$W$35/(1+MAX(0,(AO251/10000-VLOOKUP(U251,模板计算相关数据!A:N,9,0)))*AP251/10000)/(1-VLOOKUP(U251,模板计算相关数据!A:N,5,0)/(VLOOKUP(U251,模板计算相关数据!A:N,5,0)+(VLOOKUP(U251,模板计算相关数据!A:N,2,0)+模板计算相关数据!$AC$27)*模板计算相关数据!$AC$28))/S251*AA251)</f>
        <v>1374</v>
      </c>
      <c r="AL251" s="3">
        <f>INT(VLOOKUP(U251,模板计算相关数据!A:N,5,0)*VLOOKUP(X251,模板计算相关数据!$P$4:$T$7,4,0)*VLOOKUP(Y251,模板计算相关数据!$P$22:$U$30,4,0)*AB251)</f>
        <v>1401</v>
      </c>
      <c r="AM251" s="3">
        <f>INT(VLOOKUP(U251,模板计算相关数据!A:N,6,0)*VLOOKUP(X251,模板计算相关数据!$P$4:$T$7,4,0)*VLOOKUP(Y251,模板计算相关数据!$P$22:$U$30,5,0)*AC251)</f>
        <v>2365</v>
      </c>
      <c r="AN251" s="3">
        <f>VLOOKUP(U251,模板计算相关数据!A:N,10,0)*0.5*VLOOKUP(Y251,模板计算相关数据!$P$22:$U$30,6,0)+AD251</f>
        <v>250</v>
      </c>
      <c r="AO251" s="3">
        <f>VLOOKUP(INT(VLOOKUP(U251,模板计算相关数据!A:N,2,0)/30)+1,模板计算相关数据!$O$35:$U$40,3,0)+AE251</f>
        <v>0</v>
      </c>
      <c r="AP251" s="3">
        <f>VLOOKUP(INT(VLOOKUP(U251,模板计算相关数据!A:N,2,0)/30)+1,模板计算相关数据!$O$35:$U$40,4,0)+AF251</f>
        <v>5000</v>
      </c>
      <c r="AQ251" s="3">
        <f>VLOOKUP(INT(VLOOKUP(U251,模板计算相关数据!A:N,2,0)/30)+1,模板计算相关数据!$O$35:$U$40,5,0)+AG251</f>
        <v>0</v>
      </c>
      <c r="AR251" s="3">
        <f>VLOOKUP(INT(VLOOKUP(U251,模板计算相关数据!A:N,2,0)/30)+1,模板计算相关数据!$O$35:$U$40,6,0)+AH251</f>
        <v>0</v>
      </c>
      <c r="AS251" s="3">
        <f>VLOOKUP(INT(VLOOKUP(U251,模板计算相关数据!A:N,2,0)/30)+1,模板计算相关数据!$O$35:$U$40,7,0)+AI251</f>
        <v>0</v>
      </c>
      <c r="AT251" s="3">
        <f>VLOOKUP(INT(VLOOKUP(U251,模板计算相关数据!A:N,2,0)/30)+1,模板计算相关数据!$O$35:$V$40,8,0)</f>
        <v>0</v>
      </c>
      <c r="AU251" s="2"/>
    </row>
    <row r="252" spans="1:47" x14ac:dyDescent="0.2">
      <c r="A252" s="19">
        <v>101140102</v>
      </c>
      <c r="B252" s="19"/>
      <c r="C252" s="69" t="s">
        <v>994</v>
      </c>
      <c r="D252" s="87" t="s">
        <v>1624</v>
      </c>
      <c r="E252" s="2">
        <v>1</v>
      </c>
      <c r="F252" s="3">
        <v>2</v>
      </c>
      <c r="G252" s="3">
        <v>1001901</v>
      </c>
      <c r="H252" s="3">
        <v>3</v>
      </c>
      <c r="I252" s="3">
        <v>4</v>
      </c>
      <c r="J252" s="3">
        <v>5</v>
      </c>
      <c r="K252" s="3"/>
      <c r="L252" s="91" t="s">
        <v>1542</v>
      </c>
      <c r="M252" s="3"/>
      <c r="N252" s="2">
        <v>1</v>
      </c>
      <c r="O252" s="2"/>
      <c r="P252" s="3" t="s">
        <v>1615</v>
      </c>
      <c r="Q252" s="95">
        <f t="shared" si="19"/>
        <v>5.6000000000000014</v>
      </c>
      <c r="R252" s="133">
        <f>IF(P252=模板计算相关数据!$AB$24,VLOOKUP(X252,模板计算相关数据!$P$47:$T$50,2,0),VLOOKUP(X252,模板计算相关数据!$P$4:$U$7,3,0))*VLOOKUP(Y252,模板计算相关数据!$P$22:$X$30,8,0)</f>
        <v>5.6000000000000014</v>
      </c>
      <c r="S252" s="62">
        <f t="shared" si="20"/>
        <v>6.6693344004268367</v>
      </c>
      <c r="T252" s="133">
        <f>IF(P252=模板计算相关数据!$AB$24,VLOOKUP(X252,模板计算相关数据!$P$47:$T$50,5,0),VLOOKUP(X252,模板计算相关数据!$P$4:$U$7,6,0))*VLOOKUP(Y252,模板计算相关数据!$P$22:$X$30,9,0)</f>
        <v>6.6693344004268367</v>
      </c>
      <c r="U252" s="95">
        <v>14</v>
      </c>
      <c r="V252" s="95">
        <f t="shared" si="22"/>
        <v>35</v>
      </c>
      <c r="W252" s="29">
        <f>VLOOKUP(U252,模板计算相关数据!A:N,2,0)</f>
        <v>32</v>
      </c>
      <c r="X252" s="3" t="s">
        <v>151</v>
      </c>
      <c r="Y252" s="3" t="s">
        <v>255</v>
      </c>
      <c r="Z252" s="95">
        <v>1.1499999999999999</v>
      </c>
      <c r="AA252" s="95">
        <v>1.2</v>
      </c>
      <c r="AB252" s="95">
        <v>1</v>
      </c>
      <c r="AC252" s="95">
        <v>1</v>
      </c>
      <c r="AD252" s="95">
        <v>0</v>
      </c>
      <c r="AE252" s="95">
        <v>0</v>
      </c>
      <c r="AF252" s="95">
        <v>0</v>
      </c>
      <c r="AG252" s="95">
        <v>0</v>
      </c>
      <c r="AH252" s="95">
        <v>0</v>
      </c>
      <c r="AI252" s="95">
        <v>0</v>
      </c>
      <c r="AJ252" s="3">
        <f>INT(VLOOKUP(U252,模板计算相关数据!A:N,4,0)*VLOOKUP(U252,模板计算相关数据!A:N,14,0)*(1+MAX(0,(VLOOKUP(U252,模板计算相关数据!A:N,7,0)-AQ252))*VLOOKUP(U252,模板计算相关数据!A:N,8,0))*(1-(AL252+AM252)*0.5/((AL252+AM252)*0.5+(VLOOKUP(U252,模板计算相关数据!A:N,2,0)+模板计算相关数据!$AC$27)*模板计算相关数据!$AC$28))*Q252*Z252)</f>
        <v>4465</v>
      </c>
      <c r="AK252" s="3">
        <f>INT(VLOOKUP(U252,模板计算相关数据!A:N,3,0)/模板计算相关数据!$W$35/(1+MAX(0,(AO252/10000-VLOOKUP(U252,模板计算相关数据!A:N,9,0)))*AP252/10000)/(1-VLOOKUP(U252,模板计算相关数据!A:N,5,0)/(VLOOKUP(U252,模板计算相关数据!A:N,5,0)+(VLOOKUP(U252,模板计算相关数据!A:N,2,0)+模板计算相关数据!$AC$27)*模板计算相关数据!$AC$28))/S252*AA252)</f>
        <v>1127</v>
      </c>
      <c r="AL252" s="3">
        <f>INT(VLOOKUP(U252,模板计算相关数据!A:N,5,0)*VLOOKUP(X252,模板计算相关数据!$P$4:$T$7,4,0)*VLOOKUP(Y252,模板计算相关数据!$P$22:$U$30,4,0)*AB252)</f>
        <v>1533</v>
      </c>
      <c r="AM252" s="3">
        <f>INT(VLOOKUP(U252,模板计算相关数据!A:N,6,0)*VLOOKUP(X252,模板计算相关数据!$P$4:$T$7,4,0)*VLOOKUP(Y252,模板计算相关数据!$P$22:$U$30,5,0)*AC252)</f>
        <v>2847</v>
      </c>
      <c r="AN252" s="3">
        <f>VLOOKUP(U252,模板计算相关数据!A:N,10,0)*0.5*VLOOKUP(Y252,模板计算相关数据!$P$22:$U$30,6,0)+AD252</f>
        <v>225</v>
      </c>
      <c r="AO252" s="3">
        <f>VLOOKUP(INT(VLOOKUP(U252,模板计算相关数据!A:N,2,0)/30)+1,模板计算相关数据!$O$35:$U$40,3,0)+AE252</f>
        <v>0</v>
      </c>
      <c r="AP252" s="3">
        <f>VLOOKUP(INT(VLOOKUP(U252,模板计算相关数据!A:N,2,0)/30)+1,模板计算相关数据!$O$35:$U$40,4,0)+AF252</f>
        <v>5000</v>
      </c>
      <c r="AQ252" s="3">
        <f>VLOOKUP(INT(VLOOKUP(U252,模板计算相关数据!A:N,2,0)/30)+1,模板计算相关数据!$O$35:$U$40,5,0)+AG252</f>
        <v>0</v>
      </c>
      <c r="AR252" s="3">
        <f>VLOOKUP(INT(VLOOKUP(U252,模板计算相关数据!A:N,2,0)/30)+1,模板计算相关数据!$O$35:$U$40,6,0)+AH252</f>
        <v>0</v>
      </c>
      <c r="AS252" s="3">
        <f>VLOOKUP(INT(VLOOKUP(U252,模板计算相关数据!A:N,2,0)/30)+1,模板计算相关数据!$O$35:$U$40,7,0)+AI252</f>
        <v>0</v>
      </c>
      <c r="AT252" s="3">
        <f>VLOOKUP(INT(VLOOKUP(U252,模板计算相关数据!A:N,2,0)/30)+1,模板计算相关数据!$O$35:$V$40,8,0)</f>
        <v>0</v>
      </c>
      <c r="AU252" s="2"/>
    </row>
    <row r="253" spans="1:47" x14ac:dyDescent="0.2">
      <c r="A253" s="17">
        <v>101140201</v>
      </c>
      <c r="B253" s="17"/>
      <c r="C253" s="69" t="s">
        <v>995</v>
      </c>
      <c r="D253" s="87" t="s">
        <v>1624</v>
      </c>
      <c r="E253" s="2">
        <v>1</v>
      </c>
      <c r="F253" s="3">
        <v>3</v>
      </c>
      <c r="G253" s="3">
        <v>1001801</v>
      </c>
      <c r="H253" s="3">
        <v>1</v>
      </c>
      <c r="I253" s="3">
        <v>4</v>
      </c>
      <c r="J253" s="3">
        <v>5</v>
      </c>
      <c r="K253" s="3"/>
      <c r="L253" s="91" t="s">
        <v>951</v>
      </c>
      <c r="M253" s="3"/>
      <c r="N253" s="2">
        <v>1</v>
      </c>
      <c r="O253" s="2"/>
      <c r="P253" s="3" t="s">
        <v>1615</v>
      </c>
      <c r="Q253" s="95">
        <f t="shared" si="19"/>
        <v>4.417254901960785</v>
      </c>
      <c r="R253" s="133">
        <f>IF(P253=模板计算相关数据!$AB$24,VLOOKUP(X253,模板计算相关数据!$P$47:$T$50,2,0),VLOOKUP(X253,模板计算相关数据!$P$4:$U$7,3,0))*VLOOKUP(Y253,模板计算相关数据!$P$22:$X$30,8,0)</f>
        <v>4.417254901960785</v>
      </c>
      <c r="S253" s="62">
        <f t="shared" si="20"/>
        <v>5.4285280003474252</v>
      </c>
      <c r="T253" s="133">
        <f>IF(P253=模板计算相关数据!$AB$24,VLOOKUP(X253,模板计算相关数据!$P$47:$T$50,5,0),VLOOKUP(X253,模板计算相关数据!$P$4:$U$7,6,0))*VLOOKUP(Y253,模板计算相关数据!$P$22:$X$30,9,0)</f>
        <v>5.4285280003474252</v>
      </c>
      <c r="U253" s="95">
        <v>14</v>
      </c>
      <c r="V253" s="95">
        <f t="shared" si="22"/>
        <v>35</v>
      </c>
      <c r="W253" s="29">
        <f>VLOOKUP(U253,模板计算相关数据!A:N,2,0)</f>
        <v>32</v>
      </c>
      <c r="X253" s="3" t="s">
        <v>151</v>
      </c>
      <c r="Y253" s="3" t="s">
        <v>152</v>
      </c>
      <c r="Z253" s="95">
        <v>1.1499999999999999</v>
      </c>
      <c r="AA253" s="95">
        <v>1.2</v>
      </c>
      <c r="AB253" s="95">
        <v>1</v>
      </c>
      <c r="AC253" s="95">
        <v>1</v>
      </c>
      <c r="AD253" s="95">
        <v>0</v>
      </c>
      <c r="AE253" s="95">
        <v>0</v>
      </c>
      <c r="AF253" s="95">
        <v>0</v>
      </c>
      <c r="AG253" s="95">
        <v>0</v>
      </c>
      <c r="AH253" s="95">
        <v>0</v>
      </c>
      <c r="AI253" s="95">
        <v>0</v>
      </c>
      <c r="AJ253" s="3">
        <f>INT(VLOOKUP(U253,模板计算相关数据!A:N,4,0)*VLOOKUP(U253,模板计算相关数据!A:N,14,0)*(1+MAX(0,(VLOOKUP(U253,模板计算相关数据!A:N,7,0)-AQ253))*VLOOKUP(U253,模板计算相关数据!A:N,8,0))*(1-(AL253+AM253)*0.5/((AL253+AM253)*0.5+(VLOOKUP(U253,模板计算相关数据!A:N,2,0)+模板计算相关数据!$AC$27)*模板计算相关数据!$AC$28))*Q253*Z253)</f>
        <v>3725</v>
      </c>
      <c r="AK253" s="3">
        <f>INT(VLOOKUP(U253,模板计算相关数据!A:N,3,0)/模板计算相关数据!$W$35/(1+MAX(0,(AO253/10000-VLOOKUP(U253,模板计算相关数据!A:N,9,0)))*AP253/10000)/(1-VLOOKUP(U253,模板计算相关数据!A:N,5,0)/(VLOOKUP(U253,模板计算相关数据!A:N,5,0)+(VLOOKUP(U253,模板计算相关数据!A:N,2,0)+模板计算相关数据!$AC$27)*模板计算相关数据!$AC$28))/S253*AA253)</f>
        <v>1385</v>
      </c>
      <c r="AL253" s="3">
        <f>INT(VLOOKUP(U253,模板计算相关数据!A:N,5,0)*VLOOKUP(X253,模板计算相关数据!$P$4:$T$7,4,0)*VLOOKUP(Y253,模板计算相关数据!$P$22:$U$30,4,0)*AB253)</f>
        <v>2365</v>
      </c>
      <c r="AM253" s="3">
        <f>INT(VLOOKUP(U253,模板计算相关数据!A:N,6,0)*VLOOKUP(X253,模板计算相关数据!$P$4:$T$7,4,0)*VLOOKUP(Y253,模板计算相关数据!$P$22:$U$30,5,0)*AC253)</f>
        <v>1401</v>
      </c>
      <c r="AN253" s="3">
        <f>VLOOKUP(U253,模板计算相关数据!A:N,10,0)*0.5*VLOOKUP(Y253,模板计算相关数据!$P$22:$U$30,6,0)+AD253</f>
        <v>250</v>
      </c>
      <c r="AO253" s="3">
        <f>VLOOKUP(INT(VLOOKUP(U253,模板计算相关数据!A:N,2,0)/30)+1,模板计算相关数据!$O$35:$U$40,3,0)+AE253</f>
        <v>0</v>
      </c>
      <c r="AP253" s="3">
        <f>VLOOKUP(INT(VLOOKUP(U253,模板计算相关数据!A:N,2,0)/30)+1,模板计算相关数据!$O$35:$U$40,4,0)+AF253</f>
        <v>5000</v>
      </c>
      <c r="AQ253" s="3">
        <f>VLOOKUP(INT(VLOOKUP(U253,模板计算相关数据!A:N,2,0)/30)+1,模板计算相关数据!$O$35:$U$40,5,0)+AG253</f>
        <v>0</v>
      </c>
      <c r="AR253" s="3">
        <f>VLOOKUP(INT(VLOOKUP(U253,模板计算相关数据!A:N,2,0)/30)+1,模板计算相关数据!$O$35:$U$40,6,0)+AH253</f>
        <v>0</v>
      </c>
      <c r="AS253" s="3">
        <f>VLOOKUP(INT(VLOOKUP(U253,模板计算相关数据!A:N,2,0)/30)+1,模板计算相关数据!$O$35:$U$40,7,0)+AI253</f>
        <v>0</v>
      </c>
      <c r="AT253" s="3">
        <f>VLOOKUP(INT(VLOOKUP(U253,模板计算相关数据!A:N,2,0)/30)+1,模板计算相关数据!$O$35:$V$40,8,0)</f>
        <v>0</v>
      </c>
      <c r="AU253" s="2"/>
    </row>
    <row r="254" spans="1:47" x14ac:dyDescent="0.2">
      <c r="A254" s="17">
        <v>101140202</v>
      </c>
      <c r="B254" s="17"/>
      <c r="C254" s="69" t="s">
        <v>994</v>
      </c>
      <c r="D254" s="87" t="s">
        <v>1624</v>
      </c>
      <c r="E254" s="2">
        <v>1</v>
      </c>
      <c r="F254" s="3">
        <v>2</v>
      </c>
      <c r="G254" s="3">
        <v>1001901</v>
      </c>
      <c r="H254" s="3">
        <v>3</v>
      </c>
      <c r="I254" s="3">
        <v>4</v>
      </c>
      <c r="J254" s="3">
        <v>5</v>
      </c>
      <c r="K254" s="3"/>
      <c r="L254" s="91" t="s">
        <v>1542</v>
      </c>
      <c r="M254" s="3"/>
      <c r="N254" s="2">
        <v>1</v>
      </c>
      <c r="O254" s="2"/>
      <c r="P254" s="3" t="s">
        <v>1615</v>
      </c>
      <c r="Q254" s="95">
        <f t="shared" si="19"/>
        <v>5.6000000000000014</v>
      </c>
      <c r="R254" s="133">
        <f>IF(P254=模板计算相关数据!$AB$24,VLOOKUP(X254,模板计算相关数据!$P$47:$T$50,2,0),VLOOKUP(X254,模板计算相关数据!$P$4:$U$7,3,0))*VLOOKUP(Y254,模板计算相关数据!$P$22:$X$30,8,0)</f>
        <v>5.6000000000000014</v>
      </c>
      <c r="S254" s="62">
        <f t="shared" si="20"/>
        <v>6.6693344004268367</v>
      </c>
      <c r="T254" s="133">
        <f>IF(P254=模板计算相关数据!$AB$24,VLOOKUP(X254,模板计算相关数据!$P$47:$T$50,5,0),VLOOKUP(X254,模板计算相关数据!$P$4:$U$7,6,0))*VLOOKUP(Y254,模板计算相关数据!$P$22:$X$30,9,0)</f>
        <v>6.6693344004268367</v>
      </c>
      <c r="U254" s="95">
        <v>14</v>
      </c>
      <c r="V254" s="95">
        <f t="shared" si="22"/>
        <v>35</v>
      </c>
      <c r="W254" s="29">
        <f>VLOOKUP(U254,模板计算相关数据!A:N,2,0)</f>
        <v>32</v>
      </c>
      <c r="X254" s="3" t="s">
        <v>151</v>
      </c>
      <c r="Y254" s="3" t="s">
        <v>255</v>
      </c>
      <c r="Z254" s="95">
        <v>1.1499999999999999</v>
      </c>
      <c r="AA254" s="95">
        <v>1.2</v>
      </c>
      <c r="AB254" s="95">
        <v>1</v>
      </c>
      <c r="AC254" s="95">
        <v>1</v>
      </c>
      <c r="AD254" s="95">
        <v>0</v>
      </c>
      <c r="AE254" s="95">
        <v>0</v>
      </c>
      <c r="AF254" s="95">
        <v>0</v>
      </c>
      <c r="AG254" s="95">
        <v>0</v>
      </c>
      <c r="AH254" s="95">
        <v>0</v>
      </c>
      <c r="AI254" s="95">
        <v>0</v>
      </c>
      <c r="AJ254" s="3">
        <f>INT(VLOOKUP(U254,模板计算相关数据!A:N,4,0)*VLOOKUP(U254,模板计算相关数据!A:N,14,0)*(1+MAX(0,(VLOOKUP(U254,模板计算相关数据!A:N,7,0)-AQ254))*VLOOKUP(U254,模板计算相关数据!A:N,8,0))*(1-(AL254+AM254)*0.5/((AL254+AM254)*0.5+(VLOOKUP(U254,模板计算相关数据!A:N,2,0)+模板计算相关数据!$AC$27)*模板计算相关数据!$AC$28))*Q254*Z254)</f>
        <v>4465</v>
      </c>
      <c r="AK254" s="3">
        <f>INT(VLOOKUP(U254,模板计算相关数据!A:N,3,0)/模板计算相关数据!$W$35/(1+MAX(0,(AO254/10000-VLOOKUP(U254,模板计算相关数据!A:N,9,0)))*AP254/10000)/(1-VLOOKUP(U254,模板计算相关数据!A:N,5,0)/(VLOOKUP(U254,模板计算相关数据!A:N,5,0)+(VLOOKUP(U254,模板计算相关数据!A:N,2,0)+模板计算相关数据!$AC$27)*模板计算相关数据!$AC$28))/S254*AA254)</f>
        <v>1127</v>
      </c>
      <c r="AL254" s="3">
        <f>INT(VLOOKUP(U254,模板计算相关数据!A:N,5,0)*VLOOKUP(X254,模板计算相关数据!$P$4:$T$7,4,0)*VLOOKUP(Y254,模板计算相关数据!$P$22:$U$30,4,0)*AB254)</f>
        <v>1533</v>
      </c>
      <c r="AM254" s="3">
        <f>INT(VLOOKUP(U254,模板计算相关数据!A:N,6,0)*VLOOKUP(X254,模板计算相关数据!$P$4:$T$7,4,0)*VLOOKUP(Y254,模板计算相关数据!$P$22:$U$30,5,0)*AC254)</f>
        <v>2847</v>
      </c>
      <c r="AN254" s="3">
        <f>VLOOKUP(U254,模板计算相关数据!A:N,10,0)*0.5*VLOOKUP(Y254,模板计算相关数据!$P$22:$U$30,6,0)+AD254</f>
        <v>225</v>
      </c>
      <c r="AO254" s="3">
        <f>VLOOKUP(INT(VLOOKUP(U254,模板计算相关数据!A:N,2,0)/30)+1,模板计算相关数据!$O$35:$U$40,3,0)+AE254</f>
        <v>0</v>
      </c>
      <c r="AP254" s="3">
        <f>VLOOKUP(INT(VLOOKUP(U254,模板计算相关数据!A:N,2,0)/30)+1,模板计算相关数据!$O$35:$U$40,4,0)+AF254</f>
        <v>5000</v>
      </c>
      <c r="AQ254" s="3">
        <f>VLOOKUP(INT(VLOOKUP(U254,模板计算相关数据!A:N,2,0)/30)+1,模板计算相关数据!$O$35:$U$40,5,0)+AG254</f>
        <v>0</v>
      </c>
      <c r="AR254" s="3">
        <f>VLOOKUP(INT(VLOOKUP(U254,模板计算相关数据!A:N,2,0)/30)+1,模板计算相关数据!$O$35:$U$40,6,0)+AH254</f>
        <v>0</v>
      </c>
      <c r="AS254" s="3">
        <f>VLOOKUP(INT(VLOOKUP(U254,模板计算相关数据!A:N,2,0)/30)+1,模板计算相关数据!$O$35:$U$40,7,0)+AI254</f>
        <v>0</v>
      </c>
      <c r="AT254" s="3">
        <f>VLOOKUP(INT(VLOOKUP(U254,模板计算相关数据!A:N,2,0)/30)+1,模板计算相关数据!$O$35:$V$40,8,0)</f>
        <v>0</v>
      </c>
      <c r="AU254" s="2"/>
    </row>
    <row r="255" spans="1:47" x14ac:dyDescent="0.2">
      <c r="A255" s="17">
        <v>101140203</v>
      </c>
      <c r="B255" s="17"/>
      <c r="C255" s="69" t="s">
        <v>996</v>
      </c>
      <c r="D255" s="87" t="s">
        <v>1624</v>
      </c>
      <c r="E255" s="2">
        <v>1</v>
      </c>
      <c r="F255" s="3">
        <v>5</v>
      </c>
      <c r="G255" s="3">
        <v>1002101</v>
      </c>
      <c r="H255" s="3">
        <v>4</v>
      </c>
      <c r="I255" s="3">
        <v>4</v>
      </c>
      <c r="J255" s="3">
        <v>1</v>
      </c>
      <c r="K255" s="3"/>
      <c r="L255" s="91" t="s">
        <v>953</v>
      </c>
      <c r="M255" s="3"/>
      <c r="N255" s="2">
        <v>1</v>
      </c>
      <c r="O255" s="2"/>
      <c r="P255" s="3" t="s">
        <v>1615</v>
      </c>
      <c r="Q255" s="95">
        <f t="shared" si="19"/>
        <v>4.4674509803921572</v>
      </c>
      <c r="R255" s="133">
        <f>IF(P255=模板计算相关数据!$AB$24,VLOOKUP(X255,模板计算相关数据!$P$47:$T$50,2,0),VLOOKUP(X255,模板计算相关数据!$P$4:$U$7,3,0))*VLOOKUP(Y255,模板计算相关数据!$P$22:$X$30,8,0)</f>
        <v>4.4674509803921572</v>
      </c>
      <c r="S255" s="62">
        <f t="shared" si="20"/>
        <v>5.4739930589768004</v>
      </c>
      <c r="T255" s="133">
        <f>IF(P255=模板计算相关数据!$AB$24,VLOOKUP(X255,模板计算相关数据!$P$47:$T$50,5,0),VLOOKUP(X255,模板计算相关数据!$P$4:$U$7,6,0))*VLOOKUP(Y255,模板计算相关数据!$P$22:$X$30,9,0)</f>
        <v>5.4739930589768004</v>
      </c>
      <c r="U255" s="95">
        <v>14</v>
      </c>
      <c r="V255" s="95">
        <f t="shared" si="22"/>
        <v>35</v>
      </c>
      <c r="W255" s="29">
        <f>VLOOKUP(U255,模板计算相关数据!A:N,2,0)</f>
        <v>32</v>
      </c>
      <c r="X255" s="3" t="s">
        <v>151</v>
      </c>
      <c r="Y255" s="3" t="s">
        <v>162</v>
      </c>
      <c r="Z255" s="95">
        <v>1.1499999999999999</v>
      </c>
      <c r="AA255" s="95">
        <v>1.2</v>
      </c>
      <c r="AB255" s="95">
        <v>1</v>
      </c>
      <c r="AC255" s="95">
        <v>1</v>
      </c>
      <c r="AD255" s="95">
        <v>0</v>
      </c>
      <c r="AE255" s="95">
        <v>0</v>
      </c>
      <c r="AF255" s="95">
        <v>0</v>
      </c>
      <c r="AG255" s="95">
        <v>0</v>
      </c>
      <c r="AH255" s="95">
        <v>0</v>
      </c>
      <c r="AI255" s="95">
        <v>0</v>
      </c>
      <c r="AJ255" s="3">
        <f>INT(VLOOKUP(U255,模板计算相关数据!A:N,4,0)*VLOOKUP(U255,模板计算相关数据!A:N,14,0)*(1+MAX(0,(VLOOKUP(U255,模板计算相关数据!A:N,7,0)-AQ255))*VLOOKUP(U255,模板计算相关数据!A:N,8,0))*(1-(AL255+AM255)*0.5/((AL255+AM255)*0.5+(VLOOKUP(U255,模板计算相关数据!A:N,2,0)+模板计算相关数据!$AC$27)*模板计算相关数据!$AC$28))*Q255*Z255)</f>
        <v>3767</v>
      </c>
      <c r="AK255" s="3">
        <f>INT(VLOOKUP(U255,模板计算相关数据!A:N,3,0)/模板计算相关数据!$W$35/(1+MAX(0,(AO255/10000-VLOOKUP(U255,模板计算相关数据!A:N,9,0)))*AP255/10000)/(1-VLOOKUP(U255,模板计算相关数据!A:N,5,0)/(VLOOKUP(U255,模板计算相关数据!A:N,5,0)+(VLOOKUP(U255,模板计算相关数据!A:N,2,0)+模板计算相关数据!$AC$27)*模板计算相关数据!$AC$28))/S255*AA255)</f>
        <v>1374</v>
      </c>
      <c r="AL255" s="3">
        <f>INT(VLOOKUP(U255,模板计算相关数据!A:N,5,0)*VLOOKUP(X255,模板计算相关数据!$P$4:$T$7,4,0)*VLOOKUP(Y255,模板计算相关数据!$P$22:$U$30,4,0)*AB255)</f>
        <v>1401</v>
      </c>
      <c r="AM255" s="3">
        <f>INT(VLOOKUP(U255,模板计算相关数据!A:N,6,0)*VLOOKUP(X255,模板计算相关数据!$P$4:$T$7,4,0)*VLOOKUP(Y255,模板计算相关数据!$P$22:$U$30,5,0)*AC255)</f>
        <v>2365</v>
      </c>
      <c r="AN255" s="3">
        <f>VLOOKUP(U255,模板计算相关数据!A:N,10,0)*0.5*VLOOKUP(Y255,模板计算相关数据!$P$22:$U$30,6,0)+AD255</f>
        <v>250</v>
      </c>
      <c r="AO255" s="3">
        <f>VLOOKUP(INT(VLOOKUP(U255,模板计算相关数据!A:N,2,0)/30)+1,模板计算相关数据!$O$35:$U$40,3,0)+AE255</f>
        <v>0</v>
      </c>
      <c r="AP255" s="3">
        <f>VLOOKUP(INT(VLOOKUP(U255,模板计算相关数据!A:N,2,0)/30)+1,模板计算相关数据!$O$35:$U$40,4,0)+AF255</f>
        <v>5000</v>
      </c>
      <c r="AQ255" s="3">
        <f>VLOOKUP(INT(VLOOKUP(U255,模板计算相关数据!A:N,2,0)/30)+1,模板计算相关数据!$O$35:$U$40,5,0)+AG255</f>
        <v>0</v>
      </c>
      <c r="AR255" s="3">
        <f>VLOOKUP(INT(VLOOKUP(U255,模板计算相关数据!A:N,2,0)/30)+1,模板计算相关数据!$O$35:$U$40,6,0)+AH255</f>
        <v>0</v>
      </c>
      <c r="AS255" s="3">
        <f>VLOOKUP(INT(VLOOKUP(U255,模板计算相关数据!A:N,2,0)/30)+1,模板计算相关数据!$O$35:$U$40,7,0)+AI255</f>
        <v>0</v>
      </c>
      <c r="AT255" s="3">
        <f>VLOOKUP(INT(VLOOKUP(U255,模板计算相关数据!A:N,2,0)/30)+1,模板计算相关数据!$O$35:$V$40,8,0)</f>
        <v>0</v>
      </c>
      <c r="AU255" s="2"/>
    </row>
    <row r="256" spans="1:47" x14ac:dyDescent="0.2">
      <c r="A256" s="17">
        <v>101140204</v>
      </c>
      <c r="B256" s="17"/>
      <c r="C256" s="69" t="s">
        <v>997</v>
      </c>
      <c r="D256" s="87" t="s">
        <v>1624</v>
      </c>
      <c r="E256" s="2">
        <v>1</v>
      </c>
      <c r="F256" s="3">
        <v>5</v>
      </c>
      <c r="G256" s="3">
        <v>1002201</v>
      </c>
      <c r="H256" s="3">
        <v>1</v>
      </c>
      <c r="I256" s="3">
        <v>4</v>
      </c>
      <c r="J256" s="3">
        <v>1</v>
      </c>
      <c r="K256" s="3"/>
      <c r="L256" s="91" t="s">
        <v>954</v>
      </c>
      <c r="M256" s="3"/>
      <c r="N256" s="2">
        <v>1</v>
      </c>
      <c r="O256" s="2"/>
      <c r="P256" s="3" t="s">
        <v>1615</v>
      </c>
      <c r="Q256" s="95">
        <f t="shared" si="19"/>
        <v>4.417254901960785</v>
      </c>
      <c r="R256" s="133">
        <f>IF(P256=模板计算相关数据!$AB$24,VLOOKUP(X256,模板计算相关数据!$P$47:$T$50,2,0),VLOOKUP(X256,模板计算相关数据!$P$4:$U$7,3,0))*VLOOKUP(Y256,模板计算相关数据!$P$22:$X$30,8,0)</f>
        <v>4.417254901960785</v>
      </c>
      <c r="S256" s="62">
        <f t="shared" si="20"/>
        <v>5.4285280003474252</v>
      </c>
      <c r="T256" s="133">
        <f>IF(P256=模板计算相关数据!$AB$24,VLOOKUP(X256,模板计算相关数据!$P$47:$T$50,5,0),VLOOKUP(X256,模板计算相关数据!$P$4:$U$7,6,0))*VLOOKUP(Y256,模板计算相关数据!$P$22:$X$30,9,0)</f>
        <v>5.4285280003474252</v>
      </c>
      <c r="U256" s="95">
        <v>14</v>
      </c>
      <c r="V256" s="95">
        <f t="shared" si="22"/>
        <v>35</v>
      </c>
      <c r="W256" s="29">
        <f>VLOOKUP(U256,模板计算相关数据!A:N,2,0)</f>
        <v>32</v>
      </c>
      <c r="X256" s="3" t="s">
        <v>151</v>
      </c>
      <c r="Y256" s="3" t="s">
        <v>152</v>
      </c>
      <c r="Z256" s="95">
        <v>1.1499999999999999</v>
      </c>
      <c r="AA256" s="95">
        <v>1.2</v>
      </c>
      <c r="AB256" s="95">
        <v>1</v>
      </c>
      <c r="AC256" s="95">
        <v>1</v>
      </c>
      <c r="AD256" s="95">
        <v>0</v>
      </c>
      <c r="AE256" s="95">
        <v>0</v>
      </c>
      <c r="AF256" s="95">
        <v>0</v>
      </c>
      <c r="AG256" s="95">
        <v>0</v>
      </c>
      <c r="AH256" s="95">
        <v>0</v>
      </c>
      <c r="AI256" s="95">
        <v>0</v>
      </c>
      <c r="AJ256" s="3">
        <f>INT(VLOOKUP(U256,模板计算相关数据!A:N,4,0)*VLOOKUP(U256,模板计算相关数据!A:N,14,0)*(1+MAX(0,(VLOOKUP(U256,模板计算相关数据!A:N,7,0)-AQ256))*VLOOKUP(U256,模板计算相关数据!A:N,8,0))*(1-(AL256+AM256)*0.5/((AL256+AM256)*0.5+(VLOOKUP(U256,模板计算相关数据!A:N,2,0)+模板计算相关数据!$AC$27)*模板计算相关数据!$AC$28))*Q256*Z256)</f>
        <v>3725</v>
      </c>
      <c r="AK256" s="3">
        <f>INT(VLOOKUP(U256,模板计算相关数据!A:N,3,0)/模板计算相关数据!$W$35/(1+MAX(0,(AO256/10000-VLOOKUP(U256,模板计算相关数据!A:N,9,0)))*AP256/10000)/(1-VLOOKUP(U256,模板计算相关数据!A:N,5,0)/(VLOOKUP(U256,模板计算相关数据!A:N,5,0)+(VLOOKUP(U256,模板计算相关数据!A:N,2,0)+模板计算相关数据!$AC$27)*模板计算相关数据!$AC$28))/S256*AA256)</f>
        <v>1385</v>
      </c>
      <c r="AL256" s="3">
        <f>INT(VLOOKUP(U256,模板计算相关数据!A:N,5,0)*VLOOKUP(X256,模板计算相关数据!$P$4:$T$7,4,0)*VLOOKUP(Y256,模板计算相关数据!$P$22:$U$30,4,0)*AB256)</f>
        <v>2365</v>
      </c>
      <c r="AM256" s="3">
        <f>INT(VLOOKUP(U256,模板计算相关数据!A:N,6,0)*VLOOKUP(X256,模板计算相关数据!$P$4:$T$7,4,0)*VLOOKUP(Y256,模板计算相关数据!$P$22:$U$30,5,0)*AC256)</f>
        <v>1401</v>
      </c>
      <c r="AN256" s="3">
        <f>VLOOKUP(U256,模板计算相关数据!A:N,10,0)*0.5*VLOOKUP(Y256,模板计算相关数据!$P$22:$U$30,6,0)+AD256</f>
        <v>250</v>
      </c>
      <c r="AO256" s="3">
        <f>VLOOKUP(INT(VLOOKUP(U256,模板计算相关数据!A:N,2,0)/30)+1,模板计算相关数据!$O$35:$U$40,3,0)+AE256</f>
        <v>0</v>
      </c>
      <c r="AP256" s="3">
        <f>VLOOKUP(INT(VLOOKUP(U256,模板计算相关数据!A:N,2,0)/30)+1,模板计算相关数据!$O$35:$U$40,4,0)+AF256</f>
        <v>5000</v>
      </c>
      <c r="AQ256" s="3">
        <f>VLOOKUP(INT(VLOOKUP(U256,模板计算相关数据!A:N,2,0)/30)+1,模板计算相关数据!$O$35:$U$40,5,0)+AG256</f>
        <v>0</v>
      </c>
      <c r="AR256" s="3">
        <f>VLOOKUP(INT(VLOOKUP(U256,模板计算相关数据!A:N,2,0)/30)+1,模板计算相关数据!$O$35:$U$40,6,0)+AH256</f>
        <v>0</v>
      </c>
      <c r="AS256" s="3">
        <f>VLOOKUP(INT(VLOOKUP(U256,模板计算相关数据!A:N,2,0)/30)+1,模板计算相关数据!$O$35:$U$40,7,0)+AI256</f>
        <v>0</v>
      </c>
      <c r="AT256" s="3">
        <f>VLOOKUP(INT(VLOOKUP(U256,模板计算相关数据!A:N,2,0)/30)+1,模板计算相关数据!$O$35:$V$40,8,0)</f>
        <v>0</v>
      </c>
      <c r="AU256" s="2"/>
    </row>
    <row r="257" spans="1:47" x14ac:dyDescent="0.2">
      <c r="A257" s="19">
        <v>101140301</v>
      </c>
      <c r="B257" s="19"/>
      <c r="C257" s="69" t="s">
        <v>996</v>
      </c>
      <c r="D257" s="33" t="s">
        <v>1028</v>
      </c>
      <c r="E257" s="2">
        <v>1</v>
      </c>
      <c r="F257" s="3">
        <v>5</v>
      </c>
      <c r="G257" s="3">
        <v>1002101</v>
      </c>
      <c r="H257" s="3">
        <v>4</v>
      </c>
      <c r="I257" s="3">
        <v>4</v>
      </c>
      <c r="J257" s="3">
        <v>1</v>
      </c>
      <c r="K257" s="3"/>
      <c r="L257" s="91" t="s">
        <v>953</v>
      </c>
      <c r="M257" s="3"/>
      <c r="N257" s="2">
        <v>1</v>
      </c>
      <c r="O257" s="2"/>
      <c r="P257" s="3" t="s">
        <v>1613</v>
      </c>
      <c r="Q257" s="95">
        <v>4.2</v>
      </c>
      <c r="R257" s="133">
        <f>IF(P257=模板计算相关数据!$AB$24,VLOOKUP(X257,模板计算相关数据!$P$47:$T$50,2,0),VLOOKUP(X257,模板计算相关数据!$P$4:$U$7,3,0))*VLOOKUP(Y257,模板计算相关数据!$P$22:$X$30,8,0)</f>
        <v>3.5739607843137255</v>
      </c>
      <c r="S257" s="62">
        <f t="shared" si="20"/>
        <v>7.1399909464914808</v>
      </c>
      <c r="T257" s="133">
        <f>IF(P257=模板计算相关数据!$AB$24,VLOOKUP(X257,模板计算相关数据!$P$47:$T$50,5,0),VLOOKUP(X257,模板计算相关数据!$P$4:$U$7,6,0))*VLOOKUP(Y257,模板计算相关数据!$P$22:$X$30,9,0)</f>
        <v>7.1399909464914808</v>
      </c>
      <c r="U257" s="95">
        <v>15</v>
      </c>
      <c r="V257" s="95">
        <f t="shared" si="22"/>
        <v>38</v>
      </c>
      <c r="W257" s="29">
        <f>VLOOKUP(U257,模板计算相关数据!A:N,2,0)</f>
        <v>35</v>
      </c>
      <c r="X257" s="3" t="s">
        <v>151</v>
      </c>
      <c r="Y257" s="3" t="s">
        <v>162</v>
      </c>
      <c r="Z257" s="99">
        <v>1</v>
      </c>
      <c r="AA257" s="95">
        <v>1</v>
      </c>
      <c r="AB257" s="95">
        <v>1</v>
      </c>
      <c r="AC257" s="95">
        <v>1</v>
      </c>
      <c r="AD257" s="95">
        <v>0</v>
      </c>
      <c r="AE257" s="95">
        <v>0</v>
      </c>
      <c r="AF257" s="95">
        <v>0</v>
      </c>
      <c r="AG257" s="95">
        <v>0</v>
      </c>
      <c r="AH257" s="95">
        <v>0</v>
      </c>
      <c r="AI257" s="95">
        <v>0</v>
      </c>
      <c r="AJ257" s="3">
        <f>INT(VLOOKUP(U257,模板计算相关数据!A:N,4,0)*VLOOKUP(U257,模板计算相关数据!A:N,14,0)*(1+MAX(0,(VLOOKUP(U257,模板计算相关数据!A:N,7,0)-AQ257))*VLOOKUP(U257,模板计算相关数据!A:N,8,0))*(1-(AL257+AM257)*0.5/((AL257+AM257)*0.5+(VLOOKUP(U257,模板计算相关数据!A:N,2,0)+模板计算相关数据!$AC$27)*模板计算相关数据!$AC$28))*Q257*Z257)</f>
        <v>3356</v>
      </c>
      <c r="AK257" s="3">
        <f>INT(VLOOKUP(U257,模板计算相关数据!A:N,3,0)/模板计算相关数据!$W$35/(1+MAX(0,(AO257/10000-VLOOKUP(U257,模板计算相关数据!A:N,9,0)))*AP257/10000)/(1-VLOOKUP(U257,模板计算相关数据!A:N,5,0)/(VLOOKUP(U257,模板计算相关数据!A:N,5,0)+(VLOOKUP(U257,模板计算相关数据!A:N,2,0)+模板计算相关数据!$AC$27)*模板计算相关数据!$AC$28))/S257*AA257)</f>
        <v>946</v>
      </c>
      <c r="AL257" s="3">
        <f>INT(VLOOKUP(U257,模板计算相关数据!A:N,5,0)*VLOOKUP(X257,模板计算相关数据!$P$4:$T$7,4,0)*VLOOKUP(Y257,模板计算相关数据!$P$22:$U$30,4,0)*AB257)</f>
        <v>1513</v>
      </c>
      <c r="AM257" s="3">
        <f>INT(VLOOKUP(U257,模板计算相关数据!A:N,6,0)*VLOOKUP(X257,模板计算相关数据!$P$4:$T$7,4,0)*VLOOKUP(Y257,模板计算相关数据!$P$22:$U$30,5,0)*AC257)</f>
        <v>2554</v>
      </c>
      <c r="AN257" s="3">
        <f>VLOOKUP(U257,模板计算相关数据!A:N,10,0)*0.5*VLOOKUP(Y257,模板计算相关数据!$P$22:$U$30,6,0)+AD257</f>
        <v>250</v>
      </c>
      <c r="AO257" s="3">
        <f>VLOOKUP(INT(VLOOKUP(U257,模板计算相关数据!A:N,2,0)/30)+1,模板计算相关数据!$O$35:$U$40,3,0)+AE257</f>
        <v>0</v>
      </c>
      <c r="AP257" s="3">
        <f>VLOOKUP(INT(VLOOKUP(U257,模板计算相关数据!A:N,2,0)/30)+1,模板计算相关数据!$O$35:$U$40,4,0)+AF257</f>
        <v>5000</v>
      </c>
      <c r="AQ257" s="3">
        <f>VLOOKUP(INT(VLOOKUP(U257,模板计算相关数据!A:N,2,0)/30)+1,模板计算相关数据!$O$35:$U$40,5,0)+AG257</f>
        <v>0</v>
      </c>
      <c r="AR257" s="3">
        <f>VLOOKUP(INT(VLOOKUP(U257,模板计算相关数据!A:N,2,0)/30)+1,模板计算相关数据!$O$35:$U$40,6,0)+AH257</f>
        <v>0</v>
      </c>
      <c r="AS257" s="3">
        <f>VLOOKUP(INT(VLOOKUP(U257,模板计算相关数据!A:N,2,0)/30)+1,模板计算相关数据!$O$35:$U$40,7,0)+AI257</f>
        <v>0</v>
      </c>
      <c r="AT257" s="3">
        <f>VLOOKUP(INT(VLOOKUP(U257,模板计算相关数据!A:N,2,0)/30)+1,模板计算相关数据!$O$35:$V$40,8,0)</f>
        <v>0</v>
      </c>
      <c r="AU257" s="2"/>
    </row>
    <row r="258" spans="1:47" x14ac:dyDescent="0.2">
      <c r="A258" s="19">
        <v>101140302</v>
      </c>
      <c r="B258" s="19"/>
      <c r="C258" s="69" t="s">
        <v>997</v>
      </c>
      <c r="D258" s="33" t="s">
        <v>1028</v>
      </c>
      <c r="E258" s="2">
        <v>1</v>
      </c>
      <c r="F258" s="3">
        <v>5</v>
      </c>
      <c r="G258" s="3">
        <v>1002201</v>
      </c>
      <c r="H258" s="3">
        <v>1</v>
      </c>
      <c r="I258" s="3">
        <v>4</v>
      </c>
      <c r="J258" s="3">
        <v>1</v>
      </c>
      <c r="K258" s="3"/>
      <c r="L258" s="91" t="s">
        <v>954</v>
      </c>
      <c r="M258" s="3"/>
      <c r="N258" s="2">
        <v>1</v>
      </c>
      <c r="O258" s="2"/>
      <c r="P258" s="3" t="s">
        <v>1613</v>
      </c>
      <c r="Q258" s="95">
        <v>4.0999999999999996</v>
      </c>
      <c r="R258" s="133">
        <f>IF(P258=模板计算相关数据!$AB$24,VLOOKUP(X258,模板计算相关数据!$P$47:$T$50,2,0),VLOOKUP(X258,模板计算相关数据!$P$4:$U$7,3,0))*VLOOKUP(Y258,模板计算相关数据!$P$22:$X$30,8,0)</f>
        <v>3.5338039215686279</v>
      </c>
      <c r="S258" s="62">
        <f t="shared" si="20"/>
        <v>7.080688696105339</v>
      </c>
      <c r="T258" s="133">
        <f>IF(P258=模板计算相关数据!$AB$24,VLOOKUP(X258,模板计算相关数据!$P$47:$T$50,5,0),VLOOKUP(X258,模板计算相关数据!$P$4:$U$7,6,0))*VLOOKUP(Y258,模板计算相关数据!$P$22:$X$30,9,0)</f>
        <v>7.080688696105339</v>
      </c>
      <c r="U258" s="95">
        <v>15</v>
      </c>
      <c r="V258" s="95">
        <f t="shared" si="22"/>
        <v>38</v>
      </c>
      <c r="W258" s="29">
        <f>VLOOKUP(U258,模板计算相关数据!A:N,2,0)</f>
        <v>35</v>
      </c>
      <c r="X258" s="3" t="s">
        <v>151</v>
      </c>
      <c r="Y258" s="3" t="s">
        <v>152</v>
      </c>
      <c r="Z258" s="99">
        <v>1</v>
      </c>
      <c r="AA258" s="95">
        <v>1</v>
      </c>
      <c r="AB258" s="95">
        <v>1</v>
      </c>
      <c r="AC258" s="95">
        <v>1</v>
      </c>
      <c r="AD258" s="95">
        <v>0</v>
      </c>
      <c r="AE258" s="95">
        <v>0</v>
      </c>
      <c r="AF258" s="95">
        <v>0</v>
      </c>
      <c r="AG258" s="95">
        <v>0</v>
      </c>
      <c r="AH258" s="95">
        <v>0</v>
      </c>
      <c r="AI258" s="95">
        <v>0</v>
      </c>
      <c r="AJ258" s="3">
        <f>INT(VLOOKUP(U258,模板计算相关数据!A:N,4,0)*VLOOKUP(U258,模板计算相关数据!A:N,14,0)*(1+MAX(0,(VLOOKUP(U258,模板计算相关数据!A:N,7,0)-AQ258))*VLOOKUP(U258,模板计算相关数据!A:N,8,0))*(1-(AL258+AM258)*0.5/((AL258+AM258)*0.5+(VLOOKUP(U258,模板计算相关数据!A:N,2,0)+模板计算相关数据!$AC$27)*模板计算相关数据!$AC$28))*Q258*Z258)</f>
        <v>3276</v>
      </c>
      <c r="AK258" s="3">
        <f>INT(VLOOKUP(U258,模板计算相关数据!A:N,3,0)/模板计算相关数据!$W$35/(1+MAX(0,(AO258/10000-VLOOKUP(U258,模板计算相关数据!A:N,9,0)))*AP258/10000)/(1-VLOOKUP(U258,模板计算相关数据!A:N,5,0)/(VLOOKUP(U258,模板计算相关数据!A:N,5,0)+(VLOOKUP(U258,模板计算相关数据!A:N,2,0)+模板计算相关数据!$AC$27)*模板计算相关数据!$AC$28))/S258*AA258)</f>
        <v>954</v>
      </c>
      <c r="AL258" s="3">
        <f>INT(VLOOKUP(U258,模板计算相关数据!A:N,5,0)*VLOOKUP(X258,模板计算相关数据!$P$4:$T$7,4,0)*VLOOKUP(Y258,模板计算相关数据!$P$22:$U$30,4,0)*AB258)</f>
        <v>2554</v>
      </c>
      <c r="AM258" s="3">
        <f>INT(VLOOKUP(U258,模板计算相关数据!A:N,6,0)*VLOOKUP(X258,模板计算相关数据!$P$4:$T$7,4,0)*VLOOKUP(Y258,模板计算相关数据!$P$22:$U$30,5,0)*AC258)</f>
        <v>1513</v>
      </c>
      <c r="AN258" s="3">
        <f>VLOOKUP(U258,模板计算相关数据!A:N,10,0)*0.5*VLOOKUP(Y258,模板计算相关数据!$P$22:$U$30,6,0)+AD258</f>
        <v>250</v>
      </c>
      <c r="AO258" s="3">
        <f>VLOOKUP(INT(VLOOKUP(U258,模板计算相关数据!A:N,2,0)/30)+1,模板计算相关数据!$O$35:$U$40,3,0)+AE258</f>
        <v>0</v>
      </c>
      <c r="AP258" s="3">
        <f>VLOOKUP(INT(VLOOKUP(U258,模板计算相关数据!A:N,2,0)/30)+1,模板计算相关数据!$O$35:$U$40,4,0)+AF258</f>
        <v>5000</v>
      </c>
      <c r="AQ258" s="3">
        <f>VLOOKUP(INT(VLOOKUP(U258,模板计算相关数据!A:N,2,0)/30)+1,模板计算相关数据!$O$35:$U$40,5,0)+AG258</f>
        <v>0</v>
      </c>
      <c r="AR258" s="3">
        <f>VLOOKUP(INT(VLOOKUP(U258,模板计算相关数据!A:N,2,0)/30)+1,模板计算相关数据!$O$35:$U$40,6,0)+AH258</f>
        <v>0</v>
      </c>
      <c r="AS258" s="3">
        <f>VLOOKUP(INT(VLOOKUP(U258,模板计算相关数据!A:N,2,0)/30)+1,模板计算相关数据!$O$35:$U$40,7,0)+AI258</f>
        <v>0</v>
      </c>
      <c r="AT258" s="3">
        <f>VLOOKUP(INT(VLOOKUP(U258,模板计算相关数据!A:N,2,0)/30)+1,模板计算相关数据!$O$35:$V$40,8,0)</f>
        <v>0</v>
      </c>
      <c r="AU258" s="2"/>
    </row>
    <row r="259" spans="1:47" x14ac:dyDescent="0.2">
      <c r="A259" s="19">
        <v>101140303</v>
      </c>
      <c r="B259" s="19"/>
      <c r="C259" s="69" t="s">
        <v>998</v>
      </c>
      <c r="D259" s="33" t="s">
        <v>1029</v>
      </c>
      <c r="E259" s="2">
        <v>1</v>
      </c>
      <c r="F259" s="3">
        <v>5</v>
      </c>
      <c r="G259" s="3">
        <v>1002301</v>
      </c>
      <c r="H259" s="3">
        <v>5</v>
      </c>
      <c r="I259" s="3">
        <v>4</v>
      </c>
      <c r="J259" s="3">
        <v>1</v>
      </c>
      <c r="K259" s="3"/>
      <c r="L259" s="91" t="s">
        <v>955</v>
      </c>
      <c r="M259" s="3"/>
      <c r="N259" s="2">
        <v>1</v>
      </c>
      <c r="O259" s="2"/>
      <c r="P259" s="3" t="s">
        <v>1613</v>
      </c>
      <c r="Q259" s="95">
        <v>5.2</v>
      </c>
      <c r="R259" s="133">
        <f>IF(P259=模板计算相关数据!$AB$24,VLOOKUP(X259,模板计算相关数据!$P$47:$T$50,2,0),VLOOKUP(X259,模板计算相关数据!$P$4:$U$7,3,0))*VLOOKUP(Y259,模板计算相关数据!$P$22:$X$30,8,0)</f>
        <v>4.61678431372549</v>
      </c>
      <c r="S259" s="62">
        <f t="shared" si="20"/>
        <v>8.357989402069439</v>
      </c>
      <c r="T259" s="133">
        <f>IF(P259=模板计算相关数据!$AB$24,VLOOKUP(X259,模板计算相关数据!$P$47:$T$50,5,0),VLOOKUP(X259,模板计算相关数据!$P$4:$U$7,6,0))*VLOOKUP(Y259,模板计算相关数据!$P$22:$X$30,9,0)</f>
        <v>8.357989402069439</v>
      </c>
      <c r="U259" s="95">
        <v>15</v>
      </c>
      <c r="V259" s="95">
        <f t="shared" si="22"/>
        <v>38</v>
      </c>
      <c r="W259" s="29">
        <f>VLOOKUP(U259,模板计算相关数据!A:N,2,0)</f>
        <v>35</v>
      </c>
      <c r="X259" s="3" t="s">
        <v>151</v>
      </c>
      <c r="Y259" s="3" t="s">
        <v>243</v>
      </c>
      <c r="Z259" s="99">
        <v>1</v>
      </c>
      <c r="AA259" s="95">
        <v>1</v>
      </c>
      <c r="AB259" s="95">
        <v>1</v>
      </c>
      <c r="AC259" s="95">
        <v>1</v>
      </c>
      <c r="AD259" s="95">
        <v>0</v>
      </c>
      <c r="AE259" s="95">
        <v>0</v>
      </c>
      <c r="AF259" s="95">
        <v>0</v>
      </c>
      <c r="AG259" s="95">
        <v>0</v>
      </c>
      <c r="AH259" s="95">
        <v>0</v>
      </c>
      <c r="AI259" s="95">
        <v>0</v>
      </c>
      <c r="AJ259" s="3">
        <f>INT(VLOOKUP(U259,模板计算相关数据!A:N,4,0)*VLOOKUP(U259,模板计算相关数据!A:N,14,0)*(1+MAX(0,(VLOOKUP(U259,模板计算相关数据!A:N,7,0)-AQ259))*VLOOKUP(U259,模板计算相关数据!A:N,8,0))*(1-(AL259+AM259)*0.5/((AL259+AM259)*0.5+(VLOOKUP(U259,模板计算相关数据!A:N,2,0)+模板计算相关数据!$AC$27)*模板计算相关数据!$AC$28))*Q259*Z259)</f>
        <v>3991</v>
      </c>
      <c r="AK259" s="3">
        <f>INT(VLOOKUP(U259,模板计算相关数据!A:N,3,0)/模板计算相关数据!$W$35/(1+MAX(0,(AO259/10000-VLOOKUP(U259,模板计算相关数据!A:N,9,0)))*AP259/10000)/(1-VLOOKUP(U259,模板计算相关数据!A:N,5,0)/(VLOOKUP(U259,模板计算相关数据!A:N,5,0)+(VLOOKUP(U259,模板计算相关数据!A:N,2,0)+模板计算相关数据!$AC$27)*模板计算相关数据!$AC$28))/S259*AA259)</f>
        <v>808</v>
      </c>
      <c r="AL259" s="3">
        <f>INT(VLOOKUP(U259,模板计算相关数据!A:N,5,0)*VLOOKUP(X259,模板计算相关数据!$P$4:$T$7,4,0)*VLOOKUP(Y259,模板计算相关数据!$P$22:$U$30,4,0)*AB259)</f>
        <v>1608</v>
      </c>
      <c r="AM259" s="3">
        <f>INT(VLOOKUP(U259,模板计算相关数据!A:N,6,0)*VLOOKUP(X259,模板计算相关数据!$P$4:$T$7,4,0)*VLOOKUP(Y259,模板计算相关数据!$P$22:$U$30,5,0)*AC259)</f>
        <v>2933</v>
      </c>
      <c r="AN259" s="3">
        <f>VLOOKUP(U259,模板计算相关数据!A:N,10,0)*0.5*VLOOKUP(Y259,模板计算相关数据!$P$22:$U$30,6,0)+AD259</f>
        <v>275</v>
      </c>
      <c r="AO259" s="3">
        <f>VLOOKUP(INT(VLOOKUP(U259,模板计算相关数据!A:N,2,0)/30)+1,模板计算相关数据!$O$35:$U$40,3,0)+AE259</f>
        <v>0</v>
      </c>
      <c r="AP259" s="3">
        <f>VLOOKUP(INT(VLOOKUP(U259,模板计算相关数据!A:N,2,0)/30)+1,模板计算相关数据!$O$35:$U$40,4,0)+AF259</f>
        <v>5000</v>
      </c>
      <c r="AQ259" s="3">
        <f>VLOOKUP(INT(VLOOKUP(U259,模板计算相关数据!A:N,2,0)/30)+1,模板计算相关数据!$O$35:$U$40,5,0)+AG259</f>
        <v>0</v>
      </c>
      <c r="AR259" s="3">
        <f>VLOOKUP(INT(VLOOKUP(U259,模板计算相关数据!A:N,2,0)/30)+1,模板计算相关数据!$O$35:$U$40,6,0)+AH259</f>
        <v>0</v>
      </c>
      <c r="AS259" s="3">
        <f>VLOOKUP(INT(VLOOKUP(U259,模板计算相关数据!A:N,2,0)/30)+1,模板计算相关数据!$O$35:$U$40,7,0)+AI259</f>
        <v>0</v>
      </c>
      <c r="AT259" s="3">
        <f>VLOOKUP(INT(VLOOKUP(U259,模板计算相关数据!A:N,2,0)/30)+1,模板计算相关数据!$O$35:$V$40,8,0)</f>
        <v>0</v>
      </c>
      <c r="AU259" s="2"/>
    </row>
    <row r="260" spans="1:47" x14ac:dyDescent="0.2">
      <c r="A260" s="19">
        <v>101140304</v>
      </c>
      <c r="B260" s="19"/>
      <c r="C260" s="69" t="s">
        <v>1599</v>
      </c>
      <c r="D260" s="33" t="s">
        <v>1029</v>
      </c>
      <c r="E260" s="2">
        <v>1</v>
      </c>
      <c r="F260" s="3">
        <v>5</v>
      </c>
      <c r="G260" s="3">
        <v>1002401</v>
      </c>
      <c r="H260" s="3">
        <v>5</v>
      </c>
      <c r="I260" s="3">
        <v>4</v>
      </c>
      <c r="J260" s="3">
        <v>1</v>
      </c>
      <c r="K260" s="3">
        <v>1</v>
      </c>
      <c r="L260" s="91" t="s">
        <v>1541</v>
      </c>
      <c r="M260" s="3"/>
      <c r="N260" s="2">
        <v>1</v>
      </c>
      <c r="O260" s="2"/>
      <c r="P260" s="3" t="s">
        <v>1613</v>
      </c>
      <c r="Q260" s="95">
        <v>12</v>
      </c>
      <c r="R260" s="133">
        <f>IF(P260=模板计算相关数据!$AB$24,VLOOKUP(X260,模板计算相关数据!$P$47:$T$50,2,0),VLOOKUP(X260,模板计算相关数据!$P$4:$U$7,3,0))*VLOOKUP(Y260,模板计算相关数据!$P$22:$X$30,8,0)</f>
        <v>23.083921568627449</v>
      </c>
      <c r="S260" s="62">
        <v>5.43</v>
      </c>
      <c r="T260" s="133">
        <f>IF(P260=模板计算相关数据!$AB$24,VLOOKUP(X260,模板计算相关数据!$P$47:$T$50,5,0),VLOOKUP(X260,模板计算相关数据!$P$4:$U$7,6,0))*VLOOKUP(Y260,模板计算相关数据!$P$22:$X$30,9,0)</f>
        <v>3.1342460257760378</v>
      </c>
      <c r="U260" s="95">
        <v>15</v>
      </c>
      <c r="V260" s="95">
        <f t="shared" si="22"/>
        <v>38</v>
      </c>
      <c r="W260" s="29">
        <f>VLOOKUP(U260,模板计算相关数据!A:N,2,0)</f>
        <v>35</v>
      </c>
      <c r="X260" s="3" t="s">
        <v>178</v>
      </c>
      <c r="Y260" s="3" t="s">
        <v>159</v>
      </c>
      <c r="Z260" s="99">
        <v>1</v>
      </c>
      <c r="AA260" s="95">
        <v>1</v>
      </c>
      <c r="AB260" s="95">
        <v>1</v>
      </c>
      <c r="AC260" s="95">
        <v>1</v>
      </c>
      <c r="AD260" s="95">
        <v>0</v>
      </c>
      <c r="AE260" s="95">
        <v>0</v>
      </c>
      <c r="AF260" s="95">
        <v>0</v>
      </c>
      <c r="AG260" s="95">
        <v>0</v>
      </c>
      <c r="AH260" s="95">
        <v>0</v>
      </c>
      <c r="AI260" s="95">
        <v>2000</v>
      </c>
      <c r="AJ260" s="3">
        <f>INT(VLOOKUP(U260,模板计算相关数据!A:N,4,0)*VLOOKUP(U260,模板计算相关数据!A:N,14,0)*(1+MAX(0,(VLOOKUP(U260,模板计算相关数据!A:N,7,0)-AQ260))*VLOOKUP(U260,模板计算相关数据!A:N,8,0))*(1-(AL260+AM260)*0.5/((AL260+AM260)*0.5+(VLOOKUP(U260,模板计算相关数据!A:N,2,0)+模板计算相关数据!$AC$27)*模板计算相关数据!$AC$28))*Q260*Z260)</f>
        <v>7748</v>
      </c>
      <c r="AK260" s="3">
        <f>INT(VLOOKUP(U260,模板计算相关数据!A:N,3,0)/模板计算相关数据!$W$35/(1+MAX(0,(AO260/10000-VLOOKUP(U260,模板计算相关数据!A:N,9,0)))*AP260/10000)/(1-VLOOKUP(U260,模板计算相关数据!A:N,5,0)/(VLOOKUP(U260,模板计算相关数据!A:N,5,0)+(VLOOKUP(U260,模板计算相关数据!A:N,2,0)+模板计算相关数据!$AC$27)*模板计算相关数据!$AC$28))/S260*AA260)</f>
        <v>1244</v>
      </c>
      <c r="AL260" s="3">
        <f>INT(VLOOKUP(U260,模板计算相关数据!A:N,5,0)*VLOOKUP(X260,模板计算相关数据!$P$4:$T$7,4,0)*VLOOKUP(Y260,模板计算相关数据!$P$22:$U$30,4,0)*AB260)</f>
        <v>4400</v>
      </c>
      <c r="AM260" s="3">
        <f>INT(VLOOKUP(U260,模板计算相关数据!A:N,6,0)*VLOOKUP(X260,模板计算相关数据!$P$4:$T$7,4,0)*VLOOKUP(Y260,模板计算相关数据!$P$22:$U$30,5,0)*AC260)</f>
        <v>2412</v>
      </c>
      <c r="AN260" s="3">
        <f>VLOOKUP(U260,模板计算相关数据!A:N,10,0)*0.5*VLOOKUP(Y260,模板计算相关数据!$P$22:$U$30,6,0)+AD260</f>
        <v>275</v>
      </c>
      <c r="AO260" s="3">
        <f>VLOOKUP(INT(VLOOKUP(U260,模板计算相关数据!A:N,2,0)/30)+1,模板计算相关数据!$O$35:$U$40,3,0)+AE260</f>
        <v>0</v>
      </c>
      <c r="AP260" s="3">
        <f>VLOOKUP(INT(VLOOKUP(U260,模板计算相关数据!A:N,2,0)/30)+1,模板计算相关数据!$O$35:$U$40,4,0)+AF260</f>
        <v>5000</v>
      </c>
      <c r="AQ260" s="3">
        <f>VLOOKUP(INT(VLOOKUP(U260,模板计算相关数据!A:N,2,0)/30)+1,模板计算相关数据!$O$35:$U$40,5,0)+AG260</f>
        <v>0</v>
      </c>
      <c r="AR260" s="3">
        <f>VLOOKUP(INT(VLOOKUP(U260,模板计算相关数据!A:N,2,0)/30)+1,模板计算相关数据!$O$35:$U$40,6,0)+AH260</f>
        <v>0</v>
      </c>
      <c r="AS260" s="3">
        <f>VLOOKUP(INT(VLOOKUP(U260,模板计算相关数据!A:N,2,0)/30)+1,模板计算相关数据!$O$35:$U$40,7,0)+AI260</f>
        <v>2000</v>
      </c>
      <c r="AT260" s="3">
        <f>VLOOKUP(INT(VLOOKUP(U260,模板计算相关数据!A:N,2,0)/30)+1,模板计算相关数据!$O$35:$V$40,8,0)</f>
        <v>0</v>
      </c>
      <c r="AU260" s="69" t="s">
        <v>1935</v>
      </c>
    </row>
    <row r="261" spans="1:47" x14ac:dyDescent="0.2">
      <c r="A261" s="19">
        <v>101140305</v>
      </c>
      <c r="B261" s="19"/>
      <c r="C261" s="69" t="s">
        <v>945</v>
      </c>
      <c r="D261" s="33" t="s">
        <v>1827</v>
      </c>
      <c r="E261" s="2">
        <v>1</v>
      </c>
      <c r="F261" s="3">
        <v>5</v>
      </c>
      <c r="G261" s="3">
        <v>1006601</v>
      </c>
      <c r="H261" s="3">
        <v>4</v>
      </c>
      <c r="I261" s="3">
        <v>4</v>
      </c>
      <c r="J261" s="3">
        <v>2</v>
      </c>
      <c r="K261" s="3"/>
      <c r="L261" s="91" t="s">
        <v>1829</v>
      </c>
      <c r="M261" s="3"/>
      <c r="N261" s="2">
        <v>3</v>
      </c>
      <c r="O261" s="69" t="s">
        <v>1831</v>
      </c>
      <c r="P261" s="3" t="s">
        <v>1613</v>
      </c>
      <c r="Q261" s="95">
        <v>20</v>
      </c>
      <c r="R261" s="133">
        <f>IF(P261=模板计算相关数据!$AB$24,VLOOKUP(X261,模板计算相关数据!$P$47:$T$50,2,0),VLOOKUP(X261,模板计算相关数据!$P$4:$U$7,3,0))*VLOOKUP(Y261,模板计算相关数据!$P$22:$X$30,8,0)</f>
        <v>17.869803921568629</v>
      </c>
      <c r="S261" s="62">
        <v>4.3</v>
      </c>
      <c r="T261" s="133">
        <f>IF(P261=模板计算相关数据!$AB$24,VLOOKUP(X261,模板计算相关数据!$P$47:$T$50,5,0),VLOOKUP(X261,模板计算相关数据!$P$4:$U$7,6,0))*VLOOKUP(Y261,模板计算相关数据!$P$22:$X$30,9,0)</f>
        <v>2.677496604934305</v>
      </c>
      <c r="U261" s="95">
        <v>15</v>
      </c>
      <c r="V261" s="95">
        <f t="shared" si="22"/>
        <v>38</v>
      </c>
      <c r="W261" s="29">
        <f>VLOOKUP(U261,模板计算相关数据!A:N,2,0)</f>
        <v>35</v>
      </c>
      <c r="X261" s="3" t="s">
        <v>178</v>
      </c>
      <c r="Y261" s="3" t="s">
        <v>162</v>
      </c>
      <c r="Z261" s="99">
        <v>1</v>
      </c>
      <c r="AA261" s="95">
        <v>1</v>
      </c>
      <c r="AB261" s="95">
        <v>1</v>
      </c>
      <c r="AC261" s="95">
        <v>1</v>
      </c>
      <c r="AD261" s="95">
        <v>0</v>
      </c>
      <c r="AE261" s="95">
        <v>0</v>
      </c>
      <c r="AF261" s="95">
        <v>0</v>
      </c>
      <c r="AG261" s="95">
        <v>0</v>
      </c>
      <c r="AH261" s="95">
        <v>0</v>
      </c>
      <c r="AI261" s="95">
        <v>4000</v>
      </c>
      <c r="AJ261" s="3">
        <f>INT(VLOOKUP(U261,模板计算相关数据!A:N,4,0)*VLOOKUP(U261,模板计算相关数据!A:N,14,0)*(1+MAX(0,(VLOOKUP(U261,模板计算相关数据!A:N,7,0)-AQ261))*VLOOKUP(U261,模板计算相关数据!A:N,8,0))*(1-(AL261+AM261)*0.5/((AL261+AM261)*0.5+(VLOOKUP(U261,模板计算相关数据!A:N,2,0)+模板计算相关数据!$AC$27)*模板计算相关数据!$AC$28))*Q261*Z261)</f>
        <v>13589</v>
      </c>
      <c r="AK261" s="3">
        <f>INT(VLOOKUP(U261,模板计算相关数据!A:N,3,0)/模板计算相关数据!$W$35/(1+MAX(0,(AO261/10000-VLOOKUP(U261,模板计算相关数据!A:N,9,0)))*AP261/10000)/(1-VLOOKUP(U261,模板计算相关数据!A:N,5,0)/(VLOOKUP(U261,模板计算相关数据!A:N,5,0)+(VLOOKUP(U261,模板计算相关数据!A:N,2,0)+模板计算相关数据!$AC$27)*模板计算相关数据!$AC$28))/S261*AA261)</f>
        <v>1571</v>
      </c>
      <c r="AL261" s="3">
        <f>INT(VLOOKUP(U261,模板计算相关数据!A:N,5,0)*VLOOKUP(X261,模板计算相关数据!$P$4:$T$7,4,0)*VLOOKUP(Y261,模板计算相关数据!$P$22:$U$30,4,0)*AB261)</f>
        <v>2270</v>
      </c>
      <c r="AM261" s="3">
        <f>INT(VLOOKUP(U261,模板计算相关数据!A:N,6,0)*VLOOKUP(X261,模板计算相关数据!$P$4:$T$7,4,0)*VLOOKUP(Y261,模板计算相关数据!$P$22:$U$30,5,0)*AC261)</f>
        <v>3832</v>
      </c>
      <c r="AN261" s="3">
        <f>VLOOKUP(U261,模板计算相关数据!A:N,10,0)*0.5*VLOOKUP(Y261,模板计算相关数据!$P$22:$U$30,6,0)+AD261</f>
        <v>250</v>
      </c>
      <c r="AO261" s="3">
        <f>VLOOKUP(INT(VLOOKUP(U261,模板计算相关数据!A:N,2,0)/30)+1,模板计算相关数据!$O$35:$U$40,3,0)+AE261</f>
        <v>0</v>
      </c>
      <c r="AP261" s="3">
        <f>VLOOKUP(INT(VLOOKUP(U261,模板计算相关数据!A:N,2,0)/30)+1,模板计算相关数据!$O$35:$U$40,4,0)+AF261</f>
        <v>5000</v>
      </c>
      <c r="AQ261" s="3">
        <f>VLOOKUP(INT(VLOOKUP(U261,模板计算相关数据!A:N,2,0)/30)+1,模板计算相关数据!$O$35:$U$40,5,0)+AG261</f>
        <v>0</v>
      </c>
      <c r="AR261" s="3">
        <f>VLOOKUP(INT(VLOOKUP(U261,模板计算相关数据!A:N,2,0)/30)+1,模板计算相关数据!$O$35:$U$40,6,0)+AH261</f>
        <v>0</v>
      </c>
      <c r="AS261" s="3">
        <f>VLOOKUP(INT(VLOOKUP(U261,模板计算相关数据!A:N,2,0)/30)+1,模板计算相关数据!$O$35:$U$40,7,0)+AI261</f>
        <v>4000</v>
      </c>
      <c r="AT261" s="3">
        <f>VLOOKUP(INT(VLOOKUP(U261,模板计算相关数据!A:N,2,0)/30)+1,模板计算相关数据!$O$35:$V$40,8,0)</f>
        <v>0</v>
      </c>
      <c r="AU261" s="2" t="s">
        <v>1933</v>
      </c>
    </row>
    <row r="262" spans="1:47" x14ac:dyDescent="0.2">
      <c r="A262" s="19">
        <v>101140306</v>
      </c>
      <c r="B262" s="19"/>
      <c r="C262" s="69" t="s">
        <v>945</v>
      </c>
      <c r="D262" s="33" t="s">
        <v>1828</v>
      </c>
      <c r="E262" s="2">
        <v>1</v>
      </c>
      <c r="F262" s="3">
        <v>5</v>
      </c>
      <c r="G262" s="3">
        <v>103101</v>
      </c>
      <c r="H262" s="3">
        <v>4</v>
      </c>
      <c r="I262" s="3">
        <v>4</v>
      </c>
      <c r="J262" s="3">
        <v>2</v>
      </c>
      <c r="K262" s="3">
        <v>1</v>
      </c>
      <c r="L262" s="91" t="s">
        <v>1830</v>
      </c>
      <c r="M262" s="3"/>
      <c r="N262" s="2">
        <v>3</v>
      </c>
      <c r="O262" s="69" t="s">
        <v>1832</v>
      </c>
      <c r="P262" s="3" t="s">
        <v>1613</v>
      </c>
      <c r="Q262" s="95">
        <v>20</v>
      </c>
      <c r="R262" s="133">
        <f>IF(P262=模板计算相关数据!$AB$24,VLOOKUP(X262,模板计算相关数据!$P$47:$T$50,2,0),VLOOKUP(X262,模板计算相关数据!$P$4:$U$7,3,0))*VLOOKUP(Y262,模板计算相关数据!$P$22:$X$30,8,0)</f>
        <v>17.869803921568629</v>
      </c>
      <c r="S262" s="62">
        <v>3.88</v>
      </c>
      <c r="T262" s="133">
        <f>IF(P262=模板计算相关数据!$AB$24,VLOOKUP(X262,模板计算相关数据!$P$47:$T$50,5,0),VLOOKUP(X262,模板计算相关数据!$P$4:$U$7,6,0))*VLOOKUP(Y262,模板计算相关数据!$P$22:$X$30,9,0)</f>
        <v>2.677496604934305</v>
      </c>
      <c r="U262" s="95">
        <v>15</v>
      </c>
      <c r="V262" s="95">
        <f t="shared" si="22"/>
        <v>38</v>
      </c>
      <c r="W262" s="29">
        <f>VLOOKUP(U262,模板计算相关数据!A:N,2,0)</f>
        <v>35</v>
      </c>
      <c r="X262" s="3" t="s">
        <v>178</v>
      </c>
      <c r="Y262" s="3" t="s">
        <v>162</v>
      </c>
      <c r="Z262" s="99">
        <v>1</v>
      </c>
      <c r="AA262" s="95">
        <v>1</v>
      </c>
      <c r="AB262" s="95">
        <v>1</v>
      </c>
      <c r="AC262" s="95">
        <v>1</v>
      </c>
      <c r="AD262" s="95">
        <v>0</v>
      </c>
      <c r="AE262" s="95">
        <v>0</v>
      </c>
      <c r="AF262" s="95">
        <v>0</v>
      </c>
      <c r="AG262" s="95">
        <v>0</v>
      </c>
      <c r="AH262" s="95">
        <v>0</v>
      </c>
      <c r="AI262" s="95">
        <v>4000</v>
      </c>
      <c r="AJ262" s="3">
        <f>INT(VLOOKUP(U262,模板计算相关数据!A:N,4,0)*VLOOKUP(U262,模板计算相关数据!A:N,14,0)*(1+MAX(0,(VLOOKUP(U262,模板计算相关数据!A:N,7,0)-AQ262))*VLOOKUP(U262,模板计算相关数据!A:N,8,0))*(1-(AL262+AM262)*0.5/((AL262+AM262)*0.5+(VLOOKUP(U262,模板计算相关数据!A:N,2,0)+模板计算相关数据!$AC$27)*模板计算相关数据!$AC$28))*Q262*Z262)</f>
        <v>13589</v>
      </c>
      <c r="AK262" s="3">
        <f>INT(VLOOKUP(U262,模板计算相关数据!A:N,3,0)/模板计算相关数据!$W$35/(1+MAX(0,(AO262/10000-VLOOKUP(U262,模板计算相关数据!A:N,9,0)))*AP262/10000)/(1-VLOOKUP(U262,模板计算相关数据!A:N,5,0)/(VLOOKUP(U262,模板计算相关数据!A:N,5,0)+(VLOOKUP(U262,模板计算相关数据!A:N,2,0)+模板计算相关数据!$AC$27)*模板计算相关数据!$AC$28))/S262*AA262)</f>
        <v>1742</v>
      </c>
      <c r="AL262" s="3">
        <f>INT(VLOOKUP(U262,模板计算相关数据!A:N,5,0)*VLOOKUP(X262,模板计算相关数据!$P$4:$T$7,4,0)*VLOOKUP(Y262,模板计算相关数据!$P$22:$U$30,4,0)*AB262)</f>
        <v>2270</v>
      </c>
      <c r="AM262" s="3">
        <f>INT(VLOOKUP(U262,模板计算相关数据!A:N,6,0)*VLOOKUP(X262,模板计算相关数据!$P$4:$T$7,4,0)*VLOOKUP(Y262,模板计算相关数据!$P$22:$U$30,5,0)*AC262)</f>
        <v>3832</v>
      </c>
      <c r="AN262" s="3">
        <f>VLOOKUP(U262,模板计算相关数据!A:N,10,0)*0.5*VLOOKUP(Y262,模板计算相关数据!$P$22:$U$30,6,0)+AD262</f>
        <v>250</v>
      </c>
      <c r="AO262" s="3">
        <f>VLOOKUP(INT(VLOOKUP(U262,模板计算相关数据!A:N,2,0)/30)+1,模板计算相关数据!$O$35:$U$40,3,0)+AE262</f>
        <v>0</v>
      </c>
      <c r="AP262" s="3">
        <f>VLOOKUP(INT(VLOOKUP(U262,模板计算相关数据!A:N,2,0)/30)+1,模板计算相关数据!$O$35:$U$40,4,0)+AF262</f>
        <v>5000</v>
      </c>
      <c r="AQ262" s="3">
        <f>VLOOKUP(INT(VLOOKUP(U262,模板计算相关数据!A:N,2,0)/30)+1,模板计算相关数据!$O$35:$U$40,5,0)+AG262</f>
        <v>0</v>
      </c>
      <c r="AR262" s="3">
        <f>VLOOKUP(INT(VLOOKUP(U262,模板计算相关数据!A:N,2,0)/30)+1,模板计算相关数据!$O$35:$U$40,6,0)+AH262</f>
        <v>0</v>
      </c>
      <c r="AS262" s="3">
        <f>VLOOKUP(INT(VLOOKUP(U262,模板计算相关数据!A:N,2,0)/30)+1,模板计算相关数据!$O$35:$U$40,7,0)+AI262</f>
        <v>4000</v>
      </c>
      <c r="AT262" s="3">
        <f>VLOOKUP(INT(VLOOKUP(U262,模板计算相关数据!A:N,2,0)/30)+1,模板计算相关数据!$O$35:$V$40,8,0)</f>
        <v>0</v>
      </c>
      <c r="AU262" s="2" t="s">
        <v>1934</v>
      </c>
    </row>
    <row r="263" spans="1:47" x14ac:dyDescent="0.2">
      <c r="A263" s="17">
        <v>101150101</v>
      </c>
      <c r="B263" s="17"/>
      <c r="C263" s="69" t="s">
        <v>990</v>
      </c>
      <c r="D263" s="87" t="s">
        <v>1030</v>
      </c>
      <c r="E263" s="2">
        <v>1</v>
      </c>
      <c r="F263" s="3">
        <v>2</v>
      </c>
      <c r="G263" s="3">
        <v>1001301</v>
      </c>
      <c r="H263" s="3">
        <v>1</v>
      </c>
      <c r="I263" s="3">
        <v>4</v>
      </c>
      <c r="J263" s="3">
        <v>1</v>
      </c>
      <c r="K263" s="3"/>
      <c r="L263" s="91" t="s">
        <v>947</v>
      </c>
      <c r="M263" s="3"/>
      <c r="N263" s="2">
        <v>1</v>
      </c>
      <c r="O263" s="2"/>
      <c r="P263" s="3" t="s">
        <v>1615</v>
      </c>
      <c r="Q263" s="95">
        <f t="shared" si="19"/>
        <v>4.417254901960785</v>
      </c>
      <c r="R263" s="133">
        <f>IF(P263=模板计算相关数据!$AB$24,VLOOKUP(X263,模板计算相关数据!$P$47:$T$50,2,0),VLOOKUP(X263,模板计算相关数据!$P$4:$U$7,3,0))*VLOOKUP(Y263,模板计算相关数据!$P$22:$X$30,8,0)</f>
        <v>4.417254901960785</v>
      </c>
      <c r="S263" s="62">
        <f t="shared" si="20"/>
        <v>5.4285280003474252</v>
      </c>
      <c r="T263" s="133">
        <f>IF(P263=模板计算相关数据!$AB$24,VLOOKUP(X263,模板计算相关数据!$P$47:$T$50,5,0),VLOOKUP(X263,模板计算相关数据!$P$4:$U$7,6,0))*VLOOKUP(Y263,模板计算相关数据!$P$22:$X$30,9,0)</f>
        <v>5.4285280003474252</v>
      </c>
      <c r="U263" s="95">
        <v>15</v>
      </c>
      <c r="V263" s="95">
        <f t="shared" si="22"/>
        <v>38</v>
      </c>
      <c r="W263" s="29">
        <f>VLOOKUP(U263,模板计算相关数据!A:N,2,0)</f>
        <v>35</v>
      </c>
      <c r="X263" s="3" t="s">
        <v>151</v>
      </c>
      <c r="Y263" s="3" t="s">
        <v>152</v>
      </c>
      <c r="Z263" s="95">
        <v>1.05</v>
      </c>
      <c r="AA263" s="95">
        <v>1.05</v>
      </c>
      <c r="AB263" s="95">
        <v>1</v>
      </c>
      <c r="AC263" s="95">
        <v>1</v>
      </c>
      <c r="AD263" s="95">
        <v>0</v>
      </c>
      <c r="AE263" s="95">
        <v>0</v>
      </c>
      <c r="AF263" s="95">
        <v>0</v>
      </c>
      <c r="AG263" s="95">
        <v>0</v>
      </c>
      <c r="AH263" s="95">
        <v>0</v>
      </c>
      <c r="AI263" s="95">
        <v>0</v>
      </c>
      <c r="AJ263" s="3">
        <f>INT(VLOOKUP(U263,模板计算相关数据!A:N,4,0)*VLOOKUP(U263,模板计算相关数据!A:N,14,0)*(1+MAX(0,(VLOOKUP(U263,模板计算相关数据!A:N,7,0)-AQ263))*VLOOKUP(U263,模板计算相关数据!A:N,8,0))*(1-(AL263+AM263)*0.5/((AL263+AM263)*0.5+(VLOOKUP(U263,模板计算相关数据!A:N,2,0)+模板计算相关数据!$AC$27)*模板计算相关数据!$AC$28))*Q263*Z263)</f>
        <v>3706</v>
      </c>
      <c r="AK263" s="3">
        <f>INT(VLOOKUP(U263,模板计算相关数据!A:N,3,0)/模板计算相关数据!$W$35/(1+MAX(0,(AO263/10000-VLOOKUP(U263,模板计算相关数据!A:N,9,0)))*AP263/10000)/(1-VLOOKUP(U263,模板计算相关数据!A:N,5,0)/(VLOOKUP(U263,模板计算相关数据!A:N,5,0)+(VLOOKUP(U263,模板计算相关数据!A:N,2,0)+模板计算相关数据!$AC$27)*模板计算相关数据!$AC$28))/S263*AA263)</f>
        <v>1307</v>
      </c>
      <c r="AL263" s="3">
        <f>INT(VLOOKUP(U263,模板计算相关数据!A:N,5,0)*VLOOKUP(X263,模板计算相关数据!$P$4:$T$7,4,0)*VLOOKUP(Y263,模板计算相关数据!$P$22:$U$30,4,0)*AB263)</f>
        <v>2554</v>
      </c>
      <c r="AM263" s="3">
        <f>INT(VLOOKUP(U263,模板计算相关数据!A:N,6,0)*VLOOKUP(X263,模板计算相关数据!$P$4:$T$7,4,0)*VLOOKUP(Y263,模板计算相关数据!$P$22:$U$30,5,0)*AC263)</f>
        <v>1513</v>
      </c>
      <c r="AN263" s="3">
        <f>VLOOKUP(U263,模板计算相关数据!A:N,10,0)*0.5*VLOOKUP(Y263,模板计算相关数据!$P$22:$U$30,6,0)+AD263</f>
        <v>250</v>
      </c>
      <c r="AO263" s="3">
        <f>VLOOKUP(INT(VLOOKUP(U263,模板计算相关数据!A:N,2,0)/30)+1,模板计算相关数据!$O$35:$U$40,3,0)+AE263</f>
        <v>0</v>
      </c>
      <c r="AP263" s="3">
        <f>VLOOKUP(INT(VLOOKUP(U263,模板计算相关数据!A:N,2,0)/30)+1,模板计算相关数据!$O$35:$U$40,4,0)+AF263</f>
        <v>5000</v>
      </c>
      <c r="AQ263" s="3">
        <f>VLOOKUP(INT(VLOOKUP(U263,模板计算相关数据!A:N,2,0)/30)+1,模板计算相关数据!$O$35:$U$40,5,0)+AG263</f>
        <v>0</v>
      </c>
      <c r="AR263" s="3">
        <f>VLOOKUP(INT(VLOOKUP(U263,模板计算相关数据!A:N,2,0)/30)+1,模板计算相关数据!$O$35:$U$40,6,0)+AH263</f>
        <v>0</v>
      </c>
      <c r="AS263" s="3">
        <f>VLOOKUP(INT(VLOOKUP(U263,模板计算相关数据!A:N,2,0)/30)+1,模板计算相关数据!$O$35:$U$40,7,0)+AI263</f>
        <v>0</v>
      </c>
      <c r="AT263" s="3">
        <f>VLOOKUP(INT(VLOOKUP(U263,模板计算相关数据!A:N,2,0)/30)+1,模板计算相关数据!$O$35:$V$40,8,0)</f>
        <v>0</v>
      </c>
      <c r="AU263" s="2"/>
    </row>
    <row r="264" spans="1:47" x14ac:dyDescent="0.2">
      <c r="A264" s="17">
        <v>101150102</v>
      </c>
      <c r="B264" s="17"/>
      <c r="C264" s="69" t="s">
        <v>991</v>
      </c>
      <c r="D264" s="87" t="s">
        <v>1030</v>
      </c>
      <c r="E264" s="2">
        <v>1</v>
      </c>
      <c r="F264" s="3">
        <v>3</v>
      </c>
      <c r="G264" s="3">
        <v>1001501</v>
      </c>
      <c r="H264" s="3">
        <v>2</v>
      </c>
      <c r="I264" s="3">
        <v>4</v>
      </c>
      <c r="J264" s="3">
        <v>1</v>
      </c>
      <c r="K264" s="3"/>
      <c r="L264" s="91" t="s">
        <v>949</v>
      </c>
      <c r="M264" s="3"/>
      <c r="N264" s="2">
        <v>1</v>
      </c>
      <c r="O264" s="2"/>
      <c r="P264" s="3" t="s">
        <v>1615</v>
      </c>
      <c r="Q264" s="95">
        <f t="shared" si="19"/>
        <v>6.9411764705882364</v>
      </c>
      <c r="R264" s="133">
        <f>IF(P264=模板计算相关数据!$AB$24,VLOOKUP(X264,模板计算相关数据!$P$47:$T$50,2,0),VLOOKUP(X264,模板计算相关数据!$P$4:$U$7,3,0))*VLOOKUP(Y264,模板计算相关数据!$P$22:$X$30,8,0)</f>
        <v>6.9411764705882364</v>
      </c>
      <c r="S264" s="62">
        <f t="shared" si="20"/>
        <v>8.2943498888557112</v>
      </c>
      <c r="T264" s="133">
        <f>IF(P264=模板计算相关数据!$AB$24,VLOOKUP(X264,模板计算相关数据!$P$47:$T$50,5,0),VLOOKUP(X264,模板计算相关数据!$P$4:$U$7,6,0))*VLOOKUP(Y264,模板计算相关数据!$P$22:$X$30,9,0)</f>
        <v>8.2943498888557112</v>
      </c>
      <c r="U264" s="95">
        <v>15</v>
      </c>
      <c r="V264" s="95">
        <f t="shared" si="22"/>
        <v>38</v>
      </c>
      <c r="W264" s="29">
        <f>VLOOKUP(U264,模板计算相关数据!A:N,2,0)</f>
        <v>35</v>
      </c>
      <c r="X264" s="3" t="s">
        <v>151</v>
      </c>
      <c r="Y264" s="3" t="s">
        <v>155</v>
      </c>
      <c r="Z264" s="95">
        <v>1.05</v>
      </c>
      <c r="AA264" s="95">
        <v>1.05</v>
      </c>
      <c r="AB264" s="95">
        <v>1</v>
      </c>
      <c r="AC264" s="95">
        <v>1</v>
      </c>
      <c r="AD264" s="95">
        <v>0</v>
      </c>
      <c r="AE264" s="95">
        <v>0</v>
      </c>
      <c r="AF264" s="95">
        <v>0</v>
      </c>
      <c r="AG264" s="95">
        <v>0</v>
      </c>
      <c r="AH264" s="95">
        <v>0</v>
      </c>
      <c r="AI264" s="95">
        <v>0</v>
      </c>
      <c r="AJ264" s="3">
        <f>INT(VLOOKUP(U264,模板计算相关数据!A:N,4,0)*VLOOKUP(U264,模板计算相关数据!A:N,14,0)*(1+MAX(0,(VLOOKUP(U264,模板计算相关数据!A:N,7,0)-AQ264))*VLOOKUP(U264,模板计算相关数据!A:N,8,0))*(1-(AL264+AM264)*0.5/((AL264+AM264)*0.5+(VLOOKUP(U264,模板计算相关数据!A:N,2,0)+模板计算相关数据!$AC$27)*模板计算相关数据!$AC$28))*Q264*Z264)</f>
        <v>5486</v>
      </c>
      <c r="AK264" s="3">
        <f>INT(VLOOKUP(U264,模板计算相关数据!A:N,3,0)/模板计算相关数据!$W$35/(1+MAX(0,(AO264/10000-VLOOKUP(U264,模板计算相关数据!A:N,9,0)))*AP264/10000)/(1-VLOOKUP(U264,模板计算相关数据!A:N,5,0)/(VLOOKUP(U264,模板计算相关数据!A:N,5,0)+(VLOOKUP(U264,模板计算相关数据!A:N,2,0)+模板计算相关数据!$AC$27)*模板计算相关数据!$AC$28))/S264*AA264)</f>
        <v>855</v>
      </c>
      <c r="AL264" s="3">
        <f>INT(VLOOKUP(U264,模板计算相关数据!A:N,5,0)*VLOOKUP(X264,模板计算相关数据!$P$4:$T$7,4,0)*VLOOKUP(Y264,模板计算相关数据!$P$22:$U$30,4,0)*AB264)</f>
        <v>3075</v>
      </c>
      <c r="AM264" s="3">
        <f>INT(VLOOKUP(U264,模板计算相关数据!A:N,6,0)*VLOOKUP(X264,模板计算相关数据!$P$4:$T$7,4,0)*VLOOKUP(Y264,模板计算相关数据!$P$22:$U$30,5,0)*AC264)</f>
        <v>1703</v>
      </c>
      <c r="AN264" s="3">
        <f>VLOOKUP(U264,模板计算相关数据!A:N,10,0)*0.5*VLOOKUP(Y264,模板计算相关数据!$P$22:$U$30,6,0)+AD264</f>
        <v>225</v>
      </c>
      <c r="AO264" s="3">
        <f>VLOOKUP(INT(VLOOKUP(U264,模板计算相关数据!A:N,2,0)/30)+1,模板计算相关数据!$O$35:$U$40,3,0)+AE264</f>
        <v>0</v>
      </c>
      <c r="AP264" s="3">
        <f>VLOOKUP(INT(VLOOKUP(U264,模板计算相关数据!A:N,2,0)/30)+1,模板计算相关数据!$O$35:$U$40,4,0)+AF264</f>
        <v>5000</v>
      </c>
      <c r="AQ264" s="3">
        <f>VLOOKUP(INT(VLOOKUP(U264,模板计算相关数据!A:N,2,0)/30)+1,模板计算相关数据!$O$35:$U$40,5,0)+AG264</f>
        <v>0</v>
      </c>
      <c r="AR264" s="3">
        <f>VLOOKUP(INT(VLOOKUP(U264,模板计算相关数据!A:N,2,0)/30)+1,模板计算相关数据!$O$35:$U$40,6,0)+AH264</f>
        <v>0</v>
      </c>
      <c r="AS264" s="3">
        <f>VLOOKUP(INT(VLOOKUP(U264,模板计算相关数据!A:N,2,0)/30)+1,模板计算相关数据!$O$35:$U$40,7,0)+AI264</f>
        <v>0</v>
      </c>
      <c r="AT264" s="3">
        <f>VLOOKUP(INT(VLOOKUP(U264,模板计算相关数据!A:N,2,0)/30)+1,模板计算相关数据!$O$35:$V$40,8,0)</f>
        <v>0</v>
      </c>
      <c r="AU264" s="2"/>
    </row>
    <row r="265" spans="1:47" x14ac:dyDescent="0.2">
      <c r="A265" s="19">
        <v>101150201</v>
      </c>
      <c r="B265" s="19"/>
      <c r="C265" s="69" t="s">
        <v>1746</v>
      </c>
      <c r="D265" s="87" t="s">
        <v>1030</v>
      </c>
      <c r="E265" s="2">
        <v>2</v>
      </c>
      <c r="F265" s="3">
        <v>3</v>
      </c>
      <c r="G265" s="3">
        <v>1001401</v>
      </c>
      <c r="H265" s="3">
        <v>4</v>
      </c>
      <c r="I265" s="3">
        <v>4</v>
      </c>
      <c r="J265" s="3">
        <v>1</v>
      </c>
      <c r="K265" s="3"/>
      <c r="L265" s="91" t="s">
        <v>948</v>
      </c>
      <c r="M265" s="3"/>
      <c r="N265" s="2">
        <v>1</v>
      </c>
      <c r="O265" s="2"/>
      <c r="P265" s="3" t="s">
        <v>1615</v>
      </c>
      <c r="Q265" s="95">
        <f t="shared" si="19"/>
        <v>4.4674509803921572</v>
      </c>
      <c r="R265" s="133">
        <f>IF(P265=模板计算相关数据!$AB$24,VLOOKUP(X265,模板计算相关数据!$P$47:$T$50,2,0),VLOOKUP(X265,模板计算相关数据!$P$4:$U$7,3,0))*VLOOKUP(Y265,模板计算相关数据!$P$22:$X$30,8,0)</f>
        <v>4.4674509803921572</v>
      </c>
      <c r="S265" s="62">
        <f t="shared" si="20"/>
        <v>5.4739930589768004</v>
      </c>
      <c r="T265" s="133">
        <f>IF(P265=模板计算相关数据!$AB$24,VLOOKUP(X265,模板计算相关数据!$P$47:$T$50,5,0),VLOOKUP(X265,模板计算相关数据!$P$4:$U$7,6,0))*VLOOKUP(Y265,模板计算相关数据!$P$22:$X$30,9,0)</f>
        <v>5.4739930589768004</v>
      </c>
      <c r="U265" s="95">
        <v>15</v>
      </c>
      <c r="V265" s="95">
        <f t="shared" si="22"/>
        <v>38</v>
      </c>
      <c r="W265" s="29">
        <f>VLOOKUP(U265,模板计算相关数据!A:N,2,0)</f>
        <v>35</v>
      </c>
      <c r="X265" s="3" t="s">
        <v>151</v>
      </c>
      <c r="Y265" s="3" t="s">
        <v>162</v>
      </c>
      <c r="Z265" s="95">
        <v>1.05</v>
      </c>
      <c r="AA265" s="95">
        <v>1.05</v>
      </c>
      <c r="AB265" s="95">
        <v>1</v>
      </c>
      <c r="AC265" s="95">
        <v>1</v>
      </c>
      <c r="AD265" s="95">
        <v>0</v>
      </c>
      <c r="AE265" s="95">
        <v>0</v>
      </c>
      <c r="AF265" s="95">
        <v>0</v>
      </c>
      <c r="AG265" s="95">
        <v>0</v>
      </c>
      <c r="AH265" s="95">
        <v>0</v>
      </c>
      <c r="AI265" s="95">
        <v>0</v>
      </c>
      <c r="AJ265" s="3">
        <f>INT(VLOOKUP(U265,模板计算相关数据!A:N,4,0)*VLOOKUP(U265,模板计算相关数据!A:N,14,0)*(1+MAX(0,(VLOOKUP(U265,模板计算相关数据!A:N,7,0)-AQ265))*VLOOKUP(U265,模板计算相关数据!A:N,8,0))*(1-(AL265+AM265)*0.5/((AL265+AM265)*0.5+(VLOOKUP(U265,模板计算相关数据!A:N,2,0)+模板计算相关数据!$AC$27)*模板计算相关数据!$AC$28))*Q265*Z265)</f>
        <v>3748</v>
      </c>
      <c r="AK265" s="3">
        <f>INT(VLOOKUP(U265,模板计算相关数据!A:N,3,0)/模板计算相关数据!$W$35/(1+MAX(0,(AO265/10000-VLOOKUP(U265,模板计算相关数据!A:N,9,0)))*AP265/10000)/(1-VLOOKUP(U265,模板计算相关数据!A:N,5,0)/(VLOOKUP(U265,模板计算相关数据!A:N,5,0)+(VLOOKUP(U265,模板计算相关数据!A:N,2,0)+模板计算相关数据!$AC$27)*模板计算相关数据!$AC$28))/S265*AA265)</f>
        <v>1296</v>
      </c>
      <c r="AL265" s="3">
        <f>INT(VLOOKUP(U265,模板计算相关数据!A:N,5,0)*VLOOKUP(X265,模板计算相关数据!$P$4:$T$7,4,0)*VLOOKUP(Y265,模板计算相关数据!$P$22:$U$30,4,0)*AB265)</f>
        <v>1513</v>
      </c>
      <c r="AM265" s="3">
        <f>INT(VLOOKUP(U265,模板计算相关数据!A:N,6,0)*VLOOKUP(X265,模板计算相关数据!$P$4:$T$7,4,0)*VLOOKUP(Y265,模板计算相关数据!$P$22:$U$30,5,0)*AC265)</f>
        <v>2554</v>
      </c>
      <c r="AN265" s="3">
        <f>VLOOKUP(U265,模板计算相关数据!A:N,10,0)*0.5*VLOOKUP(Y265,模板计算相关数据!$P$22:$U$30,6,0)+AD265</f>
        <v>250</v>
      </c>
      <c r="AO265" s="3">
        <f>VLOOKUP(INT(VLOOKUP(U265,模板计算相关数据!A:N,2,0)/30)+1,模板计算相关数据!$O$35:$U$40,3,0)+AE265</f>
        <v>0</v>
      </c>
      <c r="AP265" s="3">
        <f>VLOOKUP(INT(VLOOKUP(U265,模板计算相关数据!A:N,2,0)/30)+1,模板计算相关数据!$O$35:$U$40,4,0)+AF265</f>
        <v>5000</v>
      </c>
      <c r="AQ265" s="3">
        <f>VLOOKUP(INT(VLOOKUP(U265,模板计算相关数据!A:N,2,0)/30)+1,模板计算相关数据!$O$35:$U$40,5,0)+AG265</f>
        <v>0</v>
      </c>
      <c r="AR265" s="3">
        <f>VLOOKUP(INT(VLOOKUP(U265,模板计算相关数据!A:N,2,0)/30)+1,模板计算相关数据!$O$35:$U$40,6,0)+AH265</f>
        <v>0</v>
      </c>
      <c r="AS265" s="3">
        <f>VLOOKUP(INT(VLOOKUP(U265,模板计算相关数据!A:N,2,0)/30)+1,模板计算相关数据!$O$35:$U$40,7,0)+AI265</f>
        <v>0</v>
      </c>
      <c r="AT265" s="3">
        <f>VLOOKUP(INT(VLOOKUP(U265,模板计算相关数据!A:N,2,0)/30)+1,模板计算相关数据!$O$35:$V$40,8,0)</f>
        <v>0</v>
      </c>
      <c r="AU265" s="2"/>
    </row>
    <row r="266" spans="1:47" x14ac:dyDescent="0.2">
      <c r="A266" s="19">
        <v>101150202</v>
      </c>
      <c r="B266" s="19"/>
      <c r="C266" s="69" t="s">
        <v>991</v>
      </c>
      <c r="D266" s="87" t="s">
        <v>1030</v>
      </c>
      <c r="E266" s="2">
        <v>1</v>
      </c>
      <c r="F266" s="3">
        <v>3</v>
      </c>
      <c r="G266" s="3">
        <v>1001501</v>
      </c>
      <c r="H266" s="3">
        <v>2</v>
      </c>
      <c r="I266" s="3">
        <v>4</v>
      </c>
      <c r="J266" s="3">
        <v>1</v>
      </c>
      <c r="K266" s="3"/>
      <c r="L266" s="91" t="s">
        <v>949</v>
      </c>
      <c r="M266" s="3"/>
      <c r="N266" s="2">
        <v>1</v>
      </c>
      <c r="O266" s="2"/>
      <c r="P266" s="3" t="s">
        <v>1615</v>
      </c>
      <c r="Q266" s="95">
        <f t="shared" si="19"/>
        <v>6.9411764705882364</v>
      </c>
      <c r="R266" s="133">
        <f>IF(P266=模板计算相关数据!$AB$24,VLOOKUP(X266,模板计算相关数据!$P$47:$T$50,2,0),VLOOKUP(X266,模板计算相关数据!$P$4:$U$7,3,0))*VLOOKUP(Y266,模板计算相关数据!$P$22:$X$30,8,0)</f>
        <v>6.9411764705882364</v>
      </c>
      <c r="S266" s="62">
        <f t="shared" si="20"/>
        <v>8.2943498888557112</v>
      </c>
      <c r="T266" s="133">
        <f>IF(P266=模板计算相关数据!$AB$24,VLOOKUP(X266,模板计算相关数据!$P$47:$T$50,5,0),VLOOKUP(X266,模板计算相关数据!$P$4:$U$7,6,0))*VLOOKUP(Y266,模板计算相关数据!$P$22:$X$30,9,0)</f>
        <v>8.2943498888557112</v>
      </c>
      <c r="U266" s="95">
        <v>15</v>
      </c>
      <c r="V266" s="95">
        <f t="shared" si="22"/>
        <v>38</v>
      </c>
      <c r="W266" s="29">
        <f>VLOOKUP(U266,模板计算相关数据!A:N,2,0)</f>
        <v>35</v>
      </c>
      <c r="X266" s="3" t="s">
        <v>151</v>
      </c>
      <c r="Y266" s="3" t="s">
        <v>155</v>
      </c>
      <c r="Z266" s="95">
        <v>1.05</v>
      </c>
      <c r="AA266" s="95">
        <v>1.05</v>
      </c>
      <c r="AB266" s="95">
        <v>1</v>
      </c>
      <c r="AC266" s="95">
        <v>1</v>
      </c>
      <c r="AD266" s="95">
        <v>0</v>
      </c>
      <c r="AE266" s="95">
        <v>0</v>
      </c>
      <c r="AF266" s="95">
        <v>0</v>
      </c>
      <c r="AG266" s="95">
        <v>0</v>
      </c>
      <c r="AH266" s="95">
        <v>0</v>
      </c>
      <c r="AI266" s="95">
        <v>0</v>
      </c>
      <c r="AJ266" s="3">
        <f>INT(VLOOKUP(U266,模板计算相关数据!A:N,4,0)*VLOOKUP(U266,模板计算相关数据!A:N,14,0)*(1+MAX(0,(VLOOKUP(U266,模板计算相关数据!A:N,7,0)-AQ266))*VLOOKUP(U266,模板计算相关数据!A:N,8,0))*(1-(AL266+AM266)*0.5/((AL266+AM266)*0.5+(VLOOKUP(U266,模板计算相关数据!A:N,2,0)+模板计算相关数据!$AC$27)*模板计算相关数据!$AC$28))*Q266*Z266)</f>
        <v>5486</v>
      </c>
      <c r="AK266" s="3">
        <f>INT(VLOOKUP(U266,模板计算相关数据!A:N,3,0)/模板计算相关数据!$W$35/(1+MAX(0,(AO266/10000-VLOOKUP(U266,模板计算相关数据!A:N,9,0)))*AP266/10000)/(1-VLOOKUP(U266,模板计算相关数据!A:N,5,0)/(VLOOKUP(U266,模板计算相关数据!A:N,5,0)+(VLOOKUP(U266,模板计算相关数据!A:N,2,0)+模板计算相关数据!$AC$27)*模板计算相关数据!$AC$28))/S266*AA266)</f>
        <v>855</v>
      </c>
      <c r="AL266" s="3">
        <f>INT(VLOOKUP(U266,模板计算相关数据!A:N,5,0)*VLOOKUP(X266,模板计算相关数据!$P$4:$T$7,4,0)*VLOOKUP(Y266,模板计算相关数据!$P$22:$U$30,4,0)*AB266)</f>
        <v>3075</v>
      </c>
      <c r="AM266" s="3">
        <f>INT(VLOOKUP(U266,模板计算相关数据!A:N,6,0)*VLOOKUP(X266,模板计算相关数据!$P$4:$T$7,4,0)*VLOOKUP(Y266,模板计算相关数据!$P$22:$U$30,5,0)*AC266)</f>
        <v>1703</v>
      </c>
      <c r="AN266" s="3">
        <f>VLOOKUP(U266,模板计算相关数据!A:N,10,0)*0.5*VLOOKUP(Y266,模板计算相关数据!$P$22:$U$30,6,0)+AD266</f>
        <v>225</v>
      </c>
      <c r="AO266" s="3">
        <f>VLOOKUP(INT(VLOOKUP(U266,模板计算相关数据!A:N,2,0)/30)+1,模板计算相关数据!$O$35:$U$40,3,0)+AE266</f>
        <v>0</v>
      </c>
      <c r="AP266" s="3">
        <f>VLOOKUP(INT(VLOOKUP(U266,模板计算相关数据!A:N,2,0)/30)+1,模板计算相关数据!$O$35:$U$40,4,0)+AF266</f>
        <v>5000</v>
      </c>
      <c r="AQ266" s="3">
        <f>VLOOKUP(INT(VLOOKUP(U266,模板计算相关数据!A:N,2,0)/30)+1,模板计算相关数据!$O$35:$U$40,5,0)+AG266</f>
        <v>0</v>
      </c>
      <c r="AR266" s="3">
        <f>VLOOKUP(INT(VLOOKUP(U266,模板计算相关数据!A:N,2,0)/30)+1,模板计算相关数据!$O$35:$U$40,6,0)+AH266</f>
        <v>0</v>
      </c>
      <c r="AS266" s="3">
        <f>VLOOKUP(INT(VLOOKUP(U266,模板计算相关数据!A:N,2,0)/30)+1,模板计算相关数据!$O$35:$U$40,7,0)+AI266</f>
        <v>0</v>
      </c>
      <c r="AT266" s="3">
        <f>VLOOKUP(INT(VLOOKUP(U266,模板计算相关数据!A:N,2,0)/30)+1,模板计算相关数据!$O$35:$V$40,8,0)</f>
        <v>0</v>
      </c>
      <c r="AU266" s="2"/>
    </row>
    <row r="267" spans="1:47" x14ac:dyDescent="0.2">
      <c r="A267" s="17">
        <v>101160101</v>
      </c>
      <c r="B267" s="17"/>
      <c r="C267" s="69" t="s">
        <v>990</v>
      </c>
      <c r="D267" s="87" t="s">
        <v>1625</v>
      </c>
      <c r="E267" s="2">
        <v>1</v>
      </c>
      <c r="F267" s="3">
        <v>2</v>
      </c>
      <c r="G267" s="3">
        <v>1001301</v>
      </c>
      <c r="H267" s="3">
        <v>1</v>
      </c>
      <c r="I267" s="3">
        <v>4</v>
      </c>
      <c r="J267" s="3">
        <v>1</v>
      </c>
      <c r="K267" s="3"/>
      <c r="L267" s="91" t="s">
        <v>947</v>
      </c>
      <c r="M267" s="3"/>
      <c r="N267" s="2">
        <v>1</v>
      </c>
      <c r="O267" s="2"/>
      <c r="P267" s="3" t="s">
        <v>1615</v>
      </c>
      <c r="Q267" s="95">
        <f t="shared" si="19"/>
        <v>4.417254901960785</v>
      </c>
      <c r="R267" s="133">
        <f>IF(P267=模板计算相关数据!$AB$24,VLOOKUP(X267,模板计算相关数据!$P$47:$T$50,2,0),VLOOKUP(X267,模板计算相关数据!$P$4:$U$7,3,0))*VLOOKUP(Y267,模板计算相关数据!$P$22:$X$30,8,0)</f>
        <v>4.417254901960785</v>
      </c>
      <c r="S267" s="62">
        <f t="shared" si="20"/>
        <v>5.4285280003474252</v>
      </c>
      <c r="T267" s="133">
        <f>IF(P267=模板计算相关数据!$AB$24,VLOOKUP(X267,模板计算相关数据!$P$47:$T$50,5,0),VLOOKUP(X267,模板计算相关数据!$P$4:$U$7,6,0))*VLOOKUP(Y267,模板计算相关数据!$P$22:$X$30,9,0)</f>
        <v>5.4285280003474252</v>
      </c>
      <c r="U267" s="95">
        <v>16</v>
      </c>
      <c r="V267" s="95">
        <f t="shared" si="22"/>
        <v>39</v>
      </c>
      <c r="W267" s="29">
        <f>VLOOKUP(U267,模板计算相关数据!A:N,2,0)</f>
        <v>36</v>
      </c>
      <c r="X267" s="3" t="s">
        <v>151</v>
      </c>
      <c r="Y267" s="3" t="s">
        <v>152</v>
      </c>
      <c r="Z267" s="95">
        <v>1.1000000000000001</v>
      </c>
      <c r="AA267" s="95">
        <v>1.1000000000000001</v>
      </c>
      <c r="AB267" s="95">
        <v>1</v>
      </c>
      <c r="AC267" s="95">
        <v>1</v>
      </c>
      <c r="AD267" s="95">
        <v>0</v>
      </c>
      <c r="AE267" s="95">
        <v>0</v>
      </c>
      <c r="AF267" s="95">
        <v>0</v>
      </c>
      <c r="AG267" s="95">
        <v>0</v>
      </c>
      <c r="AH267" s="95">
        <v>0</v>
      </c>
      <c r="AI267" s="95">
        <v>0</v>
      </c>
      <c r="AJ267" s="3">
        <f>INT(VLOOKUP(U267,模板计算相关数据!A:N,4,0)*VLOOKUP(U267,模板计算相关数据!A:N,14,0)*(1+MAX(0,(VLOOKUP(U267,模板计算相关数据!A:N,7,0)-AQ267))*VLOOKUP(U267,模板计算相关数据!A:N,8,0))*(1-(AL267+AM267)*0.5/((AL267+AM267)*0.5+(VLOOKUP(U267,模板计算相关数据!A:N,2,0)+模板计算相关数据!$AC$27)*模板计算相关数据!$AC$28))*Q267*Z267)</f>
        <v>3973</v>
      </c>
      <c r="AK267" s="3">
        <f>INT(VLOOKUP(U267,模板计算相关数据!A:N,3,0)/模板计算相关数据!$W$35/(1+MAX(0,(AO267/10000-VLOOKUP(U267,模板计算相关数据!A:N,9,0)))*AP267/10000)/(1-VLOOKUP(U267,模板计算相关数据!A:N,5,0)/(VLOOKUP(U267,模板计算相关数据!A:N,5,0)+(VLOOKUP(U267,模板计算相关数据!A:N,2,0)+模板计算相关数据!$AC$27)*模板计算相关数据!$AC$28))/S267*AA267)</f>
        <v>1391</v>
      </c>
      <c r="AL267" s="3">
        <f>INT(VLOOKUP(U267,模板计算相关数据!A:N,5,0)*VLOOKUP(X267,模板计算相关数据!$P$4:$T$7,4,0)*VLOOKUP(Y267,模板计算相关数据!$P$22:$U$30,4,0)*AB267)</f>
        <v>2602</v>
      </c>
      <c r="AM267" s="3">
        <f>INT(VLOOKUP(U267,模板计算相关数据!A:N,6,0)*VLOOKUP(X267,模板计算相关数据!$P$4:$T$7,4,0)*VLOOKUP(Y267,模板计算相关数据!$P$22:$U$30,5,0)*AC267)</f>
        <v>1542</v>
      </c>
      <c r="AN267" s="3">
        <f>VLOOKUP(U267,模板计算相关数据!A:N,10,0)*0.5*VLOOKUP(Y267,模板计算相关数据!$P$22:$U$30,6,0)+AD267</f>
        <v>250</v>
      </c>
      <c r="AO267" s="3">
        <f>VLOOKUP(INT(VLOOKUP(U267,模板计算相关数据!A:N,2,0)/30)+1,模板计算相关数据!$O$35:$U$40,3,0)+AE267</f>
        <v>0</v>
      </c>
      <c r="AP267" s="3">
        <f>VLOOKUP(INT(VLOOKUP(U267,模板计算相关数据!A:N,2,0)/30)+1,模板计算相关数据!$O$35:$U$40,4,0)+AF267</f>
        <v>5000</v>
      </c>
      <c r="AQ267" s="3">
        <f>VLOOKUP(INT(VLOOKUP(U267,模板计算相关数据!A:N,2,0)/30)+1,模板计算相关数据!$O$35:$U$40,5,0)+AG267</f>
        <v>0</v>
      </c>
      <c r="AR267" s="3">
        <f>VLOOKUP(INT(VLOOKUP(U267,模板计算相关数据!A:N,2,0)/30)+1,模板计算相关数据!$O$35:$U$40,6,0)+AH267</f>
        <v>0</v>
      </c>
      <c r="AS267" s="3">
        <f>VLOOKUP(INT(VLOOKUP(U267,模板计算相关数据!A:N,2,0)/30)+1,模板计算相关数据!$O$35:$U$40,7,0)+AI267</f>
        <v>0</v>
      </c>
      <c r="AT267" s="3">
        <f>VLOOKUP(INT(VLOOKUP(U267,模板计算相关数据!A:N,2,0)/30)+1,模板计算相关数据!$O$35:$V$40,8,0)</f>
        <v>0</v>
      </c>
      <c r="AU267" s="2"/>
    </row>
    <row r="268" spans="1:47" x14ac:dyDescent="0.2">
      <c r="A268" s="17">
        <v>101160102</v>
      </c>
      <c r="B268" s="17"/>
      <c r="C268" s="69" t="s">
        <v>991</v>
      </c>
      <c r="D268" s="87" t="s">
        <v>1625</v>
      </c>
      <c r="E268" s="2">
        <v>1</v>
      </c>
      <c r="F268" s="3">
        <v>3</v>
      </c>
      <c r="G268" s="3">
        <v>1001501</v>
      </c>
      <c r="H268" s="3">
        <v>2</v>
      </c>
      <c r="I268" s="3">
        <v>4</v>
      </c>
      <c r="J268" s="3">
        <v>1</v>
      </c>
      <c r="K268" s="3"/>
      <c r="L268" s="91" t="s">
        <v>949</v>
      </c>
      <c r="M268" s="3"/>
      <c r="N268" s="2">
        <v>1</v>
      </c>
      <c r="O268" s="2"/>
      <c r="P268" s="3" t="s">
        <v>1615</v>
      </c>
      <c r="Q268" s="95">
        <f t="shared" si="19"/>
        <v>6.9411764705882364</v>
      </c>
      <c r="R268" s="133">
        <f>IF(P268=模板计算相关数据!$AB$24,VLOOKUP(X268,模板计算相关数据!$P$47:$T$50,2,0),VLOOKUP(X268,模板计算相关数据!$P$4:$U$7,3,0))*VLOOKUP(Y268,模板计算相关数据!$P$22:$X$30,8,0)</f>
        <v>6.9411764705882364</v>
      </c>
      <c r="S268" s="62">
        <f t="shared" si="20"/>
        <v>8.2943498888557112</v>
      </c>
      <c r="T268" s="133">
        <f>IF(P268=模板计算相关数据!$AB$24,VLOOKUP(X268,模板计算相关数据!$P$47:$T$50,5,0),VLOOKUP(X268,模板计算相关数据!$P$4:$U$7,6,0))*VLOOKUP(Y268,模板计算相关数据!$P$22:$X$30,9,0)</f>
        <v>8.2943498888557112</v>
      </c>
      <c r="U268" s="95">
        <v>16</v>
      </c>
      <c r="V268" s="95">
        <f t="shared" si="22"/>
        <v>39</v>
      </c>
      <c r="W268" s="29">
        <f>VLOOKUP(U268,模板计算相关数据!A:N,2,0)</f>
        <v>36</v>
      </c>
      <c r="X268" s="3" t="s">
        <v>151</v>
      </c>
      <c r="Y268" s="3" t="s">
        <v>155</v>
      </c>
      <c r="Z268" s="95">
        <v>1.1000000000000001</v>
      </c>
      <c r="AA268" s="95">
        <v>1.1000000000000001</v>
      </c>
      <c r="AB268" s="95">
        <v>1</v>
      </c>
      <c r="AC268" s="95">
        <v>1</v>
      </c>
      <c r="AD268" s="95">
        <v>0</v>
      </c>
      <c r="AE268" s="95">
        <v>0</v>
      </c>
      <c r="AF268" s="95">
        <v>0</v>
      </c>
      <c r="AG268" s="95">
        <v>0</v>
      </c>
      <c r="AH268" s="95">
        <v>0</v>
      </c>
      <c r="AI268" s="95">
        <v>0</v>
      </c>
      <c r="AJ268" s="3">
        <f>INT(VLOOKUP(U268,模板计算相关数据!A:N,4,0)*VLOOKUP(U268,模板计算相关数据!A:N,14,0)*(1+MAX(0,(VLOOKUP(U268,模板计算相关数据!A:N,7,0)-AQ268))*VLOOKUP(U268,模板计算相关数据!A:N,8,0))*(1-(AL268+AM268)*0.5/((AL268+AM268)*0.5+(VLOOKUP(U268,模板计算相关数据!A:N,2,0)+模板计算相关数据!$AC$27)*模板计算相关数据!$AC$28))*Q268*Z268)</f>
        <v>5884</v>
      </c>
      <c r="AK268" s="3">
        <f>INT(VLOOKUP(U268,模板计算相关数据!A:N,3,0)/模板计算相关数据!$W$35/(1+MAX(0,(AO268/10000-VLOOKUP(U268,模板计算相关数据!A:N,9,0)))*AP268/10000)/(1-VLOOKUP(U268,模板计算相关数据!A:N,5,0)/(VLOOKUP(U268,模板计算相关数据!A:N,5,0)+(VLOOKUP(U268,模板计算相关数据!A:N,2,0)+模板计算相关数据!$AC$27)*模板计算相关数据!$AC$28))/S268*AA268)</f>
        <v>910</v>
      </c>
      <c r="AL268" s="3">
        <f>INT(VLOOKUP(U268,模板计算相关数据!A:N,5,0)*VLOOKUP(X268,模板计算相关数据!$P$4:$T$7,4,0)*VLOOKUP(Y268,模板计算相关数据!$P$22:$U$30,4,0)*AB268)</f>
        <v>3132</v>
      </c>
      <c r="AM268" s="3">
        <f>INT(VLOOKUP(U268,模板计算相关数据!A:N,6,0)*VLOOKUP(X268,模板计算相关数据!$P$4:$T$7,4,0)*VLOOKUP(Y268,模板计算相关数据!$P$22:$U$30,5,0)*AC268)</f>
        <v>1734</v>
      </c>
      <c r="AN268" s="3">
        <f>VLOOKUP(U268,模板计算相关数据!A:N,10,0)*0.5*VLOOKUP(Y268,模板计算相关数据!$P$22:$U$30,6,0)+AD268</f>
        <v>225</v>
      </c>
      <c r="AO268" s="3">
        <f>VLOOKUP(INT(VLOOKUP(U268,模板计算相关数据!A:N,2,0)/30)+1,模板计算相关数据!$O$35:$U$40,3,0)+AE268</f>
        <v>0</v>
      </c>
      <c r="AP268" s="3">
        <f>VLOOKUP(INT(VLOOKUP(U268,模板计算相关数据!A:N,2,0)/30)+1,模板计算相关数据!$O$35:$U$40,4,0)+AF268</f>
        <v>5000</v>
      </c>
      <c r="AQ268" s="3">
        <f>VLOOKUP(INT(VLOOKUP(U268,模板计算相关数据!A:N,2,0)/30)+1,模板计算相关数据!$O$35:$U$40,5,0)+AG268</f>
        <v>0</v>
      </c>
      <c r="AR268" s="3">
        <f>VLOOKUP(INT(VLOOKUP(U268,模板计算相关数据!A:N,2,0)/30)+1,模板计算相关数据!$O$35:$U$40,6,0)+AH268</f>
        <v>0</v>
      </c>
      <c r="AS268" s="3">
        <f>VLOOKUP(INT(VLOOKUP(U268,模板计算相关数据!A:N,2,0)/30)+1,模板计算相关数据!$O$35:$U$40,7,0)+AI268</f>
        <v>0</v>
      </c>
      <c r="AT268" s="3">
        <f>VLOOKUP(INT(VLOOKUP(U268,模板计算相关数据!A:N,2,0)/30)+1,模板计算相关数据!$O$35:$V$40,8,0)</f>
        <v>0</v>
      </c>
      <c r="AU268" s="2"/>
    </row>
    <row r="269" spans="1:47" x14ac:dyDescent="0.2">
      <c r="A269" s="17">
        <v>101160103</v>
      </c>
      <c r="B269" s="17"/>
      <c r="C269" s="69" t="s">
        <v>1746</v>
      </c>
      <c r="D269" s="87" t="s">
        <v>1625</v>
      </c>
      <c r="E269" s="2">
        <v>2</v>
      </c>
      <c r="F269" s="3">
        <v>3</v>
      </c>
      <c r="G269" s="3">
        <v>1001401</v>
      </c>
      <c r="H269" s="3">
        <v>4</v>
      </c>
      <c r="I269" s="3">
        <v>4</v>
      </c>
      <c r="J269" s="3">
        <v>1</v>
      </c>
      <c r="K269" s="3"/>
      <c r="L269" s="91" t="s">
        <v>948</v>
      </c>
      <c r="M269" s="3"/>
      <c r="N269" s="2">
        <v>1</v>
      </c>
      <c r="O269" s="2"/>
      <c r="P269" s="3" t="s">
        <v>1615</v>
      </c>
      <c r="Q269" s="95">
        <f t="shared" si="19"/>
        <v>4.4674509803921572</v>
      </c>
      <c r="R269" s="133">
        <f>IF(P269=模板计算相关数据!$AB$24,VLOOKUP(X269,模板计算相关数据!$P$47:$T$50,2,0),VLOOKUP(X269,模板计算相关数据!$P$4:$U$7,3,0))*VLOOKUP(Y269,模板计算相关数据!$P$22:$X$30,8,0)</f>
        <v>4.4674509803921572</v>
      </c>
      <c r="S269" s="62">
        <f t="shared" si="20"/>
        <v>5.4739930589768004</v>
      </c>
      <c r="T269" s="133">
        <f>IF(P269=模板计算相关数据!$AB$24,VLOOKUP(X269,模板计算相关数据!$P$47:$T$50,5,0),VLOOKUP(X269,模板计算相关数据!$P$4:$U$7,6,0))*VLOOKUP(Y269,模板计算相关数据!$P$22:$X$30,9,0)</f>
        <v>5.4739930589768004</v>
      </c>
      <c r="U269" s="95">
        <v>16</v>
      </c>
      <c r="V269" s="95">
        <f t="shared" si="22"/>
        <v>39</v>
      </c>
      <c r="W269" s="29">
        <f>VLOOKUP(U269,模板计算相关数据!A:N,2,0)</f>
        <v>36</v>
      </c>
      <c r="X269" s="3" t="s">
        <v>151</v>
      </c>
      <c r="Y269" s="3" t="s">
        <v>162</v>
      </c>
      <c r="Z269" s="95">
        <v>1.1000000000000001</v>
      </c>
      <c r="AA269" s="95">
        <v>1.1000000000000001</v>
      </c>
      <c r="AB269" s="95">
        <v>1</v>
      </c>
      <c r="AC269" s="95">
        <v>1</v>
      </c>
      <c r="AD269" s="95">
        <v>0</v>
      </c>
      <c r="AE269" s="95">
        <v>0</v>
      </c>
      <c r="AF269" s="95">
        <v>0</v>
      </c>
      <c r="AG269" s="95">
        <v>0</v>
      </c>
      <c r="AH269" s="95">
        <v>0</v>
      </c>
      <c r="AI269" s="95">
        <v>0</v>
      </c>
      <c r="AJ269" s="3">
        <f>INT(VLOOKUP(U269,模板计算相关数据!A:N,4,0)*VLOOKUP(U269,模板计算相关数据!A:N,14,0)*(1+MAX(0,(VLOOKUP(U269,模板计算相关数据!A:N,7,0)-AQ269))*VLOOKUP(U269,模板计算相关数据!A:N,8,0))*(1-(AL269+AM269)*0.5/((AL269+AM269)*0.5+(VLOOKUP(U269,模板计算相关数据!A:N,2,0)+模板计算相关数据!$AC$27)*模板计算相关数据!$AC$28))*Q269*Z269)</f>
        <v>4018</v>
      </c>
      <c r="AK269" s="3">
        <f>INT(VLOOKUP(U269,模板计算相关数据!A:N,3,0)/模板计算相关数据!$W$35/(1+MAX(0,(AO269/10000-VLOOKUP(U269,模板计算相关数据!A:N,9,0)))*AP269/10000)/(1-VLOOKUP(U269,模板计算相关数据!A:N,5,0)/(VLOOKUP(U269,模板计算相关数据!A:N,5,0)+(VLOOKUP(U269,模板计算相关数据!A:N,2,0)+模板计算相关数据!$AC$27)*模板计算相关数据!$AC$28))/S269*AA269)</f>
        <v>1379</v>
      </c>
      <c r="AL269" s="3">
        <f>INT(VLOOKUP(U269,模板计算相关数据!A:N,5,0)*VLOOKUP(X269,模板计算相关数据!$P$4:$T$7,4,0)*VLOOKUP(Y269,模板计算相关数据!$P$22:$U$30,4,0)*AB269)</f>
        <v>1542</v>
      </c>
      <c r="AM269" s="3">
        <f>INT(VLOOKUP(U269,模板计算相关数据!A:N,6,0)*VLOOKUP(X269,模板计算相关数据!$P$4:$T$7,4,0)*VLOOKUP(Y269,模板计算相关数据!$P$22:$U$30,5,0)*AC269)</f>
        <v>2602</v>
      </c>
      <c r="AN269" s="3">
        <f>VLOOKUP(U269,模板计算相关数据!A:N,10,0)*0.5*VLOOKUP(Y269,模板计算相关数据!$P$22:$U$30,6,0)+AD269</f>
        <v>250</v>
      </c>
      <c r="AO269" s="3">
        <f>VLOOKUP(INT(VLOOKUP(U269,模板计算相关数据!A:N,2,0)/30)+1,模板计算相关数据!$O$35:$U$40,3,0)+AE269</f>
        <v>0</v>
      </c>
      <c r="AP269" s="3">
        <f>VLOOKUP(INT(VLOOKUP(U269,模板计算相关数据!A:N,2,0)/30)+1,模板计算相关数据!$O$35:$U$40,4,0)+AF269</f>
        <v>5000</v>
      </c>
      <c r="AQ269" s="3">
        <f>VLOOKUP(INT(VLOOKUP(U269,模板计算相关数据!A:N,2,0)/30)+1,模板计算相关数据!$O$35:$U$40,5,0)+AG269</f>
        <v>0</v>
      </c>
      <c r="AR269" s="3">
        <f>VLOOKUP(INT(VLOOKUP(U269,模板计算相关数据!A:N,2,0)/30)+1,模板计算相关数据!$O$35:$U$40,6,0)+AH269</f>
        <v>0</v>
      </c>
      <c r="AS269" s="3">
        <f>VLOOKUP(INT(VLOOKUP(U269,模板计算相关数据!A:N,2,0)/30)+1,模板计算相关数据!$O$35:$U$40,7,0)+AI269</f>
        <v>0</v>
      </c>
      <c r="AT269" s="3">
        <f>VLOOKUP(INT(VLOOKUP(U269,模板计算相关数据!A:N,2,0)/30)+1,模板计算相关数据!$O$35:$V$40,8,0)</f>
        <v>0</v>
      </c>
      <c r="AU269" s="2"/>
    </row>
    <row r="270" spans="1:47" x14ac:dyDescent="0.2">
      <c r="A270" s="19">
        <v>101160201</v>
      </c>
      <c r="B270" s="19"/>
      <c r="C270" s="69" t="s">
        <v>990</v>
      </c>
      <c r="D270" s="87" t="s">
        <v>1625</v>
      </c>
      <c r="E270" s="2">
        <v>1</v>
      </c>
      <c r="F270" s="3">
        <v>2</v>
      </c>
      <c r="G270" s="3">
        <v>1001301</v>
      </c>
      <c r="H270" s="3">
        <v>1</v>
      </c>
      <c r="I270" s="3">
        <v>4</v>
      </c>
      <c r="J270" s="3">
        <v>1</v>
      </c>
      <c r="K270" s="3"/>
      <c r="L270" s="91" t="s">
        <v>947</v>
      </c>
      <c r="M270" s="3"/>
      <c r="N270" s="2">
        <v>1</v>
      </c>
      <c r="O270" s="2"/>
      <c r="P270" s="3" t="s">
        <v>1615</v>
      </c>
      <c r="Q270" s="95">
        <f t="shared" si="19"/>
        <v>4.417254901960785</v>
      </c>
      <c r="R270" s="133">
        <f>IF(P270=模板计算相关数据!$AB$24,VLOOKUP(X270,模板计算相关数据!$P$47:$T$50,2,0),VLOOKUP(X270,模板计算相关数据!$P$4:$U$7,3,0))*VLOOKUP(Y270,模板计算相关数据!$P$22:$X$30,8,0)</f>
        <v>4.417254901960785</v>
      </c>
      <c r="S270" s="62">
        <f t="shared" si="20"/>
        <v>5.4285280003474252</v>
      </c>
      <c r="T270" s="133">
        <f>IF(P270=模板计算相关数据!$AB$24,VLOOKUP(X270,模板计算相关数据!$P$47:$T$50,5,0),VLOOKUP(X270,模板计算相关数据!$P$4:$U$7,6,0))*VLOOKUP(Y270,模板计算相关数据!$P$22:$X$30,9,0)</f>
        <v>5.4285280003474252</v>
      </c>
      <c r="U270" s="95">
        <v>16</v>
      </c>
      <c r="V270" s="95">
        <f t="shared" si="22"/>
        <v>39</v>
      </c>
      <c r="W270" s="29">
        <f>VLOOKUP(U270,模板计算相关数据!A:N,2,0)</f>
        <v>36</v>
      </c>
      <c r="X270" s="3" t="s">
        <v>151</v>
      </c>
      <c r="Y270" s="3" t="s">
        <v>152</v>
      </c>
      <c r="Z270" s="95">
        <v>1.1000000000000001</v>
      </c>
      <c r="AA270" s="95">
        <v>1.1000000000000001</v>
      </c>
      <c r="AB270" s="95">
        <v>1</v>
      </c>
      <c r="AC270" s="95">
        <v>1</v>
      </c>
      <c r="AD270" s="95">
        <v>0</v>
      </c>
      <c r="AE270" s="95">
        <v>0</v>
      </c>
      <c r="AF270" s="95">
        <v>0</v>
      </c>
      <c r="AG270" s="95">
        <v>0</v>
      </c>
      <c r="AH270" s="95">
        <v>0</v>
      </c>
      <c r="AI270" s="95">
        <v>0</v>
      </c>
      <c r="AJ270" s="3">
        <f>INT(VLOOKUP(U270,模板计算相关数据!A:N,4,0)*VLOOKUP(U270,模板计算相关数据!A:N,14,0)*(1+MAX(0,(VLOOKUP(U270,模板计算相关数据!A:N,7,0)-AQ270))*VLOOKUP(U270,模板计算相关数据!A:N,8,0))*(1-(AL270+AM270)*0.5/((AL270+AM270)*0.5+(VLOOKUP(U270,模板计算相关数据!A:N,2,0)+模板计算相关数据!$AC$27)*模板计算相关数据!$AC$28))*Q270*Z270)</f>
        <v>3973</v>
      </c>
      <c r="AK270" s="3">
        <f>INT(VLOOKUP(U270,模板计算相关数据!A:N,3,0)/模板计算相关数据!$W$35/(1+MAX(0,(AO270/10000-VLOOKUP(U270,模板计算相关数据!A:N,9,0)))*AP270/10000)/(1-VLOOKUP(U270,模板计算相关数据!A:N,5,0)/(VLOOKUP(U270,模板计算相关数据!A:N,5,0)+(VLOOKUP(U270,模板计算相关数据!A:N,2,0)+模板计算相关数据!$AC$27)*模板计算相关数据!$AC$28))/S270*AA270)</f>
        <v>1391</v>
      </c>
      <c r="AL270" s="3">
        <f>INT(VLOOKUP(U270,模板计算相关数据!A:N,5,0)*VLOOKUP(X270,模板计算相关数据!$P$4:$T$7,4,0)*VLOOKUP(Y270,模板计算相关数据!$P$22:$U$30,4,0)*AB270)</f>
        <v>2602</v>
      </c>
      <c r="AM270" s="3">
        <f>INT(VLOOKUP(U270,模板计算相关数据!A:N,6,0)*VLOOKUP(X270,模板计算相关数据!$P$4:$T$7,4,0)*VLOOKUP(Y270,模板计算相关数据!$P$22:$U$30,5,0)*AC270)</f>
        <v>1542</v>
      </c>
      <c r="AN270" s="3">
        <f>VLOOKUP(U270,模板计算相关数据!A:N,10,0)*0.5*VLOOKUP(Y270,模板计算相关数据!$P$22:$U$30,6,0)+AD270</f>
        <v>250</v>
      </c>
      <c r="AO270" s="3">
        <f>VLOOKUP(INT(VLOOKUP(U270,模板计算相关数据!A:N,2,0)/30)+1,模板计算相关数据!$O$35:$U$40,3,0)+AE270</f>
        <v>0</v>
      </c>
      <c r="AP270" s="3">
        <f>VLOOKUP(INT(VLOOKUP(U270,模板计算相关数据!A:N,2,0)/30)+1,模板计算相关数据!$O$35:$U$40,4,0)+AF270</f>
        <v>5000</v>
      </c>
      <c r="AQ270" s="3">
        <f>VLOOKUP(INT(VLOOKUP(U270,模板计算相关数据!A:N,2,0)/30)+1,模板计算相关数据!$O$35:$U$40,5,0)+AG270</f>
        <v>0</v>
      </c>
      <c r="AR270" s="3">
        <f>VLOOKUP(INT(VLOOKUP(U270,模板计算相关数据!A:N,2,0)/30)+1,模板计算相关数据!$O$35:$U$40,6,0)+AH270</f>
        <v>0</v>
      </c>
      <c r="AS270" s="3">
        <f>VLOOKUP(INT(VLOOKUP(U270,模板计算相关数据!A:N,2,0)/30)+1,模板计算相关数据!$O$35:$U$40,7,0)+AI270</f>
        <v>0</v>
      </c>
      <c r="AT270" s="3">
        <f>VLOOKUP(INT(VLOOKUP(U270,模板计算相关数据!A:N,2,0)/30)+1,模板计算相关数据!$O$35:$V$40,8,0)</f>
        <v>0</v>
      </c>
      <c r="AU270" s="2"/>
    </row>
    <row r="271" spans="1:47" x14ac:dyDescent="0.2">
      <c r="A271" s="19">
        <v>101160202</v>
      </c>
      <c r="B271" s="19"/>
      <c r="C271" s="69" t="s">
        <v>991</v>
      </c>
      <c r="D271" s="87" t="s">
        <v>1625</v>
      </c>
      <c r="E271" s="2">
        <v>1</v>
      </c>
      <c r="F271" s="3">
        <v>3</v>
      </c>
      <c r="G271" s="3">
        <v>1001501</v>
      </c>
      <c r="H271" s="3">
        <v>2</v>
      </c>
      <c r="I271" s="3">
        <v>4</v>
      </c>
      <c r="J271" s="3">
        <v>1</v>
      </c>
      <c r="K271" s="3"/>
      <c r="L271" s="91" t="s">
        <v>949</v>
      </c>
      <c r="M271" s="3"/>
      <c r="N271" s="2">
        <v>1</v>
      </c>
      <c r="O271" s="2"/>
      <c r="P271" s="3" t="s">
        <v>1615</v>
      </c>
      <c r="Q271" s="95">
        <f t="shared" si="19"/>
        <v>6.9411764705882364</v>
      </c>
      <c r="R271" s="133">
        <f>IF(P271=模板计算相关数据!$AB$24,VLOOKUP(X271,模板计算相关数据!$P$47:$T$50,2,0),VLOOKUP(X271,模板计算相关数据!$P$4:$U$7,3,0))*VLOOKUP(Y271,模板计算相关数据!$P$22:$X$30,8,0)</f>
        <v>6.9411764705882364</v>
      </c>
      <c r="S271" s="62">
        <f t="shared" si="20"/>
        <v>8.2943498888557112</v>
      </c>
      <c r="T271" s="133">
        <f>IF(P271=模板计算相关数据!$AB$24,VLOOKUP(X271,模板计算相关数据!$P$47:$T$50,5,0),VLOOKUP(X271,模板计算相关数据!$P$4:$U$7,6,0))*VLOOKUP(Y271,模板计算相关数据!$P$22:$X$30,9,0)</f>
        <v>8.2943498888557112</v>
      </c>
      <c r="U271" s="95">
        <v>16</v>
      </c>
      <c r="V271" s="95">
        <f t="shared" si="22"/>
        <v>39</v>
      </c>
      <c r="W271" s="29">
        <f>VLOOKUP(U271,模板计算相关数据!A:N,2,0)</f>
        <v>36</v>
      </c>
      <c r="X271" s="3" t="s">
        <v>151</v>
      </c>
      <c r="Y271" s="3" t="s">
        <v>155</v>
      </c>
      <c r="Z271" s="95">
        <v>1.1000000000000001</v>
      </c>
      <c r="AA271" s="95">
        <v>1.1000000000000001</v>
      </c>
      <c r="AB271" s="95">
        <v>1</v>
      </c>
      <c r="AC271" s="95">
        <v>1</v>
      </c>
      <c r="AD271" s="95">
        <v>0</v>
      </c>
      <c r="AE271" s="95">
        <v>0</v>
      </c>
      <c r="AF271" s="95">
        <v>0</v>
      </c>
      <c r="AG271" s="95">
        <v>0</v>
      </c>
      <c r="AH271" s="95">
        <v>0</v>
      </c>
      <c r="AI271" s="95">
        <v>0</v>
      </c>
      <c r="AJ271" s="3">
        <f>INT(VLOOKUP(U271,模板计算相关数据!A:N,4,0)*VLOOKUP(U271,模板计算相关数据!A:N,14,0)*(1+MAX(0,(VLOOKUP(U271,模板计算相关数据!A:N,7,0)-AQ271))*VLOOKUP(U271,模板计算相关数据!A:N,8,0))*(1-(AL271+AM271)*0.5/((AL271+AM271)*0.5+(VLOOKUP(U271,模板计算相关数据!A:N,2,0)+模板计算相关数据!$AC$27)*模板计算相关数据!$AC$28))*Q271*Z271)</f>
        <v>5884</v>
      </c>
      <c r="AK271" s="3">
        <f>INT(VLOOKUP(U271,模板计算相关数据!A:N,3,0)/模板计算相关数据!$W$35/(1+MAX(0,(AO271/10000-VLOOKUP(U271,模板计算相关数据!A:N,9,0)))*AP271/10000)/(1-VLOOKUP(U271,模板计算相关数据!A:N,5,0)/(VLOOKUP(U271,模板计算相关数据!A:N,5,0)+(VLOOKUP(U271,模板计算相关数据!A:N,2,0)+模板计算相关数据!$AC$27)*模板计算相关数据!$AC$28))/S271*AA271)</f>
        <v>910</v>
      </c>
      <c r="AL271" s="3">
        <f>INT(VLOOKUP(U271,模板计算相关数据!A:N,5,0)*VLOOKUP(X271,模板计算相关数据!$P$4:$T$7,4,0)*VLOOKUP(Y271,模板计算相关数据!$P$22:$U$30,4,0)*AB271)</f>
        <v>3132</v>
      </c>
      <c r="AM271" s="3">
        <f>INT(VLOOKUP(U271,模板计算相关数据!A:N,6,0)*VLOOKUP(X271,模板计算相关数据!$P$4:$T$7,4,0)*VLOOKUP(Y271,模板计算相关数据!$P$22:$U$30,5,0)*AC271)</f>
        <v>1734</v>
      </c>
      <c r="AN271" s="3">
        <f>VLOOKUP(U271,模板计算相关数据!A:N,10,0)*0.5*VLOOKUP(Y271,模板计算相关数据!$P$22:$U$30,6,0)+AD271</f>
        <v>225</v>
      </c>
      <c r="AO271" s="3">
        <f>VLOOKUP(INT(VLOOKUP(U271,模板计算相关数据!A:N,2,0)/30)+1,模板计算相关数据!$O$35:$U$40,3,0)+AE271</f>
        <v>0</v>
      </c>
      <c r="AP271" s="3">
        <f>VLOOKUP(INT(VLOOKUP(U271,模板计算相关数据!A:N,2,0)/30)+1,模板计算相关数据!$O$35:$U$40,4,0)+AF271</f>
        <v>5000</v>
      </c>
      <c r="AQ271" s="3">
        <f>VLOOKUP(INT(VLOOKUP(U271,模板计算相关数据!A:N,2,0)/30)+1,模板计算相关数据!$O$35:$U$40,5,0)+AG271</f>
        <v>0</v>
      </c>
      <c r="AR271" s="3">
        <f>VLOOKUP(INT(VLOOKUP(U271,模板计算相关数据!A:N,2,0)/30)+1,模板计算相关数据!$O$35:$U$40,6,0)+AH271</f>
        <v>0</v>
      </c>
      <c r="AS271" s="3">
        <f>VLOOKUP(INT(VLOOKUP(U271,模板计算相关数据!A:N,2,0)/30)+1,模板计算相关数据!$O$35:$U$40,7,0)+AI271</f>
        <v>0</v>
      </c>
      <c r="AT271" s="3">
        <f>VLOOKUP(INT(VLOOKUP(U271,模板计算相关数据!A:N,2,0)/30)+1,模板计算相关数据!$O$35:$V$40,8,0)</f>
        <v>0</v>
      </c>
      <c r="AU271" s="2"/>
    </row>
    <row r="272" spans="1:47" x14ac:dyDescent="0.2">
      <c r="A272" s="19">
        <v>101160203</v>
      </c>
      <c r="B272" s="19"/>
      <c r="C272" s="69" t="s">
        <v>1746</v>
      </c>
      <c r="D272" s="87" t="s">
        <v>1625</v>
      </c>
      <c r="E272" s="2">
        <v>2</v>
      </c>
      <c r="F272" s="3">
        <v>3</v>
      </c>
      <c r="G272" s="3">
        <v>1001401</v>
      </c>
      <c r="H272" s="3">
        <v>4</v>
      </c>
      <c r="I272" s="3">
        <v>4</v>
      </c>
      <c r="J272" s="3">
        <v>1</v>
      </c>
      <c r="K272" s="3"/>
      <c r="L272" s="91" t="s">
        <v>948</v>
      </c>
      <c r="M272" s="3"/>
      <c r="N272" s="2">
        <v>1</v>
      </c>
      <c r="O272" s="2"/>
      <c r="P272" s="3" t="s">
        <v>1615</v>
      </c>
      <c r="Q272" s="95">
        <f t="shared" si="19"/>
        <v>4.4674509803921572</v>
      </c>
      <c r="R272" s="133">
        <f>IF(P272=模板计算相关数据!$AB$24,VLOOKUP(X272,模板计算相关数据!$P$47:$T$50,2,0),VLOOKUP(X272,模板计算相关数据!$P$4:$U$7,3,0))*VLOOKUP(Y272,模板计算相关数据!$P$22:$X$30,8,0)</f>
        <v>4.4674509803921572</v>
      </c>
      <c r="S272" s="62">
        <f t="shared" si="20"/>
        <v>5.4739930589768004</v>
      </c>
      <c r="T272" s="133">
        <f>IF(P272=模板计算相关数据!$AB$24,VLOOKUP(X272,模板计算相关数据!$P$47:$T$50,5,0),VLOOKUP(X272,模板计算相关数据!$P$4:$U$7,6,0))*VLOOKUP(Y272,模板计算相关数据!$P$22:$X$30,9,0)</f>
        <v>5.4739930589768004</v>
      </c>
      <c r="U272" s="95">
        <v>16</v>
      </c>
      <c r="V272" s="95">
        <f t="shared" si="22"/>
        <v>39</v>
      </c>
      <c r="W272" s="29">
        <f>VLOOKUP(U272,模板计算相关数据!A:N,2,0)</f>
        <v>36</v>
      </c>
      <c r="X272" s="3" t="s">
        <v>151</v>
      </c>
      <c r="Y272" s="3" t="s">
        <v>162</v>
      </c>
      <c r="Z272" s="95">
        <v>1.1000000000000001</v>
      </c>
      <c r="AA272" s="95">
        <v>1.1000000000000001</v>
      </c>
      <c r="AB272" s="95">
        <v>1</v>
      </c>
      <c r="AC272" s="95">
        <v>1</v>
      </c>
      <c r="AD272" s="95">
        <v>0</v>
      </c>
      <c r="AE272" s="95">
        <v>0</v>
      </c>
      <c r="AF272" s="95">
        <v>0</v>
      </c>
      <c r="AG272" s="95">
        <v>0</v>
      </c>
      <c r="AH272" s="95">
        <v>0</v>
      </c>
      <c r="AI272" s="95">
        <v>0</v>
      </c>
      <c r="AJ272" s="3">
        <f>INT(VLOOKUP(U272,模板计算相关数据!A:N,4,0)*VLOOKUP(U272,模板计算相关数据!A:N,14,0)*(1+MAX(0,(VLOOKUP(U272,模板计算相关数据!A:N,7,0)-AQ272))*VLOOKUP(U272,模板计算相关数据!A:N,8,0))*(1-(AL272+AM272)*0.5/((AL272+AM272)*0.5+(VLOOKUP(U272,模板计算相关数据!A:N,2,0)+模板计算相关数据!$AC$27)*模板计算相关数据!$AC$28))*Q272*Z272)</f>
        <v>4018</v>
      </c>
      <c r="AK272" s="3">
        <f>INT(VLOOKUP(U272,模板计算相关数据!A:N,3,0)/模板计算相关数据!$W$35/(1+MAX(0,(AO272/10000-VLOOKUP(U272,模板计算相关数据!A:N,9,0)))*AP272/10000)/(1-VLOOKUP(U272,模板计算相关数据!A:N,5,0)/(VLOOKUP(U272,模板计算相关数据!A:N,5,0)+(VLOOKUP(U272,模板计算相关数据!A:N,2,0)+模板计算相关数据!$AC$27)*模板计算相关数据!$AC$28))/S272*AA272)</f>
        <v>1379</v>
      </c>
      <c r="AL272" s="3">
        <f>INT(VLOOKUP(U272,模板计算相关数据!A:N,5,0)*VLOOKUP(X272,模板计算相关数据!$P$4:$T$7,4,0)*VLOOKUP(Y272,模板计算相关数据!$P$22:$U$30,4,0)*AB272)</f>
        <v>1542</v>
      </c>
      <c r="AM272" s="3">
        <f>INT(VLOOKUP(U272,模板计算相关数据!A:N,6,0)*VLOOKUP(X272,模板计算相关数据!$P$4:$T$7,4,0)*VLOOKUP(Y272,模板计算相关数据!$P$22:$U$30,5,0)*AC272)</f>
        <v>2602</v>
      </c>
      <c r="AN272" s="3">
        <f>VLOOKUP(U272,模板计算相关数据!A:N,10,0)*0.5*VLOOKUP(Y272,模板计算相关数据!$P$22:$U$30,6,0)+AD272</f>
        <v>250</v>
      </c>
      <c r="AO272" s="3">
        <f>VLOOKUP(INT(VLOOKUP(U272,模板计算相关数据!A:N,2,0)/30)+1,模板计算相关数据!$O$35:$U$40,3,0)+AE272</f>
        <v>0</v>
      </c>
      <c r="AP272" s="3">
        <f>VLOOKUP(INT(VLOOKUP(U272,模板计算相关数据!A:N,2,0)/30)+1,模板计算相关数据!$O$35:$U$40,4,0)+AF272</f>
        <v>5000</v>
      </c>
      <c r="AQ272" s="3">
        <f>VLOOKUP(INT(VLOOKUP(U272,模板计算相关数据!A:N,2,0)/30)+1,模板计算相关数据!$O$35:$U$40,5,0)+AG272</f>
        <v>0</v>
      </c>
      <c r="AR272" s="3">
        <f>VLOOKUP(INT(VLOOKUP(U272,模板计算相关数据!A:N,2,0)/30)+1,模板计算相关数据!$O$35:$U$40,6,0)+AH272</f>
        <v>0</v>
      </c>
      <c r="AS272" s="3">
        <f>VLOOKUP(INT(VLOOKUP(U272,模板计算相关数据!A:N,2,0)/30)+1,模板计算相关数据!$O$35:$U$40,7,0)+AI272</f>
        <v>0</v>
      </c>
      <c r="AT272" s="3">
        <f>VLOOKUP(INT(VLOOKUP(U272,模板计算相关数据!A:N,2,0)/30)+1,模板计算相关数据!$O$35:$V$40,8,0)</f>
        <v>0</v>
      </c>
      <c r="AU272" s="2"/>
    </row>
    <row r="273" spans="1:47" x14ac:dyDescent="0.2">
      <c r="A273" s="17">
        <v>102010101</v>
      </c>
      <c r="B273" s="17"/>
      <c r="C273" s="69" t="s">
        <v>995</v>
      </c>
      <c r="D273" s="33" t="s">
        <v>1544</v>
      </c>
      <c r="E273" s="2">
        <v>1</v>
      </c>
      <c r="F273" s="3">
        <v>1</v>
      </c>
      <c r="G273" s="3">
        <v>1001801</v>
      </c>
      <c r="H273" s="3">
        <v>1</v>
      </c>
      <c r="I273" s="3">
        <v>4</v>
      </c>
      <c r="J273" s="3">
        <v>1</v>
      </c>
      <c r="K273" s="3"/>
      <c r="L273" s="91" t="s">
        <v>1545</v>
      </c>
      <c r="M273" s="3"/>
      <c r="N273" s="2">
        <v>1</v>
      </c>
      <c r="O273" s="2"/>
      <c r="P273" s="3" t="s">
        <v>1613</v>
      </c>
      <c r="Q273" s="95">
        <v>4</v>
      </c>
      <c r="R273" s="133">
        <f>IF(P273=模板计算相关数据!$AB$24,VLOOKUP(X273,模板计算相关数据!$P$47:$T$50,2,0),VLOOKUP(X273,模板计算相关数据!$P$4:$U$7,3,0))*VLOOKUP(Y273,模板计算相关数据!$P$22:$X$30,8,0)</f>
        <v>3.5338039215686279</v>
      </c>
      <c r="S273" s="62">
        <v>6</v>
      </c>
      <c r="T273" s="133">
        <f>IF(P273=模板计算相关数据!$AB$24,VLOOKUP(X273,模板计算相关数据!$P$47:$T$50,5,0),VLOOKUP(X273,模板计算相关数据!$P$4:$U$7,6,0))*VLOOKUP(Y273,模板计算相关数据!$P$22:$X$30,9,0)</f>
        <v>7.080688696105339</v>
      </c>
      <c r="U273" s="95">
        <v>17</v>
      </c>
      <c r="V273" s="95">
        <f t="shared" si="22"/>
        <v>40</v>
      </c>
      <c r="W273" s="29">
        <f>VLOOKUP(U273,模板计算相关数据!A:N,2,0)</f>
        <v>37</v>
      </c>
      <c r="X273" s="3" t="s">
        <v>151</v>
      </c>
      <c r="Y273" s="3" t="s">
        <v>152</v>
      </c>
      <c r="Z273" s="99">
        <v>1</v>
      </c>
      <c r="AA273" s="95">
        <v>1</v>
      </c>
      <c r="AB273" s="95">
        <v>1</v>
      </c>
      <c r="AC273" s="95">
        <v>1</v>
      </c>
      <c r="AD273" s="95">
        <v>0</v>
      </c>
      <c r="AE273" s="95">
        <v>0</v>
      </c>
      <c r="AF273" s="95">
        <v>0</v>
      </c>
      <c r="AG273" s="95">
        <v>0</v>
      </c>
      <c r="AH273" s="95">
        <v>0</v>
      </c>
      <c r="AI273" s="95">
        <v>0</v>
      </c>
      <c r="AJ273" s="3">
        <f>INT(VLOOKUP(U273,模板计算相关数据!A:N,4,0)*VLOOKUP(U273,模板计算相关数据!A:N,14,0)*(1+MAX(0,(VLOOKUP(U273,模板计算相关数据!A:N,7,0)-AQ273))*VLOOKUP(U273,模板计算相关数据!A:N,8,0))*(1-(AL273+AM273)*0.5/((AL273+AM273)*0.5+(VLOOKUP(U273,模板计算相关数据!A:N,2,0)+模板计算相关数据!$AC$27)*模板计算相关数据!$AC$28))*Q273*Z273)</f>
        <v>3435</v>
      </c>
      <c r="AK273" s="3">
        <f>INT(VLOOKUP(U273,模板计算相关数据!A:N,3,0)/模板计算相关数据!$W$35/(1+MAX(0,(AO273/10000-VLOOKUP(U273,模板计算相关数据!A:N,9,0)))*AP273/10000)/(1-VLOOKUP(U273,模板计算相关数据!A:N,5,0)/(VLOOKUP(U273,模板计算相关数据!A:N,5,0)+(VLOOKUP(U273,模板计算相关数据!A:N,2,0)+模板计算相关数据!$AC$27)*模板计算相关数据!$AC$28))/S273*AA273)</f>
        <v>1212</v>
      </c>
      <c r="AL273" s="3">
        <f>INT(VLOOKUP(U273,模板计算相关数据!A:N,5,0)*VLOOKUP(X273,模板计算相关数据!$P$4:$T$7,4,0)*VLOOKUP(Y273,模板计算相关数据!$P$22:$U$30,4,0)*AB273)</f>
        <v>2740</v>
      </c>
      <c r="AM273" s="3">
        <f>INT(VLOOKUP(U273,模板计算相关数据!A:N,6,0)*VLOOKUP(X273,模板计算相关数据!$P$4:$T$7,4,0)*VLOOKUP(Y273,模板计算相关数据!$P$22:$U$30,5,0)*AC273)</f>
        <v>1624</v>
      </c>
      <c r="AN273" s="3">
        <f>VLOOKUP(U273,模板计算相关数据!A:N,10,0)*0.5*VLOOKUP(Y273,模板计算相关数据!$P$22:$U$30,6,0)+AD273</f>
        <v>250</v>
      </c>
      <c r="AO273" s="3">
        <f>VLOOKUP(INT(VLOOKUP(U273,模板计算相关数据!A:N,2,0)/30)+1,模板计算相关数据!$O$35:$U$40,3,0)+AE273</f>
        <v>0</v>
      </c>
      <c r="AP273" s="3">
        <f>VLOOKUP(INT(VLOOKUP(U273,模板计算相关数据!A:N,2,0)/30)+1,模板计算相关数据!$O$35:$U$40,4,0)+AF273</f>
        <v>5000</v>
      </c>
      <c r="AQ273" s="3">
        <f>VLOOKUP(INT(VLOOKUP(U273,模板计算相关数据!A:N,2,0)/30)+1,模板计算相关数据!$O$35:$U$40,5,0)+AG273</f>
        <v>0</v>
      </c>
      <c r="AR273" s="3">
        <f>VLOOKUP(INT(VLOOKUP(U273,模板计算相关数据!A:N,2,0)/30)+1,模板计算相关数据!$O$35:$U$40,6,0)+AH273</f>
        <v>0</v>
      </c>
      <c r="AS273" s="3">
        <f>VLOOKUP(INT(VLOOKUP(U273,模板计算相关数据!A:N,2,0)/30)+1,模板计算相关数据!$O$35:$U$40,7,0)+AI273</f>
        <v>0</v>
      </c>
      <c r="AT273" s="3">
        <f>VLOOKUP(INT(VLOOKUP(U273,模板计算相关数据!A:N,2,0)/30)+1,模板计算相关数据!$O$35:$V$40,8,0)</f>
        <v>0</v>
      </c>
      <c r="AU273" s="2"/>
    </row>
    <row r="274" spans="1:47" x14ac:dyDescent="0.2">
      <c r="A274" s="17">
        <v>102010102</v>
      </c>
      <c r="B274" s="17"/>
      <c r="C274" s="69" t="s">
        <v>1765</v>
      </c>
      <c r="D274" s="33" t="s">
        <v>1544</v>
      </c>
      <c r="E274" s="2">
        <v>1</v>
      </c>
      <c r="F274" s="3">
        <v>3</v>
      </c>
      <c r="G274" s="3">
        <v>1001801</v>
      </c>
      <c r="H274" s="3">
        <v>1</v>
      </c>
      <c r="I274" s="3">
        <v>4</v>
      </c>
      <c r="J274" s="3">
        <v>1</v>
      </c>
      <c r="K274" s="3"/>
      <c r="L274" s="91" t="s">
        <v>1545</v>
      </c>
      <c r="M274" s="3"/>
      <c r="N274" s="2">
        <v>1</v>
      </c>
      <c r="O274" s="2"/>
      <c r="P274" s="3" t="s">
        <v>1613</v>
      </c>
      <c r="Q274" s="95">
        <v>4</v>
      </c>
      <c r="R274" s="133">
        <f>IF(P274=模板计算相关数据!$AB$24,VLOOKUP(X274,模板计算相关数据!$P$47:$T$50,2,0),VLOOKUP(X274,模板计算相关数据!$P$4:$U$7,3,0))*VLOOKUP(Y274,模板计算相关数据!$P$22:$X$30,8,0)</f>
        <v>3.5338039215686279</v>
      </c>
      <c r="S274" s="62">
        <v>6</v>
      </c>
      <c r="T274" s="133">
        <f>IF(P274=模板计算相关数据!$AB$24,VLOOKUP(X274,模板计算相关数据!$P$47:$T$50,5,0),VLOOKUP(X274,模板计算相关数据!$P$4:$U$7,6,0))*VLOOKUP(Y274,模板计算相关数据!$P$22:$X$30,9,0)</f>
        <v>7.080688696105339</v>
      </c>
      <c r="U274" s="95">
        <v>17</v>
      </c>
      <c r="V274" s="95">
        <f t="shared" si="22"/>
        <v>40</v>
      </c>
      <c r="W274" s="29">
        <f>VLOOKUP(U274,模板计算相关数据!A:N,2,0)</f>
        <v>37</v>
      </c>
      <c r="X274" s="3" t="s">
        <v>151</v>
      </c>
      <c r="Y274" s="3" t="s">
        <v>152</v>
      </c>
      <c r="Z274" s="99">
        <v>1</v>
      </c>
      <c r="AA274" s="95">
        <v>1</v>
      </c>
      <c r="AB274" s="95">
        <v>1</v>
      </c>
      <c r="AC274" s="95">
        <v>1</v>
      </c>
      <c r="AD274" s="95">
        <v>0</v>
      </c>
      <c r="AE274" s="95">
        <v>0</v>
      </c>
      <c r="AF274" s="95">
        <v>0</v>
      </c>
      <c r="AG274" s="95">
        <v>0</v>
      </c>
      <c r="AH274" s="95">
        <v>0</v>
      </c>
      <c r="AI274" s="95">
        <v>0</v>
      </c>
      <c r="AJ274" s="3">
        <f>INT(VLOOKUP(U274,模板计算相关数据!A:N,4,0)*VLOOKUP(U274,模板计算相关数据!A:N,14,0)*(1+MAX(0,(VLOOKUP(U274,模板计算相关数据!A:N,7,0)-AQ274))*VLOOKUP(U274,模板计算相关数据!A:N,8,0))*(1-(AL274+AM274)*0.5/((AL274+AM274)*0.5+(VLOOKUP(U274,模板计算相关数据!A:N,2,0)+模板计算相关数据!$AC$27)*模板计算相关数据!$AC$28))*Q274*Z274)</f>
        <v>3435</v>
      </c>
      <c r="AK274" s="3">
        <f>INT(VLOOKUP(U274,模板计算相关数据!A:N,3,0)/模板计算相关数据!$W$35/(1+MAX(0,(AO274/10000-VLOOKUP(U274,模板计算相关数据!A:N,9,0)))*AP274/10000)/(1-VLOOKUP(U274,模板计算相关数据!A:N,5,0)/(VLOOKUP(U274,模板计算相关数据!A:N,5,0)+(VLOOKUP(U274,模板计算相关数据!A:N,2,0)+模板计算相关数据!$AC$27)*模板计算相关数据!$AC$28))/S274*AA274)</f>
        <v>1212</v>
      </c>
      <c r="AL274" s="3">
        <f>INT(VLOOKUP(U274,模板计算相关数据!A:N,5,0)*VLOOKUP(X274,模板计算相关数据!$P$4:$T$7,4,0)*VLOOKUP(Y274,模板计算相关数据!$P$22:$U$30,4,0)*AB274)</f>
        <v>2740</v>
      </c>
      <c r="AM274" s="3">
        <f>INT(VLOOKUP(U274,模板计算相关数据!A:N,6,0)*VLOOKUP(X274,模板计算相关数据!$P$4:$T$7,4,0)*VLOOKUP(Y274,模板计算相关数据!$P$22:$U$30,5,0)*AC274)</f>
        <v>1624</v>
      </c>
      <c r="AN274" s="3">
        <f>VLOOKUP(U274,模板计算相关数据!A:N,10,0)*0.5*VLOOKUP(Y274,模板计算相关数据!$P$22:$U$30,6,0)+AD274</f>
        <v>250</v>
      </c>
      <c r="AO274" s="3">
        <f>VLOOKUP(INT(VLOOKUP(U274,模板计算相关数据!A:N,2,0)/30)+1,模板计算相关数据!$O$35:$U$40,3,0)+AE274</f>
        <v>0</v>
      </c>
      <c r="AP274" s="3">
        <f>VLOOKUP(INT(VLOOKUP(U274,模板计算相关数据!A:N,2,0)/30)+1,模板计算相关数据!$O$35:$U$40,4,0)+AF274</f>
        <v>5000</v>
      </c>
      <c r="AQ274" s="3">
        <f>VLOOKUP(INT(VLOOKUP(U274,模板计算相关数据!A:N,2,0)/30)+1,模板计算相关数据!$O$35:$U$40,5,0)+AG274</f>
        <v>0</v>
      </c>
      <c r="AR274" s="3">
        <f>VLOOKUP(INT(VLOOKUP(U274,模板计算相关数据!A:N,2,0)/30)+1,模板计算相关数据!$O$35:$U$40,6,0)+AH274</f>
        <v>0</v>
      </c>
      <c r="AS274" s="3">
        <f>VLOOKUP(INT(VLOOKUP(U274,模板计算相关数据!A:N,2,0)/30)+1,模板计算相关数据!$O$35:$U$40,7,0)+AI274</f>
        <v>0</v>
      </c>
      <c r="AT274" s="3">
        <f>VLOOKUP(INT(VLOOKUP(U274,模板计算相关数据!A:N,2,0)/30)+1,模板计算相关数据!$O$35:$V$40,8,0)</f>
        <v>0</v>
      </c>
      <c r="AU274" s="2"/>
    </row>
    <row r="275" spans="1:47" x14ac:dyDescent="0.2">
      <c r="A275" s="17">
        <v>102010103</v>
      </c>
      <c r="B275" s="17"/>
      <c r="C275" s="69" t="s">
        <v>995</v>
      </c>
      <c r="D275" s="33" t="s">
        <v>1816</v>
      </c>
      <c r="E275" s="2">
        <v>1</v>
      </c>
      <c r="F275" s="3">
        <v>1</v>
      </c>
      <c r="G275" s="3">
        <v>1001801</v>
      </c>
      <c r="H275" s="3">
        <v>1</v>
      </c>
      <c r="I275" s="3">
        <v>4</v>
      </c>
      <c r="J275" s="3">
        <v>1</v>
      </c>
      <c r="K275" s="3"/>
      <c r="L275" s="91" t="s">
        <v>1817</v>
      </c>
      <c r="M275" s="3"/>
      <c r="N275" s="2">
        <v>1</v>
      </c>
      <c r="O275" s="2"/>
      <c r="P275" s="3" t="s">
        <v>1613</v>
      </c>
      <c r="Q275" s="95">
        <v>4</v>
      </c>
      <c r="R275" s="133">
        <f>IF(P275=模板计算相关数据!$AB$24,VLOOKUP(X275,模板计算相关数据!$P$47:$T$50,2,0),VLOOKUP(X275,模板计算相关数据!$P$4:$U$7,3,0))*VLOOKUP(Y275,模板计算相关数据!$P$22:$X$30,8,0)</f>
        <v>3.5338039215686279</v>
      </c>
      <c r="S275" s="62">
        <v>6</v>
      </c>
      <c r="T275" s="133">
        <f>IF(P275=模板计算相关数据!$AB$24,VLOOKUP(X275,模板计算相关数据!$P$47:$T$50,5,0),VLOOKUP(X275,模板计算相关数据!$P$4:$U$7,6,0))*VLOOKUP(Y275,模板计算相关数据!$P$22:$X$30,9,0)</f>
        <v>7.080688696105339</v>
      </c>
      <c r="U275" s="95">
        <v>17</v>
      </c>
      <c r="V275" s="95">
        <f t="shared" si="22"/>
        <v>40</v>
      </c>
      <c r="W275" s="29">
        <f>VLOOKUP(U275,模板计算相关数据!A:N,2,0)</f>
        <v>37</v>
      </c>
      <c r="X275" s="3" t="s">
        <v>151</v>
      </c>
      <c r="Y275" s="3" t="s">
        <v>152</v>
      </c>
      <c r="Z275" s="99">
        <v>1</v>
      </c>
      <c r="AA275" s="95">
        <v>1</v>
      </c>
      <c r="AB275" s="95">
        <v>1</v>
      </c>
      <c r="AC275" s="95">
        <v>1</v>
      </c>
      <c r="AD275" s="95">
        <v>0</v>
      </c>
      <c r="AE275" s="95">
        <v>0</v>
      </c>
      <c r="AF275" s="95">
        <v>0</v>
      </c>
      <c r="AG275" s="95">
        <v>0</v>
      </c>
      <c r="AH275" s="95">
        <v>0</v>
      </c>
      <c r="AI275" s="95">
        <v>0</v>
      </c>
      <c r="AJ275" s="3">
        <f>INT(VLOOKUP(U275,模板计算相关数据!A:N,4,0)*VLOOKUP(U275,模板计算相关数据!A:N,14,0)*(1+MAX(0,(VLOOKUP(U275,模板计算相关数据!A:N,7,0)-AQ275))*VLOOKUP(U275,模板计算相关数据!A:N,8,0))*(1-(AL275+AM275)*0.5/((AL275+AM275)*0.5+(VLOOKUP(U275,模板计算相关数据!A:N,2,0)+模板计算相关数据!$AC$27)*模板计算相关数据!$AC$28))*Q275*Z275)</f>
        <v>3435</v>
      </c>
      <c r="AK275" s="3">
        <f>INT(VLOOKUP(U275,模板计算相关数据!A:N,3,0)/模板计算相关数据!$W$35/(1+MAX(0,(AO275/10000-VLOOKUP(U275,模板计算相关数据!A:N,9,0)))*AP275/10000)/(1-VLOOKUP(U275,模板计算相关数据!A:N,5,0)/(VLOOKUP(U275,模板计算相关数据!A:N,5,0)+(VLOOKUP(U275,模板计算相关数据!A:N,2,0)+模板计算相关数据!$AC$27)*模板计算相关数据!$AC$28))/S275*AA275)</f>
        <v>1212</v>
      </c>
      <c r="AL275" s="3">
        <f>INT(VLOOKUP(U275,模板计算相关数据!A:N,5,0)*VLOOKUP(X275,模板计算相关数据!$P$4:$T$7,4,0)*VLOOKUP(Y275,模板计算相关数据!$P$22:$U$30,4,0)*AB275)</f>
        <v>2740</v>
      </c>
      <c r="AM275" s="3">
        <f>INT(VLOOKUP(U275,模板计算相关数据!A:N,6,0)*VLOOKUP(X275,模板计算相关数据!$P$4:$T$7,4,0)*VLOOKUP(Y275,模板计算相关数据!$P$22:$U$30,5,0)*AC275)</f>
        <v>1624</v>
      </c>
      <c r="AN275" s="3">
        <f>VLOOKUP(U275,模板计算相关数据!A:N,10,0)*0.5*VLOOKUP(Y275,模板计算相关数据!$P$22:$U$30,6,0)+AD275</f>
        <v>250</v>
      </c>
      <c r="AO275" s="3">
        <f>VLOOKUP(INT(VLOOKUP(U275,模板计算相关数据!A:N,2,0)/30)+1,模板计算相关数据!$O$35:$U$40,3,0)+AE275</f>
        <v>0</v>
      </c>
      <c r="AP275" s="3">
        <f>VLOOKUP(INT(VLOOKUP(U275,模板计算相关数据!A:N,2,0)/30)+1,模板计算相关数据!$O$35:$U$40,4,0)+AF275</f>
        <v>5000</v>
      </c>
      <c r="AQ275" s="3">
        <f>VLOOKUP(INT(VLOOKUP(U275,模板计算相关数据!A:N,2,0)/30)+1,模板计算相关数据!$O$35:$U$40,5,0)+AG275</f>
        <v>0</v>
      </c>
      <c r="AR275" s="3">
        <f>VLOOKUP(INT(VLOOKUP(U275,模板计算相关数据!A:N,2,0)/30)+1,模板计算相关数据!$O$35:$U$40,6,0)+AH275</f>
        <v>0</v>
      </c>
      <c r="AS275" s="3">
        <f>VLOOKUP(INT(VLOOKUP(U275,模板计算相关数据!A:N,2,0)/30)+1,模板计算相关数据!$O$35:$U$40,7,0)+AI275</f>
        <v>0</v>
      </c>
      <c r="AT275" s="3">
        <f>VLOOKUP(INT(VLOOKUP(U275,模板计算相关数据!A:N,2,0)/30)+1,模板计算相关数据!$O$35:$V$40,8,0)</f>
        <v>0</v>
      </c>
      <c r="AU275" s="2"/>
    </row>
    <row r="276" spans="1:47" x14ac:dyDescent="0.2">
      <c r="A276" s="19">
        <v>102020101</v>
      </c>
      <c r="B276" s="19"/>
      <c r="C276" s="69" t="s">
        <v>1746</v>
      </c>
      <c r="D276" s="87" t="s">
        <v>1546</v>
      </c>
      <c r="E276" s="2">
        <v>2</v>
      </c>
      <c r="F276" s="3">
        <v>2</v>
      </c>
      <c r="G276" s="3">
        <v>1001401</v>
      </c>
      <c r="H276" s="3">
        <v>4</v>
      </c>
      <c r="I276" s="3">
        <v>4</v>
      </c>
      <c r="J276" s="3">
        <v>1</v>
      </c>
      <c r="K276" s="3"/>
      <c r="L276" s="91" t="s">
        <v>1547</v>
      </c>
      <c r="M276" s="3"/>
      <c r="N276" s="2">
        <v>1</v>
      </c>
      <c r="O276" s="2"/>
      <c r="P276" s="3" t="s">
        <v>1615</v>
      </c>
      <c r="Q276" s="95">
        <v>4</v>
      </c>
      <c r="R276" s="133">
        <f>IF(P276=模板计算相关数据!$AB$24,VLOOKUP(X276,模板计算相关数据!$P$47:$T$50,2,0),VLOOKUP(X276,模板计算相关数据!$P$4:$U$7,3,0))*VLOOKUP(Y276,模板计算相关数据!$P$22:$X$30,8,0)</f>
        <v>4.4674509803921572</v>
      </c>
      <c r="S276" s="62">
        <v>7</v>
      </c>
      <c r="T276" s="133">
        <f>IF(P276=模板计算相关数据!$AB$24,VLOOKUP(X276,模板计算相关数据!$P$47:$T$50,5,0),VLOOKUP(X276,模板计算相关数据!$P$4:$U$7,6,0))*VLOOKUP(Y276,模板计算相关数据!$P$22:$X$30,9,0)</f>
        <v>5.4739930589768004</v>
      </c>
      <c r="U276" s="95">
        <v>17</v>
      </c>
      <c r="V276" s="95">
        <f t="shared" si="22"/>
        <v>40</v>
      </c>
      <c r="W276" s="29">
        <f>VLOOKUP(U276,模板计算相关数据!A:N,2,0)</f>
        <v>37</v>
      </c>
      <c r="X276" s="3" t="s">
        <v>151</v>
      </c>
      <c r="Y276" s="3" t="s">
        <v>162</v>
      </c>
      <c r="Z276" s="99">
        <v>1</v>
      </c>
      <c r="AA276" s="95">
        <v>0.9</v>
      </c>
      <c r="AB276" s="95">
        <v>1</v>
      </c>
      <c r="AC276" s="95">
        <v>1</v>
      </c>
      <c r="AD276" s="95">
        <v>0</v>
      </c>
      <c r="AE276" s="95">
        <v>0</v>
      </c>
      <c r="AF276" s="95">
        <v>0</v>
      </c>
      <c r="AG276" s="95">
        <v>0</v>
      </c>
      <c r="AH276" s="95">
        <v>0</v>
      </c>
      <c r="AI276" s="95">
        <v>0</v>
      </c>
      <c r="AJ276" s="3">
        <f>INT(VLOOKUP(U276,模板计算相关数据!A:N,4,0)*VLOOKUP(U276,模板计算相关数据!A:N,14,0)*(1+MAX(0,(VLOOKUP(U276,模板计算相关数据!A:N,7,0)-AQ276))*VLOOKUP(U276,模板计算相关数据!A:N,8,0))*(1-(AL276+AM276)*0.5/((AL276+AM276)*0.5+(VLOOKUP(U276,模板计算相关数据!A:N,2,0)+模板计算相关数据!$AC$27)*模板计算相关数据!$AC$28))*Q276*Z276)</f>
        <v>3435</v>
      </c>
      <c r="AK276" s="3">
        <f>INT(VLOOKUP(U276,模板计算相关数据!A:N,3,0)/模板计算相关数据!$W$35/(1+MAX(0,(AO276/10000-VLOOKUP(U276,模板计算相关数据!A:N,9,0)))*AP276/10000)/(1-VLOOKUP(U276,模板计算相关数据!A:N,5,0)/(VLOOKUP(U276,模板计算相关数据!A:N,5,0)+(VLOOKUP(U276,模板计算相关数据!A:N,2,0)+模板计算相关数据!$AC$27)*模板计算相关数据!$AC$28))/S276*AA276)</f>
        <v>935</v>
      </c>
      <c r="AL276" s="3">
        <f>INT(VLOOKUP(U276,模板计算相关数据!A:N,5,0)*VLOOKUP(X276,模板计算相关数据!$P$4:$T$7,4,0)*VLOOKUP(Y276,模板计算相关数据!$P$22:$U$30,4,0)*AB276)</f>
        <v>1624</v>
      </c>
      <c r="AM276" s="3">
        <f>INT(VLOOKUP(U276,模板计算相关数据!A:N,6,0)*VLOOKUP(X276,模板计算相关数据!$P$4:$T$7,4,0)*VLOOKUP(Y276,模板计算相关数据!$P$22:$U$30,5,0)*AC276)</f>
        <v>2740</v>
      </c>
      <c r="AN276" s="3">
        <f>VLOOKUP(U276,模板计算相关数据!A:N,10,0)*0.5*VLOOKUP(Y276,模板计算相关数据!$P$22:$U$30,6,0)+AD276</f>
        <v>250</v>
      </c>
      <c r="AO276" s="3">
        <f>VLOOKUP(INT(VLOOKUP(U276,模板计算相关数据!A:N,2,0)/30)+1,模板计算相关数据!$O$35:$U$40,3,0)+AE276</f>
        <v>0</v>
      </c>
      <c r="AP276" s="3">
        <f>VLOOKUP(INT(VLOOKUP(U276,模板计算相关数据!A:N,2,0)/30)+1,模板计算相关数据!$O$35:$U$40,4,0)+AF276</f>
        <v>5000</v>
      </c>
      <c r="AQ276" s="3">
        <f>VLOOKUP(INT(VLOOKUP(U276,模板计算相关数据!A:N,2,0)/30)+1,模板计算相关数据!$O$35:$U$40,5,0)+AG276</f>
        <v>0</v>
      </c>
      <c r="AR276" s="3">
        <f>VLOOKUP(INT(VLOOKUP(U276,模板计算相关数据!A:N,2,0)/30)+1,模板计算相关数据!$O$35:$U$40,6,0)+AH276</f>
        <v>0</v>
      </c>
      <c r="AS276" s="3">
        <f>VLOOKUP(INT(VLOOKUP(U276,模板计算相关数据!A:N,2,0)/30)+1,模板计算相关数据!$O$35:$U$40,7,0)+AI276</f>
        <v>0</v>
      </c>
      <c r="AT276" s="3">
        <f>VLOOKUP(INT(VLOOKUP(U276,模板计算相关数据!A:N,2,0)/30)+1,模板计算相关数据!$O$35:$V$40,8,0)</f>
        <v>0</v>
      </c>
      <c r="AU276" s="2"/>
    </row>
    <row r="277" spans="1:47" x14ac:dyDescent="0.2">
      <c r="A277" s="19">
        <v>102020102</v>
      </c>
      <c r="B277" s="19"/>
      <c r="C277" s="69" t="s">
        <v>1821</v>
      </c>
      <c r="D277" s="87" t="s">
        <v>1546</v>
      </c>
      <c r="E277" s="2">
        <v>2</v>
      </c>
      <c r="F277" s="3">
        <v>1</v>
      </c>
      <c r="G277" s="3">
        <v>1003201</v>
      </c>
      <c r="H277" s="3">
        <v>5</v>
      </c>
      <c r="I277" s="3">
        <v>4</v>
      </c>
      <c r="J277" s="3">
        <v>1</v>
      </c>
      <c r="K277" s="3"/>
      <c r="L277" s="91" t="s">
        <v>1548</v>
      </c>
      <c r="M277" s="3"/>
      <c r="N277" s="2">
        <v>1</v>
      </c>
      <c r="O277" s="2"/>
      <c r="P277" s="3" t="s">
        <v>1615</v>
      </c>
      <c r="Q277" s="95">
        <f t="shared" ref="Q277:Q302" si="24">R277</f>
        <v>5.7709803921568623</v>
      </c>
      <c r="R277" s="133">
        <f>IF(P277=模板计算相关数据!$AB$24,VLOOKUP(X277,模板计算相关数据!$P$47:$T$50,2,0),VLOOKUP(X277,模板计算相关数据!$P$4:$U$7,3,0))*VLOOKUP(Y277,模板计算相关数据!$P$22:$X$30,8,0)</f>
        <v>5.7709803921568623</v>
      </c>
      <c r="S277" s="62">
        <v>7.41</v>
      </c>
      <c r="T277" s="133">
        <f>IF(P277=模板计算相关数据!$AB$24,VLOOKUP(X277,模板计算相关数据!$P$47:$T$50,5,0),VLOOKUP(X277,模板计算相关数据!$P$4:$U$7,6,0))*VLOOKUP(Y277,模板计算相关数据!$P$22:$X$30,9,0)</f>
        <v>6.4077918749198997</v>
      </c>
      <c r="U277" s="95">
        <v>17</v>
      </c>
      <c r="V277" s="95">
        <f t="shared" si="22"/>
        <v>40</v>
      </c>
      <c r="W277" s="29">
        <f>VLOOKUP(U277,模板计算相关数据!A:N,2,0)</f>
        <v>37</v>
      </c>
      <c r="X277" s="3" t="s">
        <v>151</v>
      </c>
      <c r="Y277" s="3" t="s">
        <v>159</v>
      </c>
      <c r="Z277" s="99">
        <v>1</v>
      </c>
      <c r="AA277" s="95">
        <v>0.9</v>
      </c>
      <c r="AB277" s="95">
        <v>1</v>
      </c>
      <c r="AC277" s="95">
        <v>1</v>
      </c>
      <c r="AD277" s="95">
        <v>0</v>
      </c>
      <c r="AE277" s="95">
        <v>0</v>
      </c>
      <c r="AF277" s="95">
        <v>0</v>
      </c>
      <c r="AG277" s="95">
        <v>0</v>
      </c>
      <c r="AH277" s="95">
        <v>0</v>
      </c>
      <c r="AI277" s="95">
        <v>0</v>
      </c>
      <c r="AJ277" s="3">
        <f>INT(VLOOKUP(U277,模板计算相关数据!A:N,4,0)*VLOOKUP(U277,模板计算相关数据!A:N,14,0)*(1+MAX(0,(VLOOKUP(U277,模板计算相关数据!A:N,7,0)-AQ277))*VLOOKUP(U277,模板计算相关数据!A:N,8,0))*(1-(AL277+AM277)*0.5/((AL277+AM277)*0.5+(VLOOKUP(U277,模板计算相关数据!A:N,2,0)+模板计算相关数据!$AC$27)*模板计算相关数据!$AC$28))*Q277*Z277)</f>
        <v>4759</v>
      </c>
      <c r="AK277" s="3">
        <f>INT(VLOOKUP(U277,模板计算相关数据!A:N,3,0)/模板计算相关数据!$W$35/(1+MAX(0,(AO277/10000-VLOOKUP(U277,模板计算相关数据!A:N,9,0)))*AP277/10000)/(1-VLOOKUP(U277,模板计算相关数据!A:N,5,0)/(VLOOKUP(U277,模板计算相关数据!A:N,5,0)+(VLOOKUP(U277,模板计算相关数据!A:N,2,0)+模板计算相关数据!$AC$27)*模板计算相关数据!$AC$28))/S277*AA277)</f>
        <v>883</v>
      </c>
      <c r="AL277" s="3">
        <f>INT(VLOOKUP(U277,模板计算相关数据!A:N,5,0)*VLOOKUP(X277,模板计算相关数据!$P$4:$T$7,4,0)*VLOOKUP(Y277,模板计算相关数据!$P$22:$U$30,4,0)*AB277)</f>
        <v>3146</v>
      </c>
      <c r="AM277" s="3">
        <f>INT(VLOOKUP(U277,模板计算相关数据!A:N,6,0)*VLOOKUP(X277,模板计算相关数据!$P$4:$T$7,4,0)*VLOOKUP(Y277,模板计算相关数据!$P$22:$U$30,5,0)*AC277)</f>
        <v>1725</v>
      </c>
      <c r="AN277" s="3">
        <f>VLOOKUP(U277,模板计算相关数据!A:N,10,0)*0.5*VLOOKUP(Y277,模板计算相关数据!$P$22:$U$30,6,0)+AD277</f>
        <v>275</v>
      </c>
      <c r="AO277" s="3">
        <f>VLOOKUP(INT(VLOOKUP(U277,模板计算相关数据!A:N,2,0)/30)+1,模板计算相关数据!$O$35:$U$40,3,0)+AE277</f>
        <v>0</v>
      </c>
      <c r="AP277" s="3">
        <f>VLOOKUP(INT(VLOOKUP(U277,模板计算相关数据!A:N,2,0)/30)+1,模板计算相关数据!$O$35:$U$40,4,0)+AF277</f>
        <v>5000</v>
      </c>
      <c r="AQ277" s="3">
        <f>VLOOKUP(INT(VLOOKUP(U277,模板计算相关数据!A:N,2,0)/30)+1,模板计算相关数据!$O$35:$U$40,5,0)+AG277</f>
        <v>0</v>
      </c>
      <c r="AR277" s="3">
        <f>VLOOKUP(INT(VLOOKUP(U277,模板计算相关数据!A:N,2,0)/30)+1,模板计算相关数据!$O$35:$U$40,6,0)+AH277</f>
        <v>0</v>
      </c>
      <c r="AS277" s="3">
        <f>VLOOKUP(INT(VLOOKUP(U277,模板计算相关数据!A:N,2,0)/30)+1,模板计算相关数据!$O$35:$U$40,7,0)+AI277</f>
        <v>0</v>
      </c>
      <c r="AT277" s="3">
        <f>VLOOKUP(INT(VLOOKUP(U277,模板计算相关数据!A:N,2,0)/30)+1,模板计算相关数据!$O$35:$V$40,8,0)</f>
        <v>0</v>
      </c>
      <c r="AU277" s="2"/>
    </row>
    <row r="278" spans="1:47" x14ac:dyDescent="0.2">
      <c r="A278" s="17">
        <v>102020201</v>
      </c>
      <c r="B278" s="17"/>
      <c r="C278" s="69" t="s">
        <v>1746</v>
      </c>
      <c r="D278" s="87" t="s">
        <v>1550</v>
      </c>
      <c r="E278" s="2">
        <v>2</v>
      </c>
      <c r="F278" s="3">
        <v>2</v>
      </c>
      <c r="G278" s="3">
        <v>1001401</v>
      </c>
      <c r="H278" s="3">
        <v>4</v>
      </c>
      <c r="I278" s="3">
        <v>4</v>
      </c>
      <c r="J278" s="3">
        <v>1</v>
      </c>
      <c r="K278" s="3"/>
      <c r="L278" s="91" t="s">
        <v>1547</v>
      </c>
      <c r="M278" s="3"/>
      <c r="N278" s="2">
        <v>1</v>
      </c>
      <c r="O278" s="2"/>
      <c r="P278" s="3" t="s">
        <v>1615</v>
      </c>
      <c r="Q278" s="95">
        <f>R278</f>
        <v>4.4674509803921572</v>
      </c>
      <c r="R278" s="133">
        <f>IF(P278=模板计算相关数据!$AB$24,VLOOKUP(X278,模板计算相关数据!$P$47:$T$50,2,0),VLOOKUP(X278,模板计算相关数据!$P$4:$U$7,3,0))*VLOOKUP(Y278,模板计算相关数据!$P$22:$X$30,8,0)</f>
        <v>4.4674509803921572</v>
      </c>
      <c r="S278" s="62">
        <v>7</v>
      </c>
      <c r="T278" s="133">
        <f>IF(P278=模板计算相关数据!$AB$24,VLOOKUP(X278,模板计算相关数据!$P$47:$T$50,5,0),VLOOKUP(X278,模板计算相关数据!$P$4:$U$7,6,0))*VLOOKUP(Y278,模板计算相关数据!$P$22:$X$30,9,0)</f>
        <v>5.4739930589768004</v>
      </c>
      <c r="U278" s="95">
        <v>17</v>
      </c>
      <c r="V278" s="95">
        <f t="shared" si="22"/>
        <v>40</v>
      </c>
      <c r="W278" s="29">
        <f>VLOOKUP(U278,模板计算相关数据!A:N,2,0)</f>
        <v>37</v>
      </c>
      <c r="X278" s="3" t="s">
        <v>151</v>
      </c>
      <c r="Y278" s="3" t="s">
        <v>162</v>
      </c>
      <c r="Z278" s="99">
        <v>1</v>
      </c>
      <c r="AA278" s="95">
        <v>0.9</v>
      </c>
      <c r="AB278" s="95">
        <v>1</v>
      </c>
      <c r="AC278" s="95">
        <v>1</v>
      </c>
      <c r="AD278" s="95">
        <v>0</v>
      </c>
      <c r="AE278" s="95">
        <v>0</v>
      </c>
      <c r="AF278" s="95">
        <v>0</v>
      </c>
      <c r="AG278" s="95">
        <v>0</v>
      </c>
      <c r="AH278" s="95">
        <v>0</v>
      </c>
      <c r="AI278" s="95">
        <v>0</v>
      </c>
      <c r="AJ278" s="3">
        <f>INT(VLOOKUP(U278,模板计算相关数据!A:N,4,0)*VLOOKUP(U278,模板计算相关数据!A:N,14,0)*(1+MAX(0,(VLOOKUP(U278,模板计算相关数据!A:N,7,0)-AQ278))*VLOOKUP(U278,模板计算相关数据!A:N,8,0))*(1-(AL278+AM278)*0.5/((AL278+AM278)*0.5+(VLOOKUP(U278,模板计算相关数据!A:N,2,0)+模板计算相关数据!$AC$27)*模板计算相关数据!$AC$28))*Q278*Z278)</f>
        <v>3837</v>
      </c>
      <c r="AK278" s="3">
        <f>INT(VLOOKUP(U278,模板计算相关数据!A:N,3,0)/模板计算相关数据!$W$35/(1+MAX(0,(AO278/10000-VLOOKUP(U278,模板计算相关数据!A:N,9,0)))*AP278/10000)/(1-VLOOKUP(U278,模板计算相关数据!A:N,5,0)/(VLOOKUP(U278,模板计算相关数据!A:N,5,0)+(VLOOKUP(U278,模板计算相关数据!A:N,2,0)+模板计算相关数据!$AC$27)*模板计算相关数据!$AC$28))/S278*AA278)</f>
        <v>935</v>
      </c>
      <c r="AL278" s="3">
        <f>INT(VLOOKUP(U278,模板计算相关数据!A:N,5,0)*VLOOKUP(X278,模板计算相关数据!$P$4:$T$7,4,0)*VLOOKUP(Y278,模板计算相关数据!$P$22:$U$30,4,0)*AB278)</f>
        <v>1624</v>
      </c>
      <c r="AM278" s="3">
        <f>INT(VLOOKUP(U278,模板计算相关数据!A:N,6,0)*VLOOKUP(X278,模板计算相关数据!$P$4:$T$7,4,0)*VLOOKUP(Y278,模板计算相关数据!$P$22:$U$30,5,0)*AC278)</f>
        <v>2740</v>
      </c>
      <c r="AN278" s="3">
        <f>VLOOKUP(U278,模板计算相关数据!A:N,10,0)*0.5*VLOOKUP(Y278,模板计算相关数据!$P$22:$U$30,6,0)+AD278</f>
        <v>250</v>
      </c>
      <c r="AO278" s="3">
        <f>VLOOKUP(INT(VLOOKUP(U278,模板计算相关数据!A:N,2,0)/30)+1,模板计算相关数据!$O$35:$U$40,3,0)+AE278</f>
        <v>0</v>
      </c>
      <c r="AP278" s="3">
        <f>VLOOKUP(INT(VLOOKUP(U278,模板计算相关数据!A:N,2,0)/30)+1,模板计算相关数据!$O$35:$U$40,4,0)+AF278</f>
        <v>5000</v>
      </c>
      <c r="AQ278" s="3">
        <f>VLOOKUP(INT(VLOOKUP(U278,模板计算相关数据!A:N,2,0)/30)+1,模板计算相关数据!$O$35:$U$40,5,0)+AG278</f>
        <v>0</v>
      </c>
      <c r="AR278" s="3">
        <f>VLOOKUP(INT(VLOOKUP(U278,模板计算相关数据!A:N,2,0)/30)+1,模板计算相关数据!$O$35:$U$40,6,0)+AH278</f>
        <v>0</v>
      </c>
      <c r="AS278" s="3">
        <f>VLOOKUP(INT(VLOOKUP(U278,模板计算相关数据!A:N,2,0)/30)+1,模板计算相关数据!$O$35:$U$40,7,0)+AI278</f>
        <v>0</v>
      </c>
      <c r="AT278" s="3">
        <f>VLOOKUP(INT(VLOOKUP(U278,模板计算相关数据!A:N,2,0)/30)+1,模板计算相关数据!$O$35:$V$40,8,0)</f>
        <v>0</v>
      </c>
      <c r="AU278" s="2"/>
    </row>
    <row r="279" spans="1:47" x14ac:dyDescent="0.2">
      <c r="A279" s="17">
        <v>102020202</v>
      </c>
      <c r="B279" s="17"/>
      <c r="C279" s="69" t="s">
        <v>1821</v>
      </c>
      <c r="D279" s="87" t="s">
        <v>1550</v>
      </c>
      <c r="E279" s="2">
        <v>2</v>
      </c>
      <c r="F279" s="3">
        <v>1</v>
      </c>
      <c r="G279" s="3">
        <v>1003201</v>
      </c>
      <c r="H279" s="3">
        <v>5</v>
      </c>
      <c r="I279" s="3">
        <v>4</v>
      </c>
      <c r="J279" s="3">
        <v>1</v>
      </c>
      <c r="K279" s="3"/>
      <c r="L279" s="91" t="s">
        <v>1548</v>
      </c>
      <c r="M279" s="3"/>
      <c r="N279" s="2">
        <v>1</v>
      </c>
      <c r="O279" s="2"/>
      <c r="P279" s="3" t="s">
        <v>1615</v>
      </c>
      <c r="Q279" s="95">
        <f t="shared" si="24"/>
        <v>5.7709803921568623</v>
      </c>
      <c r="R279" s="133">
        <f>IF(P279=模板计算相关数据!$AB$24,VLOOKUP(X279,模板计算相关数据!$P$47:$T$50,2,0),VLOOKUP(X279,模板计算相关数据!$P$4:$U$7,3,0))*VLOOKUP(Y279,模板计算相关数据!$P$22:$X$30,8,0)</f>
        <v>5.7709803921568623</v>
      </c>
      <c r="S279" s="62">
        <v>7.41</v>
      </c>
      <c r="T279" s="133">
        <f>IF(P279=模板计算相关数据!$AB$24,VLOOKUP(X279,模板计算相关数据!$P$47:$T$50,5,0),VLOOKUP(X279,模板计算相关数据!$P$4:$U$7,6,0))*VLOOKUP(Y279,模板计算相关数据!$P$22:$X$30,9,0)</f>
        <v>6.4077918749198997</v>
      </c>
      <c r="U279" s="95">
        <v>17</v>
      </c>
      <c r="V279" s="95">
        <f t="shared" si="22"/>
        <v>40</v>
      </c>
      <c r="W279" s="29">
        <f>VLOOKUP(U279,模板计算相关数据!A:N,2,0)</f>
        <v>37</v>
      </c>
      <c r="X279" s="3" t="s">
        <v>151</v>
      </c>
      <c r="Y279" s="3" t="s">
        <v>159</v>
      </c>
      <c r="Z279" s="99">
        <v>1</v>
      </c>
      <c r="AA279" s="95">
        <v>0.9</v>
      </c>
      <c r="AB279" s="95">
        <v>1</v>
      </c>
      <c r="AC279" s="95">
        <v>1</v>
      </c>
      <c r="AD279" s="95">
        <v>0</v>
      </c>
      <c r="AE279" s="95">
        <v>0</v>
      </c>
      <c r="AF279" s="95">
        <v>0</v>
      </c>
      <c r="AG279" s="95">
        <v>0</v>
      </c>
      <c r="AH279" s="95">
        <v>0</v>
      </c>
      <c r="AI279" s="95">
        <v>0</v>
      </c>
      <c r="AJ279" s="3">
        <f>INT(VLOOKUP(U279,模板计算相关数据!A:N,4,0)*VLOOKUP(U279,模板计算相关数据!A:N,14,0)*(1+MAX(0,(VLOOKUP(U279,模板计算相关数据!A:N,7,0)-AQ279))*VLOOKUP(U279,模板计算相关数据!A:N,8,0))*(1-(AL279+AM279)*0.5/((AL279+AM279)*0.5+(VLOOKUP(U279,模板计算相关数据!A:N,2,0)+模板计算相关数据!$AC$27)*模板计算相关数据!$AC$28))*Q279*Z279)</f>
        <v>4759</v>
      </c>
      <c r="AK279" s="3">
        <f>INT(VLOOKUP(U279,模板计算相关数据!A:N,3,0)/模板计算相关数据!$W$35/(1+MAX(0,(AO279/10000-VLOOKUP(U279,模板计算相关数据!A:N,9,0)))*AP279/10000)/(1-VLOOKUP(U279,模板计算相关数据!A:N,5,0)/(VLOOKUP(U279,模板计算相关数据!A:N,5,0)+(VLOOKUP(U279,模板计算相关数据!A:N,2,0)+模板计算相关数据!$AC$27)*模板计算相关数据!$AC$28))/S279*AA279)</f>
        <v>883</v>
      </c>
      <c r="AL279" s="3">
        <f>INT(VLOOKUP(U279,模板计算相关数据!A:N,5,0)*VLOOKUP(X279,模板计算相关数据!$P$4:$T$7,4,0)*VLOOKUP(Y279,模板计算相关数据!$P$22:$U$30,4,0)*AB279)</f>
        <v>3146</v>
      </c>
      <c r="AM279" s="3">
        <f>INT(VLOOKUP(U279,模板计算相关数据!A:N,6,0)*VLOOKUP(X279,模板计算相关数据!$P$4:$T$7,4,0)*VLOOKUP(Y279,模板计算相关数据!$P$22:$U$30,5,0)*AC279)</f>
        <v>1725</v>
      </c>
      <c r="AN279" s="3">
        <f>VLOOKUP(U279,模板计算相关数据!A:N,10,0)*0.5*VLOOKUP(Y279,模板计算相关数据!$P$22:$U$30,6,0)+AD279</f>
        <v>275</v>
      </c>
      <c r="AO279" s="3">
        <f>VLOOKUP(INT(VLOOKUP(U279,模板计算相关数据!A:N,2,0)/30)+1,模板计算相关数据!$O$35:$U$40,3,0)+AE279</f>
        <v>0</v>
      </c>
      <c r="AP279" s="3">
        <f>VLOOKUP(INT(VLOOKUP(U279,模板计算相关数据!A:N,2,0)/30)+1,模板计算相关数据!$O$35:$U$40,4,0)+AF279</f>
        <v>5000</v>
      </c>
      <c r="AQ279" s="3">
        <f>VLOOKUP(INT(VLOOKUP(U279,模板计算相关数据!A:N,2,0)/30)+1,模板计算相关数据!$O$35:$U$40,5,0)+AG279</f>
        <v>0</v>
      </c>
      <c r="AR279" s="3">
        <f>VLOOKUP(INT(VLOOKUP(U279,模板计算相关数据!A:N,2,0)/30)+1,模板计算相关数据!$O$35:$U$40,6,0)+AH279</f>
        <v>0</v>
      </c>
      <c r="AS279" s="3">
        <f>VLOOKUP(INT(VLOOKUP(U279,模板计算相关数据!A:N,2,0)/30)+1,模板计算相关数据!$O$35:$U$40,7,0)+AI279</f>
        <v>0</v>
      </c>
      <c r="AT279" s="3">
        <f>VLOOKUP(INT(VLOOKUP(U279,模板计算相关数据!A:N,2,0)/30)+1,模板计算相关数据!$O$35:$V$40,8,0)</f>
        <v>0</v>
      </c>
      <c r="AU279" s="2"/>
    </row>
    <row r="280" spans="1:47" x14ac:dyDescent="0.2">
      <c r="A280" s="17">
        <v>102020203</v>
      </c>
      <c r="B280" s="17"/>
      <c r="C280" s="69" t="s">
        <v>1549</v>
      </c>
      <c r="D280" s="87" t="s">
        <v>1550</v>
      </c>
      <c r="E280" s="2">
        <v>1</v>
      </c>
      <c r="F280" s="3">
        <v>4</v>
      </c>
      <c r="G280" s="3">
        <v>1003401</v>
      </c>
      <c r="H280" s="3">
        <v>2</v>
      </c>
      <c r="I280" s="3">
        <v>4</v>
      </c>
      <c r="J280" s="3">
        <v>1</v>
      </c>
      <c r="K280" s="3"/>
      <c r="L280" s="91" t="s">
        <v>1551</v>
      </c>
      <c r="M280" s="3"/>
      <c r="N280" s="2">
        <v>1</v>
      </c>
      <c r="O280" s="2"/>
      <c r="P280" s="3" t="s">
        <v>1615</v>
      </c>
      <c r="Q280" s="95">
        <f t="shared" si="24"/>
        <v>6.9411764705882364</v>
      </c>
      <c r="R280" s="133">
        <f>IF(P280=模板计算相关数据!$AB$24,VLOOKUP(X280,模板计算相关数据!$P$47:$T$50,2,0),VLOOKUP(X280,模板计算相关数据!$P$4:$U$7,3,0))*VLOOKUP(Y280,模板计算相关数据!$P$22:$X$30,8,0)</f>
        <v>6.9411764705882364</v>
      </c>
      <c r="S280" s="62">
        <v>9.26</v>
      </c>
      <c r="T280" s="133">
        <f>IF(P280=模板计算相关数据!$AB$24,VLOOKUP(X280,模板计算相关数据!$P$47:$T$50,5,0),VLOOKUP(X280,模板计算相关数据!$P$4:$U$7,6,0))*VLOOKUP(Y280,模板计算相关数据!$P$22:$X$30,9,0)</f>
        <v>8.2943498888557112</v>
      </c>
      <c r="U280" s="95">
        <v>17</v>
      </c>
      <c r="V280" s="95">
        <f t="shared" si="22"/>
        <v>40</v>
      </c>
      <c r="W280" s="29">
        <f>VLOOKUP(U280,模板计算相关数据!A:N,2,0)</f>
        <v>37</v>
      </c>
      <c r="X280" s="3" t="s">
        <v>151</v>
      </c>
      <c r="Y280" s="3" t="s">
        <v>155</v>
      </c>
      <c r="Z280" s="99">
        <v>1</v>
      </c>
      <c r="AA280" s="95">
        <v>0.9</v>
      </c>
      <c r="AB280" s="95">
        <v>1</v>
      </c>
      <c r="AC280" s="95">
        <v>1</v>
      </c>
      <c r="AD280" s="95">
        <v>0</v>
      </c>
      <c r="AE280" s="95">
        <v>0</v>
      </c>
      <c r="AF280" s="95">
        <v>0</v>
      </c>
      <c r="AG280" s="95">
        <v>0</v>
      </c>
      <c r="AH280" s="95">
        <v>0</v>
      </c>
      <c r="AI280" s="95">
        <v>0</v>
      </c>
      <c r="AJ280" s="3">
        <f>INT(VLOOKUP(U280,模板计算相关数据!A:N,4,0)*VLOOKUP(U280,模板计算相关数据!A:N,14,0)*(1+MAX(0,(VLOOKUP(U280,模板计算相关数据!A:N,7,0)-AQ280))*VLOOKUP(U280,模板计算相关数据!A:N,8,0))*(1-(AL280+AM280)*0.5/((AL280+AM280)*0.5+(VLOOKUP(U280,模板计算相关数据!A:N,2,0)+模板计算相关数据!$AC$27)*模板计算相关数据!$AC$28))*Q280*Z280)</f>
        <v>5612</v>
      </c>
      <c r="AK280" s="3">
        <f>INT(VLOOKUP(U280,模板计算相关数据!A:N,3,0)/模板计算相关数据!$W$35/(1+MAX(0,(AO280/10000-VLOOKUP(U280,模板计算相关数据!A:N,9,0)))*AP280/10000)/(1-VLOOKUP(U280,模板计算相关数据!A:N,5,0)/(VLOOKUP(U280,模板计算相关数据!A:N,5,0)+(VLOOKUP(U280,模板计算相关数据!A:N,2,0)+模板计算相关数据!$AC$27)*模板计算相关数据!$AC$28))/S280*AA280)</f>
        <v>706</v>
      </c>
      <c r="AL280" s="3">
        <f>INT(VLOOKUP(U280,模板计算相关数据!A:N,5,0)*VLOOKUP(X280,模板计算相关数据!$P$4:$T$7,4,0)*VLOOKUP(Y280,模板计算相关数据!$P$22:$U$30,4,0)*AB280)</f>
        <v>3298</v>
      </c>
      <c r="AM280" s="3">
        <f>INT(VLOOKUP(U280,模板计算相关数据!A:N,6,0)*VLOOKUP(X280,模板计算相关数据!$P$4:$T$7,4,0)*VLOOKUP(Y280,模板计算相关数据!$P$22:$U$30,5,0)*AC280)</f>
        <v>1827</v>
      </c>
      <c r="AN280" s="3">
        <f>VLOOKUP(U280,模板计算相关数据!A:N,10,0)*0.5*VLOOKUP(Y280,模板计算相关数据!$P$22:$U$30,6,0)+AD280</f>
        <v>225</v>
      </c>
      <c r="AO280" s="3">
        <f>VLOOKUP(INT(VLOOKUP(U280,模板计算相关数据!A:N,2,0)/30)+1,模板计算相关数据!$O$35:$U$40,3,0)+AE280</f>
        <v>0</v>
      </c>
      <c r="AP280" s="3">
        <f>VLOOKUP(INT(VLOOKUP(U280,模板计算相关数据!A:N,2,0)/30)+1,模板计算相关数据!$O$35:$U$40,4,0)+AF280</f>
        <v>5000</v>
      </c>
      <c r="AQ280" s="3">
        <f>VLOOKUP(INT(VLOOKUP(U280,模板计算相关数据!A:N,2,0)/30)+1,模板计算相关数据!$O$35:$U$40,5,0)+AG280</f>
        <v>0</v>
      </c>
      <c r="AR280" s="3">
        <f>VLOOKUP(INT(VLOOKUP(U280,模板计算相关数据!A:N,2,0)/30)+1,模板计算相关数据!$O$35:$U$40,6,0)+AH280</f>
        <v>0</v>
      </c>
      <c r="AS280" s="3">
        <f>VLOOKUP(INT(VLOOKUP(U280,模板计算相关数据!A:N,2,0)/30)+1,模板计算相关数据!$O$35:$U$40,7,0)+AI280</f>
        <v>0</v>
      </c>
      <c r="AT280" s="3">
        <f>VLOOKUP(INT(VLOOKUP(U280,模板计算相关数据!A:N,2,0)/30)+1,模板计算相关数据!$O$35:$V$40,8,0)</f>
        <v>0</v>
      </c>
      <c r="AU280" s="2"/>
    </row>
    <row r="281" spans="1:47" x14ac:dyDescent="0.2">
      <c r="A281" s="19">
        <v>102030101</v>
      </c>
      <c r="B281" s="19"/>
      <c r="C281" s="69" t="s">
        <v>1824</v>
      </c>
      <c r="D281" s="87" t="s">
        <v>1707</v>
      </c>
      <c r="E281" s="2">
        <v>1</v>
      </c>
      <c r="F281" s="3">
        <v>3</v>
      </c>
      <c r="G281" s="3">
        <v>1004001</v>
      </c>
      <c r="H281" s="3">
        <v>4</v>
      </c>
      <c r="I281" s="3">
        <v>3</v>
      </c>
      <c r="J281" s="3">
        <v>5</v>
      </c>
      <c r="K281" s="3"/>
      <c r="L281" s="91" t="s">
        <v>1552</v>
      </c>
      <c r="M281" s="3"/>
      <c r="N281" s="2">
        <v>1</v>
      </c>
      <c r="O281" s="2"/>
      <c r="P281" s="3" t="s">
        <v>1615</v>
      </c>
      <c r="Q281" s="95">
        <f t="shared" si="24"/>
        <v>4.4674509803921572</v>
      </c>
      <c r="R281" s="133">
        <f>IF(P281=模板计算相关数据!$AB$24,VLOOKUP(X281,模板计算相关数据!$P$47:$T$50,2,0),VLOOKUP(X281,模板计算相关数据!$P$4:$U$7,3,0))*VLOOKUP(Y281,模板计算相关数据!$P$22:$X$30,8,0)</f>
        <v>4.4674509803921572</v>
      </c>
      <c r="S281" s="62">
        <f t="shared" ref="S281:S302" si="25">T281</f>
        <v>5.4739930589768004</v>
      </c>
      <c r="T281" s="133">
        <f>IF(P281=模板计算相关数据!$AB$24,VLOOKUP(X281,模板计算相关数据!$P$47:$T$50,5,0),VLOOKUP(X281,模板计算相关数据!$P$4:$U$7,6,0))*VLOOKUP(Y281,模板计算相关数据!$P$22:$X$30,9,0)</f>
        <v>5.4739930589768004</v>
      </c>
      <c r="U281" s="95">
        <v>18</v>
      </c>
      <c r="V281" s="95">
        <f t="shared" si="22"/>
        <v>42</v>
      </c>
      <c r="W281" s="29">
        <f>VLOOKUP(U281,模板计算相关数据!A:N,2,0)</f>
        <v>39</v>
      </c>
      <c r="X281" s="3" t="s">
        <v>151</v>
      </c>
      <c r="Y281" s="3" t="s">
        <v>162</v>
      </c>
      <c r="Z281" s="99">
        <v>1.1000000000000001</v>
      </c>
      <c r="AA281" s="95">
        <v>1</v>
      </c>
      <c r="AB281" s="95">
        <v>1</v>
      </c>
      <c r="AC281" s="95">
        <v>1</v>
      </c>
      <c r="AD281" s="95">
        <v>0</v>
      </c>
      <c r="AE281" s="95">
        <v>0</v>
      </c>
      <c r="AF281" s="95">
        <v>0</v>
      </c>
      <c r="AG281" s="95">
        <v>0</v>
      </c>
      <c r="AH281" s="95">
        <v>0</v>
      </c>
      <c r="AI281" s="95">
        <v>0</v>
      </c>
      <c r="AJ281" s="3">
        <f>INT(VLOOKUP(U281,模板计算相关数据!A:N,4,0)*VLOOKUP(U281,模板计算相关数据!A:N,14,0)*(1+MAX(0,(VLOOKUP(U281,模板计算相关数据!A:N,7,0)-AQ281))*VLOOKUP(U281,模板计算相关数据!A:N,8,0))*(1-(AL281+AM281)*0.5/((AL281+AM281)*0.5+(VLOOKUP(U281,模板计算相关数据!A:N,2,0)+模板计算相关数据!$AC$27)*模板计算相关数据!$AC$28))*Q281*Z281)</f>
        <v>4392</v>
      </c>
      <c r="AK281" s="3">
        <f>INT(VLOOKUP(U281,模板计算相关数据!A:N,3,0)/模板计算相关数据!$W$35/(1+MAX(0,(AO281/10000-VLOOKUP(U281,模板计算相关数据!A:N,9,0)))*AP281/10000)/(1-VLOOKUP(U281,模板计算相关数据!A:N,5,0)/(VLOOKUP(U281,模板计算相关数据!A:N,5,0)+(VLOOKUP(U281,模板计算相关数据!A:N,2,0)+模板计算相关数据!$AC$27)*模板计算相关数据!$AC$28))/S281*AA281)</f>
        <v>1367</v>
      </c>
      <c r="AL281" s="3">
        <f>INT(VLOOKUP(U281,模板计算相关数据!A:N,5,0)*VLOOKUP(X281,模板计算相关数据!$P$4:$T$7,4,0)*VLOOKUP(Y281,模板计算相关数据!$P$22:$U$30,4,0)*AB281)</f>
        <v>1681</v>
      </c>
      <c r="AM281" s="3">
        <f>INT(VLOOKUP(U281,模板计算相关数据!A:N,6,0)*VLOOKUP(X281,模板计算相关数据!$P$4:$T$7,4,0)*VLOOKUP(Y281,模板计算相关数据!$P$22:$U$30,5,0)*AC281)</f>
        <v>2837</v>
      </c>
      <c r="AN281" s="3">
        <f>VLOOKUP(U281,模板计算相关数据!A:N,10,0)*0.5*VLOOKUP(Y281,模板计算相关数据!$P$22:$U$30,6,0)+AD281</f>
        <v>250</v>
      </c>
      <c r="AO281" s="3">
        <f>VLOOKUP(INT(VLOOKUP(U281,模板计算相关数据!A:N,2,0)/30)+1,模板计算相关数据!$O$35:$U$40,3,0)+AE281</f>
        <v>0</v>
      </c>
      <c r="AP281" s="3">
        <f>VLOOKUP(INT(VLOOKUP(U281,模板计算相关数据!A:N,2,0)/30)+1,模板计算相关数据!$O$35:$U$40,4,0)+AF281</f>
        <v>5000</v>
      </c>
      <c r="AQ281" s="3">
        <f>VLOOKUP(INT(VLOOKUP(U281,模板计算相关数据!A:N,2,0)/30)+1,模板计算相关数据!$O$35:$U$40,5,0)+AG281</f>
        <v>0</v>
      </c>
      <c r="AR281" s="3">
        <f>VLOOKUP(INT(VLOOKUP(U281,模板计算相关数据!A:N,2,0)/30)+1,模板计算相关数据!$O$35:$U$40,6,0)+AH281</f>
        <v>0</v>
      </c>
      <c r="AS281" s="3">
        <f>VLOOKUP(INT(VLOOKUP(U281,模板计算相关数据!A:N,2,0)/30)+1,模板计算相关数据!$O$35:$U$40,7,0)+AI281</f>
        <v>0</v>
      </c>
      <c r="AT281" s="3">
        <f>VLOOKUP(INT(VLOOKUP(U281,模板计算相关数据!A:N,2,0)/30)+1,模板计算相关数据!$O$35:$V$40,8,0)</f>
        <v>0</v>
      </c>
      <c r="AU281" s="2"/>
    </row>
    <row r="282" spans="1:47" x14ac:dyDescent="0.2">
      <c r="A282" s="19">
        <v>102030102</v>
      </c>
      <c r="B282" s="19"/>
      <c r="C282" s="69" t="s">
        <v>1822</v>
      </c>
      <c r="D282" s="87" t="s">
        <v>1707</v>
      </c>
      <c r="E282" s="2">
        <v>1</v>
      </c>
      <c r="F282" s="3">
        <v>2</v>
      </c>
      <c r="G282" s="3">
        <v>1002601</v>
      </c>
      <c r="H282" s="3">
        <v>1</v>
      </c>
      <c r="I282" s="3">
        <v>3</v>
      </c>
      <c r="J282" s="3">
        <v>5</v>
      </c>
      <c r="K282" s="3"/>
      <c r="L282" s="91" t="s">
        <v>1766</v>
      </c>
      <c r="M282" s="3"/>
      <c r="N282" s="2">
        <v>1</v>
      </c>
      <c r="O282" s="2"/>
      <c r="P282" s="3" t="s">
        <v>1615</v>
      </c>
      <c r="Q282" s="95">
        <f t="shared" si="24"/>
        <v>4.417254901960785</v>
      </c>
      <c r="R282" s="133">
        <f>IF(P282=模板计算相关数据!$AB$24,VLOOKUP(X282,模板计算相关数据!$P$47:$T$50,2,0),VLOOKUP(X282,模板计算相关数据!$P$4:$U$7,3,0))*VLOOKUP(Y282,模板计算相关数据!$P$22:$X$30,8,0)</f>
        <v>4.417254901960785</v>
      </c>
      <c r="S282" s="62">
        <f t="shared" si="25"/>
        <v>5.4285280003474252</v>
      </c>
      <c r="T282" s="133">
        <f>IF(P282=模板计算相关数据!$AB$24,VLOOKUP(X282,模板计算相关数据!$P$47:$T$50,5,0),VLOOKUP(X282,模板计算相关数据!$P$4:$U$7,6,0))*VLOOKUP(Y282,模板计算相关数据!$P$22:$X$30,9,0)</f>
        <v>5.4285280003474252</v>
      </c>
      <c r="U282" s="95">
        <v>18</v>
      </c>
      <c r="V282" s="95">
        <f t="shared" si="22"/>
        <v>42</v>
      </c>
      <c r="W282" s="29">
        <f>VLOOKUP(U282,模板计算相关数据!A:N,2,0)</f>
        <v>39</v>
      </c>
      <c r="X282" s="3" t="s">
        <v>151</v>
      </c>
      <c r="Y282" s="3" t="s">
        <v>152</v>
      </c>
      <c r="Z282" s="99">
        <v>1.1000000000000001</v>
      </c>
      <c r="AA282" s="95">
        <v>1</v>
      </c>
      <c r="AB282" s="95">
        <v>1</v>
      </c>
      <c r="AC282" s="95">
        <v>1</v>
      </c>
      <c r="AD282" s="95">
        <v>0</v>
      </c>
      <c r="AE282" s="95">
        <v>0</v>
      </c>
      <c r="AF282" s="95">
        <v>0</v>
      </c>
      <c r="AG282" s="95">
        <v>0</v>
      </c>
      <c r="AH282" s="95">
        <v>0</v>
      </c>
      <c r="AI282" s="95">
        <v>0</v>
      </c>
      <c r="AJ282" s="3">
        <f>INT(VLOOKUP(U282,模板计算相关数据!A:N,4,0)*VLOOKUP(U282,模板计算相关数据!A:N,14,0)*(1+MAX(0,(VLOOKUP(U282,模板计算相关数据!A:N,7,0)-AQ282))*VLOOKUP(U282,模板计算相关数据!A:N,8,0))*(1-(AL282+AM282)*0.5/((AL282+AM282)*0.5+(VLOOKUP(U282,模板计算相关数据!A:N,2,0)+模板计算相关数据!$AC$27)*模板计算相关数据!$AC$28))*Q282*Z282)</f>
        <v>4343</v>
      </c>
      <c r="AK282" s="3">
        <f>INT(VLOOKUP(U282,模板计算相关数据!A:N,3,0)/模板计算相关数据!$W$35/(1+MAX(0,(AO282/10000-VLOOKUP(U282,模板计算相关数据!A:N,9,0)))*AP282/10000)/(1-VLOOKUP(U282,模板计算相关数据!A:N,5,0)/(VLOOKUP(U282,模板计算相关数据!A:N,5,0)+(VLOOKUP(U282,模板计算相关数据!A:N,2,0)+模板计算相关数据!$AC$27)*模板计算相关数据!$AC$28))/S282*AA282)</f>
        <v>1379</v>
      </c>
      <c r="AL282" s="3">
        <f>INT(VLOOKUP(U282,模板计算相关数据!A:N,5,0)*VLOOKUP(X282,模板计算相关数据!$P$4:$T$7,4,0)*VLOOKUP(Y282,模板计算相关数据!$P$22:$U$30,4,0)*AB282)</f>
        <v>2837</v>
      </c>
      <c r="AM282" s="3">
        <f>INT(VLOOKUP(U282,模板计算相关数据!A:N,6,0)*VLOOKUP(X282,模板计算相关数据!$P$4:$T$7,4,0)*VLOOKUP(Y282,模板计算相关数据!$P$22:$U$30,5,0)*AC282)</f>
        <v>1681</v>
      </c>
      <c r="AN282" s="3">
        <f>VLOOKUP(U282,模板计算相关数据!A:N,10,0)*0.5*VLOOKUP(Y282,模板计算相关数据!$P$22:$U$30,6,0)+AD282</f>
        <v>250</v>
      </c>
      <c r="AO282" s="3">
        <f>VLOOKUP(INT(VLOOKUP(U282,模板计算相关数据!A:N,2,0)/30)+1,模板计算相关数据!$O$35:$U$40,3,0)+AE282</f>
        <v>0</v>
      </c>
      <c r="AP282" s="3">
        <f>VLOOKUP(INT(VLOOKUP(U282,模板计算相关数据!A:N,2,0)/30)+1,模板计算相关数据!$O$35:$U$40,4,0)+AF282</f>
        <v>5000</v>
      </c>
      <c r="AQ282" s="3">
        <f>VLOOKUP(INT(VLOOKUP(U282,模板计算相关数据!A:N,2,0)/30)+1,模板计算相关数据!$O$35:$U$40,5,0)+AG282</f>
        <v>0</v>
      </c>
      <c r="AR282" s="3">
        <f>VLOOKUP(INT(VLOOKUP(U282,模板计算相关数据!A:N,2,0)/30)+1,模板计算相关数据!$O$35:$U$40,6,0)+AH282</f>
        <v>0</v>
      </c>
      <c r="AS282" s="3">
        <f>VLOOKUP(INT(VLOOKUP(U282,模板计算相关数据!A:N,2,0)/30)+1,模板计算相关数据!$O$35:$U$40,7,0)+AI282</f>
        <v>0</v>
      </c>
      <c r="AT282" s="3">
        <f>VLOOKUP(INT(VLOOKUP(U282,模板计算相关数据!A:N,2,0)/30)+1,模板计算相关数据!$O$35:$V$40,8,0)</f>
        <v>0</v>
      </c>
      <c r="AU282" s="2"/>
    </row>
    <row r="283" spans="1:47" x14ac:dyDescent="0.2">
      <c r="A283" s="17">
        <v>102030201</v>
      </c>
      <c r="B283" s="17"/>
      <c r="C283" s="69" t="s">
        <v>1824</v>
      </c>
      <c r="D283" s="87" t="s">
        <v>1708</v>
      </c>
      <c r="E283" s="2">
        <v>1</v>
      </c>
      <c r="F283" s="3">
        <v>3</v>
      </c>
      <c r="G283" s="3">
        <v>1004001</v>
      </c>
      <c r="H283" s="3">
        <v>4</v>
      </c>
      <c r="I283" s="3">
        <v>3</v>
      </c>
      <c r="J283" s="3">
        <v>5</v>
      </c>
      <c r="K283" s="3"/>
      <c r="L283" s="91" t="s">
        <v>1552</v>
      </c>
      <c r="M283" s="3"/>
      <c r="N283" s="2">
        <v>1</v>
      </c>
      <c r="O283" s="2"/>
      <c r="P283" s="3" t="s">
        <v>1615</v>
      </c>
      <c r="Q283" s="95">
        <f t="shared" si="24"/>
        <v>4.4674509803921572</v>
      </c>
      <c r="R283" s="133">
        <f>IF(P283=模板计算相关数据!$AB$24,VLOOKUP(X283,模板计算相关数据!$P$47:$T$50,2,0),VLOOKUP(X283,模板计算相关数据!$P$4:$U$7,3,0))*VLOOKUP(Y283,模板计算相关数据!$P$22:$X$30,8,0)</f>
        <v>4.4674509803921572</v>
      </c>
      <c r="S283" s="62">
        <f t="shared" si="25"/>
        <v>5.4739930589768004</v>
      </c>
      <c r="T283" s="133">
        <f>IF(P283=模板计算相关数据!$AB$24,VLOOKUP(X283,模板计算相关数据!$P$47:$T$50,5,0),VLOOKUP(X283,模板计算相关数据!$P$4:$U$7,6,0))*VLOOKUP(Y283,模板计算相关数据!$P$22:$X$30,9,0)</f>
        <v>5.4739930589768004</v>
      </c>
      <c r="U283" s="95">
        <v>18</v>
      </c>
      <c r="V283" s="95">
        <f t="shared" si="22"/>
        <v>42</v>
      </c>
      <c r="W283" s="29">
        <f>VLOOKUP(U283,模板计算相关数据!A:N,2,0)</f>
        <v>39</v>
      </c>
      <c r="X283" s="3" t="s">
        <v>151</v>
      </c>
      <c r="Y283" s="3" t="s">
        <v>162</v>
      </c>
      <c r="Z283" s="99">
        <v>1.1000000000000001</v>
      </c>
      <c r="AA283" s="95">
        <v>1</v>
      </c>
      <c r="AB283" s="95">
        <v>1</v>
      </c>
      <c r="AC283" s="95">
        <v>1</v>
      </c>
      <c r="AD283" s="95">
        <v>0</v>
      </c>
      <c r="AE283" s="95">
        <v>0</v>
      </c>
      <c r="AF283" s="95">
        <v>0</v>
      </c>
      <c r="AG283" s="95">
        <v>0</v>
      </c>
      <c r="AH283" s="95">
        <v>0</v>
      </c>
      <c r="AI283" s="95">
        <v>0</v>
      </c>
      <c r="AJ283" s="3">
        <f>INT(VLOOKUP(U283,模板计算相关数据!A:N,4,0)*VLOOKUP(U283,模板计算相关数据!A:N,14,0)*(1+MAX(0,(VLOOKUP(U283,模板计算相关数据!A:N,7,0)-AQ283))*VLOOKUP(U283,模板计算相关数据!A:N,8,0))*(1-(AL283+AM283)*0.5/((AL283+AM283)*0.5+(VLOOKUP(U283,模板计算相关数据!A:N,2,0)+模板计算相关数据!$AC$27)*模板计算相关数据!$AC$28))*Q283*Z283)</f>
        <v>4392</v>
      </c>
      <c r="AK283" s="3">
        <f>INT(VLOOKUP(U283,模板计算相关数据!A:N,3,0)/模板计算相关数据!$W$35/(1+MAX(0,(AO283/10000-VLOOKUP(U283,模板计算相关数据!A:N,9,0)))*AP283/10000)/(1-VLOOKUP(U283,模板计算相关数据!A:N,5,0)/(VLOOKUP(U283,模板计算相关数据!A:N,5,0)+(VLOOKUP(U283,模板计算相关数据!A:N,2,0)+模板计算相关数据!$AC$27)*模板计算相关数据!$AC$28))/S283*AA283)</f>
        <v>1367</v>
      </c>
      <c r="AL283" s="3">
        <f>INT(VLOOKUP(U283,模板计算相关数据!A:N,5,0)*VLOOKUP(X283,模板计算相关数据!$P$4:$T$7,4,0)*VLOOKUP(Y283,模板计算相关数据!$P$22:$U$30,4,0)*AB283)</f>
        <v>1681</v>
      </c>
      <c r="AM283" s="3">
        <f>INT(VLOOKUP(U283,模板计算相关数据!A:N,6,0)*VLOOKUP(X283,模板计算相关数据!$P$4:$T$7,4,0)*VLOOKUP(Y283,模板计算相关数据!$P$22:$U$30,5,0)*AC283)</f>
        <v>2837</v>
      </c>
      <c r="AN283" s="3">
        <f>VLOOKUP(U283,模板计算相关数据!A:N,10,0)*0.5*VLOOKUP(Y283,模板计算相关数据!$P$22:$U$30,6,0)+AD283</f>
        <v>250</v>
      </c>
      <c r="AO283" s="3">
        <f>VLOOKUP(INT(VLOOKUP(U283,模板计算相关数据!A:N,2,0)/30)+1,模板计算相关数据!$O$35:$U$40,3,0)+AE283</f>
        <v>0</v>
      </c>
      <c r="AP283" s="3">
        <f>VLOOKUP(INT(VLOOKUP(U283,模板计算相关数据!A:N,2,0)/30)+1,模板计算相关数据!$O$35:$U$40,4,0)+AF283</f>
        <v>5000</v>
      </c>
      <c r="AQ283" s="3">
        <f>VLOOKUP(INT(VLOOKUP(U283,模板计算相关数据!A:N,2,0)/30)+1,模板计算相关数据!$O$35:$U$40,5,0)+AG283</f>
        <v>0</v>
      </c>
      <c r="AR283" s="3">
        <f>VLOOKUP(INT(VLOOKUP(U283,模板计算相关数据!A:N,2,0)/30)+1,模板计算相关数据!$O$35:$U$40,6,0)+AH283</f>
        <v>0</v>
      </c>
      <c r="AS283" s="3">
        <f>VLOOKUP(INT(VLOOKUP(U283,模板计算相关数据!A:N,2,0)/30)+1,模板计算相关数据!$O$35:$U$40,7,0)+AI283</f>
        <v>0</v>
      </c>
      <c r="AT283" s="3">
        <f>VLOOKUP(INT(VLOOKUP(U283,模板计算相关数据!A:N,2,0)/30)+1,模板计算相关数据!$O$35:$V$40,8,0)</f>
        <v>0</v>
      </c>
      <c r="AU283" s="2"/>
    </row>
    <row r="284" spans="1:47" x14ac:dyDescent="0.2">
      <c r="A284" s="17">
        <v>102030202</v>
      </c>
      <c r="B284" s="17"/>
      <c r="C284" s="69" t="s">
        <v>1705</v>
      </c>
      <c r="D284" s="87" t="s">
        <v>1708</v>
      </c>
      <c r="E284" s="2">
        <v>1</v>
      </c>
      <c r="F284" s="3">
        <v>2</v>
      </c>
      <c r="G284" s="3">
        <v>1002601</v>
      </c>
      <c r="H284" s="3">
        <v>1</v>
      </c>
      <c r="I284" s="3">
        <v>3</v>
      </c>
      <c r="J284" s="3">
        <v>5</v>
      </c>
      <c r="K284" s="3"/>
      <c r="L284" s="91" t="s">
        <v>179</v>
      </c>
      <c r="M284" s="3"/>
      <c r="N284" s="2">
        <v>1</v>
      </c>
      <c r="O284" s="2"/>
      <c r="P284" s="3" t="s">
        <v>1615</v>
      </c>
      <c r="Q284" s="95">
        <f t="shared" si="24"/>
        <v>4.417254901960785</v>
      </c>
      <c r="R284" s="133">
        <f>IF(P284=模板计算相关数据!$AB$24,VLOOKUP(X284,模板计算相关数据!$P$47:$T$50,2,0),VLOOKUP(X284,模板计算相关数据!$P$4:$U$7,3,0))*VLOOKUP(Y284,模板计算相关数据!$P$22:$X$30,8,0)</f>
        <v>4.417254901960785</v>
      </c>
      <c r="S284" s="62">
        <f t="shared" si="25"/>
        <v>5.4285280003474252</v>
      </c>
      <c r="T284" s="133">
        <f>IF(P284=模板计算相关数据!$AB$24,VLOOKUP(X284,模板计算相关数据!$P$47:$T$50,5,0),VLOOKUP(X284,模板计算相关数据!$P$4:$U$7,6,0))*VLOOKUP(Y284,模板计算相关数据!$P$22:$X$30,9,0)</f>
        <v>5.4285280003474252</v>
      </c>
      <c r="U284" s="95">
        <v>18</v>
      </c>
      <c r="V284" s="95">
        <f t="shared" si="22"/>
        <v>42</v>
      </c>
      <c r="W284" s="29">
        <f>VLOOKUP(U284,模板计算相关数据!A:N,2,0)</f>
        <v>39</v>
      </c>
      <c r="X284" s="3" t="s">
        <v>151</v>
      </c>
      <c r="Y284" s="3" t="s">
        <v>152</v>
      </c>
      <c r="Z284" s="99">
        <v>1.1000000000000001</v>
      </c>
      <c r="AA284" s="95">
        <v>1</v>
      </c>
      <c r="AB284" s="95">
        <v>1</v>
      </c>
      <c r="AC284" s="95">
        <v>1</v>
      </c>
      <c r="AD284" s="95">
        <v>0</v>
      </c>
      <c r="AE284" s="95">
        <v>0</v>
      </c>
      <c r="AF284" s="95">
        <v>0</v>
      </c>
      <c r="AG284" s="95">
        <v>0</v>
      </c>
      <c r="AH284" s="95">
        <v>0</v>
      </c>
      <c r="AI284" s="95">
        <v>0</v>
      </c>
      <c r="AJ284" s="3">
        <f>INT(VLOOKUP(U284,模板计算相关数据!A:N,4,0)*VLOOKUP(U284,模板计算相关数据!A:N,14,0)*(1+MAX(0,(VLOOKUP(U284,模板计算相关数据!A:N,7,0)-AQ284))*VLOOKUP(U284,模板计算相关数据!A:N,8,0))*(1-(AL284+AM284)*0.5/((AL284+AM284)*0.5+(VLOOKUP(U284,模板计算相关数据!A:N,2,0)+模板计算相关数据!$AC$27)*模板计算相关数据!$AC$28))*Q284*Z284)</f>
        <v>4343</v>
      </c>
      <c r="AK284" s="3">
        <f>INT(VLOOKUP(U284,模板计算相关数据!A:N,3,0)/模板计算相关数据!$W$35/(1+MAX(0,(AO284/10000-VLOOKUP(U284,模板计算相关数据!A:N,9,0)))*AP284/10000)/(1-VLOOKUP(U284,模板计算相关数据!A:N,5,0)/(VLOOKUP(U284,模板计算相关数据!A:N,5,0)+(VLOOKUP(U284,模板计算相关数据!A:N,2,0)+模板计算相关数据!$AC$27)*模板计算相关数据!$AC$28))/S284*AA284)</f>
        <v>1379</v>
      </c>
      <c r="AL284" s="3">
        <f>INT(VLOOKUP(U284,模板计算相关数据!A:N,5,0)*VLOOKUP(X284,模板计算相关数据!$P$4:$T$7,4,0)*VLOOKUP(Y284,模板计算相关数据!$P$22:$U$30,4,0)*AB284)</f>
        <v>2837</v>
      </c>
      <c r="AM284" s="3">
        <f>INT(VLOOKUP(U284,模板计算相关数据!A:N,6,0)*VLOOKUP(X284,模板计算相关数据!$P$4:$T$7,4,0)*VLOOKUP(Y284,模板计算相关数据!$P$22:$U$30,5,0)*AC284)</f>
        <v>1681</v>
      </c>
      <c r="AN284" s="3">
        <f>VLOOKUP(U284,模板计算相关数据!A:N,10,0)*0.5*VLOOKUP(Y284,模板计算相关数据!$P$22:$U$30,6,0)+AD284</f>
        <v>250</v>
      </c>
      <c r="AO284" s="3">
        <f>VLOOKUP(INT(VLOOKUP(U284,模板计算相关数据!A:N,2,0)/30)+1,模板计算相关数据!$O$35:$U$40,3,0)+AE284</f>
        <v>0</v>
      </c>
      <c r="AP284" s="3">
        <f>VLOOKUP(INT(VLOOKUP(U284,模板计算相关数据!A:N,2,0)/30)+1,模板计算相关数据!$O$35:$U$40,4,0)+AF284</f>
        <v>5000</v>
      </c>
      <c r="AQ284" s="3">
        <f>VLOOKUP(INT(VLOOKUP(U284,模板计算相关数据!A:N,2,0)/30)+1,模板计算相关数据!$O$35:$U$40,5,0)+AG284</f>
        <v>0</v>
      </c>
      <c r="AR284" s="3">
        <f>VLOOKUP(INT(VLOOKUP(U284,模板计算相关数据!A:N,2,0)/30)+1,模板计算相关数据!$O$35:$U$40,6,0)+AH284</f>
        <v>0</v>
      </c>
      <c r="AS284" s="3">
        <f>VLOOKUP(INT(VLOOKUP(U284,模板计算相关数据!A:N,2,0)/30)+1,模板计算相关数据!$O$35:$U$40,7,0)+AI284</f>
        <v>0</v>
      </c>
      <c r="AT284" s="3">
        <f>VLOOKUP(INT(VLOOKUP(U284,模板计算相关数据!A:N,2,0)/30)+1,模板计算相关数据!$O$35:$V$40,8,0)</f>
        <v>0</v>
      </c>
      <c r="AU284" s="2"/>
    </row>
    <row r="285" spans="1:47" x14ac:dyDescent="0.2">
      <c r="A285" s="52">
        <v>102030203</v>
      </c>
      <c r="B285" s="52"/>
      <c r="C285" s="69" t="s">
        <v>1706</v>
      </c>
      <c r="D285" s="87" t="s">
        <v>1708</v>
      </c>
      <c r="E285" s="2">
        <v>1</v>
      </c>
      <c r="F285" s="3">
        <v>2</v>
      </c>
      <c r="G285" s="3">
        <v>1002501</v>
      </c>
      <c r="H285" s="3">
        <v>5</v>
      </c>
      <c r="I285" s="3">
        <v>3</v>
      </c>
      <c r="J285" s="3">
        <v>5</v>
      </c>
      <c r="K285" s="3">
        <v>2</v>
      </c>
      <c r="L285" s="91" t="s">
        <v>1767</v>
      </c>
      <c r="M285" s="3"/>
      <c r="N285" s="2">
        <v>1</v>
      </c>
      <c r="O285" s="2"/>
      <c r="P285" s="3" t="s">
        <v>1615</v>
      </c>
      <c r="Q285" s="95">
        <f t="shared" si="24"/>
        <v>9.2335686274509801</v>
      </c>
      <c r="R285" s="133">
        <f>IF(P285=模板计算相关数据!$AB$24,VLOOKUP(X285,模板计算相关数据!$P$47:$T$50,2,0),VLOOKUP(X285,模板计算相关数据!$P$4:$U$7,3,0))*VLOOKUP(Y285,模板计算相关数据!$P$22:$X$30,8,0)</f>
        <v>9.2335686274509801</v>
      </c>
      <c r="S285" s="62">
        <f t="shared" si="25"/>
        <v>4.4361636057137765</v>
      </c>
      <c r="T285" s="133">
        <f>IF(P285=模板计算相关数据!$AB$24,VLOOKUP(X285,模板计算相关数据!$P$47:$T$50,5,0),VLOOKUP(X285,模板计算相关数据!$P$4:$U$7,6,0))*VLOOKUP(Y285,模板计算相关数据!$P$22:$X$30,9,0)</f>
        <v>4.4361636057137765</v>
      </c>
      <c r="U285" s="95">
        <v>18</v>
      </c>
      <c r="V285" s="95">
        <f t="shared" si="22"/>
        <v>42</v>
      </c>
      <c r="W285" s="29">
        <f>VLOOKUP(U285,模板计算相关数据!A:N,2,0)</f>
        <v>39</v>
      </c>
      <c r="X285" s="3" t="s">
        <v>158</v>
      </c>
      <c r="Y285" s="3" t="s">
        <v>159</v>
      </c>
      <c r="Z285" s="99">
        <v>1.1000000000000001</v>
      </c>
      <c r="AA285" s="95">
        <v>1</v>
      </c>
      <c r="AB285" s="95">
        <v>1</v>
      </c>
      <c r="AC285" s="95">
        <v>1</v>
      </c>
      <c r="AD285" s="95">
        <v>0</v>
      </c>
      <c r="AE285" s="95">
        <v>0</v>
      </c>
      <c r="AF285" s="95">
        <v>0</v>
      </c>
      <c r="AG285" s="95">
        <v>0</v>
      </c>
      <c r="AH285" s="95">
        <v>0</v>
      </c>
      <c r="AI285" s="95">
        <v>0</v>
      </c>
      <c r="AJ285" s="3">
        <f>INT(VLOOKUP(U285,模板计算相关数据!A:N,4,0)*VLOOKUP(U285,模板计算相关数据!A:N,14,0)*(1+MAX(0,(VLOOKUP(U285,模板计算相关数据!A:N,7,0)-AQ285))*VLOOKUP(U285,模板计算相关数据!A:N,8,0))*(1-(AL285+AM285)*0.5/((AL285+AM285)*0.5+(VLOOKUP(U285,模板计算相关数据!A:N,2,0)+模板计算相关数据!$AC$27)*模板计算相关数据!$AC$28))*Q285*Z285)</f>
        <v>7964</v>
      </c>
      <c r="AK285" s="3">
        <f>INT(VLOOKUP(U285,模板计算相关数据!A:N,3,0)/模板计算相关数据!$W$35/(1+MAX(0,(AO285/10000-VLOOKUP(U285,模板计算相关数据!A:N,9,0)))*AP285/10000)/(1-VLOOKUP(U285,模板计算相关数据!A:N,5,0)/(VLOOKUP(U285,模板计算相关数据!A:N,5,0)+(VLOOKUP(U285,模板计算相关数据!A:N,2,0)+模板计算相关数据!$AC$27)*模板计算相关数据!$AC$28))/S285*AA285)</f>
        <v>1687</v>
      </c>
      <c r="AL285" s="3">
        <f>INT(VLOOKUP(U285,模板计算相关数据!A:N,5,0)*VLOOKUP(X285,模板计算相关数据!$P$4:$T$7,4,0)*VLOOKUP(Y285,模板计算相关数据!$P$22:$U$30,4,0)*AB285)</f>
        <v>4072</v>
      </c>
      <c r="AM285" s="3">
        <f>INT(VLOOKUP(U285,模板计算相关数据!A:N,6,0)*VLOOKUP(X285,模板计算相关数据!$P$4:$T$7,4,0)*VLOOKUP(Y285,模板计算相关数据!$P$22:$U$30,5,0)*AC285)</f>
        <v>2233</v>
      </c>
      <c r="AN285" s="3">
        <f>VLOOKUP(U285,模板计算相关数据!A:N,10,0)*0.5*VLOOKUP(Y285,模板计算相关数据!$P$22:$U$30,6,0)+AD285</f>
        <v>275</v>
      </c>
      <c r="AO285" s="3">
        <f>VLOOKUP(INT(VLOOKUP(U285,模板计算相关数据!A:N,2,0)/30)+1,模板计算相关数据!$O$35:$U$40,3,0)+AE285</f>
        <v>0</v>
      </c>
      <c r="AP285" s="3">
        <f>VLOOKUP(INT(VLOOKUP(U285,模板计算相关数据!A:N,2,0)/30)+1,模板计算相关数据!$O$35:$U$40,4,0)+AF285</f>
        <v>5000</v>
      </c>
      <c r="AQ285" s="3">
        <f>VLOOKUP(INT(VLOOKUP(U285,模板计算相关数据!A:N,2,0)/30)+1,模板计算相关数据!$O$35:$U$40,5,0)+AG285</f>
        <v>0</v>
      </c>
      <c r="AR285" s="3">
        <f>VLOOKUP(INT(VLOOKUP(U285,模板计算相关数据!A:N,2,0)/30)+1,模板计算相关数据!$O$35:$U$40,6,0)+AH285</f>
        <v>0</v>
      </c>
      <c r="AS285" s="3">
        <f>VLOOKUP(INT(VLOOKUP(U285,模板计算相关数据!A:N,2,0)/30)+1,模板计算相关数据!$O$35:$U$40,7,0)+AI285</f>
        <v>0</v>
      </c>
      <c r="AT285" s="3">
        <f>VLOOKUP(INT(VLOOKUP(U285,模板计算相关数据!A:N,2,0)/30)+1,模板计算相关数据!$O$35:$V$40,8,0)</f>
        <v>0</v>
      </c>
      <c r="AU285" s="2"/>
    </row>
    <row r="286" spans="1:47" x14ac:dyDescent="0.2">
      <c r="A286" s="53">
        <v>102030301</v>
      </c>
      <c r="B286" s="53"/>
      <c r="C286" s="69" t="s">
        <v>1553</v>
      </c>
      <c r="D286" s="33" t="s">
        <v>1753</v>
      </c>
      <c r="E286" s="2">
        <v>2</v>
      </c>
      <c r="F286" s="3">
        <v>3</v>
      </c>
      <c r="G286" s="3">
        <v>100201</v>
      </c>
      <c r="H286" s="3">
        <v>2</v>
      </c>
      <c r="I286" s="3">
        <v>1</v>
      </c>
      <c r="J286" s="3">
        <v>5</v>
      </c>
      <c r="K286" s="3">
        <v>2</v>
      </c>
      <c r="L286" s="91" t="s">
        <v>1555</v>
      </c>
      <c r="M286" s="3"/>
      <c r="N286" s="2">
        <v>1</v>
      </c>
      <c r="O286" s="2"/>
      <c r="P286" s="3" t="s">
        <v>1613</v>
      </c>
      <c r="Q286" s="95">
        <v>14</v>
      </c>
      <c r="R286" s="133">
        <f>IF(P286=模板计算相关数据!$AB$24,VLOOKUP(X286,模板计算相关数据!$P$47:$T$50,2,0),VLOOKUP(X286,模板计算相关数据!$P$4:$U$7,3,0))*VLOOKUP(Y286,模板计算相关数据!$P$22:$X$30,8,0)</f>
        <v>11.105882352941178</v>
      </c>
      <c r="S286" s="62">
        <f>T286</f>
        <v>6.2207624166417839</v>
      </c>
      <c r="T286" s="133">
        <f>IF(P286=模板计算相关数据!$AB$24,VLOOKUP(X286,模板计算相关数据!$P$47:$T$50,5,0),VLOOKUP(X286,模板计算相关数据!$P$4:$U$7,6,0))*VLOOKUP(Y286,模板计算相关数据!$P$22:$X$30,9,0)</f>
        <v>6.2207624166417839</v>
      </c>
      <c r="U286" s="95">
        <v>19</v>
      </c>
      <c r="V286" s="95">
        <f t="shared" si="22"/>
        <v>44</v>
      </c>
      <c r="W286" s="29">
        <f>VLOOKUP(U286,模板计算相关数据!A:N,2,0)</f>
        <v>41</v>
      </c>
      <c r="X286" s="3" t="s">
        <v>158</v>
      </c>
      <c r="Y286" s="3" t="s">
        <v>234</v>
      </c>
      <c r="Z286" s="99">
        <v>1</v>
      </c>
      <c r="AA286" s="95">
        <v>1</v>
      </c>
      <c r="AB286" s="95">
        <v>0.85</v>
      </c>
      <c r="AC286" s="95">
        <v>1.3</v>
      </c>
      <c r="AD286" s="95">
        <v>0</v>
      </c>
      <c r="AE286" s="95">
        <v>0</v>
      </c>
      <c r="AF286" s="95">
        <v>0</v>
      </c>
      <c r="AG286" s="95">
        <v>0</v>
      </c>
      <c r="AH286" s="95">
        <v>0</v>
      </c>
      <c r="AI286" s="95">
        <v>2000</v>
      </c>
      <c r="AJ286" s="3">
        <f>INT(VLOOKUP(U286,模板计算相关数据!A:N,4,0)*VLOOKUP(U286,模板计算相关数据!A:N,14,0)*(1+MAX(0,(VLOOKUP(U286,模板计算相关数据!A:N,7,0)-AQ286))*VLOOKUP(U286,模板计算相关数据!A:N,8,0))*(1-(AL286+AM286)*0.5/((AL286+AM286)*0.5+(VLOOKUP(U286,模板计算相关数据!A:N,2,0)+模板计算相关数据!$AC$27)*模板计算相关数据!$AC$28))*Q286*Z286)</f>
        <v>10788</v>
      </c>
      <c r="AK286" s="3">
        <f>INT(VLOOKUP(U286,模板计算相关数据!A:N,3,0)/模板计算相关数据!$W$35/(1+MAX(0,(AO286/10000-VLOOKUP(U286,模板计算相关数据!A:N,9,0)))*AP286/10000)/(1-VLOOKUP(U286,模板计算相关数据!A:N,5,0)/(VLOOKUP(U286,模板计算相关数据!A:N,5,0)+(VLOOKUP(U286,模板计算相关数据!A:N,2,0)+模板计算相关数据!$AC$27)*模板计算相关数据!$AC$28))/S286*AA286)</f>
        <v>1294</v>
      </c>
      <c r="AL286" s="3">
        <f>INT(VLOOKUP(U286,模板计算相关数据!A:N,5,0)*VLOOKUP(X286,模板计算相关数据!$P$4:$T$7,4,0)*VLOOKUP(Y286,模板计算相关数据!$P$22:$U$30,4,0)*AB286)</f>
        <v>2143</v>
      </c>
      <c r="AM286" s="3">
        <f>INT(VLOOKUP(U286,模板计算相关数据!A:N,6,0)*VLOOKUP(X286,模板计算相关数据!$P$4:$T$7,4,0)*VLOOKUP(Y286,模板计算相关数据!$P$22:$U$30,5,0)*AC286)</f>
        <v>5920</v>
      </c>
      <c r="AN286" s="3">
        <f>VLOOKUP(U286,模板计算相关数据!A:N,10,0)*0.5*VLOOKUP(Y286,模板计算相关数据!$P$22:$U$30,6,0)+AD286</f>
        <v>225</v>
      </c>
      <c r="AO286" s="3">
        <f>VLOOKUP(INT(VLOOKUP(U286,模板计算相关数据!A:N,2,0)/30)+1,模板计算相关数据!$O$35:$U$40,3,0)+AE286</f>
        <v>0</v>
      </c>
      <c r="AP286" s="3">
        <f>VLOOKUP(INT(VLOOKUP(U286,模板计算相关数据!A:N,2,0)/30)+1,模板计算相关数据!$O$35:$U$40,4,0)+AF286</f>
        <v>5000</v>
      </c>
      <c r="AQ286" s="3">
        <f>VLOOKUP(INT(VLOOKUP(U286,模板计算相关数据!A:N,2,0)/30)+1,模板计算相关数据!$O$35:$U$40,5,0)+AG286</f>
        <v>0</v>
      </c>
      <c r="AR286" s="3">
        <f>VLOOKUP(INT(VLOOKUP(U286,模板计算相关数据!A:N,2,0)/30)+1,模板计算相关数据!$O$35:$U$40,6,0)+AH286</f>
        <v>0</v>
      </c>
      <c r="AS286" s="3">
        <v>2000</v>
      </c>
      <c r="AT286" s="3">
        <f>VLOOKUP(INT(VLOOKUP(U286,模板计算相关数据!A:N,2,0)/30)+1,模板计算相关数据!$O$35:$V$40,8,0)</f>
        <v>0</v>
      </c>
      <c r="AU286" s="2"/>
    </row>
    <row r="287" spans="1:47" x14ac:dyDescent="0.2">
      <c r="A287" s="53">
        <v>102030302</v>
      </c>
      <c r="B287" s="53"/>
      <c r="C287" s="69" t="s">
        <v>1553</v>
      </c>
      <c r="D287" s="33" t="s">
        <v>1754</v>
      </c>
      <c r="E287" s="2">
        <v>2</v>
      </c>
      <c r="F287" s="3">
        <v>3</v>
      </c>
      <c r="G287" s="3">
        <v>100201</v>
      </c>
      <c r="H287" s="3">
        <v>2</v>
      </c>
      <c r="I287" s="3">
        <v>1</v>
      </c>
      <c r="J287" s="3">
        <v>5</v>
      </c>
      <c r="K287" s="3">
        <v>2</v>
      </c>
      <c r="L287" s="91" t="s">
        <v>1555</v>
      </c>
      <c r="M287" s="3"/>
      <c r="N287" s="2">
        <v>1</v>
      </c>
      <c r="O287" s="2"/>
      <c r="P287" s="3" t="s">
        <v>1613</v>
      </c>
      <c r="Q287" s="95">
        <f>R287</f>
        <v>11.105882352941178</v>
      </c>
      <c r="R287" s="133">
        <f>IF(P287=模板计算相关数据!$AB$24,VLOOKUP(X287,模板计算相关数据!$P$47:$T$50,2,0),VLOOKUP(X287,模板计算相关数据!$P$4:$U$7,3,0))*VLOOKUP(Y287,模板计算相关数据!$P$22:$X$30,8,0)</f>
        <v>11.105882352941178</v>
      </c>
      <c r="S287" s="62">
        <f>T287</f>
        <v>6.2207624166417839</v>
      </c>
      <c r="T287" s="133">
        <f>IF(P287=模板计算相关数据!$AB$24,VLOOKUP(X287,模板计算相关数据!$P$47:$T$50,5,0),VLOOKUP(X287,模板计算相关数据!$P$4:$U$7,6,0))*VLOOKUP(Y287,模板计算相关数据!$P$22:$X$30,9,0)</f>
        <v>6.2207624166417839</v>
      </c>
      <c r="U287" s="95">
        <v>19</v>
      </c>
      <c r="V287" s="95">
        <f t="shared" si="22"/>
        <v>44</v>
      </c>
      <c r="W287" s="29">
        <f>VLOOKUP(U287,模板计算相关数据!A:N,2,0)</f>
        <v>41</v>
      </c>
      <c r="X287" s="3" t="s">
        <v>158</v>
      </c>
      <c r="Y287" s="3" t="s">
        <v>234</v>
      </c>
      <c r="Z287" s="99">
        <v>1</v>
      </c>
      <c r="AA287" s="95">
        <v>1</v>
      </c>
      <c r="AB287" s="95">
        <v>0.85</v>
      </c>
      <c r="AC287" s="95">
        <v>1.5</v>
      </c>
      <c r="AD287" s="95">
        <v>0</v>
      </c>
      <c r="AE287" s="95">
        <v>0</v>
      </c>
      <c r="AF287" s="95">
        <v>0</v>
      </c>
      <c r="AG287" s="95">
        <v>0</v>
      </c>
      <c r="AH287" s="95">
        <v>0</v>
      </c>
      <c r="AI287" s="95">
        <v>2000</v>
      </c>
      <c r="AJ287" s="3">
        <f>INT(VLOOKUP(U287,模板计算相关数据!A:N,4,0)*VLOOKUP(U287,模板计算相关数据!A:N,14,0)*(1+MAX(0,(VLOOKUP(U287,模板计算相关数据!A:N,7,0)-AQ287))*VLOOKUP(U287,模板计算相关数据!A:N,8,0))*(1-(AL287+AM287)*0.5/((AL287+AM287)*0.5+(VLOOKUP(U287,模板计算相关数据!A:N,2,0)+模板计算相关数据!$AC$27)*模板计算相关数据!$AC$28))*Q287*Z287)</f>
        <v>8116</v>
      </c>
      <c r="AK287" s="3">
        <f>INT(VLOOKUP(U287,模板计算相关数据!A:N,3,0)/模板计算相关数据!$W$35/(1+MAX(0,(AO287/10000-VLOOKUP(U287,模板计算相关数据!A:N,9,0)))*AP287/10000)/(1-VLOOKUP(U287,模板计算相关数据!A:N,5,0)/(VLOOKUP(U287,模板计算相关数据!A:N,5,0)+(VLOOKUP(U287,模板计算相关数据!A:N,2,0)+模板计算相关数据!$AC$27)*模板计算相关数据!$AC$28))/S287*AA287)</f>
        <v>1294</v>
      </c>
      <c r="AL287" s="3">
        <f>INT(VLOOKUP(U287,模板计算相关数据!A:N,5,0)*VLOOKUP(X287,模板计算相关数据!$P$4:$T$7,4,0)*VLOOKUP(Y287,模板计算相关数据!$P$22:$U$30,4,0)*AB287)</f>
        <v>2143</v>
      </c>
      <c r="AM287" s="3">
        <f>INT(VLOOKUP(U287,模板计算相关数据!A:N,6,0)*VLOOKUP(X287,模板计算相关数据!$P$4:$T$7,4,0)*VLOOKUP(Y287,模板计算相关数据!$P$22:$U$30,5,0)*AC287)</f>
        <v>6830</v>
      </c>
      <c r="AN287" s="3">
        <f>VLOOKUP(U287,模板计算相关数据!A:N,10,0)*0.5*VLOOKUP(Y287,模板计算相关数据!$P$22:$U$30,6,0)+AD287</f>
        <v>225</v>
      </c>
      <c r="AO287" s="3">
        <f>VLOOKUP(INT(VLOOKUP(U287,模板计算相关数据!A:N,2,0)/30)+1,模板计算相关数据!$O$35:$U$40,3,0)+AE287</f>
        <v>0</v>
      </c>
      <c r="AP287" s="3">
        <f>VLOOKUP(INT(VLOOKUP(U287,模板计算相关数据!A:N,2,0)/30)+1,模板计算相关数据!$O$35:$U$40,4,0)+AF287</f>
        <v>5000</v>
      </c>
      <c r="AQ287" s="3">
        <f>VLOOKUP(INT(VLOOKUP(U287,模板计算相关数据!A:N,2,0)/30)+1,模板计算相关数据!$O$35:$U$40,5,0)+AG287</f>
        <v>0</v>
      </c>
      <c r="AR287" s="3">
        <f>VLOOKUP(INT(VLOOKUP(U287,模板计算相关数据!A:N,2,0)/30)+1,模板计算相关数据!$O$35:$U$40,6,0)+AH287</f>
        <v>0</v>
      </c>
      <c r="AS287" s="3">
        <v>2000</v>
      </c>
      <c r="AT287" s="3">
        <f>VLOOKUP(INT(VLOOKUP(U287,模板计算相关数据!A:N,2,0)/30)+1,模板计算相关数据!$O$35:$V$40,8,0)</f>
        <v>0</v>
      </c>
      <c r="AU287" s="2"/>
    </row>
    <row r="288" spans="1:47" x14ac:dyDescent="0.2">
      <c r="A288" s="53">
        <v>102030303</v>
      </c>
      <c r="B288" s="53"/>
      <c r="C288" s="69" t="s">
        <v>1554</v>
      </c>
      <c r="D288" s="33" t="s">
        <v>1754</v>
      </c>
      <c r="E288" s="2">
        <v>1</v>
      </c>
      <c r="F288" s="3">
        <v>4</v>
      </c>
      <c r="G288" s="3">
        <v>103401</v>
      </c>
      <c r="H288" s="3">
        <v>4</v>
      </c>
      <c r="I288" s="3">
        <v>1</v>
      </c>
      <c r="J288" s="3">
        <v>2</v>
      </c>
      <c r="K288" s="3">
        <v>2</v>
      </c>
      <c r="L288" s="91" t="s">
        <v>1556</v>
      </c>
      <c r="M288" s="3"/>
      <c r="N288" s="2">
        <v>1</v>
      </c>
      <c r="O288" s="2"/>
      <c r="P288" s="3" t="s">
        <v>1613</v>
      </c>
      <c r="Q288" s="95">
        <f>R288</f>
        <v>7.1479215686274511</v>
      </c>
      <c r="R288" s="133">
        <f>IF(P288=模板计算相关数据!$AB$24,VLOOKUP(X288,模板计算相关数据!$P$47:$T$50,2,0),VLOOKUP(X288,模板计算相关数据!$P$4:$U$7,3,0))*VLOOKUP(Y288,模板计算相关数据!$P$22:$X$30,8,0)</f>
        <v>7.1479215686274511</v>
      </c>
      <c r="S288" s="62">
        <f>T288</f>
        <v>4.1054947942326008</v>
      </c>
      <c r="T288" s="133">
        <f>IF(P288=模板计算相关数据!$AB$24,VLOOKUP(X288,模板计算相关数据!$P$47:$T$50,5,0),VLOOKUP(X288,模板计算相关数据!$P$4:$U$7,6,0))*VLOOKUP(Y288,模板计算相关数据!$P$22:$X$30,9,0)</f>
        <v>4.1054947942326008</v>
      </c>
      <c r="U288" s="95">
        <v>19</v>
      </c>
      <c r="V288" s="95">
        <f t="shared" si="22"/>
        <v>44</v>
      </c>
      <c r="W288" s="29">
        <f>VLOOKUP(U288,模板计算相关数据!A:N,2,0)</f>
        <v>41</v>
      </c>
      <c r="X288" s="3" t="s">
        <v>158</v>
      </c>
      <c r="Y288" s="3" t="s">
        <v>162</v>
      </c>
      <c r="Z288" s="99">
        <v>1</v>
      </c>
      <c r="AA288" s="95">
        <v>0.9</v>
      </c>
      <c r="AB288" s="95">
        <v>0.85</v>
      </c>
      <c r="AC288" s="95">
        <v>1.5</v>
      </c>
      <c r="AD288" s="95">
        <v>0</v>
      </c>
      <c r="AE288" s="95">
        <v>0</v>
      </c>
      <c r="AF288" s="95">
        <v>0</v>
      </c>
      <c r="AG288" s="95">
        <v>0</v>
      </c>
      <c r="AH288" s="95">
        <v>0</v>
      </c>
      <c r="AI288" s="95">
        <v>3000</v>
      </c>
      <c r="AJ288" s="3">
        <f>INT(VLOOKUP(U288,模板计算相关数据!A:N,4,0)*VLOOKUP(U288,模板计算相关数据!A:N,14,0)*(1+MAX(0,(VLOOKUP(U288,模板计算相关数据!A:N,7,0)-AQ288))*VLOOKUP(U288,模板计算相关数据!A:N,8,0))*(1-(AL288+AM288)*0.5/((AL288+AM288)*0.5+(VLOOKUP(U288,模板计算相关数据!A:N,2,0)+模板计算相关数据!$AC$27)*模板计算相关数据!$AC$28))*Q288*Z288)</f>
        <v>5672</v>
      </c>
      <c r="AK288" s="3">
        <f>INT(VLOOKUP(U288,模板计算相关数据!A:N,3,0)/模板计算相关数据!$W$35/(1+MAX(0,(AO288/10000-VLOOKUP(U288,模板计算相关数据!A:N,9,0)))*AP288/10000)/(1-VLOOKUP(U288,模板计算相关数据!A:N,5,0)/(VLOOKUP(U288,模板计算相关数据!A:N,5,0)+(VLOOKUP(U288,模板计算相关数据!A:N,2,0)+模板计算相关数据!$AC$27)*模板计算相关数据!$AC$28))/S288*AA288)</f>
        <v>1765</v>
      </c>
      <c r="AL288" s="3">
        <f>INT(VLOOKUP(U288,模板计算相关数据!A:N,5,0)*VLOOKUP(X288,模板计算相关数据!$P$4:$T$7,4,0)*VLOOKUP(Y288,模板计算相关数据!$P$22:$U$30,4,0)*AB288)</f>
        <v>1905</v>
      </c>
      <c r="AM288" s="3">
        <f>INT(VLOOKUP(U288,模板计算相关数据!A:N,6,0)*VLOOKUP(X288,模板计算相关数据!$P$4:$T$7,4,0)*VLOOKUP(Y288,模板计算相关数据!$P$22:$U$30,5,0)*AC288)</f>
        <v>5674</v>
      </c>
      <c r="AN288" s="3">
        <f>VLOOKUP(U288,模板计算相关数据!A:N,10,0)*0.5*VLOOKUP(Y288,模板计算相关数据!$P$22:$U$30,6,0)+AD288</f>
        <v>250</v>
      </c>
      <c r="AO288" s="3">
        <f>VLOOKUP(INT(VLOOKUP(U288,模板计算相关数据!A:N,2,0)/30)+1,模板计算相关数据!$O$35:$U$40,3,0)+AE288</f>
        <v>0</v>
      </c>
      <c r="AP288" s="3">
        <f>VLOOKUP(INT(VLOOKUP(U288,模板计算相关数据!A:N,2,0)/30)+1,模板计算相关数据!$O$35:$U$40,4,0)+AF288</f>
        <v>5000</v>
      </c>
      <c r="AQ288" s="3">
        <f>VLOOKUP(INT(VLOOKUP(U288,模板计算相关数据!A:N,2,0)/30)+1,模板计算相关数据!$O$35:$U$40,5,0)+AG288</f>
        <v>0</v>
      </c>
      <c r="AR288" s="3">
        <f>VLOOKUP(INT(VLOOKUP(U288,模板计算相关数据!A:N,2,0)/30)+1,模板计算相关数据!$O$35:$U$40,6,0)+AH288</f>
        <v>0</v>
      </c>
      <c r="AS288" s="3">
        <v>2000</v>
      </c>
      <c r="AT288" s="3">
        <f>VLOOKUP(INT(VLOOKUP(U288,模板计算相关数据!A:N,2,0)/30)+1,模板计算相关数据!$O$35:$V$40,8,0)</f>
        <v>0</v>
      </c>
      <c r="AU288" s="2"/>
    </row>
    <row r="289" spans="1:47" x14ac:dyDescent="0.2">
      <c r="A289" s="43">
        <v>102050101</v>
      </c>
      <c r="B289" s="43"/>
      <c r="C289" s="69" t="s">
        <v>1376</v>
      </c>
      <c r="D289" s="87" t="s">
        <v>1755</v>
      </c>
      <c r="E289" s="2">
        <v>1</v>
      </c>
      <c r="F289" s="3">
        <v>3</v>
      </c>
      <c r="G289" s="3">
        <v>1001301</v>
      </c>
      <c r="H289" s="3">
        <v>1</v>
      </c>
      <c r="I289" s="3">
        <v>4</v>
      </c>
      <c r="J289" s="3">
        <v>1</v>
      </c>
      <c r="K289" s="3"/>
      <c r="L289" s="91" t="s">
        <v>1558</v>
      </c>
      <c r="M289" s="3"/>
      <c r="N289" s="2">
        <v>1</v>
      </c>
      <c r="O289" s="2"/>
      <c r="P289" s="3" t="s">
        <v>1615</v>
      </c>
      <c r="Q289" s="95">
        <f t="shared" ref="Q289" si="26">R289</f>
        <v>4.417254901960785</v>
      </c>
      <c r="R289" s="133">
        <f>IF(P289=模板计算相关数据!$AB$24,VLOOKUP(X289,模板计算相关数据!$P$47:$T$50,2,0),VLOOKUP(X289,模板计算相关数据!$P$4:$U$7,3,0))*VLOOKUP(Y289,模板计算相关数据!$P$22:$X$30,8,0)</f>
        <v>4.417254901960785</v>
      </c>
      <c r="S289" s="62">
        <v>6.43</v>
      </c>
      <c r="T289" s="133">
        <f>IF(P289=模板计算相关数据!$AB$24,VLOOKUP(X289,模板计算相关数据!$P$47:$T$50,5,0),VLOOKUP(X289,模板计算相关数据!$P$4:$U$7,6,0))*VLOOKUP(Y289,模板计算相关数据!$P$22:$X$30,9,0)</f>
        <v>5.4285280003474252</v>
      </c>
      <c r="U289" s="95">
        <v>19</v>
      </c>
      <c r="V289" s="95">
        <f t="shared" si="22"/>
        <v>44</v>
      </c>
      <c r="W289" s="29">
        <f>VLOOKUP(U289,模板计算相关数据!A:N,2,0)</f>
        <v>41</v>
      </c>
      <c r="X289" s="3" t="s">
        <v>151</v>
      </c>
      <c r="Y289" s="3" t="s">
        <v>152</v>
      </c>
      <c r="Z289" s="99">
        <v>1</v>
      </c>
      <c r="AA289" s="95">
        <v>1</v>
      </c>
      <c r="AB289" s="95">
        <v>1</v>
      </c>
      <c r="AC289" s="95">
        <v>1</v>
      </c>
      <c r="AD289" s="95">
        <v>0</v>
      </c>
      <c r="AE289" s="95">
        <v>0</v>
      </c>
      <c r="AF289" s="95">
        <v>0</v>
      </c>
      <c r="AG289" s="95">
        <v>0</v>
      </c>
      <c r="AH289" s="95">
        <v>0</v>
      </c>
      <c r="AI289" s="95">
        <v>0</v>
      </c>
      <c r="AJ289" s="3">
        <f>INT(VLOOKUP(U289,模板计算相关数据!A:N,4,0)*VLOOKUP(U289,模板计算相关数据!A:N,14,0)*(1+MAX(0,(VLOOKUP(U289,模板计算相关数据!A:N,7,0)-AQ289))*VLOOKUP(U289,模板计算相关数据!A:N,8,0))*(1-(AL289+AM289)*0.5/((AL289+AM289)*0.5+(VLOOKUP(U289,模板计算相关数据!A:N,2,0)+模板计算相关数据!$AC$27)*模板计算相关数据!$AC$28))*Q289*Z289)</f>
        <v>4224</v>
      </c>
      <c r="AK289" s="3">
        <f>INT(VLOOKUP(U289,模板计算相关数据!A:N,3,0)/模板计算相关数据!$W$35/(1+MAX(0,(AO289/10000-VLOOKUP(U289,模板计算相关数据!A:N,9,0)))*AP289/10000)/(1-VLOOKUP(U289,模板计算相关数据!A:N,5,0)/(VLOOKUP(U289,模板计算相关数据!A:N,5,0)+(VLOOKUP(U289,模板计算相关数据!A:N,2,0)+模板计算相关数据!$AC$27)*模板计算相关数据!$AC$28))/S289*AA289)</f>
        <v>1252</v>
      </c>
      <c r="AL289" s="3">
        <f>INT(VLOOKUP(U289,模板计算相关数据!A:N,5,0)*VLOOKUP(X289,模板计算相关数据!$P$4:$T$7,4,0)*VLOOKUP(Y289,模板计算相关数据!$P$22:$U$30,4,0)*AB289)</f>
        <v>3026</v>
      </c>
      <c r="AM289" s="3">
        <f>INT(VLOOKUP(U289,模板计算相关数据!A:N,6,0)*VLOOKUP(X289,模板计算相关数据!$P$4:$T$7,4,0)*VLOOKUP(Y289,模板计算相关数据!$P$22:$U$30,5,0)*AC289)</f>
        <v>1793</v>
      </c>
      <c r="AN289" s="3">
        <f>VLOOKUP(U289,模板计算相关数据!A:N,10,0)*0.5*VLOOKUP(Y289,模板计算相关数据!$P$22:$U$30,6,0)+AD289</f>
        <v>250</v>
      </c>
      <c r="AO289" s="3">
        <f>VLOOKUP(INT(VLOOKUP(U289,模板计算相关数据!A:N,2,0)/30)+1,模板计算相关数据!$O$35:$U$40,3,0)+AE289</f>
        <v>0</v>
      </c>
      <c r="AP289" s="3">
        <f>VLOOKUP(INT(VLOOKUP(U289,模板计算相关数据!A:N,2,0)/30)+1,模板计算相关数据!$O$35:$U$40,4,0)+AF289</f>
        <v>5000</v>
      </c>
      <c r="AQ289" s="3">
        <f>VLOOKUP(INT(VLOOKUP(U289,模板计算相关数据!A:N,2,0)/30)+1,模板计算相关数据!$O$35:$U$40,5,0)+AG289</f>
        <v>0</v>
      </c>
      <c r="AR289" s="3">
        <f>VLOOKUP(INT(VLOOKUP(U289,模板计算相关数据!A:N,2,0)/30)+1,模板计算相关数据!$O$35:$U$40,6,0)+AH289</f>
        <v>0</v>
      </c>
      <c r="AS289" s="3">
        <f>VLOOKUP(INT(VLOOKUP(U289,模板计算相关数据!A:N,2,0)/30)+1,模板计算相关数据!$O$35:$U$40,7,0)+AI289</f>
        <v>0</v>
      </c>
      <c r="AT289" s="3">
        <f>VLOOKUP(INT(VLOOKUP(U289,模板计算相关数据!A:N,2,0)/30)+1,模板计算相关数据!$O$35:$V$40,8,0)</f>
        <v>0</v>
      </c>
      <c r="AU289" s="2"/>
    </row>
    <row r="290" spans="1:47" x14ac:dyDescent="0.2">
      <c r="A290" s="43">
        <v>102050102</v>
      </c>
      <c r="B290" s="43"/>
      <c r="C290" s="69" t="s">
        <v>1549</v>
      </c>
      <c r="D290" s="87" t="s">
        <v>1755</v>
      </c>
      <c r="E290" s="2">
        <v>1</v>
      </c>
      <c r="F290" s="3">
        <v>4</v>
      </c>
      <c r="G290" s="3">
        <v>1003401</v>
      </c>
      <c r="H290" s="3">
        <v>2</v>
      </c>
      <c r="I290" s="3">
        <v>4</v>
      </c>
      <c r="J290" s="3">
        <v>1</v>
      </c>
      <c r="K290" s="3"/>
      <c r="L290" s="91" t="s">
        <v>1551</v>
      </c>
      <c r="M290" s="3"/>
      <c r="N290" s="2">
        <v>1</v>
      </c>
      <c r="O290" s="2"/>
      <c r="P290" s="3" t="s">
        <v>1615</v>
      </c>
      <c r="Q290" s="95">
        <f t="shared" si="24"/>
        <v>6.9411764705882364</v>
      </c>
      <c r="R290" s="133">
        <f>IF(P290=模板计算相关数据!$AB$24,VLOOKUP(X290,模板计算相关数据!$P$47:$T$50,2,0),VLOOKUP(X290,模板计算相关数据!$P$4:$U$7,3,0))*VLOOKUP(Y290,模板计算相关数据!$P$22:$X$30,8,0)</f>
        <v>6.9411764705882364</v>
      </c>
      <c r="S290" s="62">
        <v>9.26</v>
      </c>
      <c r="T290" s="133">
        <f>IF(P290=模板计算相关数据!$AB$24,VLOOKUP(X290,模板计算相关数据!$P$47:$T$50,5,0),VLOOKUP(X290,模板计算相关数据!$P$4:$U$7,6,0))*VLOOKUP(Y290,模板计算相关数据!$P$22:$X$30,9,0)</f>
        <v>8.2943498888557112</v>
      </c>
      <c r="U290" s="95">
        <v>19</v>
      </c>
      <c r="V290" s="95">
        <f t="shared" si="22"/>
        <v>44</v>
      </c>
      <c r="W290" s="29">
        <f>VLOOKUP(U290,模板计算相关数据!A:N,2,0)</f>
        <v>41</v>
      </c>
      <c r="X290" s="3" t="s">
        <v>151</v>
      </c>
      <c r="Y290" s="3" t="s">
        <v>155</v>
      </c>
      <c r="Z290" s="99">
        <v>1</v>
      </c>
      <c r="AA290" s="95">
        <v>1</v>
      </c>
      <c r="AB290" s="95">
        <v>1</v>
      </c>
      <c r="AC290" s="95">
        <v>1</v>
      </c>
      <c r="AD290" s="95">
        <v>0</v>
      </c>
      <c r="AE290" s="95">
        <v>0</v>
      </c>
      <c r="AF290" s="95">
        <v>0</v>
      </c>
      <c r="AG290" s="95">
        <v>0</v>
      </c>
      <c r="AH290" s="95">
        <v>0</v>
      </c>
      <c r="AI290" s="95">
        <v>0</v>
      </c>
      <c r="AJ290" s="3">
        <f>INT(VLOOKUP(U290,模板计算相关数据!A:N,4,0)*VLOOKUP(U290,模板计算相关数据!A:N,14,0)*(1+MAX(0,(VLOOKUP(U290,模板计算相关数据!A:N,7,0)-AQ290))*VLOOKUP(U290,模板计算相关数据!A:N,8,0))*(1-(AL290+AM290)*0.5/((AL290+AM290)*0.5+(VLOOKUP(U290,模板计算相关数据!A:N,2,0)+模板计算相关数据!$AC$27)*模板计算相关数据!$AC$28))*Q290*Z290)</f>
        <v>6248</v>
      </c>
      <c r="AK290" s="3">
        <f>INT(VLOOKUP(U290,模板计算相关数据!A:N,3,0)/模板计算相关数据!$W$35/(1+MAX(0,(AO290/10000-VLOOKUP(U290,模板计算相关数据!A:N,9,0)))*AP290/10000)/(1-VLOOKUP(U290,模板计算相关数据!A:N,5,0)/(VLOOKUP(U290,模板计算相关数据!A:N,5,0)+(VLOOKUP(U290,模板计算相关数据!A:N,2,0)+模板计算相关数据!$AC$27)*模板计算相关数据!$AC$28))/S290*AA290)</f>
        <v>869</v>
      </c>
      <c r="AL290" s="3">
        <f>INT(VLOOKUP(U290,模板计算相关数据!A:N,5,0)*VLOOKUP(X290,模板计算相关数据!$P$4:$T$7,4,0)*VLOOKUP(Y290,模板计算相关数据!$P$22:$U$30,4,0)*AB290)</f>
        <v>3643</v>
      </c>
      <c r="AM290" s="3">
        <f>INT(VLOOKUP(U290,模板计算相关数据!A:N,6,0)*VLOOKUP(X290,模板计算相关数据!$P$4:$T$7,4,0)*VLOOKUP(Y290,模板计算相关数据!$P$22:$U$30,5,0)*AC290)</f>
        <v>2017</v>
      </c>
      <c r="AN290" s="3">
        <f>VLOOKUP(U290,模板计算相关数据!A:N,10,0)*0.5*VLOOKUP(Y290,模板计算相关数据!$P$22:$U$30,6,0)+AD290</f>
        <v>225</v>
      </c>
      <c r="AO290" s="3">
        <f>VLOOKUP(INT(VLOOKUP(U290,模板计算相关数据!A:N,2,0)/30)+1,模板计算相关数据!$O$35:$U$40,3,0)+AE290</f>
        <v>0</v>
      </c>
      <c r="AP290" s="3">
        <f>VLOOKUP(INT(VLOOKUP(U290,模板计算相关数据!A:N,2,0)/30)+1,模板计算相关数据!$O$35:$U$40,4,0)+AF290</f>
        <v>5000</v>
      </c>
      <c r="AQ290" s="3">
        <f>VLOOKUP(INT(VLOOKUP(U290,模板计算相关数据!A:N,2,0)/30)+1,模板计算相关数据!$O$35:$U$40,5,0)+AG290</f>
        <v>0</v>
      </c>
      <c r="AR290" s="3">
        <f>VLOOKUP(INT(VLOOKUP(U290,模板计算相关数据!A:N,2,0)/30)+1,模板计算相关数据!$O$35:$U$40,6,0)+AH290</f>
        <v>0</v>
      </c>
      <c r="AS290" s="3">
        <f>VLOOKUP(INT(VLOOKUP(U290,模板计算相关数据!A:N,2,0)/30)+1,模板计算相关数据!$O$35:$U$40,7,0)+AI290</f>
        <v>0</v>
      </c>
      <c r="AT290" s="3">
        <f>VLOOKUP(INT(VLOOKUP(U290,模板计算相关数据!A:N,2,0)/30)+1,模板计算相关数据!$O$35:$V$40,8,0)</f>
        <v>0</v>
      </c>
      <c r="AU290" s="2"/>
    </row>
    <row r="291" spans="1:47" x14ac:dyDescent="0.2">
      <c r="A291" s="43">
        <v>102050103</v>
      </c>
      <c r="B291" s="43"/>
      <c r="C291" s="69" t="s">
        <v>1557</v>
      </c>
      <c r="D291" s="87" t="s">
        <v>1755</v>
      </c>
      <c r="E291" s="2">
        <v>1</v>
      </c>
      <c r="F291" s="3">
        <v>2</v>
      </c>
      <c r="G291" s="3">
        <v>1001301</v>
      </c>
      <c r="H291" s="3">
        <v>1</v>
      </c>
      <c r="I291" s="3">
        <v>4</v>
      </c>
      <c r="J291" s="3">
        <v>1</v>
      </c>
      <c r="K291" s="3"/>
      <c r="L291" s="91" t="s">
        <v>1558</v>
      </c>
      <c r="M291" s="3"/>
      <c r="N291" s="2">
        <v>1</v>
      </c>
      <c r="O291" s="2"/>
      <c r="P291" s="3" t="s">
        <v>1615</v>
      </c>
      <c r="Q291" s="95">
        <f t="shared" si="24"/>
        <v>4.417254901960785</v>
      </c>
      <c r="R291" s="133">
        <f>IF(P291=模板计算相关数据!$AB$24,VLOOKUP(X291,模板计算相关数据!$P$47:$T$50,2,0),VLOOKUP(X291,模板计算相关数据!$P$4:$U$7,3,0))*VLOOKUP(Y291,模板计算相关数据!$P$22:$X$30,8,0)</f>
        <v>4.417254901960785</v>
      </c>
      <c r="S291" s="62">
        <v>6.43</v>
      </c>
      <c r="T291" s="133">
        <f>IF(P291=模板计算相关数据!$AB$24,VLOOKUP(X291,模板计算相关数据!$P$47:$T$50,5,0),VLOOKUP(X291,模板计算相关数据!$P$4:$U$7,6,0))*VLOOKUP(Y291,模板计算相关数据!$P$22:$X$30,9,0)</f>
        <v>5.4285280003474252</v>
      </c>
      <c r="U291" s="95">
        <v>19</v>
      </c>
      <c r="V291" s="95">
        <f t="shared" si="22"/>
        <v>44</v>
      </c>
      <c r="W291" s="29">
        <f>VLOOKUP(U291,模板计算相关数据!A:N,2,0)</f>
        <v>41</v>
      </c>
      <c r="X291" s="3" t="s">
        <v>151</v>
      </c>
      <c r="Y291" s="3" t="s">
        <v>152</v>
      </c>
      <c r="Z291" s="99">
        <v>1</v>
      </c>
      <c r="AA291" s="95">
        <v>1</v>
      </c>
      <c r="AB291" s="95">
        <v>1</v>
      </c>
      <c r="AC291" s="95">
        <v>1</v>
      </c>
      <c r="AD291" s="95">
        <v>0</v>
      </c>
      <c r="AE291" s="95">
        <v>0</v>
      </c>
      <c r="AF291" s="95">
        <v>0</v>
      </c>
      <c r="AG291" s="95">
        <v>0</v>
      </c>
      <c r="AH291" s="95">
        <v>0</v>
      </c>
      <c r="AI291" s="95">
        <v>0</v>
      </c>
      <c r="AJ291" s="3">
        <f>INT(VLOOKUP(U291,模板计算相关数据!A:N,4,0)*VLOOKUP(U291,模板计算相关数据!A:N,14,0)*(1+MAX(0,(VLOOKUP(U291,模板计算相关数据!A:N,7,0)-AQ291))*VLOOKUP(U291,模板计算相关数据!A:N,8,0))*(1-(AL291+AM291)*0.5/((AL291+AM291)*0.5+(VLOOKUP(U291,模板计算相关数据!A:N,2,0)+模板计算相关数据!$AC$27)*模板计算相关数据!$AC$28))*Q291*Z291)</f>
        <v>4224</v>
      </c>
      <c r="AK291" s="3">
        <f>INT(VLOOKUP(U291,模板计算相关数据!A:N,3,0)/模板计算相关数据!$W$35/(1+MAX(0,(AO291/10000-VLOOKUP(U291,模板计算相关数据!A:N,9,0)))*AP291/10000)/(1-VLOOKUP(U291,模板计算相关数据!A:N,5,0)/(VLOOKUP(U291,模板计算相关数据!A:N,5,0)+(VLOOKUP(U291,模板计算相关数据!A:N,2,0)+模板计算相关数据!$AC$27)*模板计算相关数据!$AC$28))/S291*AA291)</f>
        <v>1252</v>
      </c>
      <c r="AL291" s="3">
        <f>INT(VLOOKUP(U291,模板计算相关数据!A:N,5,0)*VLOOKUP(X291,模板计算相关数据!$P$4:$T$7,4,0)*VLOOKUP(Y291,模板计算相关数据!$P$22:$U$30,4,0)*AB291)</f>
        <v>3026</v>
      </c>
      <c r="AM291" s="3">
        <f>INT(VLOOKUP(U291,模板计算相关数据!A:N,6,0)*VLOOKUP(X291,模板计算相关数据!$P$4:$T$7,4,0)*VLOOKUP(Y291,模板计算相关数据!$P$22:$U$30,5,0)*AC291)</f>
        <v>1793</v>
      </c>
      <c r="AN291" s="3">
        <f>VLOOKUP(U291,模板计算相关数据!A:N,10,0)*0.5*VLOOKUP(Y291,模板计算相关数据!$P$22:$U$30,6,0)+AD291</f>
        <v>250</v>
      </c>
      <c r="AO291" s="3">
        <f>VLOOKUP(INT(VLOOKUP(U291,模板计算相关数据!A:N,2,0)/30)+1,模板计算相关数据!$O$35:$U$40,3,0)+AE291</f>
        <v>0</v>
      </c>
      <c r="AP291" s="3">
        <f>VLOOKUP(INT(VLOOKUP(U291,模板计算相关数据!A:N,2,0)/30)+1,模板计算相关数据!$O$35:$U$40,4,0)+AF291</f>
        <v>5000</v>
      </c>
      <c r="AQ291" s="3">
        <f>VLOOKUP(INT(VLOOKUP(U291,模板计算相关数据!A:N,2,0)/30)+1,模板计算相关数据!$O$35:$U$40,5,0)+AG291</f>
        <v>0</v>
      </c>
      <c r="AR291" s="3">
        <f>VLOOKUP(INT(VLOOKUP(U291,模板计算相关数据!A:N,2,0)/30)+1,模板计算相关数据!$O$35:$U$40,6,0)+AH291</f>
        <v>0</v>
      </c>
      <c r="AS291" s="3">
        <f>VLOOKUP(INT(VLOOKUP(U291,模板计算相关数据!A:N,2,0)/30)+1,模板计算相关数据!$O$35:$U$40,7,0)+AI291</f>
        <v>0</v>
      </c>
      <c r="AT291" s="3">
        <f>VLOOKUP(INT(VLOOKUP(U291,模板计算相关数据!A:N,2,0)/30)+1,模板计算相关数据!$O$35:$V$40,8,0)</f>
        <v>0</v>
      </c>
      <c r="AU291" s="2"/>
    </row>
    <row r="292" spans="1:47" x14ac:dyDescent="0.2">
      <c r="A292" s="45">
        <v>102050201</v>
      </c>
      <c r="B292" s="45"/>
      <c r="C292" s="69" t="s">
        <v>1376</v>
      </c>
      <c r="D292" s="87" t="s">
        <v>1756</v>
      </c>
      <c r="E292" s="2">
        <v>1</v>
      </c>
      <c r="F292" s="3">
        <v>3</v>
      </c>
      <c r="G292" s="3">
        <v>1001301</v>
      </c>
      <c r="H292" s="3">
        <v>1</v>
      </c>
      <c r="I292" s="3">
        <v>4</v>
      </c>
      <c r="J292" s="3">
        <v>1</v>
      </c>
      <c r="K292" s="3"/>
      <c r="L292" s="91" t="s">
        <v>1558</v>
      </c>
      <c r="M292" s="3"/>
      <c r="N292" s="2">
        <v>1</v>
      </c>
      <c r="O292" s="2"/>
      <c r="P292" s="3" t="s">
        <v>1615</v>
      </c>
      <c r="Q292" s="95">
        <f t="shared" ref="Q292" si="27">R292</f>
        <v>4.417254901960785</v>
      </c>
      <c r="R292" s="133">
        <f>IF(P292=模板计算相关数据!$AB$24,VLOOKUP(X292,模板计算相关数据!$P$47:$T$50,2,0),VLOOKUP(X292,模板计算相关数据!$P$4:$U$7,3,0))*VLOOKUP(Y292,模板计算相关数据!$P$22:$X$30,8,0)</f>
        <v>4.417254901960785</v>
      </c>
      <c r="S292" s="62">
        <v>6.43</v>
      </c>
      <c r="T292" s="133">
        <f>IF(P292=模板计算相关数据!$AB$24,VLOOKUP(X292,模板计算相关数据!$P$47:$T$50,5,0),VLOOKUP(X292,模板计算相关数据!$P$4:$U$7,6,0))*VLOOKUP(Y292,模板计算相关数据!$P$22:$X$30,9,0)</f>
        <v>5.4285280003474252</v>
      </c>
      <c r="U292" s="95">
        <v>19</v>
      </c>
      <c r="V292" s="95">
        <f t="shared" si="22"/>
        <v>44</v>
      </c>
      <c r="W292" s="29">
        <f>VLOOKUP(U292,模板计算相关数据!A:N,2,0)</f>
        <v>41</v>
      </c>
      <c r="X292" s="3" t="s">
        <v>151</v>
      </c>
      <c r="Y292" s="3" t="s">
        <v>152</v>
      </c>
      <c r="Z292" s="99">
        <v>1</v>
      </c>
      <c r="AA292" s="95">
        <v>1</v>
      </c>
      <c r="AB292" s="95">
        <v>1</v>
      </c>
      <c r="AC292" s="95">
        <v>1</v>
      </c>
      <c r="AD292" s="95">
        <v>0</v>
      </c>
      <c r="AE292" s="95">
        <v>0</v>
      </c>
      <c r="AF292" s="95">
        <v>0</v>
      </c>
      <c r="AG292" s="95">
        <v>0</v>
      </c>
      <c r="AH292" s="95">
        <v>0</v>
      </c>
      <c r="AI292" s="95">
        <v>0</v>
      </c>
      <c r="AJ292" s="3">
        <f>INT(VLOOKUP(U292,模板计算相关数据!A:N,4,0)*VLOOKUP(U292,模板计算相关数据!A:N,14,0)*(1+MAX(0,(VLOOKUP(U292,模板计算相关数据!A:N,7,0)-AQ292))*VLOOKUP(U292,模板计算相关数据!A:N,8,0))*(1-(AL292+AM292)*0.5/((AL292+AM292)*0.5+(VLOOKUP(U292,模板计算相关数据!A:N,2,0)+模板计算相关数据!$AC$27)*模板计算相关数据!$AC$28))*Q292*Z292)</f>
        <v>4224</v>
      </c>
      <c r="AK292" s="3">
        <f>INT(VLOOKUP(U292,模板计算相关数据!A:N,3,0)/模板计算相关数据!$W$35/(1+MAX(0,(AO292/10000-VLOOKUP(U292,模板计算相关数据!A:N,9,0)))*AP292/10000)/(1-VLOOKUP(U292,模板计算相关数据!A:N,5,0)/(VLOOKUP(U292,模板计算相关数据!A:N,5,0)+(VLOOKUP(U292,模板计算相关数据!A:N,2,0)+模板计算相关数据!$AC$27)*模板计算相关数据!$AC$28))/S292*AA292)</f>
        <v>1252</v>
      </c>
      <c r="AL292" s="3">
        <f>INT(VLOOKUP(U292,模板计算相关数据!A:N,5,0)*VLOOKUP(X292,模板计算相关数据!$P$4:$T$7,4,0)*VLOOKUP(Y292,模板计算相关数据!$P$22:$U$30,4,0)*AB292)</f>
        <v>3026</v>
      </c>
      <c r="AM292" s="3">
        <f>INT(VLOOKUP(U292,模板计算相关数据!A:N,6,0)*VLOOKUP(X292,模板计算相关数据!$P$4:$T$7,4,0)*VLOOKUP(Y292,模板计算相关数据!$P$22:$U$30,5,0)*AC292)</f>
        <v>1793</v>
      </c>
      <c r="AN292" s="3">
        <f>VLOOKUP(U292,模板计算相关数据!A:N,10,0)*0.5*VLOOKUP(Y292,模板计算相关数据!$P$22:$U$30,6,0)+AD292</f>
        <v>250</v>
      </c>
      <c r="AO292" s="3">
        <f>VLOOKUP(INT(VLOOKUP(U292,模板计算相关数据!A:N,2,0)/30)+1,模板计算相关数据!$O$35:$U$40,3,0)+AE292</f>
        <v>0</v>
      </c>
      <c r="AP292" s="3">
        <f>VLOOKUP(INT(VLOOKUP(U292,模板计算相关数据!A:N,2,0)/30)+1,模板计算相关数据!$O$35:$U$40,4,0)+AF292</f>
        <v>5000</v>
      </c>
      <c r="AQ292" s="3">
        <f>VLOOKUP(INT(VLOOKUP(U292,模板计算相关数据!A:N,2,0)/30)+1,模板计算相关数据!$O$35:$U$40,5,0)+AG292</f>
        <v>0</v>
      </c>
      <c r="AR292" s="3">
        <f>VLOOKUP(INT(VLOOKUP(U292,模板计算相关数据!A:N,2,0)/30)+1,模板计算相关数据!$O$35:$U$40,6,0)+AH292</f>
        <v>0</v>
      </c>
      <c r="AS292" s="3">
        <f>VLOOKUP(INT(VLOOKUP(U292,模板计算相关数据!A:N,2,0)/30)+1,模板计算相关数据!$O$35:$U$40,7,0)+AI292</f>
        <v>0</v>
      </c>
      <c r="AT292" s="3">
        <f>VLOOKUP(INT(VLOOKUP(U292,模板计算相关数据!A:N,2,0)/30)+1,模板计算相关数据!$O$35:$V$40,8,0)</f>
        <v>0</v>
      </c>
      <c r="AU292" s="2"/>
    </row>
    <row r="293" spans="1:47" x14ac:dyDescent="0.2">
      <c r="A293" s="45">
        <v>102050202</v>
      </c>
      <c r="B293" s="45"/>
      <c r="C293" s="69" t="s">
        <v>1821</v>
      </c>
      <c r="D293" s="87" t="s">
        <v>1756</v>
      </c>
      <c r="E293" s="2">
        <v>2</v>
      </c>
      <c r="F293" s="3">
        <v>1</v>
      </c>
      <c r="G293" s="3">
        <v>1003201</v>
      </c>
      <c r="H293" s="3">
        <v>5</v>
      </c>
      <c r="I293" s="3">
        <v>4</v>
      </c>
      <c r="J293" s="3">
        <v>1</v>
      </c>
      <c r="K293" s="3"/>
      <c r="L293" s="91" t="s">
        <v>1548</v>
      </c>
      <c r="M293" s="3"/>
      <c r="N293" s="2">
        <v>1</v>
      </c>
      <c r="O293" s="2"/>
      <c r="P293" s="3" t="s">
        <v>1615</v>
      </c>
      <c r="Q293" s="95">
        <f t="shared" si="24"/>
        <v>5.7709803921568623</v>
      </c>
      <c r="R293" s="133">
        <f>IF(P293=模板计算相关数据!$AB$24,VLOOKUP(X293,模板计算相关数据!$P$47:$T$50,2,0),VLOOKUP(X293,模板计算相关数据!$P$4:$U$7,3,0))*VLOOKUP(Y293,模板计算相关数据!$P$22:$X$30,8,0)</f>
        <v>5.7709803921568623</v>
      </c>
      <c r="S293" s="62">
        <v>7.41</v>
      </c>
      <c r="T293" s="133">
        <f>IF(P293=模板计算相关数据!$AB$24,VLOOKUP(X293,模板计算相关数据!$P$47:$T$50,5,0),VLOOKUP(X293,模板计算相关数据!$P$4:$U$7,6,0))*VLOOKUP(Y293,模板计算相关数据!$P$22:$X$30,9,0)</f>
        <v>6.4077918749198997</v>
      </c>
      <c r="U293" s="95">
        <v>19</v>
      </c>
      <c r="V293" s="95">
        <f t="shared" si="22"/>
        <v>44</v>
      </c>
      <c r="W293" s="29">
        <f>VLOOKUP(U293,模板计算相关数据!A:N,2,0)</f>
        <v>41</v>
      </c>
      <c r="X293" s="3" t="s">
        <v>151</v>
      </c>
      <c r="Y293" s="3" t="s">
        <v>159</v>
      </c>
      <c r="Z293" s="99">
        <v>1</v>
      </c>
      <c r="AA293" s="95">
        <v>1</v>
      </c>
      <c r="AB293" s="95">
        <v>1</v>
      </c>
      <c r="AC293" s="95">
        <v>1</v>
      </c>
      <c r="AD293" s="95">
        <v>0</v>
      </c>
      <c r="AE293" s="95">
        <v>0</v>
      </c>
      <c r="AF293" s="95">
        <v>0</v>
      </c>
      <c r="AG293" s="95">
        <v>0</v>
      </c>
      <c r="AH293" s="95">
        <v>0</v>
      </c>
      <c r="AI293" s="95">
        <v>0</v>
      </c>
      <c r="AJ293" s="3">
        <f>INT(VLOOKUP(U293,模板计算相关数据!A:N,4,0)*VLOOKUP(U293,模板计算相关数据!A:N,14,0)*(1+MAX(0,(VLOOKUP(U293,模板计算相关数据!A:N,7,0)-AQ293))*VLOOKUP(U293,模板计算相关数据!A:N,8,0))*(1-(AL293+AM293)*0.5/((AL293+AM293)*0.5+(VLOOKUP(U293,模板计算相关数据!A:N,2,0)+模板计算相关数据!$AC$27)*模板计算相关数据!$AC$28))*Q293*Z293)</f>
        <v>5298</v>
      </c>
      <c r="AK293" s="3">
        <f>INT(VLOOKUP(U293,模板计算相关数据!A:N,3,0)/模板计算相关数据!$W$35/(1+MAX(0,(AO293/10000-VLOOKUP(U293,模板计算相关数据!A:N,9,0)))*AP293/10000)/(1-VLOOKUP(U293,模板计算相关数据!A:N,5,0)/(VLOOKUP(U293,模板计算相关数据!A:N,5,0)+(VLOOKUP(U293,模板计算相关数据!A:N,2,0)+模板计算相关数据!$AC$27)*模板计算相关数据!$AC$28))/S293*AA293)</f>
        <v>1087</v>
      </c>
      <c r="AL293" s="3">
        <f>INT(VLOOKUP(U293,模板计算相关数据!A:N,5,0)*VLOOKUP(X293,模板计算相关数据!$P$4:$T$7,4,0)*VLOOKUP(Y293,模板计算相关数据!$P$22:$U$30,4,0)*AB293)</f>
        <v>3474</v>
      </c>
      <c r="AM293" s="3">
        <f>INT(VLOOKUP(U293,模板计算相关数据!A:N,6,0)*VLOOKUP(X293,模板计算相关数据!$P$4:$T$7,4,0)*VLOOKUP(Y293,模板计算相关数据!$P$22:$U$30,5,0)*AC293)</f>
        <v>1905</v>
      </c>
      <c r="AN293" s="3">
        <f>VLOOKUP(U293,模板计算相关数据!A:N,10,0)*0.5*VLOOKUP(Y293,模板计算相关数据!$P$22:$U$30,6,0)+AD293</f>
        <v>275</v>
      </c>
      <c r="AO293" s="3">
        <f>VLOOKUP(INT(VLOOKUP(U293,模板计算相关数据!A:N,2,0)/30)+1,模板计算相关数据!$O$35:$U$40,3,0)+AE293</f>
        <v>0</v>
      </c>
      <c r="AP293" s="3">
        <f>VLOOKUP(INT(VLOOKUP(U293,模板计算相关数据!A:N,2,0)/30)+1,模板计算相关数据!$O$35:$U$40,4,0)+AF293</f>
        <v>5000</v>
      </c>
      <c r="AQ293" s="3">
        <f>VLOOKUP(INT(VLOOKUP(U293,模板计算相关数据!A:N,2,0)/30)+1,模板计算相关数据!$O$35:$U$40,5,0)+AG293</f>
        <v>0</v>
      </c>
      <c r="AR293" s="3">
        <f>VLOOKUP(INT(VLOOKUP(U293,模板计算相关数据!A:N,2,0)/30)+1,模板计算相关数据!$O$35:$U$40,6,0)+AH293</f>
        <v>0</v>
      </c>
      <c r="AS293" s="3">
        <f>VLOOKUP(INT(VLOOKUP(U293,模板计算相关数据!A:N,2,0)/30)+1,模板计算相关数据!$O$35:$U$40,7,0)+AI293</f>
        <v>0</v>
      </c>
      <c r="AT293" s="3">
        <f>VLOOKUP(INT(VLOOKUP(U293,模板计算相关数据!A:N,2,0)/30)+1,模板计算相关数据!$O$35:$V$40,8,0)</f>
        <v>0</v>
      </c>
      <c r="AU293" s="2"/>
    </row>
    <row r="294" spans="1:47" x14ac:dyDescent="0.2">
      <c r="A294" s="43">
        <v>102050301</v>
      </c>
      <c r="B294" s="43"/>
      <c r="C294" s="69" t="s">
        <v>995</v>
      </c>
      <c r="D294" s="33" t="s">
        <v>1757</v>
      </c>
      <c r="E294" s="2">
        <v>1</v>
      </c>
      <c r="F294" s="3">
        <v>1</v>
      </c>
      <c r="G294" s="3">
        <v>1001801</v>
      </c>
      <c r="H294" s="3">
        <v>1</v>
      </c>
      <c r="I294" s="3">
        <v>4</v>
      </c>
      <c r="J294" s="3">
        <v>5</v>
      </c>
      <c r="K294" s="3"/>
      <c r="L294" s="91" t="s">
        <v>1545</v>
      </c>
      <c r="M294" s="3"/>
      <c r="N294" s="2">
        <v>1</v>
      </c>
      <c r="O294" s="2"/>
      <c r="P294" s="3" t="s">
        <v>1613</v>
      </c>
      <c r="Q294" s="95">
        <f t="shared" si="24"/>
        <v>3.5338039215686279</v>
      </c>
      <c r="R294" s="133">
        <f>IF(P294=模板计算相关数据!$AB$24,VLOOKUP(X294,模板计算相关数据!$P$47:$T$50,2,0),VLOOKUP(X294,模板计算相关数据!$P$4:$U$7,3,0))*VLOOKUP(Y294,模板计算相关数据!$P$22:$X$30,8,0)</f>
        <v>3.5338039215686279</v>
      </c>
      <c r="S294" s="62">
        <f t="shared" si="25"/>
        <v>7.080688696105339</v>
      </c>
      <c r="T294" s="133">
        <f>IF(P294=模板计算相关数据!$AB$24,VLOOKUP(X294,模板计算相关数据!$P$47:$T$50,5,0),VLOOKUP(X294,模板计算相关数据!$P$4:$U$7,6,0))*VLOOKUP(Y294,模板计算相关数据!$P$22:$X$30,9,0)</f>
        <v>7.080688696105339</v>
      </c>
      <c r="U294" s="95">
        <v>20</v>
      </c>
      <c r="V294" s="95">
        <f t="shared" si="22"/>
        <v>46</v>
      </c>
      <c r="W294" s="29">
        <f>VLOOKUP(U294,模板计算相关数据!A:N,2,0)</f>
        <v>43</v>
      </c>
      <c r="X294" s="3" t="s">
        <v>151</v>
      </c>
      <c r="Y294" s="3" t="s">
        <v>152</v>
      </c>
      <c r="Z294" s="99">
        <v>1</v>
      </c>
      <c r="AA294" s="95">
        <v>0.9</v>
      </c>
      <c r="AB294" s="95">
        <v>1</v>
      </c>
      <c r="AC294" s="95">
        <v>1</v>
      </c>
      <c r="AD294" s="95">
        <v>0</v>
      </c>
      <c r="AE294" s="95">
        <v>0</v>
      </c>
      <c r="AF294" s="95">
        <v>0</v>
      </c>
      <c r="AG294" s="95">
        <v>0</v>
      </c>
      <c r="AH294" s="95">
        <v>0</v>
      </c>
      <c r="AI294" s="95">
        <v>0</v>
      </c>
      <c r="AJ294" s="3">
        <f>INT(VLOOKUP(U294,模板计算相关数据!A:N,4,0)*VLOOKUP(U294,模板计算相关数据!A:N,14,0)*(1+MAX(0,(VLOOKUP(U294,模板计算相关数据!A:N,7,0)-AQ294))*VLOOKUP(U294,模板计算相关数据!A:N,8,0))*(1-(AL294+AM294)*0.5/((AL294+AM294)*0.5+(VLOOKUP(U294,模板计算相关数据!A:N,2,0)+模板计算相关数据!$AC$27)*模板计算相关数据!$AC$28))*Q294*Z294)</f>
        <v>3648</v>
      </c>
      <c r="AK294" s="3">
        <f>INT(VLOOKUP(U294,模板计算相关数据!A:N,3,0)/模板计算相关数据!$W$35/(1+MAX(0,(AO294/10000-VLOOKUP(U294,模板计算相关数据!A:N,9,0)))*AP294/10000)/(1-VLOOKUP(U294,模板计算相关数据!A:N,5,0)/(VLOOKUP(U294,模板计算相关数据!A:N,5,0)+(VLOOKUP(U294,模板计算相关数据!A:N,2,0)+模板计算相关数据!$AC$27)*模板计算相关数据!$AC$28))/S294*AA294)</f>
        <v>1156</v>
      </c>
      <c r="AL294" s="3">
        <f>INT(VLOOKUP(U294,模板计算相关数据!A:N,5,0)*VLOOKUP(X294,模板计算相关数据!$P$4:$T$7,4,0)*VLOOKUP(Y294,模板计算相关数据!$P$22:$U$30,4,0)*AB294)</f>
        <v>3375</v>
      </c>
      <c r="AM294" s="3">
        <f>INT(VLOOKUP(U294,模板计算相关数据!A:N,6,0)*VLOOKUP(X294,模板计算相关数据!$P$4:$T$7,4,0)*VLOOKUP(Y294,模板计算相关数据!$P$22:$U$30,5,0)*AC294)</f>
        <v>2000</v>
      </c>
      <c r="AN294" s="3">
        <f>VLOOKUP(U294,模板计算相关数据!A:N,10,0)*0.5*VLOOKUP(Y294,模板计算相关数据!$P$22:$U$30,6,0)+AD294</f>
        <v>250</v>
      </c>
      <c r="AO294" s="3">
        <f>VLOOKUP(INT(VLOOKUP(U294,模板计算相关数据!A:N,2,0)/30)+1,模板计算相关数据!$O$35:$U$40,3,0)+AE294</f>
        <v>0</v>
      </c>
      <c r="AP294" s="3">
        <f>VLOOKUP(INT(VLOOKUP(U294,模板计算相关数据!A:N,2,0)/30)+1,模板计算相关数据!$O$35:$U$40,4,0)+AF294</f>
        <v>5000</v>
      </c>
      <c r="AQ294" s="3">
        <f>VLOOKUP(INT(VLOOKUP(U294,模板计算相关数据!A:N,2,0)/30)+1,模板计算相关数据!$O$35:$U$40,5,0)+AG294</f>
        <v>0</v>
      </c>
      <c r="AR294" s="3">
        <f>VLOOKUP(INT(VLOOKUP(U294,模板计算相关数据!A:N,2,0)/30)+1,模板计算相关数据!$O$35:$U$40,6,0)+AH294</f>
        <v>0</v>
      </c>
      <c r="AS294" s="3">
        <f>VLOOKUP(INT(VLOOKUP(U294,模板计算相关数据!A:N,2,0)/30)+1,模板计算相关数据!$O$35:$U$40,7,0)+AI294</f>
        <v>0</v>
      </c>
      <c r="AT294" s="3">
        <f>VLOOKUP(INT(VLOOKUP(U294,模板计算相关数据!A:N,2,0)/30)+1,模板计算相关数据!$O$35:$V$40,8,0)</f>
        <v>0</v>
      </c>
      <c r="AU294" s="2"/>
    </row>
    <row r="295" spans="1:47" x14ac:dyDescent="0.2">
      <c r="A295" s="43">
        <v>102050302</v>
      </c>
      <c r="B295" s="43"/>
      <c r="C295" s="69" t="s">
        <v>994</v>
      </c>
      <c r="D295" s="33" t="s">
        <v>1757</v>
      </c>
      <c r="E295" s="2">
        <v>1</v>
      </c>
      <c r="F295" s="3">
        <v>2</v>
      </c>
      <c r="G295" s="3">
        <v>1001901</v>
      </c>
      <c r="H295" s="3">
        <v>3</v>
      </c>
      <c r="I295" s="3">
        <v>4</v>
      </c>
      <c r="J295" s="3">
        <v>5</v>
      </c>
      <c r="K295" s="3"/>
      <c r="L295" s="91" t="s">
        <v>1560</v>
      </c>
      <c r="M295" s="3"/>
      <c r="N295" s="2">
        <v>1</v>
      </c>
      <c r="O295" s="2"/>
      <c r="P295" s="3" t="s">
        <v>1613</v>
      </c>
      <c r="Q295" s="95">
        <f t="shared" si="24"/>
        <v>4.4800000000000013</v>
      </c>
      <c r="R295" s="133">
        <f>IF(P295=模板计算相关数据!$AB$24,VLOOKUP(X295,模板计算相关数据!$P$47:$T$50,2,0),VLOOKUP(X295,模板计算相关数据!$P$4:$U$7,3,0))*VLOOKUP(Y295,模板计算相关数据!$P$22:$X$30,8,0)</f>
        <v>4.4800000000000013</v>
      </c>
      <c r="S295" s="62">
        <f t="shared" si="25"/>
        <v>8.6991318266437023</v>
      </c>
      <c r="T295" s="133">
        <f>IF(P295=模板计算相关数据!$AB$24,VLOOKUP(X295,模板计算相关数据!$P$47:$T$50,5,0),VLOOKUP(X295,模板计算相关数据!$P$4:$U$7,6,0))*VLOOKUP(Y295,模板计算相关数据!$P$22:$X$30,9,0)</f>
        <v>8.6991318266437023</v>
      </c>
      <c r="U295" s="95">
        <v>20</v>
      </c>
      <c r="V295" s="95">
        <f t="shared" si="22"/>
        <v>46</v>
      </c>
      <c r="W295" s="29">
        <f>VLOOKUP(U295,模板计算相关数据!A:N,2,0)</f>
        <v>43</v>
      </c>
      <c r="X295" s="3" t="s">
        <v>151</v>
      </c>
      <c r="Y295" s="3" t="s">
        <v>255</v>
      </c>
      <c r="Z295" s="99">
        <v>1</v>
      </c>
      <c r="AA295" s="95">
        <v>1</v>
      </c>
      <c r="AB295" s="95">
        <v>1</v>
      </c>
      <c r="AC295" s="95">
        <v>1</v>
      </c>
      <c r="AD295" s="95">
        <v>0</v>
      </c>
      <c r="AE295" s="95">
        <v>0</v>
      </c>
      <c r="AF295" s="95">
        <v>0</v>
      </c>
      <c r="AG295" s="95">
        <v>0</v>
      </c>
      <c r="AH295" s="95">
        <v>0</v>
      </c>
      <c r="AI295" s="95">
        <v>0</v>
      </c>
      <c r="AJ295" s="3">
        <f>INT(VLOOKUP(U295,模板计算相关数据!A:N,4,0)*VLOOKUP(U295,模板计算相关数据!A:N,14,0)*(1+MAX(0,(VLOOKUP(U295,模板计算相关数据!A:N,7,0)-AQ295))*VLOOKUP(U295,模板计算相关数据!A:N,8,0))*(1-(AL295+AM295)*0.5/((AL295+AM295)*0.5+(VLOOKUP(U295,模板计算相关数据!A:N,2,0)+模板计算相关数据!$AC$27)*模板计算相关数据!$AC$28))*Q295*Z295)</f>
        <v>4359</v>
      </c>
      <c r="AK295" s="3">
        <f>INT(VLOOKUP(U295,模板计算相关数据!A:N,3,0)/模板计算相关数据!$W$35/(1+MAX(0,(AO295/10000-VLOOKUP(U295,模板计算相关数据!A:N,9,0)))*AP295/10000)/(1-VLOOKUP(U295,模板计算相关数据!A:N,5,0)/(VLOOKUP(U295,模板计算相关数据!A:N,5,0)+(VLOOKUP(U295,模板计算相关数据!A:N,2,0)+模板计算相关数据!$AC$27)*模板计算相关数据!$AC$28))/S295*AA295)</f>
        <v>1046</v>
      </c>
      <c r="AL295" s="3">
        <f>INT(VLOOKUP(U295,模板计算相关数据!A:N,5,0)*VLOOKUP(X295,模板计算相关数据!$P$4:$T$7,4,0)*VLOOKUP(Y295,模板计算相关数据!$P$22:$U$30,4,0)*AB295)</f>
        <v>2187</v>
      </c>
      <c r="AM295" s="3">
        <f>INT(VLOOKUP(U295,模板计算相关数据!A:N,6,0)*VLOOKUP(X295,模板计算相关数据!$P$4:$T$7,4,0)*VLOOKUP(Y295,模板计算相关数据!$P$22:$U$30,5,0)*AC295)</f>
        <v>4063</v>
      </c>
      <c r="AN295" s="3">
        <f>VLOOKUP(U295,模板计算相关数据!A:N,10,0)*0.5*VLOOKUP(Y295,模板计算相关数据!$P$22:$U$30,6,0)+AD295</f>
        <v>225</v>
      </c>
      <c r="AO295" s="3">
        <f>VLOOKUP(INT(VLOOKUP(U295,模板计算相关数据!A:N,2,0)/30)+1,模板计算相关数据!$O$35:$U$40,3,0)+AE295</f>
        <v>0</v>
      </c>
      <c r="AP295" s="3">
        <f>VLOOKUP(INT(VLOOKUP(U295,模板计算相关数据!A:N,2,0)/30)+1,模板计算相关数据!$O$35:$U$40,4,0)+AF295</f>
        <v>5000</v>
      </c>
      <c r="AQ295" s="3">
        <f>VLOOKUP(INT(VLOOKUP(U295,模板计算相关数据!A:N,2,0)/30)+1,模板计算相关数据!$O$35:$U$40,5,0)+AG295</f>
        <v>0</v>
      </c>
      <c r="AR295" s="3">
        <f>VLOOKUP(INT(VLOOKUP(U295,模板计算相关数据!A:N,2,0)/30)+1,模板计算相关数据!$O$35:$U$40,6,0)+AH295</f>
        <v>0</v>
      </c>
      <c r="AS295" s="3">
        <f>VLOOKUP(INT(VLOOKUP(U295,模板计算相关数据!A:N,2,0)/30)+1,模板计算相关数据!$O$35:$U$40,7,0)+AI295</f>
        <v>0</v>
      </c>
      <c r="AT295" s="3">
        <f>VLOOKUP(INT(VLOOKUP(U295,模板计算相关数据!A:N,2,0)/30)+1,模板计算相关数据!$O$35:$V$40,8,0)</f>
        <v>0</v>
      </c>
      <c r="AU295" s="2"/>
    </row>
    <row r="296" spans="1:47" x14ac:dyDescent="0.2">
      <c r="A296" s="43">
        <v>102050303</v>
      </c>
      <c r="B296" s="43"/>
      <c r="C296" s="69" t="s">
        <v>1559</v>
      </c>
      <c r="D296" s="33" t="s">
        <v>1757</v>
      </c>
      <c r="E296" s="2">
        <v>1</v>
      </c>
      <c r="F296" s="3">
        <v>1</v>
      </c>
      <c r="G296" s="3">
        <v>1002001</v>
      </c>
      <c r="H296" s="3">
        <v>5</v>
      </c>
      <c r="I296" s="3">
        <v>4</v>
      </c>
      <c r="J296" s="3">
        <v>5</v>
      </c>
      <c r="K296" s="3">
        <v>2</v>
      </c>
      <c r="L296" s="91" t="s">
        <v>1561</v>
      </c>
      <c r="M296" s="3"/>
      <c r="N296" s="2">
        <v>1</v>
      </c>
      <c r="O296" s="2"/>
      <c r="P296" s="3" t="s">
        <v>1613</v>
      </c>
      <c r="Q296" s="95">
        <v>8.23</v>
      </c>
      <c r="R296" s="133">
        <f>IF(P296=模板计算相关数据!$AB$24,VLOOKUP(X296,模板计算相关数据!$P$47:$T$50,2,0),VLOOKUP(X296,模板计算相关数据!$P$4:$U$7,3,0))*VLOOKUP(Y296,模板计算相关数据!$P$22:$X$30,8,0)</f>
        <v>9.2335686274509801</v>
      </c>
      <c r="S296" s="62">
        <v>5.5</v>
      </c>
      <c r="T296" s="133">
        <f>IF(P296=模板计算相关数据!$AB$24,VLOOKUP(X296,模板计算相关数据!$P$47:$T$50,5,0),VLOOKUP(X296,模板计算相关数据!$P$4:$U$7,6,0))*VLOOKUP(Y296,模板计算相关数据!$P$22:$X$30,9,0)</f>
        <v>4.8058439061899252</v>
      </c>
      <c r="U296" s="95">
        <v>20</v>
      </c>
      <c r="V296" s="95">
        <f t="shared" si="22"/>
        <v>46</v>
      </c>
      <c r="W296" s="29">
        <f>VLOOKUP(U296,模板计算相关数据!A:N,2,0)</f>
        <v>43</v>
      </c>
      <c r="X296" s="3" t="s">
        <v>158</v>
      </c>
      <c r="Y296" s="3" t="s">
        <v>159</v>
      </c>
      <c r="Z296" s="99">
        <v>1</v>
      </c>
      <c r="AA296" s="95">
        <v>1</v>
      </c>
      <c r="AB296" s="95">
        <v>1</v>
      </c>
      <c r="AC296" s="95">
        <v>1</v>
      </c>
      <c r="AD296" s="95">
        <v>0</v>
      </c>
      <c r="AE296" s="95">
        <v>0</v>
      </c>
      <c r="AF296" s="95">
        <v>0</v>
      </c>
      <c r="AG296" s="95">
        <v>0</v>
      </c>
      <c r="AH296" s="95">
        <v>0</v>
      </c>
      <c r="AI296" s="95">
        <v>0</v>
      </c>
      <c r="AJ296" s="3">
        <f>INT(VLOOKUP(U296,模板计算相关数据!A:N,4,0)*VLOOKUP(U296,模板计算相关数据!A:N,14,0)*(1+MAX(0,(VLOOKUP(U296,模板计算相关数据!A:N,7,0)-AQ296))*VLOOKUP(U296,模板计算相关数据!A:N,8,0))*(1-(AL296+AM296)*0.5/((AL296+AM296)*0.5+(VLOOKUP(U296,模板计算相关数据!A:N,2,0)+模板计算相关数据!$AC$27)*模板计算相关数据!$AC$28))*Q296*Z296)</f>
        <v>7403</v>
      </c>
      <c r="AK296" s="3">
        <f>INT(VLOOKUP(U296,模板计算相关数据!A:N,3,0)/模板计算相关数据!$W$35/(1+MAX(0,(AO296/10000-VLOOKUP(U296,模板计算相关数据!A:N,9,0)))*AP296/10000)/(1-VLOOKUP(U296,模板计算相关数据!A:N,5,0)/(VLOOKUP(U296,模板计算相关数据!A:N,5,0)+(VLOOKUP(U296,模板计算相关数据!A:N,2,0)+模板计算相关数据!$AC$27)*模板计算相关数据!$AC$28))/S296*AA296)</f>
        <v>1654</v>
      </c>
      <c r="AL296" s="3">
        <f>INT(VLOOKUP(U296,模板计算相关数据!A:N,5,0)*VLOOKUP(X296,模板计算相关数据!$P$4:$T$7,4,0)*VLOOKUP(Y296,模板计算相关数据!$P$22:$U$30,4,0)*AB296)</f>
        <v>4844</v>
      </c>
      <c r="AM296" s="3">
        <f>INT(VLOOKUP(U296,模板计算相关数据!A:N,6,0)*VLOOKUP(X296,模板计算相关数据!$P$4:$T$7,4,0)*VLOOKUP(Y296,模板计算相关数据!$P$22:$U$30,5,0)*AC296)</f>
        <v>2656</v>
      </c>
      <c r="AN296" s="3">
        <f>VLOOKUP(U296,模板计算相关数据!A:N,10,0)*0.5*VLOOKUP(Y296,模板计算相关数据!$P$22:$U$30,6,0)+AD296</f>
        <v>275</v>
      </c>
      <c r="AO296" s="3">
        <f>VLOOKUP(INT(VLOOKUP(U296,模板计算相关数据!A:N,2,0)/30)+1,模板计算相关数据!$O$35:$U$40,3,0)+AE296</f>
        <v>0</v>
      </c>
      <c r="AP296" s="3">
        <f>VLOOKUP(INT(VLOOKUP(U296,模板计算相关数据!A:N,2,0)/30)+1,模板计算相关数据!$O$35:$U$40,4,0)+AF296</f>
        <v>5000</v>
      </c>
      <c r="AQ296" s="3">
        <f>VLOOKUP(INT(VLOOKUP(U296,模板计算相关数据!A:N,2,0)/30)+1,模板计算相关数据!$O$35:$U$40,5,0)+AG296</f>
        <v>0</v>
      </c>
      <c r="AR296" s="3">
        <f>VLOOKUP(INT(VLOOKUP(U296,模板计算相关数据!A:N,2,0)/30)+1,模板计算相关数据!$O$35:$U$40,6,0)+AH296</f>
        <v>0</v>
      </c>
      <c r="AS296" s="3">
        <f>VLOOKUP(INT(VLOOKUP(U296,模板计算相关数据!A:N,2,0)/30)+1,模板计算相关数据!$O$35:$U$40,7,0)+AI296</f>
        <v>0</v>
      </c>
      <c r="AT296" s="3">
        <f>VLOOKUP(INT(VLOOKUP(U296,模板计算相关数据!A:N,2,0)/30)+1,模板计算相关数据!$O$35:$V$40,8,0)</f>
        <v>0</v>
      </c>
      <c r="AU296" s="2"/>
    </row>
    <row r="297" spans="1:47" x14ac:dyDescent="0.2">
      <c r="A297" s="45">
        <v>102060101</v>
      </c>
      <c r="B297" s="45"/>
      <c r="C297" s="69" t="s">
        <v>995</v>
      </c>
      <c r="D297" s="33" t="s">
        <v>1758</v>
      </c>
      <c r="E297" s="2">
        <v>1</v>
      </c>
      <c r="F297" s="3">
        <v>1</v>
      </c>
      <c r="G297" s="3">
        <v>1001801</v>
      </c>
      <c r="H297" s="3">
        <v>1</v>
      </c>
      <c r="I297" s="3">
        <v>4</v>
      </c>
      <c r="J297" s="3">
        <v>5</v>
      </c>
      <c r="K297" s="3"/>
      <c r="L297" s="91" t="s">
        <v>1545</v>
      </c>
      <c r="M297" s="3"/>
      <c r="N297" s="2">
        <v>1</v>
      </c>
      <c r="O297" s="2"/>
      <c r="P297" s="3" t="s">
        <v>1613</v>
      </c>
      <c r="Q297" s="95">
        <f t="shared" si="24"/>
        <v>3.5338039215686279</v>
      </c>
      <c r="R297" s="133">
        <f>IF(P297=模板计算相关数据!$AB$24,VLOOKUP(X297,模板计算相关数据!$P$47:$T$50,2,0),VLOOKUP(X297,模板计算相关数据!$P$4:$U$7,3,0))*VLOOKUP(Y297,模板计算相关数据!$P$22:$X$30,8,0)</f>
        <v>3.5338039215686279</v>
      </c>
      <c r="S297" s="62">
        <f t="shared" si="25"/>
        <v>7.080688696105339</v>
      </c>
      <c r="T297" s="133">
        <f>IF(P297=模板计算相关数据!$AB$24,VLOOKUP(X297,模板计算相关数据!$P$47:$T$50,5,0),VLOOKUP(X297,模板计算相关数据!$P$4:$U$7,6,0))*VLOOKUP(Y297,模板计算相关数据!$P$22:$X$30,9,0)</f>
        <v>7.080688696105339</v>
      </c>
      <c r="U297" s="95">
        <v>21</v>
      </c>
      <c r="V297" s="95">
        <f t="shared" si="22"/>
        <v>48</v>
      </c>
      <c r="W297" s="29">
        <f>VLOOKUP(U297,模板计算相关数据!A:N,2,0)</f>
        <v>45</v>
      </c>
      <c r="X297" s="3" t="s">
        <v>151</v>
      </c>
      <c r="Y297" s="3" t="s">
        <v>152</v>
      </c>
      <c r="Z297" s="99">
        <v>1</v>
      </c>
      <c r="AA297" s="95">
        <v>0.9</v>
      </c>
      <c r="AB297" s="95">
        <v>1</v>
      </c>
      <c r="AC297" s="95">
        <v>1</v>
      </c>
      <c r="AD297" s="95">
        <v>0</v>
      </c>
      <c r="AE297" s="95">
        <v>0</v>
      </c>
      <c r="AF297" s="95">
        <v>0</v>
      </c>
      <c r="AG297" s="95">
        <v>0</v>
      </c>
      <c r="AH297" s="95">
        <v>0</v>
      </c>
      <c r="AI297" s="95">
        <v>0</v>
      </c>
      <c r="AJ297" s="3">
        <f>INT(VLOOKUP(U297,模板计算相关数据!A:N,4,0)*VLOOKUP(U297,模板计算相关数据!A:N,14,0)*(1+MAX(0,(VLOOKUP(U297,模板计算相关数据!A:N,7,0)-AQ297))*VLOOKUP(U297,模板计算相关数据!A:N,8,0))*(1-(AL297+AM297)*0.5/((AL297+AM297)*0.5+(VLOOKUP(U297,模板计算相关数据!A:N,2,0)+模板计算相关数据!$AC$27)*模板计算相关数据!$AC$28))*Q297*Z297)</f>
        <v>3810</v>
      </c>
      <c r="AK297" s="3">
        <f>INT(VLOOKUP(U297,模板计算相关数据!A:N,3,0)/模板计算相关数据!$W$35/(1+MAX(0,(AO297/10000-VLOOKUP(U297,模板计算相关数据!A:N,9,0)))*AP297/10000)/(1-VLOOKUP(U297,模板计算相关数据!A:N,5,0)/(VLOOKUP(U297,模板计算相关数据!A:N,5,0)+(VLOOKUP(U297,模板计算相关数据!A:N,2,0)+模板计算相关数据!$AC$27)*模板计算相关数据!$AC$28))/S297*AA297)</f>
        <v>1208</v>
      </c>
      <c r="AL297" s="3">
        <f>INT(VLOOKUP(U297,模板计算相关数据!A:N,5,0)*VLOOKUP(X297,模板计算相关数据!$P$4:$T$7,4,0)*VLOOKUP(Y297,模板计算相关数据!$P$22:$U$30,4,0)*AB297)</f>
        <v>3525</v>
      </c>
      <c r="AM297" s="3">
        <f>INT(VLOOKUP(U297,模板计算相关数据!A:N,6,0)*VLOOKUP(X297,模板计算相关数据!$P$4:$T$7,4,0)*VLOOKUP(Y297,模板计算相关数据!$P$22:$U$30,5,0)*AC297)</f>
        <v>2088</v>
      </c>
      <c r="AN297" s="3">
        <f>VLOOKUP(U297,模板计算相关数据!A:N,10,0)*0.5*VLOOKUP(Y297,模板计算相关数据!$P$22:$U$30,6,0)+AD297</f>
        <v>250</v>
      </c>
      <c r="AO297" s="3">
        <f>VLOOKUP(INT(VLOOKUP(U297,模板计算相关数据!A:N,2,0)/30)+1,模板计算相关数据!$O$35:$U$40,3,0)+AE297</f>
        <v>0</v>
      </c>
      <c r="AP297" s="3">
        <f>VLOOKUP(INT(VLOOKUP(U297,模板计算相关数据!A:N,2,0)/30)+1,模板计算相关数据!$O$35:$U$40,4,0)+AF297</f>
        <v>5000</v>
      </c>
      <c r="AQ297" s="3">
        <f>VLOOKUP(INT(VLOOKUP(U297,模板计算相关数据!A:N,2,0)/30)+1,模板计算相关数据!$O$35:$U$40,5,0)+AG297</f>
        <v>0</v>
      </c>
      <c r="AR297" s="3">
        <f>VLOOKUP(INT(VLOOKUP(U297,模板计算相关数据!A:N,2,0)/30)+1,模板计算相关数据!$O$35:$U$40,6,0)+AH297</f>
        <v>0</v>
      </c>
      <c r="AS297" s="3">
        <f>VLOOKUP(INT(VLOOKUP(U297,模板计算相关数据!A:N,2,0)/30)+1,模板计算相关数据!$O$35:$U$40,7,0)+AI297</f>
        <v>0</v>
      </c>
      <c r="AT297" s="3">
        <f>VLOOKUP(INT(VLOOKUP(U297,模板计算相关数据!A:N,2,0)/30)+1,模板计算相关数据!$O$35:$V$40,8,0)</f>
        <v>0</v>
      </c>
      <c r="AU297" s="2"/>
    </row>
    <row r="298" spans="1:47" x14ac:dyDescent="0.2">
      <c r="A298" s="45">
        <v>102060102</v>
      </c>
      <c r="B298" s="45"/>
      <c r="C298" s="69" t="s">
        <v>994</v>
      </c>
      <c r="D298" s="33" t="s">
        <v>1758</v>
      </c>
      <c r="E298" s="2">
        <v>1</v>
      </c>
      <c r="F298" s="3">
        <v>2</v>
      </c>
      <c r="G298" s="3">
        <v>1001901</v>
      </c>
      <c r="H298" s="3">
        <v>3</v>
      </c>
      <c r="I298" s="3">
        <v>4</v>
      </c>
      <c r="J298" s="3">
        <v>5</v>
      </c>
      <c r="K298" s="3"/>
      <c r="L298" s="91" t="s">
        <v>1560</v>
      </c>
      <c r="M298" s="3"/>
      <c r="N298" s="2">
        <v>1</v>
      </c>
      <c r="O298" s="2"/>
      <c r="P298" s="3" t="s">
        <v>1613</v>
      </c>
      <c r="Q298" s="95">
        <f t="shared" si="24"/>
        <v>4.4800000000000013</v>
      </c>
      <c r="R298" s="133">
        <f>IF(P298=模板计算相关数据!$AB$24,VLOOKUP(X298,模板计算相关数据!$P$47:$T$50,2,0),VLOOKUP(X298,模板计算相关数据!$P$4:$U$7,3,0))*VLOOKUP(Y298,模板计算相关数据!$P$22:$X$30,8,0)</f>
        <v>4.4800000000000013</v>
      </c>
      <c r="S298" s="62">
        <f t="shared" si="25"/>
        <v>8.6991318266437023</v>
      </c>
      <c r="T298" s="133">
        <f>IF(P298=模板计算相关数据!$AB$24,VLOOKUP(X298,模板计算相关数据!$P$47:$T$50,5,0),VLOOKUP(X298,模板计算相关数据!$P$4:$U$7,6,0))*VLOOKUP(Y298,模板计算相关数据!$P$22:$X$30,9,0)</f>
        <v>8.6991318266437023</v>
      </c>
      <c r="U298" s="95">
        <v>21</v>
      </c>
      <c r="V298" s="95">
        <f t="shared" si="22"/>
        <v>48</v>
      </c>
      <c r="W298" s="29">
        <f>VLOOKUP(U298,模板计算相关数据!A:N,2,0)</f>
        <v>45</v>
      </c>
      <c r="X298" s="3" t="s">
        <v>151</v>
      </c>
      <c r="Y298" s="3" t="s">
        <v>255</v>
      </c>
      <c r="Z298" s="99">
        <v>1</v>
      </c>
      <c r="AA298" s="95">
        <v>0.95</v>
      </c>
      <c r="AB298" s="95">
        <v>1</v>
      </c>
      <c r="AC298" s="95">
        <v>1</v>
      </c>
      <c r="AD298" s="95">
        <v>0</v>
      </c>
      <c r="AE298" s="95">
        <v>0</v>
      </c>
      <c r="AF298" s="95">
        <v>0</v>
      </c>
      <c r="AG298" s="95">
        <v>0</v>
      </c>
      <c r="AH298" s="95">
        <v>0</v>
      </c>
      <c r="AI298" s="95">
        <v>0</v>
      </c>
      <c r="AJ298" s="3">
        <f>INT(VLOOKUP(U298,模板计算相关数据!A:N,4,0)*VLOOKUP(U298,模板计算相关数据!A:N,14,0)*(1+MAX(0,(VLOOKUP(U298,模板计算相关数据!A:N,7,0)-AQ298))*VLOOKUP(U298,模板计算相关数据!A:N,8,0))*(1-(AL298+AM298)*0.5/((AL298+AM298)*0.5+(VLOOKUP(U298,模板计算相关数据!A:N,2,0)+模板计算相关数据!$AC$27)*模板计算相关数据!$AC$28))*Q298*Z298)</f>
        <v>4554</v>
      </c>
      <c r="AK298" s="3">
        <f>INT(VLOOKUP(U298,模板计算相关数据!A:N,3,0)/模板计算相关数据!$W$35/(1+MAX(0,(AO298/10000-VLOOKUP(U298,模板计算相关数据!A:N,9,0)))*AP298/10000)/(1-VLOOKUP(U298,模板计算相关数据!A:N,5,0)/(VLOOKUP(U298,模板计算相关数据!A:N,5,0)+(VLOOKUP(U298,模板计算相关数据!A:N,2,0)+模板计算相关数据!$AC$27)*模板计算相关数据!$AC$28))/S298*AA298)</f>
        <v>1038</v>
      </c>
      <c r="AL298" s="3">
        <f>INT(VLOOKUP(U298,模板计算相关数据!A:N,5,0)*VLOOKUP(X298,模板计算相关数据!$P$4:$T$7,4,0)*VLOOKUP(Y298,模板计算相关数据!$P$22:$U$30,4,0)*AB298)</f>
        <v>2284</v>
      </c>
      <c r="AM298" s="3">
        <f>INT(VLOOKUP(U298,模板计算相关数据!A:N,6,0)*VLOOKUP(X298,模板计算相关数据!$P$4:$T$7,4,0)*VLOOKUP(Y298,模板计算相关数据!$P$22:$U$30,5,0)*AC298)</f>
        <v>4243</v>
      </c>
      <c r="AN298" s="3">
        <f>VLOOKUP(U298,模板计算相关数据!A:N,10,0)*0.5*VLOOKUP(Y298,模板计算相关数据!$P$22:$U$30,6,0)+AD298</f>
        <v>225</v>
      </c>
      <c r="AO298" s="3">
        <f>VLOOKUP(INT(VLOOKUP(U298,模板计算相关数据!A:N,2,0)/30)+1,模板计算相关数据!$O$35:$U$40,3,0)+AE298</f>
        <v>0</v>
      </c>
      <c r="AP298" s="3">
        <f>VLOOKUP(INT(VLOOKUP(U298,模板计算相关数据!A:N,2,0)/30)+1,模板计算相关数据!$O$35:$U$40,4,0)+AF298</f>
        <v>5000</v>
      </c>
      <c r="AQ298" s="3">
        <f>VLOOKUP(INT(VLOOKUP(U298,模板计算相关数据!A:N,2,0)/30)+1,模板计算相关数据!$O$35:$U$40,5,0)+AG298</f>
        <v>0</v>
      </c>
      <c r="AR298" s="3">
        <f>VLOOKUP(INT(VLOOKUP(U298,模板计算相关数据!A:N,2,0)/30)+1,模板计算相关数据!$O$35:$U$40,6,0)+AH298</f>
        <v>0</v>
      </c>
      <c r="AS298" s="3">
        <f>VLOOKUP(INT(VLOOKUP(U298,模板计算相关数据!A:N,2,0)/30)+1,模板计算相关数据!$O$35:$U$40,7,0)+AI298</f>
        <v>0</v>
      </c>
      <c r="AT298" s="3">
        <f>VLOOKUP(INT(VLOOKUP(U298,模板计算相关数据!A:N,2,0)/30)+1,模板计算相关数据!$O$35:$V$40,8,0)</f>
        <v>0</v>
      </c>
      <c r="AU298" s="2"/>
    </row>
    <row r="299" spans="1:47" x14ac:dyDescent="0.2">
      <c r="A299" s="45">
        <v>102060103</v>
      </c>
      <c r="B299" s="45"/>
      <c r="C299" s="69" t="s">
        <v>1559</v>
      </c>
      <c r="D299" s="33" t="s">
        <v>1758</v>
      </c>
      <c r="E299" s="2">
        <v>1</v>
      </c>
      <c r="F299" s="3">
        <v>1</v>
      </c>
      <c r="G299" s="3">
        <v>1002001</v>
      </c>
      <c r="H299" s="3">
        <v>5</v>
      </c>
      <c r="I299" s="3">
        <v>4</v>
      </c>
      <c r="J299" s="3">
        <v>5</v>
      </c>
      <c r="K299" s="3">
        <v>2</v>
      </c>
      <c r="L299" s="91" t="s">
        <v>1561</v>
      </c>
      <c r="M299" s="3"/>
      <c r="N299" s="2">
        <v>1</v>
      </c>
      <c r="O299" s="2"/>
      <c r="P299" s="3" t="s">
        <v>1613</v>
      </c>
      <c r="Q299" s="95">
        <v>8.23</v>
      </c>
      <c r="R299" s="133">
        <f>IF(P299=模板计算相关数据!$AB$24,VLOOKUP(X299,模板计算相关数据!$P$47:$T$50,2,0),VLOOKUP(X299,模板计算相关数据!$P$4:$U$7,3,0))*VLOOKUP(Y299,模板计算相关数据!$P$22:$X$30,8,0)</f>
        <v>9.2335686274509801</v>
      </c>
      <c r="S299" s="62">
        <v>5.3</v>
      </c>
      <c r="T299" s="133">
        <f>IF(P299=模板计算相关数据!$AB$24,VLOOKUP(X299,模板计算相关数据!$P$47:$T$50,5,0),VLOOKUP(X299,模板计算相关数据!$P$4:$U$7,6,0))*VLOOKUP(Y299,模板计算相关数据!$P$22:$X$30,9,0)</f>
        <v>4.8058439061899252</v>
      </c>
      <c r="U299" s="95">
        <v>21</v>
      </c>
      <c r="V299" s="95">
        <f t="shared" si="22"/>
        <v>48</v>
      </c>
      <c r="W299" s="29">
        <f>VLOOKUP(U299,模板计算相关数据!A:N,2,0)</f>
        <v>45</v>
      </c>
      <c r="X299" s="3" t="s">
        <v>158</v>
      </c>
      <c r="Y299" s="3" t="s">
        <v>159</v>
      </c>
      <c r="Z299" s="99">
        <v>0.9</v>
      </c>
      <c r="AA299" s="95">
        <v>0.9</v>
      </c>
      <c r="AB299" s="95">
        <v>1</v>
      </c>
      <c r="AC299" s="95">
        <v>1</v>
      </c>
      <c r="AD299" s="95">
        <v>0</v>
      </c>
      <c r="AE299" s="95">
        <v>0</v>
      </c>
      <c r="AF299" s="95">
        <v>0</v>
      </c>
      <c r="AG299" s="95">
        <v>0</v>
      </c>
      <c r="AH299" s="95">
        <v>0</v>
      </c>
      <c r="AI299" s="95">
        <v>0</v>
      </c>
      <c r="AJ299" s="3">
        <f>INT(VLOOKUP(U299,模板计算相关数据!A:N,4,0)*VLOOKUP(U299,模板计算相关数据!A:N,14,0)*(1+MAX(0,(VLOOKUP(U299,模板计算相关数据!A:N,7,0)-AQ299))*VLOOKUP(U299,模板计算相关数据!A:N,8,0))*(1-(AL299+AM299)*0.5/((AL299+AM299)*0.5+(VLOOKUP(U299,模板计算相关数据!A:N,2,0)+模板计算相关数据!$AC$27)*模板计算相关数据!$AC$28))*Q299*Z299)</f>
        <v>6959</v>
      </c>
      <c r="AK299" s="3">
        <f>INT(VLOOKUP(U299,模板计算相关数据!A:N,3,0)/模板计算相关数据!$W$35/(1+MAX(0,(AO299/10000-VLOOKUP(U299,模板计算相关数据!A:N,9,0)))*AP299/10000)/(1-VLOOKUP(U299,模板计算相关数据!A:N,5,0)/(VLOOKUP(U299,模板计算相关数据!A:N,5,0)+(VLOOKUP(U299,模板计算相关数据!A:N,2,0)+模板计算相关数据!$AC$27)*模板计算相关数据!$AC$28))/S299*AA299)</f>
        <v>1614</v>
      </c>
      <c r="AL299" s="3">
        <f>INT(VLOOKUP(U299,模板计算相关数据!A:N,5,0)*VLOOKUP(X299,模板计算相关数据!$P$4:$T$7,4,0)*VLOOKUP(Y299,模板计算相关数据!$P$22:$U$30,4,0)*AB299)</f>
        <v>5059</v>
      </c>
      <c r="AM299" s="3">
        <f>INT(VLOOKUP(U299,模板计算相关数据!A:N,6,0)*VLOOKUP(X299,模板计算相关数据!$P$4:$T$7,4,0)*VLOOKUP(Y299,模板计算相关数据!$P$22:$U$30,5,0)*AC299)</f>
        <v>2774</v>
      </c>
      <c r="AN299" s="3">
        <f>VLOOKUP(U299,模板计算相关数据!A:N,10,0)*0.5*VLOOKUP(Y299,模板计算相关数据!$P$22:$U$30,6,0)+AD299</f>
        <v>275</v>
      </c>
      <c r="AO299" s="3">
        <f>VLOOKUP(INT(VLOOKUP(U299,模板计算相关数据!A:N,2,0)/30)+1,模板计算相关数据!$O$35:$U$40,3,0)+AE299</f>
        <v>0</v>
      </c>
      <c r="AP299" s="3">
        <f>VLOOKUP(INT(VLOOKUP(U299,模板计算相关数据!A:N,2,0)/30)+1,模板计算相关数据!$O$35:$U$40,4,0)+AF299</f>
        <v>5000</v>
      </c>
      <c r="AQ299" s="3">
        <f>VLOOKUP(INT(VLOOKUP(U299,模板计算相关数据!A:N,2,0)/30)+1,模板计算相关数据!$O$35:$U$40,5,0)+AG299</f>
        <v>0</v>
      </c>
      <c r="AR299" s="3">
        <f>VLOOKUP(INT(VLOOKUP(U299,模板计算相关数据!A:N,2,0)/30)+1,模板计算相关数据!$O$35:$U$40,6,0)+AH299</f>
        <v>0</v>
      </c>
      <c r="AS299" s="3">
        <f>VLOOKUP(INT(VLOOKUP(U299,模板计算相关数据!A:N,2,0)/30)+1,模板计算相关数据!$O$35:$U$40,7,0)+AI299</f>
        <v>0</v>
      </c>
      <c r="AT299" s="3">
        <f>VLOOKUP(INT(VLOOKUP(U299,模板计算相关数据!A:N,2,0)/30)+1,模板计算相关数据!$O$35:$V$40,8,0)</f>
        <v>0</v>
      </c>
      <c r="AU299" s="2"/>
    </row>
    <row r="300" spans="1:47" x14ac:dyDescent="0.2">
      <c r="A300" s="43">
        <v>102070101</v>
      </c>
      <c r="B300" s="43"/>
      <c r="C300" s="69" t="s">
        <v>1746</v>
      </c>
      <c r="D300" s="87" t="s">
        <v>1759</v>
      </c>
      <c r="E300" s="2">
        <v>2</v>
      </c>
      <c r="F300" s="3">
        <v>3</v>
      </c>
      <c r="G300" s="3">
        <v>1001401</v>
      </c>
      <c r="H300" s="3">
        <v>4</v>
      </c>
      <c r="I300" s="3">
        <v>4</v>
      </c>
      <c r="J300" s="3">
        <v>1</v>
      </c>
      <c r="K300" s="3"/>
      <c r="L300" s="91" t="s">
        <v>1547</v>
      </c>
      <c r="M300" s="3"/>
      <c r="N300" s="2">
        <v>1</v>
      </c>
      <c r="O300" s="2"/>
      <c r="P300" s="3" t="s">
        <v>1615</v>
      </c>
      <c r="Q300" s="95">
        <f t="shared" si="24"/>
        <v>4.4674509803921572</v>
      </c>
      <c r="R300" s="133">
        <f>IF(P300=模板计算相关数据!$AB$24,VLOOKUP(X300,模板计算相关数据!$P$47:$T$50,2,0),VLOOKUP(X300,模板计算相关数据!$P$4:$U$7,3,0))*VLOOKUP(Y300,模板计算相关数据!$P$22:$X$30,8,0)</f>
        <v>4.4674509803921572</v>
      </c>
      <c r="S300" s="62">
        <v>6.47</v>
      </c>
      <c r="T300" s="133">
        <f>IF(P300=模板计算相关数据!$AB$24,VLOOKUP(X300,模板计算相关数据!$P$47:$T$50,5,0),VLOOKUP(X300,模板计算相关数据!$P$4:$U$7,6,0))*VLOOKUP(Y300,模板计算相关数据!$P$22:$X$30,9,0)</f>
        <v>5.4739930589768004</v>
      </c>
      <c r="U300" s="95">
        <v>21</v>
      </c>
      <c r="V300" s="95">
        <f t="shared" si="22"/>
        <v>48</v>
      </c>
      <c r="W300" s="29">
        <f>VLOOKUP(U300,模板计算相关数据!A:N,2,0)</f>
        <v>45</v>
      </c>
      <c r="X300" s="3" t="s">
        <v>151</v>
      </c>
      <c r="Y300" s="3" t="s">
        <v>162</v>
      </c>
      <c r="Z300" s="99">
        <v>1</v>
      </c>
      <c r="AA300" s="95">
        <v>1</v>
      </c>
      <c r="AB300" s="95">
        <v>1</v>
      </c>
      <c r="AC300" s="95">
        <v>1</v>
      </c>
      <c r="AD300" s="95">
        <v>0</v>
      </c>
      <c r="AE300" s="95">
        <v>0</v>
      </c>
      <c r="AF300" s="95">
        <v>0</v>
      </c>
      <c r="AG300" s="95">
        <v>0</v>
      </c>
      <c r="AH300" s="95">
        <v>0</v>
      </c>
      <c r="AI300" s="95">
        <v>0</v>
      </c>
      <c r="AJ300" s="3">
        <f>INT(VLOOKUP(U300,模板计算相关数据!A:N,4,0)*VLOOKUP(U300,模板计算相关数据!A:N,14,0)*(1+MAX(0,(VLOOKUP(U300,模板计算相关数据!A:N,7,0)-AQ300))*VLOOKUP(U300,模板计算相关数据!A:N,8,0))*(1-(AL300+AM300)*0.5/((AL300+AM300)*0.5+(VLOOKUP(U300,模板计算相关数据!A:N,2,0)+模板计算相关数据!$AC$27)*模板计算相关数据!$AC$28))*Q300*Z300)</f>
        <v>4817</v>
      </c>
      <c r="AK300" s="3">
        <f>INT(VLOOKUP(U300,模板计算相关数据!A:N,3,0)/模板计算相关数据!$W$35/(1+MAX(0,(AO300/10000-VLOOKUP(U300,模板计算相关数据!A:N,9,0)))*AP300/10000)/(1-VLOOKUP(U300,模板计算相关数据!A:N,5,0)/(VLOOKUP(U300,模板计算相关数据!A:N,5,0)+(VLOOKUP(U300,模板计算相关数据!A:N,2,0)+模板计算相关数据!$AC$27)*模板计算相关数据!$AC$28))/S300*AA300)</f>
        <v>1469</v>
      </c>
      <c r="AL300" s="3">
        <f>INT(VLOOKUP(U300,模板计算相关数据!A:N,5,0)*VLOOKUP(X300,模板计算相关数据!$P$4:$T$7,4,0)*VLOOKUP(Y300,模板计算相关数据!$P$22:$U$30,4,0)*AB300)</f>
        <v>2088</v>
      </c>
      <c r="AM300" s="3">
        <f>INT(VLOOKUP(U300,模板计算相关数据!A:N,6,0)*VLOOKUP(X300,模板计算相关数据!$P$4:$T$7,4,0)*VLOOKUP(Y300,模板计算相关数据!$P$22:$U$30,5,0)*AC300)</f>
        <v>3525</v>
      </c>
      <c r="AN300" s="3">
        <f>VLOOKUP(U300,模板计算相关数据!A:N,10,0)*0.5*VLOOKUP(Y300,模板计算相关数据!$P$22:$U$30,6,0)+AD300</f>
        <v>250</v>
      </c>
      <c r="AO300" s="3">
        <f>VLOOKUP(INT(VLOOKUP(U300,模板计算相关数据!A:N,2,0)/30)+1,模板计算相关数据!$O$35:$U$40,3,0)+AE300</f>
        <v>0</v>
      </c>
      <c r="AP300" s="3">
        <f>VLOOKUP(INT(VLOOKUP(U300,模板计算相关数据!A:N,2,0)/30)+1,模板计算相关数据!$O$35:$U$40,4,0)+AF300</f>
        <v>5000</v>
      </c>
      <c r="AQ300" s="3">
        <f>VLOOKUP(INT(VLOOKUP(U300,模板计算相关数据!A:N,2,0)/30)+1,模板计算相关数据!$O$35:$U$40,5,0)+AG300</f>
        <v>0</v>
      </c>
      <c r="AR300" s="3">
        <f>VLOOKUP(INT(VLOOKUP(U300,模板计算相关数据!A:N,2,0)/30)+1,模板计算相关数据!$O$35:$U$40,6,0)+AH300</f>
        <v>0</v>
      </c>
      <c r="AS300" s="3">
        <f>VLOOKUP(INT(VLOOKUP(U300,模板计算相关数据!A:N,2,0)/30)+1,模板计算相关数据!$O$35:$U$40,7,0)+AI300</f>
        <v>0</v>
      </c>
      <c r="AT300" s="3">
        <f>VLOOKUP(INT(VLOOKUP(U300,模板计算相关数据!A:N,2,0)/30)+1,模板计算相关数据!$O$35:$V$40,8,0)</f>
        <v>0</v>
      </c>
      <c r="AU300" s="2"/>
    </row>
    <row r="301" spans="1:47" x14ac:dyDescent="0.2">
      <c r="A301" s="45">
        <v>102070201</v>
      </c>
      <c r="B301" s="45"/>
      <c r="C301" s="69" t="s">
        <v>1821</v>
      </c>
      <c r="D301" s="87" t="s">
        <v>1756</v>
      </c>
      <c r="E301" s="2">
        <v>2</v>
      </c>
      <c r="F301" s="3">
        <v>1</v>
      </c>
      <c r="G301" s="3">
        <v>1003201</v>
      </c>
      <c r="H301" s="3">
        <v>5</v>
      </c>
      <c r="I301" s="3">
        <v>4</v>
      </c>
      <c r="J301" s="3">
        <v>1</v>
      </c>
      <c r="K301" s="3"/>
      <c r="L301" s="91" t="s">
        <v>1548</v>
      </c>
      <c r="M301" s="3"/>
      <c r="N301" s="2">
        <v>1</v>
      </c>
      <c r="O301" s="2"/>
      <c r="P301" s="3" t="s">
        <v>1615</v>
      </c>
      <c r="Q301" s="95">
        <f t="shared" ref="Q301" si="28">R301</f>
        <v>5.7709803921568623</v>
      </c>
      <c r="R301" s="133">
        <f>IF(P301=模板计算相关数据!$AB$24,VLOOKUP(X301,模板计算相关数据!$P$47:$T$50,2,0),VLOOKUP(X301,模板计算相关数据!$P$4:$U$7,3,0))*VLOOKUP(Y301,模板计算相关数据!$P$22:$X$30,8,0)</f>
        <v>5.7709803921568623</v>
      </c>
      <c r="S301" s="62">
        <v>7.41</v>
      </c>
      <c r="T301" s="133">
        <f>IF(P301=模板计算相关数据!$AB$24,VLOOKUP(X301,模板计算相关数据!$P$47:$T$50,5,0),VLOOKUP(X301,模板计算相关数据!$P$4:$U$7,6,0))*VLOOKUP(Y301,模板计算相关数据!$P$22:$X$30,9,0)</f>
        <v>6.4077918749198997</v>
      </c>
      <c r="U301" s="95">
        <v>21</v>
      </c>
      <c r="V301" s="95">
        <f t="shared" si="22"/>
        <v>48</v>
      </c>
      <c r="W301" s="29">
        <f>VLOOKUP(U301,模板计算相关数据!A:N,2,0)</f>
        <v>45</v>
      </c>
      <c r="X301" s="3" t="s">
        <v>151</v>
      </c>
      <c r="Y301" s="3" t="s">
        <v>159</v>
      </c>
      <c r="Z301" s="99">
        <v>1</v>
      </c>
      <c r="AA301" s="95">
        <v>1</v>
      </c>
      <c r="AB301" s="95">
        <v>1</v>
      </c>
      <c r="AC301" s="95">
        <v>1</v>
      </c>
      <c r="AD301" s="95">
        <v>0</v>
      </c>
      <c r="AE301" s="95">
        <v>0</v>
      </c>
      <c r="AF301" s="95">
        <v>0</v>
      </c>
      <c r="AG301" s="95">
        <v>0</v>
      </c>
      <c r="AH301" s="95">
        <v>0</v>
      </c>
      <c r="AI301" s="95">
        <v>0</v>
      </c>
      <c r="AJ301" s="3">
        <f>INT(VLOOKUP(U301,模板计算相关数据!A:N,4,0)*VLOOKUP(U301,模板计算相关数据!A:N,14,0)*(1+MAX(0,(VLOOKUP(U301,模板计算相关数据!A:N,7,0)-AQ301))*VLOOKUP(U301,模板计算相关数据!A:N,8,0))*(1-(AL301+AM301)*0.5/((AL301+AM301)*0.5+(VLOOKUP(U301,模板计算相关数据!A:N,2,0)+模板计算相关数据!$AC$27)*模板计算相关数据!$AC$28))*Q301*Z301)</f>
        <v>5964</v>
      </c>
      <c r="AK301" s="3">
        <f>INT(VLOOKUP(U301,模板计算相关数据!A:N,3,0)/模板计算相关数据!$W$35/(1+MAX(0,(AO301/10000-VLOOKUP(U301,模板计算相关数据!A:N,9,0)))*AP301/10000)/(1-VLOOKUP(U301,模板计算相关数据!A:N,5,0)/(VLOOKUP(U301,模板计算相关数据!A:N,5,0)+(VLOOKUP(U301,模板计算相关数据!A:N,2,0)+模板计算相关数据!$AC$27)*模板计算相关数据!$AC$28))/S301*AA301)</f>
        <v>1283</v>
      </c>
      <c r="AL301" s="3">
        <f>INT(VLOOKUP(U301,模板计算相关数据!A:N,5,0)*VLOOKUP(X301,模板计算相关数据!$P$4:$T$7,4,0)*VLOOKUP(Y301,模板计算相关数据!$P$22:$U$30,4,0)*AB301)</f>
        <v>4047</v>
      </c>
      <c r="AM301" s="3">
        <f>INT(VLOOKUP(U301,模板计算相关数据!A:N,6,0)*VLOOKUP(X301,模板计算相关数据!$P$4:$T$7,4,0)*VLOOKUP(Y301,模板计算相关数据!$P$22:$U$30,5,0)*AC301)</f>
        <v>2219</v>
      </c>
      <c r="AN301" s="3">
        <f>VLOOKUP(U301,模板计算相关数据!A:N,10,0)*0.5*VLOOKUP(Y301,模板计算相关数据!$P$22:$U$30,6,0)+AD301</f>
        <v>275</v>
      </c>
      <c r="AO301" s="3">
        <f>VLOOKUP(INT(VLOOKUP(U301,模板计算相关数据!A:N,2,0)/30)+1,模板计算相关数据!$O$35:$U$40,3,0)+AE301</f>
        <v>0</v>
      </c>
      <c r="AP301" s="3">
        <f>VLOOKUP(INT(VLOOKUP(U301,模板计算相关数据!A:N,2,0)/30)+1,模板计算相关数据!$O$35:$U$40,4,0)+AF301</f>
        <v>5000</v>
      </c>
      <c r="AQ301" s="3">
        <f>VLOOKUP(INT(VLOOKUP(U301,模板计算相关数据!A:N,2,0)/30)+1,模板计算相关数据!$O$35:$U$40,5,0)+AG301</f>
        <v>0</v>
      </c>
      <c r="AR301" s="3">
        <f>VLOOKUP(INT(VLOOKUP(U301,模板计算相关数据!A:N,2,0)/30)+1,模板计算相关数据!$O$35:$U$40,6,0)+AH301</f>
        <v>0</v>
      </c>
      <c r="AS301" s="3">
        <f>VLOOKUP(INT(VLOOKUP(U301,模板计算相关数据!A:N,2,0)/30)+1,模板计算相关数据!$O$35:$U$40,7,0)+AI301</f>
        <v>0</v>
      </c>
      <c r="AT301" s="3">
        <f>VLOOKUP(INT(VLOOKUP(U301,模板计算相关数据!A:N,2,0)/30)+1,模板计算相关数据!$O$35:$V$40,8,0)</f>
        <v>0</v>
      </c>
      <c r="AU301" s="2"/>
    </row>
    <row r="302" spans="1:47" x14ac:dyDescent="0.2">
      <c r="A302" s="45">
        <v>102070202</v>
      </c>
      <c r="B302" s="45"/>
      <c r="C302" s="69" t="s">
        <v>1549</v>
      </c>
      <c r="D302" s="87" t="s">
        <v>1760</v>
      </c>
      <c r="E302" s="2">
        <v>1</v>
      </c>
      <c r="F302" s="3">
        <v>4</v>
      </c>
      <c r="G302" s="3">
        <v>1003401</v>
      </c>
      <c r="H302" s="3">
        <v>2</v>
      </c>
      <c r="I302" s="3">
        <v>4</v>
      </c>
      <c r="J302" s="3">
        <v>1</v>
      </c>
      <c r="K302" s="3"/>
      <c r="L302" s="91" t="s">
        <v>1551</v>
      </c>
      <c r="M302" s="3"/>
      <c r="N302" s="2">
        <v>1</v>
      </c>
      <c r="O302" s="2"/>
      <c r="P302" s="3" t="s">
        <v>1615</v>
      </c>
      <c r="Q302" s="95">
        <f t="shared" si="24"/>
        <v>6.9411764705882364</v>
      </c>
      <c r="R302" s="133">
        <f>IF(P302=模板计算相关数据!$AB$24,VLOOKUP(X302,模板计算相关数据!$P$47:$T$50,2,0),VLOOKUP(X302,模板计算相关数据!$P$4:$U$7,3,0))*VLOOKUP(Y302,模板计算相关数据!$P$22:$X$30,8,0)</f>
        <v>6.9411764705882364</v>
      </c>
      <c r="S302" s="62">
        <f t="shared" si="25"/>
        <v>8.2943498888557112</v>
      </c>
      <c r="T302" s="133">
        <f>IF(P302=模板计算相关数据!$AB$24,VLOOKUP(X302,模板计算相关数据!$P$47:$T$50,5,0),VLOOKUP(X302,模板计算相关数据!$P$4:$U$7,6,0))*VLOOKUP(Y302,模板计算相关数据!$P$22:$X$30,9,0)</f>
        <v>8.2943498888557112</v>
      </c>
      <c r="U302" s="95">
        <v>21</v>
      </c>
      <c r="V302" s="95">
        <f t="shared" si="22"/>
        <v>48</v>
      </c>
      <c r="W302" s="29">
        <f>VLOOKUP(U302,模板计算相关数据!A:N,2,0)</f>
        <v>45</v>
      </c>
      <c r="X302" s="3" t="s">
        <v>151</v>
      </c>
      <c r="Y302" s="3" t="s">
        <v>155</v>
      </c>
      <c r="Z302" s="99">
        <v>1</v>
      </c>
      <c r="AA302" s="95">
        <v>1</v>
      </c>
      <c r="AB302" s="95">
        <v>1</v>
      </c>
      <c r="AC302" s="95">
        <v>1</v>
      </c>
      <c r="AD302" s="95">
        <v>0</v>
      </c>
      <c r="AE302" s="95">
        <v>0</v>
      </c>
      <c r="AF302" s="95">
        <v>0</v>
      </c>
      <c r="AG302" s="95">
        <v>0</v>
      </c>
      <c r="AH302" s="95">
        <v>0</v>
      </c>
      <c r="AI302" s="95">
        <v>0</v>
      </c>
      <c r="AJ302" s="3">
        <f>INT(VLOOKUP(U302,模板计算相关数据!A:N,4,0)*VLOOKUP(U302,模板计算相关数据!A:N,14,0)*(1+MAX(0,(VLOOKUP(U302,模板计算相关数据!A:N,7,0)-AQ302))*VLOOKUP(U302,模板计算相关数据!A:N,8,0))*(1-(AL302+AM302)*0.5/((AL302+AM302)*0.5+(VLOOKUP(U302,模板计算相关数据!A:N,2,0)+模板计算相关数据!$AC$27)*模板计算相关数据!$AC$28))*Q302*Z302)</f>
        <v>7026</v>
      </c>
      <c r="AK302" s="3">
        <f>INT(VLOOKUP(U302,模板计算相关数据!A:N,3,0)/模板计算相关数据!$W$35/(1+MAX(0,(AO302/10000-VLOOKUP(U302,模板计算相关数据!A:N,9,0)))*AP302/10000)/(1-VLOOKUP(U302,模板计算相关数据!A:N,5,0)/(VLOOKUP(U302,模板计算相关数据!A:N,5,0)+(VLOOKUP(U302,模板计算相关数据!A:N,2,0)+模板计算相关数据!$AC$27)*模板计算相关数据!$AC$28))/S302*AA302)</f>
        <v>1146</v>
      </c>
      <c r="AL302" s="3">
        <f>INT(VLOOKUP(U302,模板计算相关数据!A:N,5,0)*VLOOKUP(X302,模板计算相关数据!$P$4:$T$7,4,0)*VLOOKUP(Y302,模板计算相关数据!$P$22:$U$30,4,0)*AB302)</f>
        <v>4243</v>
      </c>
      <c r="AM302" s="3">
        <f>INT(VLOOKUP(U302,模板计算相关数据!A:N,6,0)*VLOOKUP(X302,模板计算相关数据!$P$4:$T$7,4,0)*VLOOKUP(Y302,模板计算相关数据!$P$22:$U$30,5,0)*AC302)</f>
        <v>2350</v>
      </c>
      <c r="AN302" s="3">
        <f>VLOOKUP(U302,模板计算相关数据!A:N,10,0)*0.5*VLOOKUP(Y302,模板计算相关数据!$P$22:$U$30,6,0)+AD302</f>
        <v>225</v>
      </c>
      <c r="AO302" s="3">
        <f>VLOOKUP(INT(VLOOKUP(U302,模板计算相关数据!A:N,2,0)/30)+1,模板计算相关数据!$O$35:$U$40,3,0)+AE302</f>
        <v>0</v>
      </c>
      <c r="AP302" s="3">
        <f>VLOOKUP(INT(VLOOKUP(U302,模板计算相关数据!A:N,2,0)/30)+1,模板计算相关数据!$O$35:$U$40,4,0)+AF302</f>
        <v>5000</v>
      </c>
      <c r="AQ302" s="3">
        <f>VLOOKUP(INT(VLOOKUP(U302,模板计算相关数据!A:N,2,0)/30)+1,模板计算相关数据!$O$35:$U$40,5,0)+AG302</f>
        <v>0</v>
      </c>
      <c r="AR302" s="3">
        <f>VLOOKUP(INT(VLOOKUP(U302,模板计算相关数据!A:N,2,0)/30)+1,模板计算相关数据!$O$35:$U$40,6,0)+AH302</f>
        <v>0</v>
      </c>
      <c r="AS302" s="3">
        <f>VLOOKUP(INT(VLOOKUP(U302,模板计算相关数据!A:N,2,0)/30)+1,模板计算相关数据!$O$35:$U$40,7,0)+AI302</f>
        <v>0</v>
      </c>
      <c r="AT302" s="3">
        <f>VLOOKUP(INT(VLOOKUP(U302,模板计算相关数据!A:N,2,0)/30)+1,模板计算相关数据!$O$35:$V$40,8,0)</f>
        <v>0</v>
      </c>
      <c r="AU302" s="2"/>
    </row>
    <row r="303" spans="1:47" x14ac:dyDescent="0.2">
      <c r="A303" s="54">
        <v>102080101</v>
      </c>
      <c r="B303" s="54"/>
      <c r="C303" s="69" t="s">
        <v>1562</v>
      </c>
      <c r="D303" s="33" t="s">
        <v>1761</v>
      </c>
      <c r="E303" s="2">
        <v>2</v>
      </c>
      <c r="F303" s="3">
        <v>1</v>
      </c>
      <c r="G303" s="3">
        <v>105101</v>
      </c>
      <c r="H303" s="3">
        <v>1</v>
      </c>
      <c r="I303" s="3">
        <v>5</v>
      </c>
      <c r="J303" s="3">
        <v>2</v>
      </c>
      <c r="K303" s="3">
        <v>2</v>
      </c>
      <c r="L303" s="91" t="s">
        <v>1564</v>
      </c>
      <c r="M303" s="3"/>
      <c r="N303" s="2">
        <v>3</v>
      </c>
      <c r="O303" s="69" t="s">
        <v>1807</v>
      </c>
      <c r="P303" s="3" t="s">
        <v>1615</v>
      </c>
      <c r="Q303" s="95">
        <v>25</v>
      </c>
      <c r="R303" s="133">
        <f>IF(P303=模板计算相关数据!$AB$24,VLOOKUP(X303,模板计算相关数据!$P$47:$T$50,2,0),VLOOKUP(X303,模板计算相关数据!$P$4:$U$7,3,0))*VLOOKUP(Y303,模板计算相关数据!$P$22:$X$30,8,0)</f>
        <v>17.66901960784314</v>
      </c>
      <c r="S303" s="62">
        <v>3.4</v>
      </c>
      <c r="T303" s="133">
        <f>IF(P303=模板计算相关数据!$AB$24,VLOOKUP(X303,模板计算相关数据!$P$47:$T$50,5,0),VLOOKUP(X303,模板计算相关数据!$P$4:$U$7,6,0))*VLOOKUP(Y303,模板计算相关数据!$P$22:$X$30,9,0)</f>
        <v>2.9610152729167778</v>
      </c>
      <c r="U303" s="95">
        <v>22</v>
      </c>
      <c r="V303" s="95">
        <f t="shared" si="22"/>
        <v>50</v>
      </c>
      <c r="W303" s="29">
        <f>VLOOKUP(U303,模板计算相关数据!A:N,2,0)</f>
        <v>47</v>
      </c>
      <c r="X303" s="3" t="s">
        <v>178</v>
      </c>
      <c r="Y303" s="3" t="s">
        <v>152</v>
      </c>
      <c r="Z303" s="99">
        <v>1</v>
      </c>
      <c r="AA303" s="95">
        <v>1</v>
      </c>
      <c r="AB303" s="95">
        <v>1</v>
      </c>
      <c r="AC303" s="95">
        <v>1</v>
      </c>
      <c r="AD303" s="95">
        <v>0</v>
      </c>
      <c r="AE303" s="95">
        <v>0</v>
      </c>
      <c r="AF303" s="95">
        <v>0</v>
      </c>
      <c r="AG303" s="95">
        <v>0</v>
      </c>
      <c r="AH303" s="95">
        <v>0</v>
      </c>
      <c r="AI303" s="95">
        <v>2000</v>
      </c>
      <c r="AJ303" s="3">
        <f>INT(VLOOKUP(U303,模板计算相关数据!A:N,4,0)*VLOOKUP(U303,模板计算相关数据!A:N,14,0)*(1+MAX(0,(VLOOKUP(U303,模板计算相关数据!A:N,7,0)-AQ303))*VLOOKUP(U303,模板计算相关数据!A:N,8,0))*(1-(AL303+AM303)*0.5/((AL303+AM303)*0.5+(VLOOKUP(U303,模板计算相关数据!A:N,2,0)+模板计算相关数据!$AC$27)*模板计算相关数据!$AC$28))*Q303*Z303)</f>
        <v>24239</v>
      </c>
      <c r="AK303" s="3">
        <f>INT(VLOOKUP(U303,模板计算相关数据!A:N,3,0)/模板计算相关数据!$W$35/(1+MAX(0,(AO303/10000-VLOOKUP(U303,模板计算相关数据!A:N,9,0)))*AP303/10000)/(1-VLOOKUP(U303,模板计算相关数据!A:N,5,0)/(VLOOKUP(U303,模板计算相关数据!A:N,5,0)+(VLOOKUP(U303,模板计算相关数据!A:N,2,0)+模板计算相关数据!$AC$27)*模板计算相关数据!$AC$28))/S303*AA303)</f>
        <v>3081</v>
      </c>
      <c r="AL303" s="3">
        <f>INT(VLOOKUP(U303,模板计算相关数据!A:N,5,0)*VLOOKUP(X303,模板计算相关数据!$P$4:$T$7,4,0)*VLOOKUP(Y303,模板计算相关数据!$P$22:$U$30,4,0)*AB303)</f>
        <v>5716</v>
      </c>
      <c r="AM303" s="3">
        <f>INT(VLOOKUP(U303,模板计算相关数据!A:N,6,0)*VLOOKUP(X303,模板计算相关数据!$P$4:$T$7,4,0)*VLOOKUP(Y303,模板计算相关数据!$P$22:$U$30,5,0)*AC303)</f>
        <v>3387</v>
      </c>
      <c r="AN303" s="3">
        <f>VLOOKUP(U303,模板计算相关数据!A:N,10,0)*0.5*VLOOKUP(Y303,模板计算相关数据!$P$22:$U$30,6,0)+AD303</f>
        <v>250</v>
      </c>
      <c r="AO303" s="3">
        <f>VLOOKUP(INT(VLOOKUP(U303,模板计算相关数据!A:N,2,0)/30)+1,模板计算相关数据!$O$35:$U$40,3,0)+AE303</f>
        <v>0</v>
      </c>
      <c r="AP303" s="3">
        <f>VLOOKUP(INT(VLOOKUP(U303,模板计算相关数据!A:N,2,0)/30)+1,模板计算相关数据!$O$35:$U$40,4,0)+AF303</f>
        <v>5000</v>
      </c>
      <c r="AQ303" s="3">
        <f>VLOOKUP(INT(VLOOKUP(U303,模板计算相关数据!A:N,2,0)/30)+1,模板计算相关数据!$O$35:$U$40,5,0)+AG303</f>
        <v>0</v>
      </c>
      <c r="AR303" s="3">
        <f>VLOOKUP(INT(VLOOKUP(U303,模板计算相关数据!A:N,2,0)/30)+1,模板计算相关数据!$O$35:$U$40,6,0)+AH303</f>
        <v>0</v>
      </c>
      <c r="AS303" s="3">
        <v>3000</v>
      </c>
      <c r="AT303" s="3">
        <f>VLOOKUP(INT(VLOOKUP(U303,模板计算相关数据!A:N,2,0)/30)+1,模板计算相关数据!$O$35:$V$40,8,0)</f>
        <v>0</v>
      </c>
      <c r="AU303" s="69" t="s">
        <v>1818</v>
      </c>
    </row>
    <row r="304" spans="1:47" x14ac:dyDescent="0.2">
      <c r="A304" s="55">
        <v>102090101</v>
      </c>
      <c r="B304" s="55"/>
      <c r="C304" s="69" t="s">
        <v>1562</v>
      </c>
      <c r="D304" s="33" t="s">
        <v>1762</v>
      </c>
      <c r="E304" s="2">
        <v>2</v>
      </c>
      <c r="F304" s="3">
        <v>1</v>
      </c>
      <c r="G304" s="3">
        <v>105101</v>
      </c>
      <c r="H304" s="3">
        <v>1</v>
      </c>
      <c r="I304" s="3">
        <v>5</v>
      </c>
      <c r="J304" s="3">
        <v>2</v>
      </c>
      <c r="K304" s="3">
        <v>1</v>
      </c>
      <c r="L304" s="91" t="s">
        <v>1565</v>
      </c>
      <c r="M304" s="3"/>
      <c r="N304" s="2">
        <v>3</v>
      </c>
      <c r="O304" s="69" t="s">
        <v>1808</v>
      </c>
      <c r="P304" s="3" t="s">
        <v>1615</v>
      </c>
      <c r="Q304" s="95">
        <v>13.5</v>
      </c>
      <c r="R304" s="133">
        <f>IF(P304=模板计算相关数据!$AB$24,VLOOKUP(X304,模板计算相关数据!$P$47:$T$50,2,0),VLOOKUP(X304,模板计算相关数据!$P$4:$U$7,3,0))*VLOOKUP(Y304,模板计算相关数据!$P$22:$X$30,8,0)</f>
        <v>17.66901960784314</v>
      </c>
      <c r="S304" s="62">
        <v>3.55</v>
      </c>
      <c r="T304" s="133">
        <f>IF(P304=模板计算相关数据!$AB$24,VLOOKUP(X304,模板计算相关数据!$P$47:$T$50,5,0),VLOOKUP(X304,模板计算相关数据!$P$4:$U$7,6,0))*VLOOKUP(Y304,模板计算相关数据!$P$22:$X$30,9,0)</f>
        <v>2.9610152729167778</v>
      </c>
      <c r="U304" s="95">
        <v>23</v>
      </c>
      <c r="V304" s="95">
        <f t="shared" ref="V304:V367" si="29">W304+3</f>
        <v>52</v>
      </c>
      <c r="W304" s="29">
        <f>VLOOKUP(U304,模板计算相关数据!A:N,2,0)</f>
        <v>49</v>
      </c>
      <c r="X304" s="3" t="s">
        <v>178</v>
      </c>
      <c r="Y304" s="3" t="s">
        <v>152</v>
      </c>
      <c r="Z304" s="99">
        <v>1</v>
      </c>
      <c r="AA304" s="95">
        <v>1</v>
      </c>
      <c r="AB304" s="95">
        <v>1</v>
      </c>
      <c r="AC304" s="95">
        <v>1</v>
      </c>
      <c r="AD304" s="95">
        <v>0</v>
      </c>
      <c r="AE304" s="95">
        <v>0</v>
      </c>
      <c r="AF304" s="95">
        <v>0</v>
      </c>
      <c r="AG304" s="95">
        <v>0</v>
      </c>
      <c r="AH304" s="95">
        <v>0</v>
      </c>
      <c r="AI304" s="95">
        <v>3000</v>
      </c>
      <c r="AJ304" s="3">
        <f>INT(VLOOKUP(U304,模板计算相关数据!A:N,4,0)*VLOOKUP(U304,模板计算相关数据!A:N,14,0)*(1+MAX(0,(VLOOKUP(U304,模板计算相关数据!A:N,7,0)-AQ304))*VLOOKUP(U304,模板计算相关数据!A:N,8,0))*(1-(AL304+AM304)*0.5/((AL304+AM304)*0.5+(VLOOKUP(U304,模板计算相关数据!A:N,2,0)+模板计算相关数据!$AC$27)*模板计算相关数据!$AC$28))*Q304*Z304)</f>
        <v>14036</v>
      </c>
      <c r="AK304" s="3">
        <f>INT(VLOOKUP(U304,模板计算相关数据!A:N,3,0)/模板计算相关数据!$W$35/(1+MAX(0,(AO304/10000-VLOOKUP(U304,模板计算相关数据!A:N,9,0)))*AP304/10000)/(1-VLOOKUP(U304,模板计算相关数据!A:N,5,0)/(VLOOKUP(U304,模板计算相关数据!A:N,5,0)+(VLOOKUP(U304,模板计算相关数据!A:N,2,0)+模板计算相关数据!$AC$27)*模板计算相关数据!$AC$28))/S304*AA304)</f>
        <v>3120</v>
      </c>
      <c r="AL304" s="3">
        <f>INT(VLOOKUP(U304,模板计算相关数据!A:N,5,0)*VLOOKUP(X304,模板计算相关数据!$P$4:$T$7,4,0)*VLOOKUP(Y304,模板计算相关数据!$P$22:$U$30,4,0)*AB304)</f>
        <v>6009</v>
      </c>
      <c r="AM304" s="3">
        <f>INT(VLOOKUP(U304,模板计算相关数据!A:N,6,0)*VLOOKUP(X304,模板计算相关数据!$P$4:$T$7,4,0)*VLOOKUP(Y304,模板计算相关数据!$P$22:$U$30,5,0)*AC304)</f>
        <v>3561</v>
      </c>
      <c r="AN304" s="3">
        <f>VLOOKUP(U304,模板计算相关数据!A:N,10,0)*0.5*VLOOKUP(Y304,模板计算相关数据!$P$22:$U$30,6,0)+AD304</f>
        <v>250</v>
      </c>
      <c r="AO304" s="3">
        <v>0</v>
      </c>
      <c r="AP304" s="3">
        <f>VLOOKUP(INT(VLOOKUP(U304,模板计算相关数据!A:N,2,0)/30)+1,模板计算相关数据!$O$35:$U$40,4,0)+AF304</f>
        <v>5000</v>
      </c>
      <c r="AQ304" s="3">
        <f>VLOOKUP(INT(VLOOKUP(U304,模板计算相关数据!A:N,2,0)/30)+1,模板计算相关数据!$O$35:$U$40,5,0)+AG304</f>
        <v>0</v>
      </c>
      <c r="AR304" s="3">
        <f>VLOOKUP(INT(VLOOKUP(U304,模板计算相关数据!A:N,2,0)/30)+1,模板计算相关数据!$O$35:$U$40,6,0)+AH304</f>
        <v>0</v>
      </c>
      <c r="AS304" s="3">
        <v>3000</v>
      </c>
      <c r="AT304" s="3">
        <f>VLOOKUP(INT(VLOOKUP(U304,模板计算相关数据!A:N,2,0)/30)+1,模板计算相关数据!$O$35:$V$40,8,0)</f>
        <v>0</v>
      </c>
      <c r="AU304" s="69" t="s">
        <v>1819</v>
      </c>
    </row>
    <row r="305" spans="1:47" x14ac:dyDescent="0.2">
      <c r="A305" s="55">
        <v>102090102</v>
      </c>
      <c r="B305" s="55"/>
      <c r="C305" s="69" t="s">
        <v>1563</v>
      </c>
      <c r="D305" s="33" t="s">
        <v>1762</v>
      </c>
      <c r="E305" s="2">
        <v>2</v>
      </c>
      <c r="F305" s="3">
        <v>3</v>
      </c>
      <c r="G305" s="3">
        <v>105201</v>
      </c>
      <c r="H305" s="3">
        <v>2</v>
      </c>
      <c r="I305" s="3">
        <v>5</v>
      </c>
      <c r="J305" s="3">
        <v>2</v>
      </c>
      <c r="K305" s="3">
        <v>1</v>
      </c>
      <c r="L305" s="91" t="s">
        <v>1566</v>
      </c>
      <c r="M305" s="3"/>
      <c r="N305" s="2">
        <v>3</v>
      </c>
      <c r="O305" s="69" t="s">
        <v>1809</v>
      </c>
      <c r="P305" s="3" t="s">
        <v>1615</v>
      </c>
      <c r="Q305" s="95">
        <v>18.5</v>
      </c>
      <c r="R305" s="133">
        <f>IF(P305=模板计算相关数据!$AB$24,VLOOKUP(X305,模板计算相关数据!$P$47:$T$50,2,0),VLOOKUP(X305,模板计算相关数据!$P$4:$U$7,3,0))*VLOOKUP(Y305,模板计算相关数据!$P$22:$X$30,8,0)</f>
        <v>27.764705882352946</v>
      </c>
      <c r="S305" s="62">
        <v>4.8</v>
      </c>
      <c r="T305" s="133">
        <f>IF(P305=模板计算相关数据!$AB$24,VLOOKUP(X305,模板计算相关数据!$P$47:$T$50,5,0),VLOOKUP(X305,模板计算相关数据!$P$4:$U$7,6,0))*VLOOKUP(Y305,模板计算相关数据!$P$22:$X$30,9,0)</f>
        <v>4.5241908484667528</v>
      </c>
      <c r="U305" s="95">
        <v>23</v>
      </c>
      <c r="V305" s="95">
        <f t="shared" si="29"/>
        <v>52</v>
      </c>
      <c r="W305" s="29">
        <f>VLOOKUP(U305,模板计算相关数据!A:N,2,0)</f>
        <v>49</v>
      </c>
      <c r="X305" s="3" t="s">
        <v>178</v>
      </c>
      <c r="Y305" s="3" t="s">
        <v>155</v>
      </c>
      <c r="Z305" s="99">
        <v>1</v>
      </c>
      <c r="AA305" s="95">
        <v>1</v>
      </c>
      <c r="AB305" s="95">
        <v>1</v>
      </c>
      <c r="AC305" s="95">
        <v>1</v>
      </c>
      <c r="AD305" s="95">
        <v>0</v>
      </c>
      <c r="AE305" s="95">
        <v>0</v>
      </c>
      <c r="AF305" s="95">
        <v>0</v>
      </c>
      <c r="AG305" s="95">
        <v>0</v>
      </c>
      <c r="AH305" s="95">
        <v>0</v>
      </c>
      <c r="AI305" s="95">
        <v>3000</v>
      </c>
      <c r="AJ305" s="3">
        <f>INT(VLOOKUP(U305,模板计算相关数据!A:N,4,0)*VLOOKUP(U305,模板计算相关数据!A:N,14,0)*(1+MAX(0,(VLOOKUP(U305,模板计算相关数据!A:N,7,0)-AQ305))*VLOOKUP(U305,模板计算相关数据!A:N,8,0))*(1-(AL305+AM305)*0.5/((AL305+AM305)*0.5+(VLOOKUP(U305,模板计算相关数据!A:N,2,0)+模板计算相关数据!$AC$27)*模板计算相关数据!$AC$28))*Q305*Z305)</f>
        <v>17735</v>
      </c>
      <c r="AK305" s="3">
        <f>INT(VLOOKUP(U305,模板计算相关数据!A:N,3,0)/模板计算相关数据!$W$35/(1+MAX(0,(AO305/10000-VLOOKUP(U305,模板计算相关数据!A:N,9,0)))*AP305/10000)/(1-VLOOKUP(U305,模板计算相关数据!A:N,5,0)/(VLOOKUP(U305,模板计算相关数据!A:N,5,0)+(VLOOKUP(U305,模板计算相关数据!A:N,2,0)+模板计算相关数据!$AC$27)*模板计算相关数据!$AC$28))/S305*AA305)</f>
        <v>2307</v>
      </c>
      <c r="AL305" s="3">
        <f>INT(VLOOKUP(U305,模板计算相关数据!A:N,5,0)*VLOOKUP(X305,模板计算相关数据!$P$4:$T$7,4,0)*VLOOKUP(Y305,模板计算相关数据!$P$22:$U$30,4,0)*AB305)</f>
        <v>7233</v>
      </c>
      <c r="AM305" s="3">
        <f>INT(VLOOKUP(U305,模板计算相关数据!A:N,6,0)*VLOOKUP(X305,模板计算相关数据!$P$4:$T$7,4,0)*VLOOKUP(Y305,模板计算相关数据!$P$22:$U$30,5,0)*AC305)</f>
        <v>4006</v>
      </c>
      <c r="AN305" s="3">
        <f>VLOOKUP(U305,模板计算相关数据!A:N,10,0)*0.5*VLOOKUP(Y305,模板计算相关数据!$P$22:$U$30,6,0)+AD305</f>
        <v>225</v>
      </c>
      <c r="AO305" s="3">
        <f>VLOOKUP(INT(VLOOKUP(U305,模板计算相关数据!A:N,2,0)/30)+1,模板计算相关数据!$O$35:$U$40,3,0)+AE305</f>
        <v>0</v>
      </c>
      <c r="AP305" s="3">
        <f>VLOOKUP(INT(VLOOKUP(U305,模板计算相关数据!A:N,2,0)/30)+1,模板计算相关数据!$O$35:$U$40,4,0)+AF305</f>
        <v>5000</v>
      </c>
      <c r="AQ305" s="3">
        <f>VLOOKUP(INT(VLOOKUP(U305,模板计算相关数据!A:N,2,0)/30)+1,模板计算相关数据!$O$35:$U$40,5,0)+AG305</f>
        <v>0</v>
      </c>
      <c r="AR305" s="3">
        <f>VLOOKUP(INT(VLOOKUP(U305,模板计算相关数据!A:N,2,0)/30)+1,模板计算相关数据!$O$35:$U$40,6,0)+AH305</f>
        <v>0</v>
      </c>
      <c r="AS305" s="3">
        <v>3000</v>
      </c>
      <c r="AT305" s="3">
        <f>VLOOKUP(INT(VLOOKUP(U305,模板计算相关数据!A:N,2,0)/30)+1,模板计算相关数据!$O$35:$V$40,8,0)</f>
        <v>0</v>
      </c>
      <c r="AU305" s="69" t="s">
        <v>1820</v>
      </c>
    </row>
    <row r="306" spans="1:47" x14ac:dyDescent="0.2">
      <c r="A306" s="45">
        <v>102100101</v>
      </c>
      <c r="B306" s="45"/>
      <c r="C306" s="69" t="s">
        <v>1821</v>
      </c>
      <c r="D306" s="33" t="s">
        <v>1872</v>
      </c>
      <c r="E306" s="2">
        <v>2</v>
      </c>
      <c r="F306" s="3">
        <v>3</v>
      </c>
      <c r="G306" s="3">
        <v>1003201</v>
      </c>
      <c r="H306" s="3">
        <v>5</v>
      </c>
      <c r="I306" s="3">
        <v>4</v>
      </c>
      <c r="J306" s="3">
        <v>1</v>
      </c>
      <c r="K306" s="3"/>
      <c r="L306" s="91" t="s">
        <v>1548</v>
      </c>
      <c r="M306" s="3"/>
      <c r="N306" s="2">
        <v>1</v>
      </c>
      <c r="O306" s="2"/>
      <c r="P306" s="3" t="s">
        <v>1615</v>
      </c>
      <c r="Q306" s="95">
        <f t="shared" ref="Q306:Q308" si="30">R306</f>
        <v>5.7709803921568623</v>
      </c>
      <c r="R306" s="133">
        <f>IF(P306=模板计算相关数据!$AB$24,VLOOKUP(X306,模板计算相关数据!$P$47:$T$50,2,0),VLOOKUP(X306,模板计算相关数据!$P$4:$U$7,3,0))*VLOOKUP(Y306,模板计算相关数据!$P$22:$X$30,8,0)</f>
        <v>5.7709803921568623</v>
      </c>
      <c r="S306" s="62">
        <v>7.41</v>
      </c>
      <c r="T306" s="133">
        <f>IF(P306=模板计算相关数据!$AB$24,VLOOKUP(X306,模板计算相关数据!$P$47:$T$50,5,0),VLOOKUP(X306,模板计算相关数据!$P$4:$U$7,6,0))*VLOOKUP(Y306,模板计算相关数据!$P$22:$X$30,9,0)</f>
        <v>6.4077918749198997</v>
      </c>
      <c r="U306" s="103">
        <v>1</v>
      </c>
      <c r="V306" s="95">
        <f t="shared" si="29"/>
        <v>4</v>
      </c>
      <c r="W306" s="29">
        <f>VLOOKUP(U306,模板计算相关数据!A:N,2,0)</f>
        <v>1</v>
      </c>
      <c r="X306" s="3" t="s">
        <v>151</v>
      </c>
      <c r="Y306" s="3" t="s">
        <v>159</v>
      </c>
      <c r="Z306" s="99">
        <v>1</v>
      </c>
      <c r="AA306" s="95">
        <v>1</v>
      </c>
      <c r="AB306" s="95">
        <v>1</v>
      </c>
      <c r="AC306" s="95">
        <v>1</v>
      </c>
      <c r="AD306" s="95">
        <v>0</v>
      </c>
      <c r="AE306" s="95">
        <v>0</v>
      </c>
      <c r="AF306" s="95">
        <v>0</v>
      </c>
      <c r="AG306" s="95">
        <v>0</v>
      </c>
      <c r="AH306" s="95">
        <v>0</v>
      </c>
      <c r="AI306" s="95">
        <v>0</v>
      </c>
      <c r="AJ306" s="3">
        <f>INT(VLOOKUP(U306,模板计算相关数据!A:N,4,0)*VLOOKUP(U306,模板计算相关数据!A:N,14,0)*(1+MAX(0,(VLOOKUP(U306,模板计算相关数据!A:N,7,0)-AQ306))*VLOOKUP(U306,模板计算相关数据!A:N,8,0))*(1-(AL306+AM306)*0.5/((AL306+AM306)*0.5+(VLOOKUP(U306,模板计算相关数据!A:N,2,0)+模板计算相关数据!$AC$27)*模板计算相关数据!$AC$28))*Q306*Z306)</f>
        <v>411</v>
      </c>
      <c r="AK306" s="3">
        <f>INT(VLOOKUP(U306,模板计算相关数据!A:N,3,0)/模板计算相关数据!$W$35/(1+MAX(0,(AO306/10000-VLOOKUP(U306,模板计算相关数据!A:N,9,0)))*AP306/10000)/(1-VLOOKUP(U306,模板计算相关数据!A:N,5,0)/(VLOOKUP(U306,模板计算相关数据!A:N,5,0)+(VLOOKUP(U306,模板计算相关数据!A:N,2,0)+模板计算相关数据!$AC$27)*模板计算相关数据!$AC$28))/S306*AA306)</f>
        <v>75</v>
      </c>
      <c r="AL306" s="3">
        <f>INT(VLOOKUP(U306,模板计算相关数据!A:N,5,0)*VLOOKUP(X306,模板计算相关数据!$P$4:$T$7,4,0)*VLOOKUP(Y306,模板计算相关数据!$P$22:$U$30,4,0)*AB306)</f>
        <v>264</v>
      </c>
      <c r="AM306" s="3">
        <f>INT(VLOOKUP(U306,模板计算相关数据!A:N,6,0)*VLOOKUP(X306,模板计算相关数据!$P$4:$T$7,4,0)*VLOOKUP(Y306,模板计算相关数据!$P$22:$U$30,5,0)*AC306)</f>
        <v>145</v>
      </c>
      <c r="AN306" s="3">
        <f>VLOOKUP(U306,模板计算相关数据!A:N,10,0)*0.5*VLOOKUP(Y306,模板计算相关数据!$P$22:$U$30,6,0)+AD306</f>
        <v>275</v>
      </c>
      <c r="AO306" s="3">
        <f>VLOOKUP(INT(VLOOKUP(U306,模板计算相关数据!A:N,2,0)/30)+1,模板计算相关数据!$O$35:$U$40,3,0)+AE306</f>
        <v>0</v>
      </c>
      <c r="AP306" s="3">
        <f>VLOOKUP(INT(VLOOKUP(U306,模板计算相关数据!A:N,2,0)/30)+1,模板计算相关数据!$O$35:$U$40,4,0)+AF306</f>
        <v>5000</v>
      </c>
      <c r="AQ306" s="3">
        <f>VLOOKUP(INT(VLOOKUP(U306,模板计算相关数据!A:N,2,0)/30)+1,模板计算相关数据!$O$35:$U$40,5,0)+AG306</f>
        <v>0</v>
      </c>
      <c r="AR306" s="3">
        <f>VLOOKUP(INT(VLOOKUP(U306,模板计算相关数据!A:N,2,0)/30)+1,模板计算相关数据!$O$35:$U$40,6,0)+AH306</f>
        <v>0</v>
      </c>
      <c r="AS306" s="3">
        <f>VLOOKUP(INT(VLOOKUP(U306,模板计算相关数据!A:N,2,0)/30)+1,模板计算相关数据!$O$35:$U$40,7,0)+AI306</f>
        <v>0</v>
      </c>
      <c r="AT306" s="3">
        <f>VLOOKUP(INT(VLOOKUP(U306,模板计算相关数据!A:N,2,0)/30)+1,模板计算相关数据!$O$35:$V$40,8,0)</f>
        <v>0</v>
      </c>
      <c r="AU306" s="2"/>
    </row>
    <row r="307" spans="1:47" x14ac:dyDescent="0.2">
      <c r="A307" s="45">
        <v>102100102</v>
      </c>
      <c r="B307" s="45"/>
      <c r="C307" s="69" t="s">
        <v>1821</v>
      </c>
      <c r="D307" s="33" t="s">
        <v>1872</v>
      </c>
      <c r="E307" s="2">
        <v>2</v>
      </c>
      <c r="F307" s="3">
        <v>1</v>
      </c>
      <c r="G307" s="3">
        <v>1003201</v>
      </c>
      <c r="H307" s="3">
        <v>5</v>
      </c>
      <c r="I307" s="3">
        <v>4</v>
      </c>
      <c r="J307" s="3">
        <v>1</v>
      </c>
      <c r="K307" s="3"/>
      <c r="L307" s="91" t="s">
        <v>1548</v>
      </c>
      <c r="M307" s="3"/>
      <c r="N307" s="2">
        <v>1</v>
      </c>
      <c r="O307" s="2"/>
      <c r="P307" s="3" t="s">
        <v>1615</v>
      </c>
      <c r="Q307" s="95">
        <f t="shared" ref="Q307" si="31">R307</f>
        <v>5.7709803921568623</v>
      </c>
      <c r="R307" s="133">
        <f>IF(P307=模板计算相关数据!$AB$24,VLOOKUP(X307,模板计算相关数据!$P$47:$T$50,2,0),VLOOKUP(X307,模板计算相关数据!$P$4:$U$7,3,0))*VLOOKUP(Y307,模板计算相关数据!$P$22:$X$30,8,0)</f>
        <v>5.7709803921568623</v>
      </c>
      <c r="S307" s="62">
        <v>7.41</v>
      </c>
      <c r="T307" s="133">
        <f>IF(P307=模板计算相关数据!$AB$24,VLOOKUP(X307,模板计算相关数据!$P$47:$T$50,5,0),VLOOKUP(X307,模板计算相关数据!$P$4:$U$7,6,0))*VLOOKUP(Y307,模板计算相关数据!$P$22:$X$30,9,0)</f>
        <v>6.4077918749198997</v>
      </c>
      <c r="U307" s="103">
        <v>1</v>
      </c>
      <c r="V307" s="95">
        <f t="shared" si="29"/>
        <v>4</v>
      </c>
      <c r="W307" s="29">
        <f>VLOOKUP(U307,模板计算相关数据!A:N,2,0)</f>
        <v>1</v>
      </c>
      <c r="X307" s="3" t="s">
        <v>151</v>
      </c>
      <c r="Y307" s="3" t="s">
        <v>159</v>
      </c>
      <c r="Z307" s="99">
        <v>1</v>
      </c>
      <c r="AA307" s="95">
        <v>1</v>
      </c>
      <c r="AB307" s="95">
        <v>1</v>
      </c>
      <c r="AC307" s="95">
        <v>1</v>
      </c>
      <c r="AD307" s="95">
        <v>0</v>
      </c>
      <c r="AE307" s="95">
        <v>0</v>
      </c>
      <c r="AF307" s="95">
        <v>0</v>
      </c>
      <c r="AG307" s="95">
        <v>0</v>
      </c>
      <c r="AH307" s="95">
        <v>0</v>
      </c>
      <c r="AI307" s="95">
        <v>0</v>
      </c>
      <c r="AJ307" s="3">
        <f>INT(VLOOKUP(U307,模板计算相关数据!A:N,4,0)*VLOOKUP(U307,模板计算相关数据!A:N,14,0)*(1+MAX(0,(VLOOKUP(U307,模板计算相关数据!A:N,7,0)-AQ307))*VLOOKUP(U307,模板计算相关数据!A:N,8,0))*(1-(AL307+AM307)*0.5/((AL307+AM307)*0.5+(VLOOKUP(U307,模板计算相关数据!A:N,2,0)+模板计算相关数据!$AC$27)*模板计算相关数据!$AC$28))*Q307*Z307)</f>
        <v>411</v>
      </c>
      <c r="AK307" s="3">
        <f>INT(VLOOKUP(U307,模板计算相关数据!A:N,3,0)/模板计算相关数据!$W$35/(1+MAX(0,(AO307/10000-VLOOKUP(U307,模板计算相关数据!A:N,9,0)))*AP307/10000)/(1-VLOOKUP(U307,模板计算相关数据!A:N,5,0)/(VLOOKUP(U307,模板计算相关数据!A:N,5,0)+(VLOOKUP(U307,模板计算相关数据!A:N,2,0)+模板计算相关数据!$AC$27)*模板计算相关数据!$AC$28))/S307*AA307)</f>
        <v>75</v>
      </c>
      <c r="AL307" s="3">
        <f>INT(VLOOKUP(U307,模板计算相关数据!A:N,5,0)*VLOOKUP(X307,模板计算相关数据!$P$4:$T$7,4,0)*VLOOKUP(Y307,模板计算相关数据!$P$22:$U$30,4,0)*AB307)</f>
        <v>264</v>
      </c>
      <c r="AM307" s="3">
        <f>INT(VLOOKUP(U307,模板计算相关数据!A:N,6,0)*VLOOKUP(X307,模板计算相关数据!$P$4:$T$7,4,0)*VLOOKUP(Y307,模板计算相关数据!$P$22:$U$30,5,0)*AC307)</f>
        <v>145</v>
      </c>
      <c r="AN307" s="3">
        <f>VLOOKUP(U307,模板计算相关数据!A:N,10,0)*0.5*VLOOKUP(Y307,模板计算相关数据!$P$22:$U$30,6,0)+AD307</f>
        <v>275</v>
      </c>
      <c r="AO307" s="3">
        <f>VLOOKUP(INT(VLOOKUP(U307,模板计算相关数据!A:N,2,0)/30)+1,模板计算相关数据!$O$35:$U$40,3,0)+AE307</f>
        <v>0</v>
      </c>
      <c r="AP307" s="3">
        <f>VLOOKUP(INT(VLOOKUP(U307,模板计算相关数据!A:N,2,0)/30)+1,模板计算相关数据!$O$35:$U$40,4,0)+AF307</f>
        <v>5000</v>
      </c>
      <c r="AQ307" s="3">
        <f>VLOOKUP(INT(VLOOKUP(U307,模板计算相关数据!A:N,2,0)/30)+1,模板计算相关数据!$O$35:$U$40,5,0)+AG307</f>
        <v>0</v>
      </c>
      <c r="AR307" s="3">
        <f>VLOOKUP(INT(VLOOKUP(U307,模板计算相关数据!A:N,2,0)/30)+1,模板计算相关数据!$O$35:$U$40,6,0)+AH307</f>
        <v>0</v>
      </c>
      <c r="AS307" s="3">
        <f>VLOOKUP(INT(VLOOKUP(U307,模板计算相关数据!A:N,2,0)/30)+1,模板计算相关数据!$O$35:$U$40,7,0)+AI307</f>
        <v>0</v>
      </c>
      <c r="AT307" s="3">
        <f>VLOOKUP(INT(VLOOKUP(U307,模板计算相关数据!A:N,2,0)/30)+1,模板计算相关数据!$O$35:$V$40,8,0)</f>
        <v>0</v>
      </c>
      <c r="AU307" s="2"/>
    </row>
    <row r="308" spans="1:47" x14ac:dyDescent="0.2">
      <c r="A308" s="45">
        <v>102100103</v>
      </c>
      <c r="B308" s="45"/>
      <c r="C308" s="69" t="s">
        <v>1746</v>
      </c>
      <c r="D308" s="33" t="s">
        <v>1872</v>
      </c>
      <c r="E308" s="2">
        <v>2</v>
      </c>
      <c r="F308" s="3">
        <v>3</v>
      </c>
      <c r="G308" s="3">
        <v>1001401</v>
      </c>
      <c r="H308" s="3">
        <v>4</v>
      </c>
      <c r="I308" s="3">
        <v>4</v>
      </c>
      <c r="J308" s="3">
        <v>1</v>
      </c>
      <c r="K308" s="3"/>
      <c r="L308" s="91" t="s">
        <v>1547</v>
      </c>
      <c r="M308" s="3"/>
      <c r="N308" s="2">
        <v>1</v>
      </c>
      <c r="O308" s="2"/>
      <c r="P308" s="3" t="s">
        <v>1615</v>
      </c>
      <c r="Q308" s="95">
        <f t="shared" si="30"/>
        <v>4.4674509803921572</v>
      </c>
      <c r="R308" s="133">
        <f>IF(P308=模板计算相关数据!$AB$24,VLOOKUP(X308,模板计算相关数据!$P$47:$T$50,2,0),VLOOKUP(X308,模板计算相关数据!$P$4:$U$7,3,0))*VLOOKUP(Y308,模板计算相关数据!$P$22:$X$30,8,0)</f>
        <v>4.4674509803921572</v>
      </c>
      <c r="S308" s="62">
        <v>6.47</v>
      </c>
      <c r="T308" s="133">
        <f>IF(P308=模板计算相关数据!$AB$24,VLOOKUP(X308,模板计算相关数据!$P$47:$T$50,5,0),VLOOKUP(X308,模板计算相关数据!$P$4:$U$7,6,0))*VLOOKUP(Y308,模板计算相关数据!$P$22:$X$30,9,0)</f>
        <v>5.4739930589768004</v>
      </c>
      <c r="U308" s="103">
        <v>1</v>
      </c>
      <c r="V308" s="95">
        <f t="shared" si="29"/>
        <v>4</v>
      </c>
      <c r="W308" s="29">
        <f>VLOOKUP(U308,模板计算相关数据!A:N,2,0)</f>
        <v>1</v>
      </c>
      <c r="X308" s="3" t="s">
        <v>151</v>
      </c>
      <c r="Y308" s="3" t="s">
        <v>162</v>
      </c>
      <c r="Z308" s="99">
        <v>1</v>
      </c>
      <c r="AA308" s="95">
        <v>1</v>
      </c>
      <c r="AB308" s="95">
        <v>1</v>
      </c>
      <c r="AC308" s="95">
        <v>1</v>
      </c>
      <c r="AD308" s="95">
        <v>0</v>
      </c>
      <c r="AE308" s="95">
        <v>0</v>
      </c>
      <c r="AF308" s="95">
        <v>0</v>
      </c>
      <c r="AG308" s="95">
        <v>0</v>
      </c>
      <c r="AH308" s="95">
        <v>0</v>
      </c>
      <c r="AI308" s="95">
        <v>0</v>
      </c>
      <c r="AJ308" s="3">
        <f>INT(VLOOKUP(U308,模板计算相关数据!A:N,4,0)*VLOOKUP(U308,模板计算相关数据!A:N,14,0)*(1+MAX(0,(VLOOKUP(U308,模板计算相关数据!A:N,7,0)-AQ308))*VLOOKUP(U308,模板计算相关数据!A:N,8,0))*(1-(AL308+AM308)*0.5/((AL308+AM308)*0.5+(VLOOKUP(U308,模板计算相关数据!A:N,2,0)+模板计算相关数据!$AC$27)*模板计算相关数据!$AC$28))*Q308*Z308)</f>
        <v>328</v>
      </c>
      <c r="AK308" s="3">
        <f>INT(VLOOKUP(U308,模板计算相关数据!A:N,3,0)/模板计算相关数据!$W$35/(1+MAX(0,(AO308/10000-VLOOKUP(U308,模板计算相关数据!A:N,9,0)))*AP308/10000)/(1-VLOOKUP(U308,模板计算相关数据!A:N,5,0)/(VLOOKUP(U308,模板计算相关数据!A:N,5,0)+(VLOOKUP(U308,模板计算相关数据!A:N,2,0)+模板计算相关数据!$AC$27)*模板计算相关数据!$AC$28))/S308*AA308)</f>
        <v>86</v>
      </c>
      <c r="AL308" s="3">
        <f>INT(VLOOKUP(U308,模板计算相关数据!A:N,5,0)*VLOOKUP(X308,模板计算相关数据!$P$4:$T$7,4,0)*VLOOKUP(Y308,模板计算相关数据!$P$22:$U$30,4,0)*AB308)</f>
        <v>136</v>
      </c>
      <c r="AM308" s="3">
        <f>INT(VLOOKUP(U308,模板计算相关数据!A:N,6,0)*VLOOKUP(X308,模板计算相关数据!$P$4:$T$7,4,0)*VLOOKUP(Y308,模板计算相关数据!$P$22:$U$30,5,0)*AC308)</f>
        <v>230</v>
      </c>
      <c r="AN308" s="3">
        <f>VLOOKUP(U308,模板计算相关数据!A:N,10,0)*0.5*VLOOKUP(Y308,模板计算相关数据!$P$22:$U$30,6,0)+AD308</f>
        <v>250</v>
      </c>
      <c r="AO308" s="3">
        <f>VLOOKUP(INT(VLOOKUP(U308,模板计算相关数据!A:N,2,0)/30)+1,模板计算相关数据!$O$35:$U$40,3,0)+AE308</f>
        <v>0</v>
      </c>
      <c r="AP308" s="3">
        <f>VLOOKUP(INT(VLOOKUP(U308,模板计算相关数据!A:N,2,0)/30)+1,模板计算相关数据!$O$35:$U$40,4,0)+AF308</f>
        <v>5000</v>
      </c>
      <c r="AQ308" s="3">
        <f>VLOOKUP(INT(VLOOKUP(U308,模板计算相关数据!A:N,2,0)/30)+1,模板计算相关数据!$O$35:$U$40,5,0)+AG308</f>
        <v>0</v>
      </c>
      <c r="AR308" s="3">
        <f>VLOOKUP(INT(VLOOKUP(U308,模板计算相关数据!A:N,2,0)/30)+1,模板计算相关数据!$O$35:$U$40,6,0)+AH308</f>
        <v>0</v>
      </c>
      <c r="AS308" s="3">
        <f>VLOOKUP(INT(VLOOKUP(U308,模板计算相关数据!A:N,2,0)/30)+1,模板计算相关数据!$O$35:$U$40,7,0)+AI308</f>
        <v>0</v>
      </c>
      <c r="AT308" s="3">
        <f>VLOOKUP(INT(VLOOKUP(U308,模板计算相关数据!A:N,2,0)/30)+1,模板计算相关数据!$O$35:$V$40,8,0)</f>
        <v>0</v>
      </c>
      <c r="AU308" s="2"/>
    </row>
    <row r="309" spans="1:47" x14ac:dyDescent="0.2">
      <c r="A309" s="45">
        <v>102100104</v>
      </c>
      <c r="B309" s="45"/>
      <c r="C309" s="69" t="s">
        <v>992</v>
      </c>
      <c r="D309" s="33" t="s">
        <v>1872</v>
      </c>
      <c r="E309" s="2">
        <v>1</v>
      </c>
      <c r="F309" s="3">
        <v>4</v>
      </c>
      <c r="G309" s="3">
        <v>1001601</v>
      </c>
      <c r="H309" s="3">
        <v>6</v>
      </c>
      <c r="I309" s="3">
        <v>4</v>
      </c>
      <c r="J309" s="3">
        <v>1</v>
      </c>
      <c r="K309" s="3">
        <v>1</v>
      </c>
      <c r="L309" s="91" t="s">
        <v>1873</v>
      </c>
      <c r="M309" s="3"/>
      <c r="N309" s="2">
        <v>1</v>
      </c>
      <c r="O309" s="2"/>
      <c r="P309" s="3" t="s">
        <v>1613</v>
      </c>
      <c r="Q309" s="95">
        <v>13.5</v>
      </c>
      <c r="R309" s="133">
        <f>IF(P309=模板计算相关数据!$AB$24,VLOOKUP(X309,模板计算相关数据!$P$47:$T$50,2,0),VLOOKUP(X309,模板计算相关数据!$P$4:$U$7,3,0))*VLOOKUP(Y309,模板计算相关数据!$P$22:$X$30,8,0)</f>
        <v>23.083921568627449</v>
      </c>
      <c r="S309" s="62">
        <v>3.73</v>
      </c>
      <c r="T309" s="133">
        <f>IF(P309=模板计算相关数据!$AB$24,VLOOKUP(X309,模板计算相关数据!$P$47:$T$50,5,0),VLOOKUP(X309,模板计算相关数据!$P$4:$U$7,6,0))*VLOOKUP(Y309,模板计算相关数据!$P$22:$X$30,9,0)</f>
        <v>3.1342460257760378</v>
      </c>
      <c r="U309" s="103">
        <v>1</v>
      </c>
      <c r="V309" s="95">
        <f t="shared" si="29"/>
        <v>4</v>
      </c>
      <c r="W309" s="29">
        <f>VLOOKUP(U309,模板计算相关数据!A:N,2,0)</f>
        <v>1</v>
      </c>
      <c r="X309" s="3" t="s">
        <v>178</v>
      </c>
      <c r="Y309" s="3" t="s">
        <v>159</v>
      </c>
      <c r="Z309" s="95">
        <v>1.05</v>
      </c>
      <c r="AA309" s="95">
        <v>1</v>
      </c>
      <c r="AB309" s="95">
        <v>1</v>
      </c>
      <c r="AC309" s="95">
        <v>1</v>
      </c>
      <c r="AD309" s="95">
        <v>0</v>
      </c>
      <c r="AE309" s="95">
        <v>0</v>
      </c>
      <c r="AF309" s="95">
        <v>0</v>
      </c>
      <c r="AG309" s="95">
        <v>0</v>
      </c>
      <c r="AH309" s="95">
        <v>0</v>
      </c>
      <c r="AI309" s="95">
        <v>2000</v>
      </c>
      <c r="AJ309" s="3">
        <f>INT(VLOOKUP(U309,模板计算相关数据!A:N,4,0)*VLOOKUP(U309,模板计算相关数据!A:N,14,0)*(1+MAX(0,(VLOOKUP(U309,模板计算相关数据!A:N,7,0)-AQ309))*VLOOKUP(U309,模板计算相关数据!A:N,8,0))*(1-(AL309+AM309)*0.5/((AL309+AM309)*0.5+(VLOOKUP(U309,模板计算相关数据!A:N,2,0)+模板计算相关数据!$AC$27)*模板计算相关数据!$AC$28))*Q309*Z309)</f>
        <v>879</v>
      </c>
      <c r="AK309" s="3">
        <f>INT(VLOOKUP(U309,模板计算相关数据!A:N,3,0)/模板计算相关数据!$W$35/(1+MAX(0,(AO309/10000-VLOOKUP(U309,模板计算相关数据!A:N,9,0)))*AP309/10000)/(1-VLOOKUP(U309,模板计算相关数据!A:N,5,0)/(VLOOKUP(U309,模板计算相关数据!A:N,5,0)+(VLOOKUP(U309,模板计算相关数据!A:N,2,0)+模板计算相关数据!$AC$27)*模板计算相关数据!$AC$28))/S309*AA309)</f>
        <v>149</v>
      </c>
      <c r="AL309" s="3">
        <f>INT(VLOOKUP(U309,模板计算相关数据!A:N,5,0)*VLOOKUP(X309,模板计算相关数据!$P$4:$T$7,4,0)*VLOOKUP(Y309,模板计算相关数据!$P$22:$U$30,4,0)*AB309)</f>
        <v>397</v>
      </c>
      <c r="AM309" s="3">
        <f>INT(VLOOKUP(U309,模板计算相关数据!A:N,6,0)*VLOOKUP(X309,模板计算相关数据!$P$4:$T$7,4,0)*VLOOKUP(Y309,模板计算相关数据!$P$22:$U$30,5,0)*AC309)</f>
        <v>217</v>
      </c>
      <c r="AN309" s="3">
        <f>VLOOKUP(U309,模板计算相关数据!A:N,10,0)*0.5*VLOOKUP(Y309,模板计算相关数据!$P$22:$U$30,6,0)+AD309</f>
        <v>275</v>
      </c>
      <c r="AO309" s="3">
        <f>VLOOKUP(INT(VLOOKUP(U309,模板计算相关数据!A:N,2,0)/30)+1,模板计算相关数据!$O$35:$U$40,3,0)+AE309</f>
        <v>0</v>
      </c>
      <c r="AP309" s="3">
        <f>VLOOKUP(INT(VLOOKUP(U309,模板计算相关数据!A:N,2,0)/30)+1,模板计算相关数据!$O$35:$U$40,4,0)+AF309</f>
        <v>5000</v>
      </c>
      <c r="AQ309" s="3">
        <f>VLOOKUP(INT(VLOOKUP(U309,模板计算相关数据!A:N,2,0)/30)+1,模板计算相关数据!$O$35:$U$40,5,0)+AG309</f>
        <v>0</v>
      </c>
      <c r="AR309" s="3">
        <f>VLOOKUP(INT(VLOOKUP(U309,模板计算相关数据!A:N,2,0)/30)+1,模板计算相关数据!$O$35:$U$40,6,0)+AH309</f>
        <v>0</v>
      </c>
      <c r="AS309" s="3">
        <f>VLOOKUP(INT(VLOOKUP(U309,模板计算相关数据!A:N,2,0)/30)+1,模板计算相关数据!$O$35:$U$40,7,0)+AI309</f>
        <v>2000</v>
      </c>
      <c r="AT309" s="3">
        <f>VLOOKUP(INT(VLOOKUP(U309,模板计算相关数据!A:N,2,0)/30)+1,模板计算相关数据!$O$35:$V$40,8,0)</f>
        <v>0</v>
      </c>
      <c r="AU309" s="69" t="s">
        <v>1960</v>
      </c>
    </row>
    <row r="310" spans="1:47" x14ac:dyDescent="0.2">
      <c r="A310" s="43">
        <v>102120101</v>
      </c>
      <c r="B310" s="43"/>
      <c r="C310" s="69" t="s">
        <v>1821</v>
      </c>
      <c r="D310" s="87" t="s">
        <v>1763</v>
      </c>
      <c r="E310" s="2">
        <v>2</v>
      </c>
      <c r="F310" s="3">
        <v>3</v>
      </c>
      <c r="G310" s="3">
        <v>1003201</v>
      </c>
      <c r="H310" s="3">
        <v>5</v>
      </c>
      <c r="I310" s="3">
        <v>4</v>
      </c>
      <c r="J310" s="3">
        <v>1</v>
      </c>
      <c r="K310" s="3"/>
      <c r="L310" s="91" t="s">
        <v>1548</v>
      </c>
      <c r="M310" s="3"/>
      <c r="N310" s="2">
        <v>1</v>
      </c>
      <c r="O310" s="2"/>
      <c r="P310" s="3" t="s">
        <v>1615</v>
      </c>
      <c r="Q310" s="95">
        <f t="shared" ref="Q310:Q312" si="32">R310</f>
        <v>5.7709803921568623</v>
      </c>
      <c r="R310" s="133">
        <f>IF(P310=模板计算相关数据!$AB$24,VLOOKUP(X310,模板计算相关数据!$P$47:$T$50,2,0),VLOOKUP(X310,模板计算相关数据!$P$4:$U$7,3,0))*VLOOKUP(Y310,模板计算相关数据!$P$22:$X$30,8,0)</f>
        <v>5.7709803921568623</v>
      </c>
      <c r="S310" s="62">
        <v>7.41</v>
      </c>
      <c r="T310" s="133">
        <f>IF(P310=模板计算相关数据!$AB$24,VLOOKUP(X310,模板计算相关数据!$P$47:$T$50,5,0),VLOOKUP(X310,模板计算相关数据!$P$4:$U$7,6,0))*VLOOKUP(Y310,模板计算相关数据!$P$22:$X$30,9,0)</f>
        <v>6.4077918749198997</v>
      </c>
      <c r="U310" s="103">
        <v>1</v>
      </c>
      <c r="V310" s="95">
        <f t="shared" si="29"/>
        <v>4</v>
      </c>
      <c r="W310" s="29">
        <f>VLOOKUP(U310,模板计算相关数据!A:N,2,0)</f>
        <v>1</v>
      </c>
      <c r="X310" s="3" t="s">
        <v>151</v>
      </c>
      <c r="Y310" s="3" t="s">
        <v>159</v>
      </c>
      <c r="Z310" s="99">
        <v>1</v>
      </c>
      <c r="AA310" s="95">
        <v>1</v>
      </c>
      <c r="AB310" s="95">
        <v>1</v>
      </c>
      <c r="AC310" s="95">
        <v>1</v>
      </c>
      <c r="AD310" s="95">
        <v>0</v>
      </c>
      <c r="AE310" s="95">
        <v>0</v>
      </c>
      <c r="AF310" s="95">
        <v>0</v>
      </c>
      <c r="AG310" s="95">
        <v>0</v>
      </c>
      <c r="AH310" s="95">
        <v>0</v>
      </c>
      <c r="AI310" s="95">
        <v>0</v>
      </c>
      <c r="AJ310" s="3">
        <f>INT(VLOOKUP(U310,模板计算相关数据!A:N,4,0)*VLOOKUP(U310,模板计算相关数据!A:N,14,0)*(1+MAX(0,(VLOOKUP(U310,模板计算相关数据!A:N,7,0)-AQ310))*VLOOKUP(U310,模板计算相关数据!A:N,8,0))*(1-(AL310+AM310)*0.5/((AL310+AM310)*0.5+(VLOOKUP(U310,模板计算相关数据!A:N,2,0)+模板计算相关数据!$AC$27)*模板计算相关数据!$AC$28))*Q310*Z310)</f>
        <v>411</v>
      </c>
      <c r="AK310" s="3">
        <f>INT(VLOOKUP(U310,模板计算相关数据!A:N,3,0)/模板计算相关数据!$W$35/(1+MAX(0,(AO310/10000-VLOOKUP(U310,模板计算相关数据!A:N,9,0)))*AP310/10000)/(1-VLOOKUP(U310,模板计算相关数据!A:N,5,0)/(VLOOKUP(U310,模板计算相关数据!A:N,5,0)+(VLOOKUP(U310,模板计算相关数据!A:N,2,0)+模板计算相关数据!$AC$27)*模板计算相关数据!$AC$28))/S310*AA310)</f>
        <v>75</v>
      </c>
      <c r="AL310" s="3">
        <f>INT(VLOOKUP(U310,模板计算相关数据!A:N,5,0)*VLOOKUP(X310,模板计算相关数据!$P$4:$T$7,4,0)*VLOOKUP(Y310,模板计算相关数据!$P$22:$U$30,4,0)*AB310)</f>
        <v>264</v>
      </c>
      <c r="AM310" s="3">
        <f>INT(VLOOKUP(U310,模板计算相关数据!A:N,6,0)*VLOOKUP(X310,模板计算相关数据!$P$4:$T$7,4,0)*VLOOKUP(Y310,模板计算相关数据!$P$22:$U$30,5,0)*AC310)</f>
        <v>145</v>
      </c>
      <c r="AN310" s="3">
        <f>VLOOKUP(U310,模板计算相关数据!A:N,10,0)*0.5*VLOOKUP(Y310,模板计算相关数据!$P$22:$U$30,6,0)+AD310</f>
        <v>275</v>
      </c>
      <c r="AO310" s="3">
        <f>VLOOKUP(INT(VLOOKUP(U310,模板计算相关数据!A:N,2,0)/30)+1,模板计算相关数据!$O$35:$U$40,3,0)+AE310</f>
        <v>0</v>
      </c>
      <c r="AP310" s="3">
        <f>VLOOKUP(INT(VLOOKUP(U310,模板计算相关数据!A:N,2,0)/30)+1,模板计算相关数据!$O$35:$U$40,4,0)+AF310</f>
        <v>5000</v>
      </c>
      <c r="AQ310" s="3">
        <f>VLOOKUP(INT(VLOOKUP(U310,模板计算相关数据!A:N,2,0)/30)+1,模板计算相关数据!$O$35:$U$40,5,0)+AG310</f>
        <v>0</v>
      </c>
      <c r="AR310" s="3">
        <f>VLOOKUP(INT(VLOOKUP(U310,模板计算相关数据!A:N,2,0)/30)+1,模板计算相关数据!$O$35:$U$40,6,0)+AH310</f>
        <v>0</v>
      </c>
      <c r="AS310" s="3">
        <f>VLOOKUP(INT(VLOOKUP(U310,模板计算相关数据!A:N,2,0)/30)+1,模板计算相关数据!$O$35:$U$40,7,0)+AI310</f>
        <v>0</v>
      </c>
      <c r="AT310" s="3">
        <f>VLOOKUP(INT(VLOOKUP(U310,模板计算相关数据!A:N,2,0)/30)+1,模板计算相关数据!$O$35:$V$40,8,0)</f>
        <v>0</v>
      </c>
      <c r="AU310" s="2"/>
    </row>
    <row r="311" spans="1:47" x14ac:dyDescent="0.2">
      <c r="A311" s="43">
        <v>102120102</v>
      </c>
      <c r="B311" s="43"/>
      <c r="C311" s="69" t="s">
        <v>1746</v>
      </c>
      <c r="D311" s="87" t="s">
        <v>1763</v>
      </c>
      <c r="E311" s="2">
        <v>2</v>
      </c>
      <c r="F311" s="3">
        <v>2</v>
      </c>
      <c r="G311" s="3">
        <v>1001401</v>
      </c>
      <c r="H311" s="3">
        <v>4</v>
      </c>
      <c r="I311" s="3">
        <v>4</v>
      </c>
      <c r="J311" s="3">
        <v>1</v>
      </c>
      <c r="K311" s="3"/>
      <c r="L311" s="91" t="s">
        <v>1547</v>
      </c>
      <c r="M311" s="3"/>
      <c r="N311" s="2">
        <v>1</v>
      </c>
      <c r="O311" s="2"/>
      <c r="P311" s="3" t="s">
        <v>1615</v>
      </c>
      <c r="Q311" s="95">
        <f t="shared" si="32"/>
        <v>4.4674509803921572</v>
      </c>
      <c r="R311" s="133">
        <f>IF(P311=模板计算相关数据!$AB$24,VLOOKUP(X311,模板计算相关数据!$P$47:$T$50,2,0),VLOOKUP(X311,模板计算相关数据!$P$4:$U$7,3,0))*VLOOKUP(Y311,模板计算相关数据!$P$22:$X$30,8,0)</f>
        <v>4.4674509803921572</v>
      </c>
      <c r="S311" s="62">
        <v>6.47</v>
      </c>
      <c r="T311" s="133">
        <f>IF(P311=模板计算相关数据!$AB$24,VLOOKUP(X311,模板计算相关数据!$P$47:$T$50,5,0),VLOOKUP(X311,模板计算相关数据!$P$4:$U$7,6,0))*VLOOKUP(Y311,模板计算相关数据!$P$22:$X$30,9,0)</f>
        <v>5.4739930589768004</v>
      </c>
      <c r="U311" s="103">
        <v>1</v>
      </c>
      <c r="V311" s="95">
        <f t="shared" si="29"/>
        <v>4</v>
      </c>
      <c r="W311" s="29">
        <f>VLOOKUP(U311,模板计算相关数据!A:N,2,0)</f>
        <v>1</v>
      </c>
      <c r="X311" s="3" t="s">
        <v>151</v>
      </c>
      <c r="Y311" s="3" t="s">
        <v>162</v>
      </c>
      <c r="Z311" s="99">
        <v>1</v>
      </c>
      <c r="AA311" s="95">
        <v>1</v>
      </c>
      <c r="AB311" s="95">
        <v>1</v>
      </c>
      <c r="AC311" s="95">
        <v>1</v>
      </c>
      <c r="AD311" s="95">
        <v>0</v>
      </c>
      <c r="AE311" s="95">
        <v>0</v>
      </c>
      <c r="AF311" s="95">
        <v>0</v>
      </c>
      <c r="AG311" s="95">
        <v>0</v>
      </c>
      <c r="AH311" s="95">
        <v>0</v>
      </c>
      <c r="AI311" s="95">
        <v>0</v>
      </c>
      <c r="AJ311" s="3">
        <f>INT(VLOOKUP(U311,模板计算相关数据!A:N,4,0)*VLOOKUP(U311,模板计算相关数据!A:N,14,0)*(1+MAX(0,(VLOOKUP(U311,模板计算相关数据!A:N,7,0)-AQ311))*VLOOKUP(U311,模板计算相关数据!A:N,8,0))*(1-(AL311+AM311)*0.5/((AL311+AM311)*0.5+(VLOOKUP(U311,模板计算相关数据!A:N,2,0)+模板计算相关数据!$AC$27)*模板计算相关数据!$AC$28))*Q311*Z311)</f>
        <v>328</v>
      </c>
      <c r="AK311" s="3">
        <f>INT(VLOOKUP(U311,模板计算相关数据!A:N,3,0)/模板计算相关数据!$W$35/(1+MAX(0,(AO311/10000-VLOOKUP(U311,模板计算相关数据!A:N,9,0)))*AP311/10000)/(1-VLOOKUP(U311,模板计算相关数据!A:N,5,0)/(VLOOKUP(U311,模板计算相关数据!A:N,5,0)+(VLOOKUP(U311,模板计算相关数据!A:N,2,0)+模板计算相关数据!$AC$27)*模板计算相关数据!$AC$28))/S311*AA311)</f>
        <v>86</v>
      </c>
      <c r="AL311" s="3">
        <f>INT(VLOOKUP(U311,模板计算相关数据!A:N,5,0)*VLOOKUP(X311,模板计算相关数据!$P$4:$T$7,4,0)*VLOOKUP(Y311,模板计算相关数据!$P$22:$U$30,4,0)*AB311)</f>
        <v>136</v>
      </c>
      <c r="AM311" s="3">
        <f>INT(VLOOKUP(U311,模板计算相关数据!A:N,6,0)*VLOOKUP(X311,模板计算相关数据!$P$4:$T$7,4,0)*VLOOKUP(Y311,模板计算相关数据!$P$22:$U$30,5,0)*AC311)</f>
        <v>230</v>
      </c>
      <c r="AN311" s="3">
        <f>VLOOKUP(U311,模板计算相关数据!A:N,10,0)*0.5*VLOOKUP(Y311,模板计算相关数据!$P$22:$U$30,6,0)+AD311</f>
        <v>250</v>
      </c>
      <c r="AO311" s="3">
        <f>VLOOKUP(INT(VLOOKUP(U311,模板计算相关数据!A:N,2,0)/30)+1,模板计算相关数据!$O$35:$U$40,3,0)+AE311</f>
        <v>0</v>
      </c>
      <c r="AP311" s="3">
        <f>VLOOKUP(INT(VLOOKUP(U311,模板计算相关数据!A:N,2,0)/30)+1,模板计算相关数据!$O$35:$U$40,4,0)+AF311</f>
        <v>5000</v>
      </c>
      <c r="AQ311" s="3">
        <f>VLOOKUP(INT(VLOOKUP(U311,模板计算相关数据!A:N,2,0)/30)+1,模板计算相关数据!$O$35:$U$40,5,0)+AG311</f>
        <v>0</v>
      </c>
      <c r="AR311" s="3">
        <f>VLOOKUP(INT(VLOOKUP(U311,模板计算相关数据!A:N,2,0)/30)+1,模板计算相关数据!$O$35:$U$40,6,0)+AH311</f>
        <v>0</v>
      </c>
      <c r="AS311" s="3">
        <f>VLOOKUP(INT(VLOOKUP(U311,模板计算相关数据!A:N,2,0)/30)+1,模板计算相关数据!$O$35:$U$40,7,0)+AI311</f>
        <v>0</v>
      </c>
      <c r="AT311" s="3">
        <f>VLOOKUP(INT(VLOOKUP(U311,模板计算相关数据!A:N,2,0)/30)+1,模板计算相关数据!$O$35:$V$40,8,0)</f>
        <v>0</v>
      </c>
      <c r="AU311" s="2"/>
    </row>
    <row r="312" spans="1:47" x14ac:dyDescent="0.2">
      <c r="A312" s="43">
        <v>102120103</v>
      </c>
      <c r="B312" s="43"/>
      <c r="C312" s="69" t="s">
        <v>1378</v>
      </c>
      <c r="D312" s="87" t="s">
        <v>1763</v>
      </c>
      <c r="E312" s="2">
        <v>1</v>
      </c>
      <c r="F312" s="3">
        <v>2</v>
      </c>
      <c r="G312" s="3">
        <v>1003401</v>
      </c>
      <c r="H312" s="3">
        <v>2</v>
      </c>
      <c r="I312" s="3">
        <v>4</v>
      </c>
      <c r="J312" s="3">
        <v>1</v>
      </c>
      <c r="K312" s="3"/>
      <c r="L312" s="91" t="s">
        <v>1551</v>
      </c>
      <c r="M312" s="3"/>
      <c r="N312" s="2">
        <v>1</v>
      </c>
      <c r="O312" s="2"/>
      <c r="P312" s="3" t="s">
        <v>1615</v>
      </c>
      <c r="Q312" s="95">
        <f t="shared" si="32"/>
        <v>6.9411764705882364</v>
      </c>
      <c r="R312" s="133">
        <f>IF(P312=模板计算相关数据!$AB$24,VLOOKUP(X312,模板计算相关数据!$P$47:$T$50,2,0),VLOOKUP(X312,模板计算相关数据!$P$4:$U$7,3,0))*VLOOKUP(Y312,模板计算相关数据!$P$22:$X$30,8,0)</f>
        <v>6.9411764705882364</v>
      </c>
      <c r="S312" s="62">
        <v>9.26</v>
      </c>
      <c r="T312" s="133">
        <f>IF(P312=模板计算相关数据!$AB$24,VLOOKUP(X312,模板计算相关数据!$P$47:$T$50,5,0),VLOOKUP(X312,模板计算相关数据!$P$4:$U$7,6,0))*VLOOKUP(Y312,模板计算相关数据!$P$22:$X$30,9,0)</f>
        <v>8.2943498888557112</v>
      </c>
      <c r="U312" s="103">
        <v>1</v>
      </c>
      <c r="V312" s="95">
        <f t="shared" si="29"/>
        <v>4</v>
      </c>
      <c r="W312" s="29">
        <f>VLOOKUP(U312,模板计算相关数据!A:N,2,0)</f>
        <v>1</v>
      </c>
      <c r="X312" s="3" t="s">
        <v>151</v>
      </c>
      <c r="Y312" s="3" t="s">
        <v>155</v>
      </c>
      <c r="Z312" s="99">
        <v>1</v>
      </c>
      <c r="AA312" s="95">
        <v>0.9</v>
      </c>
      <c r="AB312" s="95">
        <v>1</v>
      </c>
      <c r="AC312" s="95">
        <v>1</v>
      </c>
      <c r="AD312" s="95">
        <v>0</v>
      </c>
      <c r="AE312" s="95">
        <v>0</v>
      </c>
      <c r="AF312" s="95">
        <v>0</v>
      </c>
      <c r="AG312" s="95">
        <v>0</v>
      </c>
      <c r="AH312" s="95">
        <v>0</v>
      </c>
      <c r="AI312" s="95">
        <v>0</v>
      </c>
      <c r="AJ312" s="3">
        <f>INT(VLOOKUP(U312,模板计算相关数据!A:N,4,0)*VLOOKUP(U312,模板计算相关数据!A:N,14,0)*(1+MAX(0,(VLOOKUP(U312,模板计算相关数据!A:N,7,0)-AQ312))*VLOOKUP(U312,模板计算相关数据!A:N,8,0))*(1-(AL312+AM312)*0.5/((AL312+AM312)*0.5+(VLOOKUP(U312,模板计算相关数据!A:N,2,0)+模板计算相关数据!$AC$27)*模板计算相关数据!$AC$28))*Q312*Z312)</f>
        <v>487</v>
      </c>
      <c r="AK312" s="3">
        <f>INT(VLOOKUP(U312,模板计算相关数据!A:N,3,0)/模板计算相关数据!$W$35/(1+MAX(0,(AO312/10000-VLOOKUP(U312,模板计算相关数据!A:N,9,0)))*AP312/10000)/(1-VLOOKUP(U312,模板计算相关数据!A:N,5,0)/(VLOOKUP(U312,模板计算相关数据!A:N,5,0)+(VLOOKUP(U312,模板计算相关数据!A:N,2,0)+模板计算相关数据!$AC$27)*模板计算相关数据!$AC$28))/S312*AA312)</f>
        <v>54</v>
      </c>
      <c r="AL312" s="3">
        <f>INT(VLOOKUP(U312,模板计算相关数据!A:N,5,0)*VLOOKUP(X312,模板计算相关数据!$P$4:$T$7,4,0)*VLOOKUP(Y312,模板计算相关数据!$P$22:$U$30,4,0)*AB312)</f>
        <v>277</v>
      </c>
      <c r="AM312" s="3">
        <f>INT(VLOOKUP(U312,模板计算相关数据!A:N,6,0)*VLOOKUP(X312,模板计算相关数据!$P$4:$T$7,4,0)*VLOOKUP(Y312,模板计算相关数据!$P$22:$U$30,5,0)*AC312)</f>
        <v>153</v>
      </c>
      <c r="AN312" s="3">
        <f>VLOOKUP(U312,模板计算相关数据!A:N,10,0)*0.5*VLOOKUP(Y312,模板计算相关数据!$P$22:$U$30,6,0)+AD312</f>
        <v>225</v>
      </c>
      <c r="AO312" s="3">
        <f>VLOOKUP(INT(VLOOKUP(U312,模板计算相关数据!A:N,2,0)/30)+1,模板计算相关数据!$O$35:$U$40,3,0)+AE312</f>
        <v>0</v>
      </c>
      <c r="AP312" s="3">
        <f>VLOOKUP(INT(VLOOKUP(U312,模板计算相关数据!A:N,2,0)/30)+1,模板计算相关数据!$O$35:$U$40,4,0)+AF312</f>
        <v>5000</v>
      </c>
      <c r="AQ312" s="3">
        <f>VLOOKUP(INT(VLOOKUP(U312,模板计算相关数据!A:N,2,0)/30)+1,模板计算相关数据!$O$35:$U$40,5,0)+AG312</f>
        <v>0</v>
      </c>
      <c r="AR312" s="3">
        <f>VLOOKUP(INT(VLOOKUP(U312,模板计算相关数据!A:N,2,0)/30)+1,模板计算相关数据!$O$35:$U$40,6,0)+AH312</f>
        <v>0</v>
      </c>
      <c r="AS312" s="3">
        <f>VLOOKUP(INT(VLOOKUP(U312,模板计算相关数据!A:N,2,0)/30)+1,模板计算相关数据!$O$35:$U$40,7,0)+AI312</f>
        <v>0</v>
      </c>
      <c r="AT312" s="3">
        <f>VLOOKUP(INT(VLOOKUP(U312,模板计算相关数据!A:N,2,0)/30)+1,模板计算相关数据!$O$35:$V$40,8,0)</f>
        <v>0</v>
      </c>
      <c r="AU312" s="2"/>
    </row>
    <row r="313" spans="1:47" x14ac:dyDescent="0.2">
      <c r="A313" s="45">
        <v>102120104</v>
      </c>
      <c r="B313" s="45"/>
      <c r="C313" s="69" t="s">
        <v>1821</v>
      </c>
      <c r="D313" s="87" t="s">
        <v>1764</v>
      </c>
      <c r="E313" s="2">
        <v>2</v>
      </c>
      <c r="F313" s="3">
        <v>3</v>
      </c>
      <c r="G313" s="3">
        <v>1003201</v>
      </c>
      <c r="H313" s="3">
        <v>5</v>
      </c>
      <c r="I313" s="3">
        <v>4</v>
      </c>
      <c r="J313" s="3">
        <v>1</v>
      </c>
      <c r="K313" s="3"/>
      <c r="L313" s="91" t="s">
        <v>1548</v>
      </c>
      <c r="M313" s="3"/>
      <c r="N313" s="2">
        <v>1</v>
      </c>
      <c r="O313" s="2"/>
      <c r="P313" s="3" t="s">
        <v>1615</v>
      </c>
      <c r="Q313" s="95">
        <f t="shared" ref="Q313:Q315" si="33">R313</f>
        <v>5.7709803921568623</v>
      </c>
      <c r="R313" s="133">
        <f>IF(P313=模板计算相关数据!$AB$24,VLOOKUP(X313,模板计算相关数据!$P$47:$T$50,2,0),VLOOKUP(X313,模板计算相关数据!$P$4:$U$7,3,0))*VLOOKUP(Y313,模板计算相关数据!$P$22:$X$30,8,0)</f>
        <v>5.7709803921568623</v>
      </c>
      <c r="S313" s="62">
        <v>7.41</v>
      </c>
      <c r="T313" s="133">
        <f>IF(P313=模板计算相关数据!$AB$24,VLOOKUP(X313,模板计算相关数据!$P$47:$T$50,5,0),VLOOKUP(X313,模板计算相关数据!$P$4:$U$7,6,0))*VLOOKUP(Y313,模板计算相关数据!$P$22:$X$30,9,0)</f>
        <v>6.4077918749198997</v>
      </c>
      <c r="U313" s="103">
        <v>1</v>
      </c>
      <c r="V313" s="95">
        <f t="shared" si="29"/>
        <v>4</v>
      </c>
      <c r="W313" s="29">
        <f>VLOOKUP(U313,模板计算相关数据!A:N,2,0)</f>
        <v>1</v>
      </c>
      <c r="X313" s="3" t="s">
        <v>151</v>
      </c>
      <c r="Y313" s="3" t="s">
        <v>159</v>
      </c>
      <c r="Z313" s="99">
        <v>1</v>
      </c>
      <c r="AA313" s="95">
        <v>1</v>
      </c>
      <c r="AB313" s="95">
        <v>1</v>
      </c>
      <c r="AC313" s="95">
        <v>1</v>
      </c>
      <c r="AD313" s="95">
        <v>0</v>
      </c>
      <c r="AE313" s="95">
        <v>0</v>
      </c>
      <c r="AF313" s="95">
        <v>0</v>
      </c>
      <c r="AG313" s="95">
        <v>0</v>
      </c>
      <c r="AH313" s="95">
        <v>0</v>
      </c>
      <c r="AI313" s="95">
        <v>0</v>
      </c>
      <c r="AJ313" s="3">
        <f>INT(VLOOKUP(U313,模板计算相关数据!A:N,4,0)*VLOOKUP(U313,模板计算相关数据!A:N,14,0)*(1+MAX(0,(VLOOKUP(U313,模板计算相关数据!A:N,7,0)-AQ313))*VLOOKUP(U313,模板计算相关数据!A:N,8,0))*(1-(AL313+AM313)*0.5/((AL313+AM313)*0.5+(VLOOKUP(U313,模板计算相关数据!A:N,2,0)+模板计算相关数据!$AC$27)*模板计算相关数据!$AC$28))*Q313*Z313)</f>
        <v>411</v>
      </c>
      <c r="AK313" s="3">
        <f>INT(VLOOKUP(U313,模板计算相关数据!A:N,3,0)/模板计算相关数据!$W$35/(1+MAX(0,(AO313/10000-VLOOKUP(U313,模板计算相关数据!A:N,9,0)))*AP313/10000)/(1-VLOOKUP(U313,模板计算相关数据!A:N,5,0)/(VLOOKUP(U313,模板计算相关数据!A:N,5,0)+(VLOOKUP(U313,模板计算相关数据!A:N,2,0)+模板计算相关数据!$AC$27)*模板计算相关数据!$AC$28))/S313*AA313)</f>
        <v>75</v>
      </c>
      <c r="AL313" s="3">
        <f>INT(VLOOKUP(U313,模板计算相关数据!A:N,5,0)*VLOOKUP(X313,模板计算相关数据!$P$4:$T$7,4,0)*VLOOKUP(Y313,模板计算相关数据!$P$22:$U$30,4,0)*AB313)</f>
        <v>264</v>
      </c>
      <c r="AM313" s="3">
        <f>INT(VLOOKUP(U313,模板计算相关数据!A:N,6,0)*VLOOKUP(X313,模板计算相关数据!$P$4:$T$7,4,0)*VLOOKUP(Y313,模板计算相关数据!$P$22:$U$30,5,0)*AC313)</f>
        <v>145</v>
      </c>
      <c r="AN313" s="3">
        <f>VLOOKUP(U313,模板计算相关数据!A:N,10,0)*0.5*VLOOKUP(Y313,模板计算相关数据!$P$22:$U$30,6,0)+AD313</f>
        <v>275</v>
      </c>
      <c r="AO313" s="3">
        <f>VLOOKUP(INT(VLOOKUP(U313,模板计算相关数据!A:N,2,0)/30)+1,模板计算相关数据!$O$35:$U$40,3,0)+AE313</f>
        <v>0</v>
      </c>
      <c r="AP313" s="3">
        <f>VLOOKUP(INT(VLOOKUP(U313,模板计算相关数据!A:N,2,0)/30)+1,模板计算相关数据!$O$35:$U$40,4,0)+AF313</f>
        <v>5000</v>
      </c>
      <c r="AQ313" s="3">
        <f>VLOOKUP(INT(VLOOKUP(U313,模板计算相关数据!A:N,2,0)/30)+1,模板计算相关数据!$O$35:$U$40,5,0)+AG313</f>
        <v>0</v>
      </c>
      <c r="AR313" s="3">
        <f>VLOOKUP(INT(VLOOKUP(U313,模板计算相关数据!A:N,2,0)/30)+1,模板计算相关数据!$O$35:$U$40,6,0)+AH313</f>
        <v>0</v>
      </c>
      <c r="AS313" s="3">
        <f>VLOOKUP(INT(VLOOKUP(U313,模板计算相关数据!A:N,2,0)/30)+1,模板计算相关数据!$O$35:$U$40,7,0)+AI313</f>
        <v>0</v>
      </c>
      <c r="AT313" s="3">
        <f>VLOOKUP(INT(VLOOKUP(U313,模板计算相关数据!A:N,2,0)/30)+1,模板计算相关数据!$O$35:$V$40,8,0)</f>
        <v>0</v>
      </c>
      <c r="AU313" s="2"/>
    </row>
    <row r="314" spans="1:47" x14ac:dyDescent="0.2">
      <c r="A314" s="45">
        <v>102120105</v>
      </c>
      <c r="B314" s="45"/>
      <c r="C314" s="69" t="s">
        <v>1746</v>
      </c>
      <c r="D314" s="87" t="s">
        <v>1764</v>
      </c>
      <c r="E314" s="2">
        <v>2</v>
      </c>
      <c r="F314" s="3">
        <v>2</v>
      </c>
      <c r="G314" s="3">
        <v>1001401</v>
      </c>
      <c r="H314" s="3">
        <v>4</v>
      </c>
      <c r="I314" s="3">
        <v>4</v>
      </c>
      <c r="J314" s="3">
        <v>1</v>
      </c>
      <c r="K314" s="3"/>
      <c r="L314" s="91" t="s">
        <v>1547</v>
      </c>
      <c r="M314" s="3"/>
      <c r="N314" s="2">
        <v>1</v>
      </c>
      <c r="O314" s="2"/>
      <c r="P314" s="3" t="s">
        <v>1615</v>
      </c>
      <c r="Q314" s="95">
        <f t="shared" si="33"/>
        <v>4.4674509803921572</v>
      </c>
      <c r="R314" s="133">
        <f>IF(P314=模板计算相关数据!$AB$24,VLOOKUP(X314,模板计算相关数据!$P$47:$T$50,2,0),VLOOKUP(X314,模板计算相关数据!$P$4:$U$7,3,0))*VLOOKUP(Y314,模板计算相关数据!$P$22:$X$30,8,0)</f>
        <v>4.4674509803921572</v>
      </c>
      <c r="S314" s="62">
        <v>6.47</v>
      </c>
      <c r="T314" s="133">
        <f>IF(P314=模板计算相关数据!$AB$24,VLOOKUP(X314,模板计算相关数据!$P$47:$T$50,5,0),VLOOKUP(X314,模板计算相关数据!$P$4:$U$7,6,0))*VLOOKUP(Y314,模板计算相关数据!$P$22:$X$30,9,0)</f>
        <v>5.4739930589768004</v>
      </c>
      <c r="U314" s="103">
        <v>1</v>
      </c>
      <c r="V314" s="95">
        <f t="shared" si="29"/>
        <v>4</v>
      </c>
      <c r="W314" s="29">
        <f>VLOOKUP(U314,模板计算相关数据!A:N,2,0)</f>
        <v>1</v>
      </c>
      <c r="X314" s="3" t="s">
        <v>151</v>
      </c>
      <c r="Y314" s="3" t="s">
        <v>162</v>
      </c>
      <c r="Z314" s="99">
        <v>1</v>
      </c>
      <c r="AA314" s="95">
        <v>1</v>
      </c>
      <c r="AB314" s="95">
        <v>1</v>
      </c>
      <c r="AC314" s="95">
        <v>1</v>
      </c>
      <c r="AD314" s="95">
        <v>0</v>
      </c>
      <c r="AE314" s="95">
        <v>0</v>
      </c>
      <c r="AF314" s="95">
        <v>0</v>
      </c>
      <c r="AG314" s="95">
        <v>0</v>
      </c>
      <c r="AH314" s="95">
        <v>0</v>
      </c>
      <c r="AI314" s="95">
        <v>0</v>
      </c>
      <c r="AJ314" s="3">
        <f>INT(VLOOKUP(U314,模板计算相关数据!A:N,4,0)*VLOOKUP(U314,模板计算相关数据!A:N,14,0)*(1+MAX(0,(VLOOKUP(U314,模板计算相关数据!A:N,7,0)-AQ314))*VLOOKUP(U314,模板计算相关数据!A:N,8,0))*(1-(AL314+AM314)*0.5/((AL314+AM314)*0.5+(VLOOKUP(U314,模板计算相关数据!A:N,2,0)+模板计算相关数据!$AC$27)*模板计算相关数据!$AC$28))*Q314*Z314)</f>
        <v>328</v>
      </c>
      <c r="AK314" s="3">
        <f>INT(VLOOKUP(U314,模板计算相关数据!A:N,3,0)/模板计算相关数据!$W$35/(1+MAX(0,(AO314/10000-VLOOKUP(U314,模板计算相关数据!A:N,9,0)))*AP314/10000)/(1-VLOOKUP(U314,模板计算相关数据!A:N,5,0)/(VLOOKUP(U314,模板计算相关数据!A:N,5,0)+(VLOOKUP(U314,模板计算相关数据!A:N,2,0)+模板计算相关数据!$AC$27)*模板计算相关数据!$AC$28))/S314*AA314)</f>
        <v>86</v>
      </c>
      <c r="AL314" s="3">
        <f>INT(VLOOKUP(U314,模板计算相关数据!A:N,5,0)*VLOOKUP(X314,模板计算相关数据!$P$4:$T$7,4,0)*VLOOKUP(Y314,模板计算相关数据!$P$22:$U$30,4,0)*AB314)</f>
        <v>136</v>
      </c>
      <c r="AM314" s="3">
        <f>INT(VLOOKUP(U314,模板计算相关数据!A:N,6,0)*VLOOKUP(X314,模板计算相关数据!$P$4:$T$7,4,0)*VLOOKUP(Y314,模板计算相关数据!$P$22:$U$30,5,0)*AC314)</f>
        <v>230</v>
      </c>
      <c r="AN314" s="3">
        <f>VLOOKUP(U314,模板计算相关数据!A:N,10,0)*0.5*VLOOKUP(Y314,模板计算相关数据!$P$22:$U$30,6,0)+AD314</f>
        <v>250</v>
      </c>
      <c r="AO314" s="3">
        <f>VLOOKUP(INT(VLOOKUP(U314,模板计算相关数据!A:N,2,0)/30)+1,模板计算相关数据!$O$35:$U$40,3,0)+AE314</f>
        <v>0</v>
      </c>
      <c r="AP314" s="3">
        <f>VLOOKUP(INT(VLOOKUP(U314,模板计算相关数据!A:N,2,0)/30)+1,模板计算相关数据!$O$35:$U$40,4,0)+AF314</f>
        <v>5000</v>
      </c>
      <c r="AQ314" s="3">
        <f>VLOOKUP(INT(VLOOKUP(U314,模板计算相关数据!A:N,2,0)/30)+1,模板计算相关数据!$O$35:$U$40,5,0)+AG314</f>
        <v>0</v>
      </c>
      <c r="AR314" s="3">
        <f>VLOOKUP(INT(VLOOKUP(U314,模板计算相关数据!A:N,2,0)/30)+1,模板计算相关数据!$O$35:$U$40,6,0)+AH314</f>
        <v>0</v>
      </c>
      <c r="AS314" s="3">
        <f>VLOOKUP(INT(VLOOKUP(U314,模板计算相关数据!A:N,2,0)/30)+1,模板计算相关数据!$O$35:$U$40,7,0)+AI314</f>
        <v>0</v>
      </c>
      <c r="AT314" s="3">
        <f>VLOOKUP(INT(VLOOKUP(U314,模板计算相关数据!A:N,2,0)/30)+1,模板计算相关数据!$O$35:$V$40,8,0)</f>
        <v>0</v>
      </c>
      <c r="AU314" s="2"/>
    </row>
    <row r="315" spans="1:47" x14ac:dyDescent="0.2">
      <c r="A315" s="43">
        <v>102130101</v>
      </c>
      <c r="B315" s="43"/>
      <c r="C315" s="69" t="s">
        <v>1822</v>
      </c>
      <c r="D315" s="87" t="s">
        <v>1874</v>
      </c>
      <c r="E315" s="2">
        <v>1</v>
      </c>
      <c r="F315" s="3">
        <v>1</v>
      </c>
      <c r="G315" s="3">
        <v>1002601</v>
      </c>
      <c r="H315" s="3">
        <v>1</v>
      </c>
      <c r="I315" s="3">
        <v>3</v>
      </c>
      <c r="J315" s="3">
        <v>5</v>
      </c>
      <c r="K315" s="3"/>
      <c r="L315" s="91" t="s">
        <v>1766</v>
      </c>
      <c r="M315" s="3"/>
      <c r="N315" s="2">
        <v>1</v>
      </c>
      <c r="O315" s="2"/>
      <c r="P315" s="3" t="s">
        <v>1615</v>
      </c>
      <c r="Q315" s="95">
        <f t="shared" si="33"/>
        <v>4.417254901960785</v>
      </c>
      <c r="R315" s="133">
        <f>IF(P315=模板计算相关数据!$AB$24,VLOOKUP(X315,模板计算相关数据!$P$47:$T$50,2,0),VLOOKUP(X315,模板计算相关数据!$P$4:$U$7,3,0))*VLOOKUP(Y315,模板计算相关数据!$P$22:$X$30,8,0)</f>
        <v>4.417254901960785</v>
      </c>
      <c r="S315" s="62">
        <f t="shared" ref="S315" si="34">T315</f>
        <v>5.4285280003474252</v>
      </c>
      <c r="T315" s="133">
        <f>IF(P315=模板计算相关数据!$AB$24,VLOOKUP(X315,模板计算相关数据!$P$47:$T$50,5,0),VLOOKUP(X315,模板计算相关数据!$P$4:$U$7,6,0))*VLOOKUP(Y315,模板计算相关数据!$P$22:$X$30,9,0)</f>
        <v>5.4285280003474252</v>
      </c>
      <c r="U315" s="103">
        <v>1</v>
      </c>
      <c r="V315" s="95">
        <f t="shared" si="29"/>
        <v>4</v>
      </c>
      <c r="W315" s="29">
        <f>VLOOKUP(U315,模板计算相关数据!A:N,2,0)</f>
        <v>1</v>
      </c>
      <c r="X315" s="3" t="s">
        <v>151</v>
      </c>
      <c r="Y315" s="3" t="s">
        <v>152</v>
      </c>
      <c r="Z315" s="99">
        <v>1.1000000000000001</v>
      </c>
      <c r="AA315" s="95">
        <v>1</v>
      </c>
      <c r="AB315" s="95">
        <v>1</v>
      </c>
      <c r="AC315" s="95">
        <v>1</v>
      </c>
      <c r="AD315" s="95">
        <v>0</v>
      </c>
      <c r="AE315" s="95">
        <v>0</v>
      </c>
      <c r="AF315" s="95">
        <v>0</v>
      </c>
      <c r="AG315" s="95">
        <v>0</v>
      </c>
      <c r="AH315" s="95">
        <v>0</v>
      </c>
      <c r="AI315" s="95">
        <v>0</v>
      </c>
      <c r="AJ315" s="3">
        <f>INT(VLOOKUP(U315,模板计算相关数据!A:N,4,0)*VLOOKUP(U315,模板计算相关数据!A:N,14,0)*(1+MAX(0,(VLOOKUP(U315,模板计算相关数据!A:N,7,0)-AQ315))*VLOOKUP(U315,模板计算相关数据!A:N,8,0))*(1-(AL315+AM315)*0.5/((AL315+AM315)*0.5+(VLOOKUP(U315,模板计算相关数据!A:N,2,0)+模板计算相关数据!$AC$27)*模板计算相关数据!$AC$28))*Q315*Z315)</f>
        <v>357</v>
      </c>
      <c r="AK315" s="3">
        <f>INT(VLOOKUP(U315,模板计算相关数据!A:N,3,0)/模板计算相关数据!$W$35/(1+MAX(0,(AO315/10000-VLOOKUP(U315,模板计算相关数据!A:N,9,0)))*AP315/10000)/(1-VLOOKUP(U315,模板计算相关数据!A:N,5,0)/(VLOOKUP(U315,模板计算相关数据!A:N,5,0)+(VLOOKUP(U315,模板计算相关数据!A:N,2,0)+模板计算相关数据!$AC$27)*模板计算相关数据!$AC$28))/S315*AA315)</f>
        <v>102</v>
      </c>
      <c r="AL315" s="3">
        <f>INT(VLOOKUP(U315,模板计算相关数据!A:N,5,0)*VLOOKUP(X315,模板计算相关数据!$P$4:$T$7,4,0)*VLOOKUP(Y315,模板计算相关数据!$P$22:$U$30,4,0)*AB315)</f>
        <v>230</v>
      </c>
      <c r="AM315" s="3">
        <f>INT(VLOOKUP(U315,模板计算相关数据!A:N,6,0)*VLOOKUP(X315,模板计算相关数据!$P$4:$T$7,4,0)*VLOOKUP(Y315,模板计算相关数据!$P$22:$U$30,5,0)*AC315)</f>
        <v>136</v>
      </c>
      <c r="AN315" s="3">
        <f>VLOOKUP(U315,模板计算相关数据!A:N,10,0)*0.5*VLOOKUP(Y315,模板计算相关数据!$P$22:$U$30,6,0)+AD315</f>
        <v>250</v>
      </c>
      <c r="AO315" s="3">
        <f>VLOOKUP(INT(VLOOKUP(U315,模板计算相关数据!A:N,2,0)/30)+1,模板计算相关数据!$O$35:$U$40,3,0)+AE315</f>
        <v>0</v>
      </c>
      <c r="AP315" s="3">
        <f>VLOOKUP(INT(VLOOKUP(U315,模板计算相关数据!A:N,2,0)/30)+1,模板计算相关数据!$O$35:$U$40,4,0)+AF315</f>
        <v>5000</v>
      </c>
      <c r="AQ315" s="3">
        <f>VLOOKUP(INT(VLOOKUP(U315,模板计算相关数据!A:N,2,0)/30)+1,模板计算相关数据!$O$35:$U$40,5,0)+AG315</f>
        <v>0</v>
      </c>
      <c r="AR315" s="3">
        <f>VLOOKUP(INT(VLOOKUP(U315,模板计算相关数据!A:N,2,0)/30)+1,模板计算相关数据!$O$35:$U$40,6,0)+AH315</f>
        <v>0</v>
      </c>
      <c r="AS315" s="3">
        <f>VLOOKUP(INT(VLOOKUP(U315,模板计算相关数据!A:N,2,0)/30)+1,模板计算相关数据!$O$35:$U$40,7,0)+AI315</f>
        <v>0</v>
      </c>
      <c r="AT315" s="3">
        <f>VLOOKUP(INT(VLOOKUP(U315,模板计算相关数据!A:N,2,0)/30)+1,模板计算相关数据!$O$35:$V$40,8,0)</f>
        <v>0</v>
      </c>
      <c r="AU315" s="2"/>
    </row>
    <row r="316" spans="1:47" x14ac:dyDescent="0.2">
      <c r="A316" s="43">
        <v>102130102</v>
      </c>
      <c r="B316" s="43"/>
      <c r="C316" s="69" t="s">
        <v>1822</v>
      </c>
      <c r="D316" s="87" t="s">
        <v>1874</v>
      </c>
      <c r="E316" s="2">
        <v>1</v>
      </c>
      <c r="F316" s="3">
        <v>2</v>
      </c>
      <c r="G316" s="3">
        <v>1002601</v>
      </c>
      <c r="H316" s="3">
        <v>1</v>
      </c>
      <c r="I316" s="3">
        <v>3</v>
      </c>
      <c r="J316" s="3">
        <v>5</v>
      </c>
      <c r="K316" s="3"/>
      <c r="L316" s="91" t="s">
        <v>1766</v>
      </c>
      <c r="M316" s="3"/>
      <c r="N316" s="2">
        <v>1</v>
      </c>
      <c r="O316" s="2"/>
      <c r="P316" s="3" t="s">
        <v>1615</v>
      </c>
      <c r="Q316" s="95">
        <f t="shared" ref="Q316" si="35">R316</f>
        <v>4.417254901960785</v>
      </c>
      <c r="R316" s="133">
        <f>IF(P316=模板计算相关数据!$AB$24,VLOOKUP(X316,模板计算相关数据!$P$47:$T$50,2,0),VLOOKUP(X316,模板计算相关数据!$P$4:$U$7,3,0))*VLOOKUP(Y316,模板计算相关数据!$P$22:$X$30,8,0)</f>
        <v>4.417254901960785</v>
      </c>
      <c r="S316" s="62">
        <f t="shared" ref="S316" si="36">T316</f>
        <v>5.4285280003474252</v>
      </c>
      <c r="T316" s="133">
        <f>IF(P316=模板计算相关数据!$AB$24,VLOOKUP(X316,模板计算相关数据!$P$47:$T$50,5,0),VLOOKUP(X316,模板计算相关数据!$P$4:$U$7,6,0))*VLOOKUP(Y316,模板计算相关数据!$P$22:$X$30,9,0)</f>
        <v>5.4285280003474252</v>
      </c>
      <c r="U316" s="103">
        <v>1</v>
      </c>
      <c r="V316" s="95">
        <f t="shared" si="29"/>
        <v>4</v>
      </c>
      <c r="W316" s="29">
        <f>VLOOKUP(U316,模板计算相关数据!A:N,2,0)</f>
        <v>1</v>
      </c>
      <c r="X316" s="3" t="s">
        <v>151</v>
      </c>
      <c r="Y316" s="3" t="s">
        <v>152</v>
      </c>
      <c r="Z316" s="99">
        <v>1.1000000000000001</v>
      </c>
      <c r="AA316" s="95">
        <v>1</v>
      </c>
      <c r="AB316" s="95">
        <v>1</v>
      </c>
      <c r="AC316" s="95">
        <v>1</v>
      </c>
      <c r="AD316" s="95">
        <v>0</v>
      </c>
      <c r="AE316" s="95">
        <v>0</v>
      </c>
      <c r="AF316" s="95">
        <v>0</v>
      </c>
      <c r="AG316" s="95">
        <v>0</v>
      </c>
      <c r="AH316" s="95">
        <v>0</v>
      </c>
      <c r="AI316" s="95">
        <v>0</v>
      </c>
      <c r="AJ316" s="3">
        <f>INT(VLOOKUP(U316,模板计算相关数据!A:N,4,0)*VLOOKUP(U316,模板计算相关数据!A:N,14,0)*(1+MAX(0,(VLOOKUP(U316,模板计算相关数据!A:N,7,0)-AQ316))*VLOOKUP(U316,模板计算相关数据!A:N,8,0))*(1-(AL316+AM316)*0.5/((AL316+AM316)*0.5+(VLOOKUP(U316,模板计算相关数据!A:N,2,0)+模板计算相关数据!$AC$27)*模板计算相关数据!$AC$28))*Q316*Z316)</f>
        <v>357</v>
      </c>
      <c r="AK316" s="3">
        <f>INT(VLOOKUP(U316,模板计算相关数据!A:N,3,0)/模板计算相关数据!$W$35/(1+MAX(0,(AO316/10000-VLOOKUP(U316,模板计算相关数据!A:N,9,0)))*AP316/10000)/(1-VLOOKUP(U316,模板计算相关数据!A:N,5,0)/(VLOOKUP(U316,模板计算相关数据!A:N,5,0)+(VLOOKUP(U316,模板计算相关数据!A:N,2,0)+模板计算相关数据!$AC$27)*模板计算相关数据!$AC$28))/S316*AA316)</f>
        <v>102</v>
      </c>
      <c r="AL316" s="3">
        <f>INT(VLOOKUP(U316,模板计算相关数据!A:N,5,0)*VLOOKUP(X316,模板计算相关数据!$P$4:$T$7,4,0)*VLOOKUP(Y316,模板计算相关数据!$P$22:$U$30,4,0)*AB316)</f>
        <v>230</v>
      </c>
      <c r="AM316" s="3">
        <f>INT(VLOOKUP(U316,模板计算相关数据!A:N,6,0)*VLOOKUP(X316,模板计算相关数据!$P$4:$T$7,4,0)*VLOOKUP(Y316,模板计算相关数据!$P$22:$U$30,5,0)*AC316)</f>
        <v>136</v>
      </c>
      <c r="AN316" s="3">
        <f>VLOOKUP(U316,模板计算相关数据!A:N,10,0)*0.5*VLOOKUP(Y316,模板计算相关数据!$P$22:$U$30,6,0)+AD316</f>
        <v>250</v>
      </c>
      <c r="AO316" s="3">
        <f>VLOOKUP(INT(VLOOKUP(U316,模板计算相关数据!A:N,2,0)/30)+1,模板计算相关数据!$O$35:$U$40,3,0)+AE316</f>
        <v>0</v>
      </c>
      <c r="AP316" s="3">
        <f>VLOOKUP(INT(VLOOKUP(U316,模板计算相关数据!A:N,2,0)/30)+1,模板计算相关数据!$O$35:$U$40,4,0)+AF316</f>
        <v>5000</v>
      </c>
      <c r="AQ316" s="3">
        <f>VLOOKUP(INT(VLOOKUP(U316,模板计算相关数据!A:N,2,0)/30)+1,模板计算相关数据!$O$35:$U$40,5,0)+AG316</f>
        <v>0</v>
      </c>
      <c r="AR316" s="3">
        <f>VLOOKUP(INT(VLOOKUP(U316,模板计算相关数据!A:N,2,0)/30)+1,模板计算相关数据!$O$35:$U$40,6,0)+AH316</f>
        <v>0</v>
      </c>
      <c r="AS316" s="3">
        <f>VLOOKUP(INT(VLOOKUP(U316,模板计算相关数据!A:N,2,0)/30)+1,模板计算相关数据!$O$35:$U$40,7,0)+AI316</f>
        <v>0</v>
      </c>
      <c r="AT316" s="3">
        <f>VLOOKUP(INT(VLOOKUP(U316,模板计算相关数据!A:N,2,0)/30)+1,模板计算相关数据!$O$35:$V$40,8,0)</f>
        <v>0</v>
      </c>
      <c r="AU316" s="2"/>
    </row>
    <row r="317" spans="1:47" x14ac:dyDescent="0.2">
      <c r="A317" s="43">
        <v>102130103</v>
      </c>
      <c r="B317" s="43"/>
      <c r="C317" s="69" t="s">
        <v>1824</v>
      </c>
      <c r="D317" s="87" t="s">
        <v>1875</v>
      </c>
      <c r="E317" s="2">
        <v>1</v>
      </c>
      <c r="F317" s="3">
        <v>1</v>
      </c>
      <c r="G317" s="3">
        <v>1004001</v>
      </c>
      <c r="H317" s="3">
        <v>4</v>
      </c>
      <c r="I317" s="3">
        <v>3</v>
      </c>
      <c r="J317" s="3">
        <v>5</v>
      </c>
      <c r="K317" s="3"/>
      <c r="L317" s="91" t="s">
        <v>1552</v>
      </c>
      <c r="M317" s="3"/>
      <c r="N317" s="2">
        <v>1</v>
      </c>
      <c r="O317" s="2"/>
      <c r="P317" s="3" t="s">
        <v>1615</v>
      </c>
      <c r="Q317" s="95">
        <f>R317</f>
        <v>4.4674509803921572</v>
      </c>
      <c r="R317" s="133">
        <f>IF(P317=模板计算相关数据!$AB$24,VLOOKUP(X317,模板计算相关数据!$P$47:$T$50,2,0),VLOOKUP(X317,模板计算相关数据!$P$4:$U$7,3,0))*VLOOKUP(Y317,模板计算相关数据!$P$22:$X$30,8,0)</f>
        <v>4.4674509803921572</v>
      </c>
      <c r="S317" s="62">
        <f>T317</f>
        <v>5.4739930589768004</v>
      </c>
      <c r="T317" s="133">
        <f>IF(P317=模板计算相关数据!$AB$24,VLOOKUP(X317,模板计算相关数据!$P$47:$T$50,5,0),VLOOKUP(X317,模板计算相关数据!$P$4:$U$7,6,0))*VLOOKUP(Y317,模板计算相关数据!$P$22:$X$30,9,0)</f>
        <v>5.4739930589768004</v>
      </c>
      <c r="U317" s="103">
        <v>1</v>
      </c>
      <c r="V317" s="95">
        <f t="shared" si="29"/>
        <v>4</v>
      </c>
      <c r="W317" s="29">
        <f>VLOOKUP(U317,模板计算相关数据!A:N,2,0)</f>
        <v>1</v>
      </c>
      <c r="X317" s="3" t="s">
        <v>151</v>
      </c>
      <c r="Y317" s="3" t="s">
        <v>162</v>
      </c>
      <c r="Z317" s="99">
        <v>1.1000000000000001</v>
      </c>
      <c r="AA317" s="95">
        <v>1</v>
      </c>
      <c r="AB317" s="95">
        <v>1</v>
      </c>
      <c r="AC317" s="95">
        <v>1</v>
      </c>
      <c r="AD317" s="95">
        <v>0</v>
      </c>
      <c r="AE317" s="95">
        <v>0</v>
      </c>
      <c r="AF317" s="95">
        <v>0</v>
      </c>
      <c r="AG317" s="95">
        <v>0</v>
      </c>
      <c r="AH317" s="95">
        <v>0</v>
      </c>
      <c r="AI317" s="95">
        <v>0</v>
      </c>
      <c r="AJ317" s="3">
        <f>INT(VLOOKUP(U317,模板计算相关数据!A:N,4,0)*VLOOKUP(U317,模板计算相关数据!A:N,14,0)*(1+MAX(0,(VLOOKUP(U317,模板计算相关数据!A:N,7,0)-AQ317))*VLOOKUP(U317,模板计算相关数据!A:N,8,0))*(1-(AL317+AM317)*0.5/((AL317+AM317)*0.5+(VLOOKUP(U317,模板计算相关数据!A:N,2,0)+模板计算相关数据!$AC$27)*模板计算相关数据!$AC$28))*Q317*Z317)</f>
        <v>361</v>
      </c>
      <c r="AK317" s="3">
        <f>INT(VLOOKUP(U317,模板计算相关数据!A:N,3,0)/模板计算相关数据!$W$35/(1+MAX(0,(AO317/10000-VLOOKUP(U317,模板计算相关数据!A:N,9,0)))*AP317/10000)/(1-VLOOKUP(U317,模板计算相关数据!A:N,5,0)/(VLOOKUP(U317,模板计算相关数据!A:N,5,0)+(VLOOKUP(U317,模板计算相关数据!A:N,2,0)+模板计算相关数据!$AC$27)*模板计算相关数据!$AC$28))/S317*AA317)</f>
        <v>101</v>
      </c>
      <c r="AL317" s="3">
        <f>INT(VLOOKUP(U317,模板计算相关数据!A:N,5,0)*VLOOKUP(X317,模板计算相关数据!$P$4:$T$7,4,0)*VLOOKUP(Y317,模板计算相关数据!$P$22:$U$30,4,0)*AB317)</f>
        <v>136</v>
      </c>
      <c r="AM317" s="3">
        <f>INT(VLOOKUP(U317,模板计算相关数据!A:N,6,0)*VLOOKUP(X317,模板计算相关数据!$P$4:$T$7,4,0)*VLOOKUP(Y317,模板计算相关数据!$P$22:$U$30,5,0)*AC317)</f>
        <v>230</v>
      </c>
      <c r="AN317" s="3">
        <f>VLOOKUP(U317,模板计算相关数据!A:N,10,0)*0.5*VLOOKUP(Y317,模板计算相关数据!$P$22:$U$30,6,0)+AD317</f>
        <v>250</v>
      </c>
      <c r="AO317" s="3">
        <f>VLOOKUP(INT(VLOOKUP(U317,模板计算相关数据!A:N,2,0)/30)+1,模板计算相关数据!$O$35:$U$40,3,0)+AE317</f>
        <v>0</v>
      </c>
      <c r="AP317" s="3">
        <f>VLOOKUP(INT(VLOOKUP(U317,模板计算相关数据!A:N,2,0)/30)+1,模板计算相关数据!$O$35:$U$40,4,0)+AF317</f>
        <v>5000</v>
      </c>
      <c r="AQ317" s="3">
        <f>VLOOKUP(INT(VLOOKUP(U317,模板计算相关数据!A:N,2,0)/30)+1,模板计算相关数据!$O$35:$U$40,5,0)+AG317</f>
        <v>0</v>
      </c>
      <c r="AR317" s="3">
        <f>VLOOKUP(INT(VLOOKUP(U317,模板计算相关数据!A:N,2,0)/30)+1,模板计算相关数据!$O$35:$U$40,6,0)+AH317</f>
        <v>0</v>
      </c>
      <c r="AS317" s="3">
        <f>VLOOKUP(INT(VLOOKUP(U317,模板计算相关数据!A:N,2,0)/30)+1,模板计算相关数据!$O$35:$U$40,7,0)+AI317</f>
        <v>0</v>
      </c>
      <c r="AT317" s="3">
        <f>VLOOKUP(INT(VLOOKUP(U317,模板计算相关数据!A:N,2,0)/30)+1,模板计算相关数据!$O$35:$V$40,8,0)</f>
        <v>0</v>
      </c>
      <c r="AU317" s="2"/>
    </row>
    <row r="318" spans="1:47" x14ac:dyDescent="0.2">
      <c r="A318" s="43">
        <v>102130104</v>
      </c>
      <c r="B318" s="43"/>
      <c r="C318" s="69" t="s">
        <v>1824</v>
      </c>
      <c r="D318" s="87" t="s">
        <v>1875</v>
      </c>
      <c r="E318" s="2">
        <v>1</v>
      </c>
      <c r="F318" s="3">
        <v>2</v>
      </c>
      <c r="G318" s="3">
        <v>1004001</v>
      </c>
      <c r="H318" s="3">
        <v>4</v>
      </c>
      <c r="I318" s="3">
        <v>3</v>
      </c>
      <c r="J318" s="3">
        <v>5</v>
      </c>
      <c r="K318" s="3"/>
      <c r="L318" s="91" t="s">
        <v>1552</v>
      </c>
      <c r="M318" s="3"/>
      <c r="N318" s="2">
        <v>1</v>
      </c>
      <c r="O318" s="2"/>
      <c r="P318" s="3" t="s">
        <v>1615</v>
      </c>
      <c r="Q318" s="95">
        <f>R318</f>
        <v>4.4674509803921572</v>
      </c>
      <c r="R318" s="133">
        <f>IF(P318=模板计算相关数据!$AB$24,VLOOKUP(X318,模板计算相关数据!$P$47:$T$50,2,0),VLOOKUP(X318,模板计算相关数据!$P$4:$U$7,3,0))*VLOOKUP(Y318,模板计算相关数据!$P$22:$X$30,8,0)</f>
        <v>4.4674509803921572</v>
      </c>
      <c r="S318" s="62">
        <f>T318</f>
        <v>5.4739930589768004</v>
      </c>
      <c r="T318" s="133">
        <f>IF(P318=模板计算相关数据!$AB$24,VLOOKUP(X318,模板计算相关数据!$P$47:$T$50,5,0),VLOOKUP(X318,模板计算相关数据!$P$4:$U$7,6,0))*VLOOKUP(Y318,模板计算相关数据!$P$22:$X$30,9,0)</f>
        <v>5.4739930589768004</v>
      </c>
      <c r="U318" s="103">
        <v>1</v>
      </c>
      <c r="V318" s="95">
        <f t="shared" si="29"/>
        <v>4</v>
      </c>
      <c r="W318" s="29">
        <f>VLOOKUP(U318,模板计算相关数据!A:N,2,0)</f>
        <v>1</v>
      </c>
      <c r="X318" s="3" t="s">
        <v>151</v>
      </c>
      <c r="Y318" s="3" t="s">
        <v>162</v>
      </c>
      <c r="Z318" s="99">
        <v>1.1000000000000001</v>
      </c>
      <c r="AA318" s="95">
        <v>1</v>
      </c>
      <c r="AB318" s="95">
        <v>1</v>
      </c>
      <c r="AC318" s="95">
        <v>1</v>
      </c>
      <c r="AD318" s="95">
        <v>0</v>
      </c>
      <c r="AE318" s="95">
        <v>0</v>
      </c>
      <c r="AF318" s="95">
        <v>0</v>
      </c>
      <c r="AG318" s="95">
        <v>0</v>
      </c>
      <c r="AH318" s="95">
        <v>0</v>
      </c>
      <c r="AI318" s="95">
        <v>0</v>
      </c>
      <c r="AJ318" s="3">
        <f>INT(VLOOKUP(U318,模板计算相关数据!A:N,4,0)*VLOOKUP(U318,模板计算相关数据!A:N,14,0)*(1+MAX(0,(VLOOKUP(U318,模板计算相关数据!A:N,7,0)-AQ318))*VLOOKUP(U318,模板计算相关数据!A:N,8,0))*(1-(AL318+AM318)*0.5/((AL318+AM318)*0.5+(VLOOKUP(U318,模板计算相关数据!A:N,2,0)+模板计算相关数据!$AC$27)*模板计算相关数据!$AC$28))*Q318*Z318)</f>
        <v>361</v>
      </c>
      <c r="AK318" s="3">
        <f>INT(VLOOKUP(U318,模板计算相关数据!A:N,3,0)/模板计算相关数据!$W$35/(1+MAX(0,(AO318/10000-VLOOKUP(U318,模板计算相关数据!A:N,9,0)))*AP318/10000)/(1-VLOOKUP(U318,模板计算相关数据!A:N,5,0)/(VLOOKUP(U318,模板计算相关数据!A:N,5,0)+(VLOOKUP(U318,模板计算相关数据!A:N,2,0)+模板计算相关数据!$AC$27)*模板计算相关数据!$AC$28))/S318*AA318)</f>
        <v>101</v>
      </c>
      <c r="AL318" s="3">
        <f>INT(VLOOKUP(U318,模板计算相关数据!A:N,5,0)*VLOOKUP(X318,模板计算相关数据!$P$4:$T$7,4,0)*VLOOKUP(Y318,模板计算相关数据!$P$22:$U$30,4,0)*AB318)</f>
        <v>136</v>
      </c>
      <c r="AM318" s="3">
        <f>INT(VLOOKUP(U318,模板计算相关数据!A:N,6,0)*VLOOKUP(X318,模板计算相关数据!$P$4:$T$7,4,0)*VLOOKUP(Y318,模板计算相关数据!$P$22:$U$30,5,0)*AC318)</f>
        <v>230</v>
      </c>
      <c r="AN318" s="3">
        <f>VLOOKUP(U318,模板计算相关数据!A:N,10,0)*0.5*VLOOKUP(Y318,模板计算相关数据!$P$22:$U$30,6,0)+AD318</f>
        <v>250</v>
      </c>
      <c r="AO318" s="3">
        <f>VLOOKUP(INT(VLOOKUP(U318,模板计算相关数据!A:N,2,0)/30)+1,模板计算相关数据!$O$35:$U$40,3,0)+AE318</f>
        <v>0</v>
      </c>
      <c r="AP318" s="3">
        <f>VLOOKUP(INT(VLOOKUP(U318,模板计算相关数据!A:N,2,0)/30)+1,模板计算相关数据!$O$35:$U$40,4,0)+AF318</f>
        <v>5000</v>
      </c>
      <c r="AQ318" s="3">
        <f>VLOOKUP(INT(VLOOKUP(U318,模板计算相关数据!A:N,2,0)/30)+1,模板计算相关数据!$O$35:$U$40,5,0)+AG318</f>
        <v>0</v>
      </c>
      <c r="AR318" s="3">
        <f>VLOOKUP(INT(VLOOKUP(U318,模板计算相关数据!A:N,2,0)/30)+1,模板计算相关数据!$O$35:$U$40,6,0)+AH318</f>
        <v>0</v>
      </c>
      <c r="AS318" s="3">
        <f>VLOOKUP(INT(VLOOKUP(U318,模板计算相关数据!A:N,2,0)/30)+1,模板计算相关数据!$O$35:$U$40,7,0)+AI318</f>
        <v>0</v>
      </c>
      <c r="AT318" s="3">
        <f>VLOOKUP(INT(VLOOKUP(U318,模板计算相关数据!A:N,2,0)/30)+1,模板计算相关数据!$O$35:$V$40,8,0)</f>
        <v>0</v>
      </c>
      <c r="AU318" s="2"/>
    </row>
    <row r="319" spans="1:47" x14ac:dyDescent="0.2">
      <c r="A319" s="22">
        <v>102130105</v>
      </c>
      <c r="B319" s="22"/>
      <c r="C319" s="69" t="s">
        <v>1654</v>
      </c>
      <c r="D319" s="33" t="s">
        <v>1876</v>
      </c>
      <c r="E319" s="2">
        <v>2</v>
      </c>
      <c r="F319" s="3">
        <v>4</v>
      </c>
      <c r="G319" s="3">
        <v>100401</v>
      </c>
      <c r="H319" s="3">
        <v>1</v>
      </c>
      <c r="I319" s="3">
        <v>5</v>
      </c>
      <c r="J319" s="3">
        <v>2</v>
      </c>
      <c r="K319" s="3">
        <v>2</v>
      </c>
      <c r="L319" s="91" t="s">
        <v>1879</v>
      </c>
      <c r="M319" s="3"/>
      <c r="N319" s="2">
        <v>1</v>
      </c>
      <c r="O319" s="69"/>
      <c r="P319" s="3" t="s">
        <v>1615</v>
      </c>
      <c r="Q319" s="95">
        <v>23</v>
      </c>
      <c r="R319" s="133">
        <f>IF(P319=模板计算相关数据!$AB$24,VLOOKUP(X319,模板计算相关数据!$P$47:$T$50,2,0),VLOOKUP(X319,模板计算相关数据!$P$4:$U$7,3,0))*VLOOKUP(Y319,模板计算相关数据!$P$22:$X$30,8,0)</f>
        <v>22.400000000000006</v>
      </c>
      <c r="S319" s="62">
        <v>3.2</v>
      </c>
      <c r="T319" s="133">
        <f>IF(P319=模板计算相关数据!$AB$24,VLOOKUP(X319,模板计算相关数据!$P$47:$T$50,5,0),VLOOKUP(X319,模板计算相关数据!$P$4:$U$7,6,0))*VLOOKUP(Y319,模板计算相关数据!$P$22:$X$30,9,0)</f>
        <v>3.6378187638691841</v>
      </c>
      <c r="U319" s="103">
        <v>1</v>
      </c>
      <c r="V319" s="95">
        <f t="shared" si="29"/>
        <v>4</v>
      </c>
      <c r="W319" s="29">
        <f>VLOOKUP(U319,模板计算相关数据!A:N,2,0)</f>
        <v>1</v>
      </c>
      <c r="X319" s="3" t="s">
        <v>178</v>
      </c>
      <c r="Y319" s="3" t="s">
        <v>170</v>
      </c>
      <c r="Z319" s="99">
        <v>1</v>
      </c>
      <c r="AA319" s="95">
        <v>1</v>
      </c>
      <c r="AB319" s="95">
        <v>1</v>
      </c>
      <c r="AC319" s="95">
        <v>1</v>
      </c>
      <c r="AD319" s="95">
        <v>0</v>
      </c>
      <c r="AE319" s="95">
        <v>0</v>
      </c>
      <c r="AF319" s="95">
        <v>0</v>
      </c>
      <c r="AG319" s="95">
        <v>0</v>
      </c>
      <c r="AH319" s="95">
        <v>0</v>
      </c>
      <c r="AI319" s="95">
        <v>2000</v>
      </c>
      <c r="AJ319" s="3">
        <f>INT(VLOOKUP(U319,模板计算相关数据!A:N,4,0)*VLOOKUP(U319,模板计算相关数据!A:N,14,0)*(1+MAX(0,(VLOOKUP(U319,模板计算相关数据!A:N,7,0)-AQ319))*VLOOKUP(U319,模板计算相关数据!A:N,8,0))*(1-(AL319+AM319)*0.5/((AL319+AM319)*0.5+(VLOOKUP(U319,模板计算相关数据!A:N,2,0)+模板计算相关数据!$AC$27)*模板计算相关数据!$AC$28))*Q319*Z319)</f>
        <v>1403</v>
      </c>
      <c r="AK319" s="3">
        <f>INT(VLOOKUP(U319,模板计算相关数据!A:N,3,0)/模板计算相关数据!$W$35/(1+MAX(0,(AO319/10000-VLOOKUP(U319,模板计算相关数据!A:N,9,0)))*AP319/10000)/(1-VLOOKUP(U319,模板计算相关数据!A:N,5,0)/(VLOOKUP(U319,模板计算相关数据!A:N,5,0)+(VLOOKUP(U319,模板计算相关数据!A:N,2,0)+模板计算相关数据!$AC$27)*模板计算相关数据!$AC$28))/S319*AA319)</f>
        <v>174</v>
      </c>
      <c r="AL319" s="3">
        <f>INT(VLOOKUP(U319,模板计算相关数据!A:N,5,0)*VLOOKUP(X319,模板计算相关数据!$P$4:$T$7,4,0)*VLOOKUP(Y319,模板计算相关数据!$P$22:$U$30,4,0)*AB319)</f>
        <v>416</v>
      </c>
      <c r="AM319" s="3">
        <f>INT(VLOOKUP(U319,模板计算相关数据!A:N,6,0)*VLOOKUP(X319,模板计算相关数据!$P$4:$T$7,4,0)*VLOOKUP(Y319,模板计算相关数据!$P$22:$U$30,5,0)*AC319)</f>
        <v>224</v>
      </c>
      <c r="AN319" s="3">
        <f>VLOOKUP(U319,模板计算相关数据!A:N,10,0)*0.5*VLOOKUP(Y319,模板计算相关数据!$P$22:$U$30,6,0)+AD319</f>
        <v>225</v>
      </c>
      <c r="AO319" s="3">
        <f>VLOOKUP(INT(VLOOKUP(U319,模板计算相关数据!A:N,2,0)/30)+1,模板计算相关数据!$O$35:$U$40,3,0)+AE319</f>
        <v>0</v>
      </c>
      <c r="AP319" s="3">
        <f>VLOOKUP(INT(VLOOKUP(U319,模板计算相关数据!A:N,2,0)/30)+1,模板计算相关数据!$O$35:$U$40,4,0)+AF319</f>
        <v>5000</v>
      </c>
      <c r="AQ319" s="3">
        <f>VLOOKUP(INT(VLOOKUP(U319,模板计算相关数据!A:N,2,0)/30)+1,模板计算相关数据!$O$35:$U$40,5,0)+AG319</f>
        <v>0</v>
      </c>
      <c r="AR319" s="3">
        <f>VLOOKUP(INT(VLOOKUP(U319,模板计算相关数据!A:N,2,0)/30)+1,模板计算相关数据!$O$35:$U$40,6,0)+AH319</f>
        <v>0</v>
      </c>
      <c r="AS319" s="3">
        <v>3000</v>
      </c>
      <c r="AT319" s="3">
        <f>VLOOKUP(INT(VLOOKUP(U319,模板计算相关数据!A:N,2,0)/30)+1,模板计算相关数据!$O$35:$V$40,8,0)</f>
        <v>0</v>
      </c>
      <c r="AU319" s="69" t="s">
        <v>1961</v>
      </c>
    </row>
    <row r="320" spans="1:47" x14ac:dyDescent="0.2">
      <c r="A320" s="22">
        <v>102130106</v>
      </c>
      <c r="B320" s="22"/>
      <c r="C320" s="69" t="s">
        <v>1654</v>
      </c>
      <c r="D320" s="33" t="s">
        <v>1877</v>
      </c>
      <c r="E320" s="2">
        <v>2</v>
      </c>
      <c r="F320" s="3">
        <v>4</v>
      </c>
      <c r="G320" s="3">
        <v>100401</v>
      </c>
      <c r="H320" s="3">
        <v>1</v>
      </c>
      <c r="I320" s="3">
        <v>5</v>
      </c>
      <c r="J320" s="3">
        <v>2</v>
      </c>
      <c r="K320" s="3">
        <v>2</v>
      </c>
      <c r="L320" s="91" t="s">
        <v>1880</v>
      </c>
      <c r="M320" s="3"/>
      <c r="N320" s="2">
        <v>1</v>
      </c>
      <c r="O320" s="69"/>
      <c r="P320" s="3" t="s">
        <v>1615</v>
      </c>
      <c r="Q320" s="95">
        <v>23</v>
      </c>
      <c r="R320" s="133">
        <f>IF(P320=模板计算相关数据!$AB$24,VLOOKUP(X320,模板计算相关数据!$P$47:$T$50,2,0),VLOOKUP(X320,模板计算相关数据!$P$4:$U$7,3,0))*VLOOKUP(Y320,模板计算相关数据!$P$22:$X$30,8,0)</f>
        <v>22.400000000000006</v>
      </c>
      <c r="S320" s="62">
        <v>3.2</v>
      </c>
      <c r="T320" s="133">
        <f>IF(P320=模板计算相关数据!$AB$24,VLOOKUP(X320,模板计算相关数据!$P$47:$T$50,5,0),VLOOKUP(X320,模板计算相关数据!$P$4:$U$7,6,0))*VLOOKUP(Y320,模板计算相关数据!$P$22:$X$30,9,0)</f>
        <v>3.6378187638691841</v>
      </c>
      <c r="U320" s="103">
        <v>1</v>
      </c>
      <c r="V320" s="95">
        <f t="shared" si="29"/>
        <v>4</v>
      </c>
      <c r="W320" s="29">
        <f>VLOOKUP(U320,模板计算相关数据!A:N,2,0)</f>
        <v>1</v>
      </c>
      <c r="X320" s="3" t="s">
        <v>178</v>
      </c>
      <c r="Y320" s="3" t="s">
        <v>170</v>
      </c>
      <c r="Z320" s="99">
        <v>1</v>
      </c>
      <c r="AA320" s="95">
        <v>1</v>
      </c>
      <c r="AB320" s="95">
        <v>1</v>
      </c>
      <c r="AC320" s="95">
        <v>1</v>
      </c>
      <c r="AD320" s="95">
        <v>0</v>
      </c>
      <c r="AE320" s="95">
        <v>0</v>
      </c>
      <c r="AF320" s="95">
        <v>0</v>
      </c>
      <c r="AG320" s="95">
        <v>0</v>
      </c>
      <c r="AH320" s="95">
        <v>0</v>
      </c>
      <c r="AI320" s="95">
        <v>2000</v>
      </c>
      <c r="AJ320" s="3">
        <f>INT(VLOOKUP(U320,模板计算相关数据!A:N,4,0)*VLOOKUP(U320,模板计算相关数据!A:N,14,0)*(1+MAX(0,(VLOOKUP(U320,模板计算相关数据!A:N,7,0)-AQ320))*VLOOKUP(U320,模板计算相关数据!A:N,8,0))*(1-(AL320+AM320)*0.5/((AL320+AM320)*0.5+(VLOOKUP(U320,模板计算相关数据!A:N,2,0)+模板计算相关数据!$AC$27)*模板计算相关数据!$AC$28))*Q320*Z320)</f>
        <v>1403</v>
      </c>
      <c r="AK320" s="3">
        <f>INT(VLOOKUP(U320,模板计算相关数据!A:N,3,0)/模板计算相关数据!$W$35/(1+MAX(0,(AO320/10000-VLOOKUP(U320,模板计算相关数据!A:N,9,0)))*AP320/10000)/(1-VLOOKUP(U320,模板计算相关数据!A:N,5,0)/(VLOOKUP(U320,模板计算相关数据!A:N,5,0)+(VLOOKUP(U320,模板计算相关数据!A:N,2,0)+模板计算相关数据!$AC$27)*模板计算相关数据!$AC$28))/S320*AA320)</f>
        <v>174</v>
      </c>
      <c r="AL320" s="3">
        <f>INT(VLOOKUP(U320,模板计算相关数据!A:N,5,0)*VLOOKUP(X320,模板计算相关数据!$P$4:$T$7,4,0)*VLOOKUP(Y320,模板计算相关数据!$P$22:$U$30,4,0)*AB320)</f>
        <v>416</v>
      </c>
      <c r="AM320" s="3">
        <f>INT(VLOOKUP(U320,模板计算相关数据!A:N,6,0)*VLOOKUP(X320,模板计算相关数据!$P$4:$T$7,4,0)*VLOOKUP(Y320,模板计算相关数据!$P$22:$U$30,5,0)*AC320)</f>
        <v>224</v>
      </c>
      <c r="AN320" s="3">
        <f>VLOOKUP(U320,模板计算相关数据!A:N,10,0)*0.5*VLOOKUP(Y320,模板计算相关数据!$P$22:$U$30,6,0)+AD320</f>
        <v>225</v>
      </c>
      <c r="AO320" s="3">
        <f>VLOOKUP(INT(VLOOKUP(U320,模板计算相关数据!A:N,2,0)/30)+1,模板计算相关数据!$O$35:$U$40,3,0)+AE320</f>
        <v>0</v>
      </c>
      <c r="AP320" s="3">
        <f>VLOOKUP(INT(VLOOKUP(U320,模板计算相关数据!A:N,2,0)/30)+1,模板计算相关数据!$O$35:$U$40,4,0)+AF320</f>
        <v>5000</v>
      </c>
      <c r="AQ320" s="3">
        <f>VLOOKUP(INT(VLOOKUP(U320,模板计算相关数据!A:N,2,0)/30)+1,模板计算相关数据!$O$35:$U$40,5,0)+AG320</f>
        <v>0</v>
      </c>
      <c r="AR320" s="3">
        <f>VLOOKUP(INT(VLOOKUP(U320,模板计算相关数据!A:N,2,0)/30)+1,模板计算相关数据!$O$35:$U$40,6,0)+AH320</f>
        <v>0</v>
      </c>
      <c r="AS320" s="3">
        <v>3000</v>
      </c>
      <c r="AT320" s="3">
        <f>VLOOKUP(INT(VLOOKUP(U320,模板计算相关数据!A:N,2,0)/30)+1,模板计算相关数据!$O$35:$V$40,8,0)</f>
        <v>0</v>
      </c>
      <c r="AU320" s="69" t="s">
        <v>1962</v>
      </c>
    </row>
    <row r="321" spans="1:47" x14ac:dyDescent="0.2">
      <c r="A321" s="22">
        <v>102130107</v>
      </c>
      <c r="B321" s="22"/>
      <c r="C321" s="69" t="s">
        <v>1656</v>
      </c>
      <c r="D321" s="33" t="s">
        <v>1878</v>
      </c>
      <c r="E321" s="2">
        <v>2</v>
      </c>
      <c r="F321" s="3">
        <v>3</v>
      </c>
      <c r="G321" s="3">
        <v>100501</v>
      </c>
      <c r="H321" s="3">
        <v>1</v>
      </c>
      <c r="I321" s="3">
        <v>5</v>
      </c>
      <c r="J321" s="3">
        <v>2</v>
      </c>
      <c r="K321" s="3">
        <v>2</v>
      </c>
      <c r="L321" s="91" t="s">
        <v>1881</v>
      </c>
      <c r="M321" s="3"/>
      <c r="N321" s="2">
        <v>1</v>
      </c>
      <c r="O321" s="69"/>
      <c r="P321" s="3" t="s">
        <v>1615</v>
      </c>
      <c r="Q321" s="95">
        <v>23</v>
      </c>
      <c r="R321" s="133">
        <f>IF(P321=模板计算相关数据!$AB$24,VLOOKUP(X321,模板计算相关数据!$P$47:$T$50,2,0),VLOOKUP(X321,模板计算相关数据!$P$4:$U$7,3,0))*VLOOKUP(Y321,模板计算相关数据!$P$22:$X$30,8,0)</f>
        <v>17.66901960784314</v>
      </c>
      <c r="S321" s="62">
        <v>3.2</v>
      </c>
      <c r="T321" s="133">
        <f>IF(P321=模板计算相关数据!$AB$24,VLOOKUP(X321,模板计算相关数据!$P$47:$T$50,5,0),VLOOKUP(X321,模板计算相关数据!$P$4:$U$7,6,0))*VLOOKUP(Y321,模板计算相关数据!$P$22:$X$30,9,0)</f>
        <v>2.9610152729167778</v>
      </c>
      <c r="U321" s="103">
        <v>1</v>
      </c>
      <c r="V321" s="95">
        <f t="shared" si="29"/>
        <v>4</v>
      </c>
      <c r="W321" s="29">
        <f>VLOOKUP(U321,模板计算相关数据!A:N,2,0)</f>
        <v>1</v>
      </c>
      <c r="X321" s="3" t="s">
        <v>178</v>
      </c>
      <c r="Y321" s="3" t="s">
        <v>152</v>
      </c>
      <c r="Z321" s="99">
        <v>1</v>
      </c>
      <c r="AA321" s="95">
        <v>1</v>
      </c>
      <c r="AB321" s="95">
        <v>1</v>
      </c>
      <c r="AC321" s="95">
        <v>1</v>
      </c>
      <c r="AD321" s="95">
        <v>0</v>
      </c>
      <c r="AE321" s="95">
        <v>0</v>
      </c>
      <c r="AF321" s="95">
        <v>0</v>
      </c>
      <c r="AG321" s="95">
        <v>0</v>
      </c>
      <c r="AH321" s="95">
        <v>0</v>
      </c>
      <c r="AI321" s="95">
        <v>2000</v>
      </c>
      <c r="AJ321" s="3">
        <f>INT(VLOOKUP(U321,模板计算相关数据!A:N,4,0)*VLOOKUP(U321,模板计算相关数据!A:N,14,0)*(1+MAX(0,(VLOOKUP(U321,模板计算相关数据!A:N,7,0)-AQ321))*VLOOKUP(U321,模板计算相关数据!A:N,8,0))*(1-(AL321+AM321)*0.5/((AL321+AM321)*0.5+(VLOOKUP(U321,模板计算相关数据!A:N,2,0)+模板计算相关数据!$AC$27)*模板计算相关数据!$AC$28))*Q321*Z321)</f>
        <v>1485</v>
      </c>
      <c r="AK321" s="3">
        <f>INT(VLOOKUP(U321,模板计算相关数据!A:N,3,0)/模板计算相关数据!$W$35/(1+MAX(0,(AO321/10000-VLOOKUP(U321,模板计算相关数据!A:N,9,0)))*AP321/10000)/(1-VLOOKUP(U321,模板计算相关数据!A:N,5,0)/(VLOOKUP(U321,模板计算相关数据!A:N,5,0)+(VLOOKUP(U321,模板计算相关数据!A:N,2,0)+模板计算相关数据!$AC$27)*模板计算相关数据!$AC$28))/S321*AA321)</f>
        <v>174</v>
      </c>
      <c r="AL321" s="3">
        <f>INT(VLOOKUP(U321,模板计算相关数据!A:N,5,0)*VLOOKUP(X321,模板计算相关数据!$P$4:$T$7,4,0)*VLOOKUP(Y321,模板计算相关数据!$P$22:$U$30,4,0)*AB321)</f>
        <v>346</v>
      </c>
      <c r="AM321" s="3">
        <f>INT(VLOOKUP(U321,模板计算相关数据!A:N,6,0)*VLOOKUP(X321,模板计算相关数据!$P$4:$T$7,4,0)*VLOOKUP(Y321,模板计算相关数据!$P$22:$U$30,5,0)*AC321)</f>
        <v>205</v>
      </c>
      <c r="AN321" s="3">
        <f>VLOOKUP(U321,模板计算相关数据!A:N,10,0)*0.5*VLOOKUP(Y321,模板计算相关数据!$P$22:$U$30,6,0)+AD321</f>
        <v>250</v>
      </c>
      <c r="AO321" s="3">
        <f>VLOOKUP(INT(VLOOKUP(U321,模板计算相关数据!A:N,2,0)/30)+1,模板计算相关数据!$O$35:$U$40,3,0)+AE321</f>
        <v>0</v>
      </c>
      <c r="AP321" s="3">
        <f>VLOOKUP(INT(VLOOKUP(U321,模板计算相关数据!A:N,2,0)/30)+1,模板计算相关数据!$O$35:$U$40,4,0)+AF321</f>
        <v>5000</v>
      </c>
      <c r="AQ321" s="3">
        <f>VLOOKUP(INT(VLOOKUP(U321,模板计算相关数据!A:N,2,0)/30)+1,模板计算相关数据!$O$35:$U$40,5,0)+AG321</f>
        <v>0</v>
      </c>
      <c r="AR321" s="3">
        <f>VLOOKUP(INT(VLOOKUP(U321,模板计算相关数据!A:N,2,0)/30)+1,模板计算相关数据!$O$35:$U$40,6,0)+AH321</f>
        <v>0</v>
      </c>
      <c r="AS321" s="3">
        <v>3000</v>
      </c>
      <c r="AT321" s="3">
        <f>VLOOKUP(INT(VLOOKUP(U321,模板计算相关数据!A:N,2,0)/30)+1,模板计算相关数据!$O$35:$V$40,8,0)</f>
        <v>0</v>
      </c>
      <c r="AU321" s="69" t="s">
        <v>1963</v>
      </c>
    </row>
    <row r="322" spans="1:47" x14ac:dyDescent="0.2">
      <c r="A322" s="43">
        <v>102150101</v>
      </c>
      <c r="B322" s="43"/>
      <c r="C322" s="69" t="s">
        <v>995</v>
      </c>
      <c r="D322" s="87" t="s">
        <v>1882</v>
      </c>
      <c r="E322" s="2">
        <v>1</v>
      </c>
      <c r="F322" s="3">
        <v>4</v>
      </c>
      <c r="G322" s="3">
        <v>1001801</v>
      </c>
      <c r="H322" s="3">
        <v>1</v>
      </c>
      <c r="I322" s="3">
        <v>4</v>
      </c>
      <c r="J322" s="3">
        <v>5</v>
      </c>
      <c r="K322" s="3"/>
      <c r="L322" s="91" t="s">
        <v>1545</v>
      </c>
      <c r="M322" s="3"/>
      <c r="N322" s="2">
        <v>1</v>
      </c>
      <c r="O322" s="2"/>
      <c r="P322" s="3" t="s">
        <v>1615</v>
      </c>
      <c r="Q322" s="95">
        <f t="shared" ref="Q322" si="37">R322</f>
        <v>4.417254901960785</v>
      </c>
      <c r="R322" s="133">
        <f>IF(P322=模板计算相关数据!$AB$24,VLOOKUP(X322,模板计算相关数据!$P$47:$T$50,2,0),VLOOKUP(X322,模板计算相关数据!$P$4:$U$7,3,0))*VLOOKUP(Y322,模板计算相关数据!$P$22:$X$30,8,0)</f>
        <v>4.417254901960785</v>
      </c>
      <c r="S322" s="62">
        <f t="shared" ref="S322" si="38">T322</f>
        <v>5.4285280003474252</v>
      </c>
      <c r="T322" s="133">
        <f>IF(P322=模板计算相关数据!$AB$24,VLOOKUP(X322,模板计算相关数据!$P$47:$T$50,5,0),VLOOKUP(X322,模板计算相关数据!$P$4:$U$7,6,0))*VLOOKUP(Y322,模板计算相关数据!$P$22:$X$30,9,0)</f>
        <v>5.4285280003474252</v>
      </c>
      <c r="U322" s="103">
        <v>1</v>
      </c>
      <c r="V322" s="95">
        <f t="shared" si="29"/>
        <v>4</v>
      </c>
      <c r="W322" s="29">
        <f>VLOOKUP(U322,模板计算相关数据!A:N,2,0)</f>
        <v>1</v>
      </c>
      <c r="X322" s="3" t="s">
        <v>151</v>
      </c>
      <c r="Y322" s="3" t="s">
        <v>152</v>
      </c>
      <c r="Z322" s="99">
        <v>1</v>
      </c>
      <c r="AA322" s="95">
        <v>0.9</v>
      </c>
      <c r="AB322" s="95">
        <v>1</v>
      </c>
      <c r="AC322" s="95">
        <v>1</v>
      </c>
      <c r="AD322" s="95">
        <v>0</v>
      </c>
      <c r="AE322" s="95">
        <v>0</v>
      </c>
      <c r="AF322" s="95">
        <v>0</v>
      </c>
      <c r="AG322" s="95">
        <v>0</v>
      </c>
      <c r="AH322" s="95">
        <v>0</v>
      </c>
      <c r="AI322" s="95">
        <v>0</v>
      </c>
      <c r="AJ322" s="3">
        <f>INT(VLOOKUP(U322,模板计算相关数据!A:N,4,0)*VLOOKUP(U322,模板计算相关数据!A:N,14,0)*(1+MAX(0,(VLOOKUP(U322,模板计算相关数据!A:N,7,0)-AQ322))*VLOOKUP(U322,模板计算相关数据!A:N,8,0))*(1-(AL322+AM322)*0.5/((AL322+AM322)*0.5+(VLOOKUP(U322,模板计算相关数据!A:N,2,0)+模板计算相关数据!$AC$27)*模板计算相关数据!$AC$28))*Q322*Z322)</f>
        <v>325</v>
      </c>
      <c r="AK322" s="3">
        <f>INT(VLOOKUP(U322,模板计算相关数据!A:N,3,0)/模板计算相关数据!$W$35/(1+MAX(0,(AO322/10000-VLOOKUP(U322,模板计算相关数据!A:N,9,0)))*AP322/10000)/(1-VLOOKUP(U322,模板计算相关数据!A:N,5,0)/(VLOOKUP(U322,模板计算相关数据!A:N,5,0)+(VLOOKUP(U322,模板计算相关数据!A:N,2,0)+模板计算相关数据!$AC$27)*模板计算相关数据!$AC$28))/S322*AA322)</f>
        <v>92</v>
      </c>
      <c r="AL322" s="3">
        <f>INT(VLOOKUP(U322,模板计算相关数据!A:N,5,0)*VLOOKUP(X322,模板计算相关数据!$P$4:$T$7,4,0)*VLOOKUP(Y322,模板计算相关数据!$P$22:$U$30,4,0)*AB322)</f>
        <v>230</v>
      </c>
      <c r="AM322" s="3">
        <f>INT(VLOOKUP(U322,模板计算相关数据!A:N,6,0)*VLOOKUP(X322,模板计算相关数据!$P$4:$T$7,4,0)*VLOOKUP(Y322,模板计算相关数据!$P$22:$U$30,5,0)*AC322)</f>
        <v>136</v>
      </c>
      <c r="AN322" s="3">
        <f>VLOOKUP(U322,模板计算相关数据!A:N,10,0)*0.5*VLOOKUP(Y322,模板计算相关数据!$P$22:$U$30,6,0)+AD322</f>
        <v>250</v>
      </c>
      <c r="AO322" s="3">
        <f>VLOOKUP(INT(VLOOKUP(U322,模板计算相关数据!A:N,2,0)/30)+1,模板计算相关数据!$O$35:$U$40,3,0)+AE322</f>
        <v>0</v>
      </c>
      <c r="AP322" s="3">
        <f>VLOOKUP(INT(VLOOKUP(U322,模板计算相关数据!A:N,2,0)/30)+1,模板计算相关数据!$O$35:$U$40,4,0)+AF322</f>
        <v>5000</v>
      </c>
      <c r="AQ322" s="3">
        <f>VLOOKUP(INT(VLOOKUP(U322,模板计算相关数据!A:N,2,0)/30)+1,模板计算相关数据!$O$35:$U$40,5,0)+AG322</f>
        <v>0</v>
      </c>
      <c r="AR322" s="3">
        <f>VLOOKUP(INT(VLOOKUP(U322,模板计算相关数据!A:N,2,0)/30)+1,模板计算相关数据!$O$35:$U$40,6,0)+AH322</f>
        <v>0</v>
      </c>
      <c r="AS322" s="3">
        <f>VLOOKUP(INT(VLOOKUP(U322,模板计算相关数据!A:N,2,0)/30)+1,模板计算相关数据!$O$35:$U$40,7,0)+AI322</f>
        <v>0</v>
      </c>
      <c r="AT322" s="3">
        <f>VLOOKUP(INT(VLOOKUP(U322,模板计算相关数据!A:N,2,0)/30)+1,模板计算相关数据!$O$35:$V$40,8,0)</f>
        <v>0</v>
      </c>
      <c r="AU322" s="2"/>
    </row>
    <row r="323" spans="1:47" x14ac:dyDescent="0.2">
      <c r="A323" s="43">
        <v>102150201</v>
      </c>
      <c r="B323" s="43"/>
      <c r="C323" s="69" t="s">
        <v>995</v>
      </c>
      <c r="D323" s="87" t="s">
        <v>1882</v>
      </c>
      <c r="E323" s="2">
        <v>1</v>
      </c>
      <c r="F323" s="3">
        <v>4</v>
      </c>
      <c r="G323" s="3">
        <v>1001801</v>
      </c>
      <c r="H323" s="3">
        <v>1</v>
      </c>
      <c r="I323" s="3">
        <v>4</v>
      </c>
      <c r="J323" s="3">
        <v>5</v>
      </c>
      <c r="K323" s="3"/>
      <c r="L323" s="91" t="s">
        <v>1545</v>
      </c>
      <c r="M323" s="3"/>
      <c r="N323" s="2">
        <v>1</v>
      </c>
      <c r="O323" s="2"/>
      <c r="P323" s="3" t="s">
        <v>1615</v>
      </c>
      <c r="Q323" s="95">
        <f t="shared" ref="Q323" si="39">R323</f>
        <v>4.417254901960785</v>
      </c>
      <c r="R323" s="133">
        <f>IF(P323=模板计算相关数据!$AB$24,VLOOKUP(X323,模板计算相关数据!$P$47:$T$50,2,0),VLOOKUP(X323,模板计算相关数据!$P$4:$U$7,3,0))*VLOOKUP(Y323,模板计算相关数据!$P$22:$X$30,8,0)</f>
        <v>4.417254901960785</v>
      </c>
      <c r="S323" s="62">
        <f t="shared" ref="S323" si="40">T323</f>
        <v>5.4285280003474252</v>
      </c>
      <c r="T323" s="133">
        <f>IF(P323=模板计算相关数据!$AB$24,VLOOKUP(X323,模板计算相关数据!$P$47:$T$50,5,0),VLOOKUP(X323,模板计算相关数据!$P$4:$U$7,6,0))*VLOOKUP(Y323,模板计算相关数据!$P$22:$X$30,9,0)</f>
        <v>5.4285280003474252</v>
      </c>
      <c r="U323" s="103">
        <v>1</v>
      </c>
      <c r="V323" s="95">
        <f t="shared" si="29"/>
        <v>4</v>
      </c>
      <c r="W323" s="29">
        <f>VLOOKUP(U323,模板计算相关数据!A:N,2,0)</f>
        <v>1</v>
      </c>
      <c r="X323" s="3" t="s">
        <v>151</v>
      </c>
      <c r="Y323" s="3" t="s">
        <v>152</v>
      </c>
      <c r="Z323" s="99">
        <v>1</v>
      </c>
      <c r="AA323" s="95">
        <v>0.9</v>
      </c>
      <c r="AB323" s="95">
        <v>1</v>
      </c>
      <c r="AC323" s="95">
        <v>1</v>
      </c>
      <c r="AD323" s="95">
        <v>0</v>
      </c>
      <c r="AE323" s="95">
        <v>0</v>
      </c>
      <c r="AF323" s="95">
        <v>0</v>
      </c>
      <c r="AG323" s="95">
        <v>0</v>
      </c>
      <c r="AH323" s="95">
        <v>0</v>
      </c>
      <c r="AI323" s="95">
        <v>0</v>
      </c>
      <c r="AJ323" s="3">
        <f>INT(VLOOKUP(U323,模板计算相关数据!A:N,4,0)*VLOOKUP(U323,模板计算相关数据!A:N,14,0)*(1+MAX(0,(VLOOKUP(U323,模板计算相关数据!A:N,7,0)-AQ323))*VLOOKUP(U323,模板计算相关数据!A:N,8,0))*(1-(AL323+AM323)*0.5/((AL323+AM323)*0.5+(VLOOKUP(U323,模板计算相关数据!A:N,2,0)+模板计算相关数据!$AC$27)*模板计算相关数据!$AC$28))*Q323*Z323)</f>
        <v>325</v>
      </c>
      <c r="AK323" s="3">
        <f>INT(VLOOKUP(U323,模板计算相关数据!A:N,3,0)/模板计算相关数据!$W$35/(1+MAX(0,(AO323/10000-VLOOKUP(U323,模板计算相关数据!A:N,9,0)))*AP323/10000)/(1-VLOOKUP(U323,模板计算相关数据!A:N,5,0)/(VLOOKUP(U323,模板计算相关数据!A:N,5,0)+(VLOOKUP(U323,模板计算相关数据!A:N,2,0)+模板计算相关数据!$AC$27)*模板计算相关数据!$AC$28))/S323*AA323)</f>
        <v>92</v>
      </c>
      <c r="AL323" s="3">
        <f>INT(VLOOKUP(U323,模板计算相关数据!A:N,5,0)*VLOOKUP(X323,模板计算相关数据!$P$4:$T$7,4,0)*VLOOKUP(Y323,模板计算相关数据!$P$22:$U$30,4,0)*AB323)</f>
        <v>230</v>
      </c>
      <c r="AM323" s="3">
        <f>INT(VLOOKUP(U323,模板计算相关数据!A:N,6,0)*VLOOKUP(X323,模板计算相关数据!$P$4:$T$7,4,0)*VLOOKUP(Y323,模板计算相关数据!$P$22:$U$30,5,0)*AC323)</f>
        <v>136</v>
      </c>
      <c r="AN323" s="3">
        <f>VLOOKUP(U323,模板计算相关数据!A:N,10,0)*0.5*VLOOKUP(Y323,模板计算相关数据!$P$22:$U$30,6,0)+AD323</f>
        <v>250</v>
      </c>
      <c r="AO323" s="3">
        <f>VLOOKUP(INT(VLOOKUP(U323,模板计算相关数据!A:N,2,0)/30)+1,模板计算相关数据!$O$35:$U$40,3,0)+AE323</f>
        <v>0</v>
      </c>
      <c r="AP323" s="3">
        <f>VLOOKUP(INT(VLOOKUP(U323,模板计算相关数据!A:N,2,0)/30)+1,模板计算相关数据!$O$35:$U$40,4,0)+AF323</f>
        <v>5000</v>
      </c>
      <c r="AQ323" s="3">
        <f>VLOOKUP(INT(VLOOKUP(U323,模板计算相关数据!A:N,2,0)/30)+1,模板计算相关数据!$O$35:$U$40,5,0)+AG323</f>
        <v>0</v>
      </c>
      <c r="AR323" s="3">
        <f>VLOOKUP(INT(VLOOKUP(U323,模板计算相关数据!A:N,2,0)/30)+1,模板计算相关数据!$O$35:$U$40,6,0)+AH323</f>
        <v>0</v>
      </c>
      <c r="AS323" s="3">
        <f>VLOOKUP(INT(VLOOKUP(U323,模板计算相关数据!A:N,2,0)/30)+1,模板计算相关数据!$O$35:$U$40,7,0)+AI323</f>
        <v>0</v>
      </c>
      <c r="AT323" s="3">
        <f>VLOOKUP(INT(VLOOKUP(U323,模板计算相关数据!A:N,2,0)/30)+1,模板计算相关数据!$O$35:$V$40,8,0)</f>
        <v>0</v>
      </c>
      <c r="AU323" s="2"/>
    </row>
    <row r="324" spans="1:47" x14ac:dyDescent="0.2">
      <c r="A324" s="43">
        <v>102150202</v>
      </c>
      <c r="B324" s="43"/>
      <c r="C324" s="69" t="s">
        <v>994</v>
      </c>
      <c r="D324" s="87" t="s">
        <v>1883</v>
      </c>
      <c r="E324" s="2">
        <v>1</v>
      </c>
      <c r="F324" s="3">
        <v>2</v>
      </c>
      <c r="G324" s="3">
        <v>1001901</v>
      </c>
      <c r="H324" s="3">
        <v>3</v>
      </c>
      <c r="I324" s="3">
        <v>4</v>
      </c>
      <c r="J324" s="3">
        <v>5</v>
      </c>
      <c r="K324" s="3"/>
      <c r="L324" s="91" t="s">
        <v>1560</v>
      </c>
      <c r="M324" s="3"/>
      <c r="N324" s="2">
        <v>1</v>
      </c>
      <c r="O324" s="2"/>
      <c r="P324" s="3" t="s">
        <v>1615</v>
      </c>
      <c r="Q324" s="95">
        <f>R324</f>
        <v>5.6000000000000014</v>
      </c>
      <c r="R324" s="133">
        <f>IF(P324=模板计算相关数据!$AB$24,VLOOKUP(X324,模板计算相关数据!$P$47:$T$50,2,0),VLOOKUP(X324,模板计算相关数据!$P$4:$U$7,3,0))*VLOOKUP(Y324,模板计算相关数据!$P$22:$X$30,8,0)</f>
        <v>5.6000000000000014</v>
      </c>
      <c r="S324" s="62">
        <f>T324</f>
        <v>6.6693344004268367</v>
      </c>
      <c r="T324" s="133">
        <f>IF(P324=模板计算相关数据!$AB$24,VLOOKUP(X324,模板计算相关数据!$P$47:$T$50,5,0),VLOOKUP(X324,模板计算相关数据!$P$4:$U$7,6,0))*VLOOKUP(Y324,模板计算相关数据!$P$22:$X$30,9,0)</f>
        <v>6.6693344004268367</v>
      </c>
      <c r="U324" s="103">
        <v>1</v>
      </c>
      <c r="V324" s="95">
        <f t="shared" si="29"/>
        <v>4</v>
      </c>
      <c r="W324" s="29">
        <f>VLOOKUP(U324,模板计算相关数据!A:N,2,0)</f>
        <v>1</v>
      </c>
      <c r="X324" s="3" t="s">
        <v>151</v>
      </c>
      <c r="Y324" s="3" t="s">
        <v>255</v>
      </c>
      <c r="Z324" s="99">
        <v>1</v>
      </c>
      <c r="AA324" s="95">
        <v>1</v>
      </c>
      <c r="AB324" s="95">
        <v>1</v>
      </c>
      <c r="AC324" s="95">
        <v>1</v>
      </c>
      <c r="AD324" s="95">
        <v>0</v>
      </c>
      <c r="AE324" s="95">
        <v>0</v>
      </c>
      <c r="AF324" s="95">
        <v>0</v>
      </c>
      <c r="AG324" s="95">
        <v>0</v>
      </c>
      <c r="AH324" s="95">
        <v>0</v>
      </c>
      <c r="AI324" s="95">
        <v>0</v>
      </c>
      <c r="AJ324" s="3">
        <f>INT(VLOOKUP(U324,模板计算相关数据!A:N,4,0)*VLOOKUP(U324,模板计算相关数据!A:N,14,0)*(1+MAX(0,(VLOOKUP(U324,模板计算相关数据!A:N,7,0)-AQ324))*VLOOKUP(U324,模板计算相关数据!A:N,8,0))*(1-(AL324+AM324)*0.5/((AL324+AM324)*0.5+(VLOOKUP(U324,模板计算相关数据!A:N,2,0)+模板计算相关数据!$AC$27)*模板计算相关数据!$AC$28))*Q324*Z324)</f>
        <v>394</v>
      </c>
      <c r="AK324" s="3">
        <f>INT(VLOOKUP(U324,模板计算相关数据!A:N,3,0)/模板计算相关数据!$W$35/(1+MAX(0,(AO324/10000-VLOOKUP(U324,模板计算相关数据!A:N,9,0)))*AP324/10000)/(1-VLOOKUP(U324,模板计算相关数据!A:N,5,0)/(VLOOKUP(U324,模板计算相关数据!A:N,5,0)+(VLOOKUP(U324,模板计算相关数据!A:N,2,0)+模板计算相关数据!$AC$27)*模板计算相关数据!$AC$28))/S324*AA324)</f>
        <v>83</v>
      </c>
      <c r="AL324" s="3">
        <f>INT(VLOOKUP(U324,模板计算相关数据!A:N,5,0)*VLOOKUP(X324,模板计算相关数据!$P$4:$T$7,4,0)*VLOOKUP(Y324,模板计算相关数据!$P$22:$U$30,4,0)*AB324)</f>
        <v>149</v>
      </c>
      <c r="AM324" s="3">
        <f>INT(VLOOKUP(U324,模板计算相关数据!A:N,6,0)*VLOOKUP(X324,模板计算相关数据!$P$4:$T$7,4,0)*VLOOKUP(Y324,模板计算相关数据!$P$22:$U$30,5,0)*AC324)</f>
        <v>277</v>
      </c>
      <c r="AN324" s="3">
        <f>VLOOKUP(U324,模板计算相关数据!A:N,10,0)*0.5*VLOOKUP(Y324,模板计算相关数据!$P$22:$U$30,6,0)+AD324</f>
        <v>225</v>
      </c>
      <c r="AO324" s="3">
        <f>VLOOKUP(INT(VLOOKUP(U324,模板计算相关数据!A:N,2,0)/30)+1,模板计算相关数据!$O$35:$U$40,3,0)+AE324</f>
        <v>0</v>
      </c>
      <c r="AP324" s="3">
        <f>VLOOKUP(INT(VLOOKUP(U324,模板计算相关数据!A:N,2,0)/30)+1,模板计算相关数据!$O$35:$U$40,4,0)+AF324</f>
        <v>5000</v>
      </c>
      <c r="AQ324" s="3">
        <f>VLOOKUP(INT(VLOOKUP(U324,模板计算相关数据!A:N,2,0)/30)+1,模板计算相关数据!$O$35:$U$40,5,0)+AG324</f>
        <v>0</v>
      </c>
      <c r="AR324" s="3">
        <f>VLOOKUP(INT(VLOOKUP(U324,模板计算相关数据!A:N,2,0)/30)+1,模板计算相关数据!$O$35:$U$40,6,0)+AH324</f>
        <v>0</v>
      </c>
      <c r="AS324" s="3">
        <f>VLOOKUP(INT(VLOOKUP(U324,模板计算相关数据!A:N,2,0)/30)+1,模板计算相关数据!$O$35:$U$40,7,0)+AI324</f>
        <v>0</v>
      </c>
      <c r="AT324" s="3">
        <f>VLOOKUP(INT(VLOOKUP(U324,模板计算相关数据!A:N,2,0)/30)+1,模板计算相关数据!$O$35:$V$40,8,0)</f>
        <v>0</v>
      </c>
      <c r="AU324" s="2"/>
    </row>
    <row r="325" spans="1:47" x14ac:dyDescent="0.2">
      <c r="A325" s="45">
        <v>102160101</v>
      </c>
      <c r="B325" s="45"/>
      <c r="C325" s="87" t="s">
        <v>1958</v>
      </c>
      <c r="D325" s="33" t="s">
        <v>1884</v>
      </c>
      <c r="E325" s="2">
        <v>1</v>
      </c>
      <c r="F325" s="3">
        <v>2</v>
      </c>
      <c r="G325" s="3">
        <v>1005701</v>
      </c>
      <c r="H325" s="3">
        <v>1</v>
      </c>
      <c r="I325" s="3">
        <v>4</v>
      </c>
      <c r="J325" s="3">
        <v>1</v>
      </c>
      <c r="K325" s="3"/>
      <c r="L325" s="91" t="s">
        <v>1885</v>
      </c>
      <c r="M325" s="3"/>
      <c r="N325" s="2">
        <v>1</v>
      </c>
      <c r="O325" s="2"/>
      <c r="P325" s="3" t="s">
        <v>1615</v>
      </c>
      <c r="Q325" s="95">
        <f t="shared" ref="Q325:Q329" si="41">R325</f>
        <v>6.9411764705882364</v>
      </c>
      <c r="R325" s="133">
        <f>IF(P325=模板计算相关数据!$AB$24,VLOOKUP(X325,模板计算相关数据!$P$47:$T$50,2,0),VLOOKUP(X325,模板计算相关数据!$P$4:$U$7,3,0))*VLOOKUP(Y325,模板计算相关数据!$P$22:$X$30,8,0)</f>
        <v>6.9411764705882364</v>
      </c>
      <c r="S325" s="62">
        <f t="shared" ref="S325:S326" si="42">T325</f>
        <v>8.2943498888557112</v>
      </c>
      <c r="T325" s="133">
        <f>IF(P325=模板计算相关数据!$AB$24,VLOOKUP(X325,模板计算相关数据!$P$47:$T$50,5,0),VLOOKUP(X325,模板计算相关数据!$P$4:$U$7,6,0))*VLOOKUP(Y325,模板计算相关数据!$P$22:$X$30,9,0)</f>
        <v>8.2943498888557112</v>
      </c>
      <c r="U325" s="103">
        <v>1</v>
      </c>
      <c r="V325" s="95">
        <f t="shared" si="29"/>
        <v>4</v>
      </c>
      <c r="W325" s="29">
        <f>VLOOKUP(U325,模板计算相关数据!A:N,2,0)</f>
        <v>1</v>
      </c>
      <c r="X325" s="3" t="s">
        <v>151</v>
      </c>
      <c r="Y325" s="3" t="s">
        <v>155</v>
      </c>
      <c r="Z325" s="99">
        <v>1</v>
      </c>
      <c r="AA325" s="95">
        <v>1</v>
      </c>
      <c r="AB325" s="95">
        <v>1</v>
      </c>
      <c r="AC325" s="95">
        <v>1</v>
      </c>
      <c r="AD325" s="95">
        <v>0</v>
      </c>
      <c r="AE325" s="95">
        <v>0</v>
      </c>
      <c r="AF325" s="95">
        <v>0</v>
      </c>
      <c r="AG325" s="95">
        <v>0</v>
      </c>
      <c r="AH325" s="95">
        <v>0</v>
      </c>
      <c r="AI325" s="95">
        <v>0</v>
      </c>
      <c r="AJ325" s="3">
        <f>INT(VLOOKUP(U325,模板计算相关数据!A:N,4,0)*VLOOKUP(U325,模板计算相关数据!A:N,14,0)*(1+MAX(0,(VLOOKUP(U325,模板计算相关数据!A:N,7,0)-AQ325))*VLOOKUP(U325,模板计算相关数据!A:N,8,0))*(1-(AL325+AM325)*0.5/((AL325+AM325)*0.5+(VLOOKUP(U325,模板计算相关数据!A:N,2,0)+模板计算相关数据!$AC$27)*模板计算相关数据!$AC$28))*Q325*Z325)</f>
        <v>487</v>
      </c>
      <c r="AK325" s="3">
        <f>INT(VLOOKUP(U325,模板计算相关数据!A:N,3,0)/模板计算相关数据!$W$35/(1+MAX(0,(AO325/10000-VLOOKUP(U325,模板计算相关数据!A:N,9,0)))*AP325/10000)/(1-VLOOKUP(U325,模板计算相关数据!A:N,5,0)/(VLOOKUP(U325,模板计算相关数据!A:N,5,0)+(VLOOKUP(U325,模板计算相关数据!A:N,2,0)+模板计算相关数据!$AC$27)*模板计算相关数据!$AC$28))/S325*AA325)</f>
        <v>67</v>
      </c>
      <c r="AL325" s="3">
        <f>INT(VLOOKUP(U325,模板计算相关数据!A:N,5,0)*VLOOKUP(X325,模板计算相关数据!$P$4:$T$7,4,0)*VLOOKUP(Y325,模板计算相关数据!$P$22:$U$30,4,0)*AB325)</f>
        <v>277</v>
      </c>
      <c r="AM325" s="3">
        <f>INT(VLOOKUP(U325,模板计算相关数据!A:N,6,0)*VLOOKUP(X325,模板计算相关数据!$P$4:$T$7,4,0)*VLOOKUP(Y325,模板计算相关数据!$P$22:$U$30,5,0)*AC325)</f>
        <v>153</v>
      </c>
      <c r="AN325" s="3">
        <f>VLOOKUP(U325,模板计算相关数据!A:N,10,0)*0.5*VLOOKUP(Y325,模板计算相关数据!$P$22:$U$30,6,0)+AD325</f>
        <v>225</v>
      </c>
      <c r="AO325" s="3">
        <f>VLOOKUP(INT(VLOOKUP(U325,模板计算相关数据!A:N,2,0)/30)+1,模板计算相关数据!$O$35:$U$40,3,0)+AE325</f>
        <v>0</v>
      </c>
      <c r="AP325" s="3">
        <f>VLOOKUP(INT(VLOOKUP(U325,模板计算相关数据!A:N,2,0)/30)+1,模板计算相关数据!$O$35:$U$40,4,0)+AF325</f>
        <v>5000</v>
      </c>
      <c r="AQ325" s="3">
        <f>VLOOKUP(INT(VLOOKUP(U325,模板计算相关数据!A:N,2,0)/30)+1,模板计算相关数据!$O$35:$U$40,5,0)+AG325</f>
        <v>0</v>
      </c>
      <c r="AR325" s="3">
        <f>VLOOKUP(INT(VLOOKUP(U325,模板计算相关数据!A:N,2,0)/30)+1,模板计算相关数据!$O$35:$U$40,6,0)+AH325</f>
        <v>0</v>
      </c>
      <c r="AS325" s="3">
        <f>VLOOKUP(INT(VLOOKUP(U325,模板计算相关数据!A:N,2,0)/30)+1,模板计算相关数据!$O$35:$U$40,7,0)+AI325</f>
        <v>0</v>
      </c>
      <c r="AT325" s="3">
        <f>VLOOKUP(INT(VLOOKUP(U325,模板计算相关数据!A:N,2,0)/30)+1,模板计算相关数据!$O$35:$V$40,8,0)</f>
        <v>0</v>
      </c>
      <c r="AU325" s="2"/>
    </row>
    <row r="326" spans="1:47" x14ac:dyDescent="0.2">
      <c r="A326" s="45">
        <v>102160102</v>
      </c>
      <c r="B326" s="45"/>
      <c r="C326" s="87" t="s">
        <v>1958</v>
      </c>
      <c r="D326" s="33" t="s">
        <v>1884</v>
      </c>
      <c r="E326" s="2">
        <v>1</v>
      </c>
      <c r="F326" s="3">
        <v>1</v>
      </c>
      <c r="G326" s="3">
        <v>1005701</v>
      </c>
      <c r="H326" s="3">
        <v>1</v>
      </c>
      <c r="I326" s="3">
        <v>4</v>
      </c>
      <c r="J326" s="3">
        <v>1</v>
      </c>
      <c r="K326" s="3"/>
      <c r="L326" s="91" t="s">
        <v>1885</v>
      </c>
      <c r="M326" s="3"/>
      <c r="N326" s="2">
        <v>1</v>
      </c>
      <c r="O326" s="2"/>
      <c r="P326" s="3" t="s">
        <v>1615</v>
      </c>
      <c r="Q326" s="95">
        <f t="shared" si="41"/>
        <v>6.9411764705882364</v>
      </c>
      <c r="R326" s="133">
        <f>IF(P326=模板计算相关数据!$AB$24,VLOOKUP(X326,模板计算相关数据!$P$47:$T$50,2,0),VLOOKUP(X326,模板计算相关数据!$P$4:$U$7,3,0))*VLOOKUP(Y326,模板计算相关数据!$P$22:$X$30,8,0)</f>
        <v>6.9411764705882364</v>
      </c>
      <c r="S326" s="62">
        <f t="shared" si="42"/>
        <v>8.2943498888557112</v>
      </c>
      <c r="T326" s="133">
        <f>IF(P326=模板计算相关数据!$AB$24,VLOOKUP(X326,模板计算相关数据!$P$47:$T$50,5,0),VLOOKUP(X326,模板计算相关数据!$P$4:$U$7,6,0))*VLOOKUP(Y326,模板计算相关数据!$P$22:$X$30,9,0)</f>
        <v>8.2943498888557112</v>
      </c>
      <c r="U326" s="103">
        <v>1</v>
      </c>
      <c r="V326" s="95">
        <f t="shared" si="29"/>
        <v>4</v>
      </c>
      <c r="W326" s="29">
        <f>VLOOKUP(U326,模板计算相关数据!A:N,2,0)</f>
        <v>1</v>
      </c>
      <c r="X326" s="3" t="s">
        <v>151</v>
      </c>
      <c r="Y326" s="3" t="s">
        <v>155</v>
      </c>
      <c r="Z326" s="99">
        <v>1</v>
      </c>
      <c r="AA326" s="95">
        <v>1</v>
      </c>
      <c r="AB326" s="95">
        <v>1</v>
      </c>
      <c r="AC326" s="95">
        <v>1</v>
      </c>
      <c r="AD326" s="95">
        <v>0</v>
      </c>
      <c r="AE326" s="95">
        <v>0</v>
      </c>
      <c r="AF326" s="95">
        <v>0</v>
      </c>
      <c r="AG326" s="95">
        <v>0</v>
      </c>
      <c r="AH326" s="95">
        <v>0</v>
      </c>
      <c r="AI326" s="95">
        <v>0</v>
      </c>
      <c r="AJ326" s="3">
        <f>INT(VLOOKUP(U326,模板计算相关数据!A:N,4,0)*VLOOKUP(U326,模板计算相关数据!A:N,14,0)*(1+MAX(0,(VLOOKUP(U326,模板计算相关数据!A:N,7,0)-AQ326))*VLOOKUP(U326,模板计算相关数据!A:N,8,0))*(1-(AL326+AM326)*0.5/((AL326+AM326)*0.5+(VLOOKUP(U326,模板计算相关数据!A:N,2,0)+模板计算相关数据!$AC$27)*模板计算相关数据!$AC$28))*Q326*Z326)</f>
        <v>487</v>
      </c>
      <c r="AK326" s="3">
        <f>INT(VLOOKUP(U326,模板计算相关数据!A:N,3,0)/模板计算相关数据!$W$35/(1+MAX(0,(AO326/10000-VLOOKUP(U326,模板计算相关数据!A:N,9,0)))*AP326/10000)/(1-VLOOKUP(U326,模板计算相关数据!A:N,5,0)/(VLOOKUP(U326,模板计算相关数据!A:N,5,0)+(VLOOKUP(U326,模板计算相关数据!A:N,2,0)+模板计算相关数据!$AC$27)*模板计算相关数据!$AC$28))/S326*AA326)</f>
        <v>67</v>
      </c>
      <c r="AL326" s="3">
        <f>INT(VLOOKUP(U326,模板计算相关数据!A:N,5,0)*VLOOKUP(X326,模板计算相关数据!$P$4:$T$7,4,0)*VLOOKUP(Y326,模板计算相关数据!$P$22:$U$30,4,0)*AB326)</f>
        <v>277</v>
      </c>
      <c r="AM326" s="3">
        <f>INT(VLOOKUP(U326,模板计算相关数据!A:N,6,0)*VLOOKUP(X326,模板计算相关数据!$P$4:$T$7,4,0)*VLOOKUP(Y326,模板计算相关数据!$P$22:$U$30,5,0)*AC326)</f>
        <v>153</v>
      </c>
      <c r="AN326" s="3">
        <f>VLOOKUP(U326,模板计算相关数据!A:N,10,0)*0.5*VLOOKUP(Y326,模板计算相关数据!$P$22:$U$30,6,0)+AD326</f>
        <v>225</v>
      </c>
      <c r="AO326" s="3">
        <f>VLOOKUP(INT(VLOOKUP(U326,模板计算相关数据!A:N,2,0)/30)+1,模板计算相关数据!$O$35:$U$40,3,0)+AE326</f>
        <v>0</v>
      </c>
      <c r="AP326" s="3">
        <f>VLOOKUP(INT(VLOOKUP(U326,模板计算相关数据!A:N,2,0)/30)+1,模板计算相关数据!$O$35:$U$40,4,0)+AF326</f>
        <v>5000</v>
      </c>
      <c r="AQ326" s="3">
        <f>VLOOKUP(INT(VLOOKUP(U326,模板计算相关数据!A:N,2,0)/30)+1,模板计算相关数据!$O$35:$U$40,5,0)+AG326</f>
        <v>0</v>
      </c>
      <c r="AR326" s="3">
        <f>VLOOKUP(INT(VLOOKUP(U326,模板计算相关数据!A:N,2,0)/30)+1,模板计算相关数据!$O$35:$U$40,6,0)+AH326</f>
        <v>0</v>
      </c>
      <c r="AS326" s="3">
        <f>VLOOKUP(INT(VLOOKUP(U326,模板计算相关数据!A:N,2,0)/30)+1,模板计算相关数据!$O$35:$U$40,7,0)+AI326</f>
        <v>0</v>
      </c>
      <c r="AT326" s="3">
        <f>VLOOKUP(INT(VLOOKUP(U326,模板计算相关数据!A:N,2,0)/30)+1,模板计算相关数据!$O$35:$V$40,8,0)</f>
        <v>0</v>
      </c>
      <c r="AU326" s="2"/>
    </row>
    <row r="327" spans="1:47" x14ac:dyDescent="0.2">
      <c r="A327" s="43">
        <v>102170101</v>
      </c>
      <c r="B327" s="43"/>
      <c r="C327" s="69" t="s">
        <v>1821</v>
      </c>
      <c r="D327" s="87" t="s">
        <v>1886</v>
      </c>
      <c r="E327" s="2">
        <v>2</v>
      </c>
      <c r="F327" s="3">
        <v>3</v>
      </c>
      <c r="G327" s="3">
        <v>1003201</v>
      </c>
      <c r="H327" s="3">
        <v>5</v>
      </c>
      <c r="I327" s="3">
        <v>4</v>
      </c>
      <c r="J327" s="3">
        <v>1</v>
      </c>
      <c r="K327" s="3"/>
      <c r="L327" s="91" t="s">
        <v>1548</v>
      </c>
      <c r="M327" s="3"/>
      <c r="N327" s="2">
        <v>1</v>
      </c>
      <c r="O327" s="2"/>
      <c r="P327" s="3" t="s">
        <v>1615</v>
      </c>
      <c r="Q327" s="95">
        <f t="shared" si="41"/>
        <v>5.7709803921568623</v>
      </c>
      <c r="R327" s="133">
        <f>IF(P327=模板计算相关数据!$AB$24,VLOOKUP(X327,模板计算相关数据!$P$47:$T$50,2,0),VLOOKUP(X327,模板计算相关数据!$P$4:$U$7,3,0))*VLOOKUP(Y327,模板计算相关数据!$P$22:$X$30,8,0)</f>
        <v>5.7709803921568623</v>
      </c>
      <c r="S327" s="62">
        <v>7.41</v>
      </c>
      <c r="T327" s="133">
        <f>IF(P327=模板计算相关数据!$AB$24,VLOOKUP(X327,模板计算相关数据!$P$47:$T$50,5,0),VLOOKUP(X327,模板计算相关数据!$P$4:$U$7,6,0))*VLOOKUP(Y327,模板计算相关数据!$P$22:$X$30,9,0)</f>
        <v>6.4077918749198997</v>
      </c>
      <c r="U327" s="103">
        <v>1</v>
      </c>
      <c r="V327" s="95">
        <f t="shared" si="29"/>
        <v>4</v>
      </c>
      <c r="W327" s="29">
        <f>VLOOKUP(U327,模板计算相关数据!A:N,2,0)</f>
        <v>1</v>
      </c>
      <c r="X327" s="3" t="s">
        <v>151</v>
      </c>
      <c r="Y327" s="3" t="s">
        <v>159</v>
      </c>
      <c r="Z327" s="99">
        <v>1</v>
      </c>
      <c r="AA327" s="95">
        <v>1</v>
      </c>
      <c r="AB327" s="95">
        <v>1</v>
      </c>
      <c r="AC327" s="95">
        <v>1</v>
      </c>
      <c r="AD327" s="95">
        <v>0</v>
      </c>
      <c r="AE327" s="95">
        <v>0</v>
      </c>
      <c r="AF327" s="95">
        <v>0</v>
      </c>
      <c r="AG327" s="95">
        <v>0</v>
      </c>
      <c r="AH327" s="95">
        <v>0</v>
      </c>
      <c r="AI327" s="95">
        <v>0</v>
      </c>
      <c r="AJ327" s="3">
        <f>INT(VLOOKUP(U327,模板计算相关数据!A:N,4,0)*VLOOKUP(U327,模板计算相关数据!A:N,14,0)*(1+MAX(0,(VLOOKUP(U327,模板计算相关数据!A:N,7,0)-AQ327))*VLOOKUP(U327,模板计算相关数据!A:N,8,0))*(1-(AL327+AM327)*0.5/((AL327+AM327)*0.5+(VLOOKUP(U327,模板计算相关数据!A:N,2,0)+模板计算相关数据!$AC$27)*模板计算相关数据!$AC$28))*Q327*Z327)</f>
        <v>411</v>
      </c>
      <c r="AK327" s="3">
        <f>INT(VLOOKUP(U327,模板计算相关数据!A:N,3,0)/模板计算相关数据!$W$35/(1+MAX(0,(AO327/10000-VLOOKUP(U327,模板计算相关数据!A:N,9,0)))*AP327/10000)/(1-VLOOKUP(U327,模板计算相关数据!A:N,5,0)/(VLOOKUP(U327,模板计算相关数据!A:N,5,0)+(VLOOKUP(U327,模板计算相关数据!A:N,2,0)+模板计算相关数据!$AC$27)*模板计算相关数据!$AC$28))/S327*AA327)</f>
        <v>75</v>
      </c>
      <c r="AL327" s="3">
        <f>INT(VLOOKUP(U327,模板计算相关数据!A:N,5,0)*VLOOKUP(X327,模板计算相关数据!$P$4:$T$7,4,0)*VLOOKUP(Y327,模板计算相关数据!$P$22:$U$30,4,0)*AB327)</f>
        <v>264</v>
      </c>
      <c r="AM327" s="3">
        <f>INT(VLOOKUP(U327,模板计算相关数据!A:N,6,0)*VLOOKUP(X327,模板计算相关数据!$P$4:$T$7,4,0)*VLOOKUP(Y327,模板计算相关数据!$P$22:$U$30,5,0)*AC327)</f>
        <v>145</v>
      </c>
      <c r="AN327" s="3">
        <f>VLOOKUP(U327,模板计算相关数据!A:N,10,0)*0.5*VLOOKUP(Y327,模板计算相关数据!$P$22:$U$30,6,0)+AD327</f>
        <v>275</v>
      </c>
      <c r="AO327" s="3">
        <f>VLOOKUP(INT(VLOOKUP(U327,模板计算相关数据!A:N,2,0)/30)+1,模板计算相关数据!$O$35:$U$40,3,0)+AE327</f>
        <v>0</v>
      </c>
      <c r="AP327" s="3">
        <f>VLOOKUP(INT(VLOOKUP(U327,模板计算相关数据!A:N,2,0)/30)+1,模板计算相关数据!$O$35:$U$40,4,0)+AF327</f>
        <v>5000</v>
      </c>
      <c r="AQ327" s="3">
        <f>VLOOKUP(INT(VLOOKUP(U327,模板计算相关数据!A:N,2,0)/30)+1,模板计算相关数据!$O$35:$U$40,5,0)+AG327</f>
        <v>0</v>
      </c>
      <c r="AR327" s="3">
        <f>VLOOKUP(INT(VLOOKUP(U327,模板计算相关数据!A:N,2,0)/30)+1,模板计算相关数据!$O$35:$U$40,6,0)+AH327</f>
        <v>0</v>
      </c>
      <c r="AS327" s="3">
        <f>VLOOKUP(INT(VLOOKUP(U327,模板计算相关数据!A:N,2,0)/30)+1,模板计算相关数据!$O$35:$U$40,7,0)+AI327</f>
        <v>0</v>
      </c>
      <c r="AT327" s="3">
        <f>VLOOKUP(INT(VLOOKUP(U327,模板计算相关数据!A:N,2,0)/30)+1,模板计算相关数据!$O$35:$V$40,8,0)</f>
        <v>0</v>
      </c>
      <c r="AU327" s="2"/>
    </row>
    <row r="328" spans="1:47" x14ac:dyDescent="0.2">
      <c r="A328" s="43">
        <v>102170102</v>
      </c>
      <c r="B328" s="43"/>
      <c r="C328" s="69" t="s">
        <v>1746</v>
      </c>
      <c r="D328" s="87" t="s">
        <v>1886</v>
      </c>
      <c r="E328" s="2">
        <v>2</v>
      </c>
      <c r="F328" s="3">
        <v>1</v>
      </c>
      <c r="G328" s="3">
        <v>1001401</v>
      </c>
      <c r="H328" s="3">
        <v>4</v>
      </c>
      <c r="I328" s="3">
        <v>4</v>
      </c>
      <c r="J328" s="3">
        <v>1</v>
      </c>
      <c r="K328" s="3"/>
      <c r="L328" s="91" t="s">
        <v>1547</v>
      </c>
      <c r="M328" s="3"/>
      <c r="N328" s="2">
        <v>1</v>
      </c>
      <c r="O328" s="2"/>
      <c r="P328" s="3" t="s">
        <v>1615</v>
      </c>
      <c r="Q328" s="95">
        <f t="shared" si="41"/>
        <v>4.4674509803921572</v>
      </c>
      <c r="R328" s="133">
        <f>IF(P328=模板计算相关数据!$AB$24,VLOOKUP(X328,模板计算相关数据!$P$47:$T$50,2,0),VLOOKUP(X328,模板计算相关数据!$P$4:$U$7,3,0))*VLOOKUP(Y328,模板计算相关数据!$P$22:$X$30,8,0)</f>
        <v>4.4674509803921572</v>
      </c>
      <c r="S328" s="62">
        <v>6.47</v>
      </c>
      <c r="T328" s="133">
        <f>IF(P328=模板计算相关数据!$AB$24,VLOOKUP(X328,模板计算相关数据!$P$47:$T$50,5,0),VLOOKUP(X328,模板计算相关数据!$P$4:$U$7,6,0))*VLOOKUP(Y328,模板计算相关数据!$P$22:$X$30,9,0)</f>
        <v>5.4739930589768004</v>
      </c>
      <c r="U328" s="103">
        <v>1</v>
      </c>
      <c r="V328" s="95">
        <f t="shared" si="29"/>
        <v>4</v>
      </c>
      <c r="W328" s="29">
        <f>VLOOKUP(U328,模板计算相关数据!A:N,2,0)</f>
        <v>1</v>
      </c>
      <c r="X328" s="3" t="s">
        <v>151</v>
      </c>
      <c r="Y328" s="3" t="s">
        <v>162</v>
      </c>
      <c r="Z328" s="99">
        <v>1</v>
      </c>
      <c r="AA328" s="95">
        <v>1</v>
      </c>
      <c r="AB328" s="95">
        <v>1</v>
      </c>
      <c r="AC328" s="95">
        <v>1</v>
      </c>
      <c r="AD328" s="95">
        <v>0</v>
      </c>
      <c r="AE328" s="95">
        <v>0</v>
      </c>
      <c r="AF328" s="95">
        <v>0</v>
      </c>
      <c r="AG328" s="95">
        <v>0</v>
      </c>
      <c r="AH328" s="95">
        <v>0</v>
      </c>
      <c r="AI328" s="95">
        <v>0</v>
      </c>
      <c r="AJ328" s="3">
        <f>INT(VLOOKUP(U328,模板计算相关数据!A:N,4,0)*VLOOKUP(U328,模板计算相关数据!A:N,14,0)*(1+MAX(0,(VLOOKUP(U328,模板计算相关数据!A:N,7,0)-AQ328))*VLOOKUP(U328,模板计算相关数据!A:N,8,0))*(1-(AL328+AM328)*0.5/((AL328+AM328)*0.5+(VLOOKUP(U328,模板计算相关数据!A:N,2,0)+模板计算相关数据!$AC$27)*模板计算相关数据!$AC$28))*Q328*Z328)</f>
        <v>328</v>
      </c>
      <c r="AK328" s="3">
        <f>INT(VLOOKUP(U328,模板计算相关数据!A:N,3,0)/模板计算相关数据!$W$35/(1+MAX(0,(AO328/10000-VLOOKUP(U328,模板计算相关数据!A:N,9,0)))*AP328/10000)/(1-VLOOKUP(U328,模板计算相关数据!A:N,5,0)/(VLOOKUP(U328,模板计算相关数据!A:N,5,0)+(VLOOKUP(U328,模板计算相关数据!A:N,2,0)+模板计算相关数据!$AC$27)*模板计算相关数据!$AC$28))/S328*AA328)</f>
        <v>86</v>
      </c>
      <c r="AL328" s="3">
        <f>INT(VLOOKUP(U328,模板计算相关数据!A:N,5,0)*VLOOKUP(X328,模板计算相关数据!$P$4:$T$7,4,0)*VLOOKUP(Y328,模板计算相关数据!$P$22:$U$30,4,0)*AB328)</f>
        <v>136</v>
      </c>
      <c r="AM328" s="3">
        <f>INT(VLOOKUP(U328,模板计算相关数据!A:N,6,0)*VLOOKUP(X328,模板计算相关数据!$P$4:$T$7,4,0)*VLOOKUP(Y328,模板计算相关数据!$P$22:$U$30,5,0)*AC328)</f>
        <v>230</v>
      </c>
      <c r="AN328" s="3">
        <f>VLOOKUP(U328,模板计算相关数据!A:N,10,0)*0.5*VLOOKUP(Y328,模板计算相关数据!$P$22:$U$30,6,0)+AD328</f>
        <v>250</v>
      </c>
      <c r="AO328" s="3">
        <f>VLOOKUP(INT(VLOOKUP(U328,模板计算相关数据!A:N,2,0)/30)+1,模板计算相关数据!$O$35:$U$40,3,0)+AE328</f>
        <v>0</v>
      </c>
      <c r="AP328" s="3">
        <f>VLOOKUP(INT(VLOOKUP(U328,模板计算相关数据!A:N,2,0)/30)+1,模板计算相关数据!$O$35:$U$40,4,0)+AF328</f>
        <v>5000</v>
      </c>
      <c r="AQ328" s="3">
        <f>VLOOKUP(INT(VLOOKUP(U328,模板计算相关数据!A:N,2,0)/30)+1,模板计算相关数据!$O$35:$U$40,5,0)+AG328</f>
        <v>0</v>
      </c>
      <c r="AR328" s="3">
        <f>VLOOKUP(INT(VLOOKUP(U328,模板计算相关数据!A:N,2,0)/30)+1,模板计算相关数据!$O$35:$U$40,6,0)+AH328</f>
        <v>0</v>
      </c>
      <c r="AS328" s="3">
        <f>VLOOKUP(INT(VLOOKUP(U328,模板计算相关数据!A:N,2,0)/30)+1,模板计算相关数据!$O$35:$U$40,7,0)+AI328</f>
        <v>0</v>
      </c>
      <c r="AT328" s="3">
        <f>VLOOKUP(INT(VLOOKUP(U328,模板计算相关数据!A:N,2,0)/30)+1,模板计算相关数据!$O$35:$V$40,8,0)</f>
        <v>0</v>
      </c>
      <c r="AU328" s="2"/>
    </row>
    <row r="329" spans="1:47" x14ac:dyDescent="0.2">
      <c r="A329" s="43">
        <v>102170103</v>
      </c>
      <c r="B329" s="43"/>
      <c r="C329" s="69" t="s">
        <v>1378</v>
      </c>
      <c r="D329" s="87" t="s">
        <v>1886</v>
      </c>
      <c r="E329" s="2">
        <v>1</v>
      </c>
      <c r="F329" s="3">
        <v>3</v>
      </c>
      <c r="G329" s="3">
        <v>1003401</v>
      </c>
      <c r="H329" s="3">
        <v>2</v>
      </c>
      <c r="I329" s="3">
        <v>4</v>
      </c>
      <c r="J329" s="3">
        <v>1</v>
      </c>
      <c r="K329" s="3"/>
      <c r="L329" s="91" t="s">
        <v>1551</v>
      </c>
      <c r="M329" s="3"/>
      <c r="N329" s="2">
        <v>1</v>
      </c>
      <c r="O329" s="2"/>
      <c r="P329" s="3" t="s">
        <v>1615</v>
      </c>
      <c r="Q329" s="95">
        <f t="shared" si="41"/>
        <v>6.9411764705882364</v>
      </c>
      <c r="R329" s="133">
        <f>IF(P329=模板计算相关数据!$AB$24,VLOOKUP(X329,模板计算相关数据!$P$47:$T$50,2,0),VLOOKUP(X329,模板计算相关数据!$P$4:$U$7,3,0))*VLOOKUP(Y329,模板计算相关数据!$P$22:$X$30,8,0)</f>
        <v>6.9411764705882364</v>
      </c>
      <c r="S329" s="62">
        <v>9.26</v>
      </c>
      <c r="T329" s="133">
        <f>IF(P329=模板计算相关数据!$AB$24,VLOOKUP(X329,模板计算相关数据!$P$47:$T$50,5,0),VLOOKUP(X329,模板计算相关数据!$P$4:$U$7,6,0))*VLOOKUP(Y329,模板计算相关数据!$P$22:$X$30,9,0)</f>
        <v>8.2943498888557112</v>
      </c>
      <c r="U329" s="103">
        <v>1</v>
      </c>
      <c r="V329" s="95">
        <f t="shared" si="29"/>
        <v>4</v>
      </c>
      <c r="W329" s="29">
        <f>VLOOKUP(U329,模板计算相关数据!A:N,2,0)</f>
        <v>1</v>
      </c>
      <c r="X329" s="3" t="s">
        <v>151</v>
      </c>
      <c r="Y329" s="3" t="s">
        <v>155</v>
      </c>
      <c r="Z329" s="99">
        <v>1</v>
      </c>
      <c r="AA329" s="95">
        <v>0.9</v>
      </c>
      <c r="AB329" s="95">
        <v>1</v>
      </c>
      <c r="AC329" s="95">
        <v>1</v>
      </c>
      <c r="AD329" s="95">
        <v>0</v>
      </c>
      <c r="AE329" s="95">
        <v>0</v>
      </c>
      <c r="AF329" s="95">
        <v>0</v>
      </c>
      <c r="AG329" s="95">
        <v>0</v>
      </c>
      <c r="AH329" s="95">
        <v>0</v>
      </c>
      <c r="AI329" s="95">
        <v>0</v>
      </c>
      <c r="AJ329" s="3">
        <f>INT(VLOOKUP(U329,模板计算相关数据!A:N,4,0)*VLOOKUP(U329,模板计算相关数据!A:N,14,0)*(1+MAX(0,(VLOOKUP(U329,模板计算相关数据!A:N,7,0)-AQ329))*VLOOKUP(U329,模板计算相关数据!A:N,8,0))*(1-(AL329+AM329)*0.5/((AL329+AM329)*0.5+(VLOOKUP(U329,模板计算相关数据!A:N,2,0)+模板计算相关数据!$AC$27)*模板计算相关数据!$AC$28))*Q329*Z329)</f>
        <v>487</v>
      </c>
      <c r="AK329" s="3">
        <f>INT(VLOOKUP(U329,模板计算相关数据!A:N,3,0)/模板计算相关数据!$W$35/(1+MAX(0,(AO329/10000-VLOOKUP(U329,模板计算相关数据!A:N,9,0)))*AP329/10000)/(1-VLOOKUP(U329,模板计算相关数据!A:N,5,0)/(VLOOKUP(U329,模板计算相关数据!A:N,5,0)+(VLOOKUP(U329,模板计算相关数据!A:N,2,0)+模板计算相关数据!$AC$27)*模板计算相关数据!$AC$28))/S329*AA329)</f>
        <v>54</v>
      </c>
      <c r="AL329" s="3">
        <f>INT(VLOOKUP(U329,模板计算相关数据!A:N,5,0)*VLOOKUP(X329,模板计算相关数据!$P$4:$T$7,4,0)*VLOOKUP(Y329,模板计算相关数据!$P$22:$U$30,4,0)*AB329)</f>
        <v>277</v>
      </c>
      <c r="AM329" s="3">
        <f>INT(VLOOKUP(U329,模板计算相关数据!A:N,6,0)*VLOOKUP(X329,模板计算相关数据!$P$4:$T$7,4,0)*VLOOKUP(Y329,模板计算相关数据!$P$22:$U$30,5,0)*AC329)</f>
        <v>153</v>
      </c>
      <c r="AN329" s="3">
        <f>VLOOKUP(U329,模板计算相关数据!A:N,10,0)*0.5*VLOOKUP(Y329,模板计算相关数据!$P$22:$U$30,6,0)+AD329</f>
        <v>225</v>
      </c>
      <c r="AO329" s="3">
        <f>VLOOKUP(INT(VLOOKUP(U329,模板计算相关数据!A:N,2,0)/30)+1,模板计算相关数据!$O$35:$U$40,3,0)+AE329</f>
        <v>0</v>
      </c>
      <c r="AP329" s="3">
        <f>VLOOKUP(INT(VLOOKUP(U329,模板计算相关数据!A:N,2,0)/30)+1,模板计算相关数据!$O$35:$U$40,4,0)+AF329</f>
        <v>5000</v>
      </c>
      <c r="AQ329" s="3">
        <f>VLOOKUP(INT(VLOOKUP(U329,模板计算相关数据!A:N,2,0)/30)+1,模板计算相关数据!$O$35:$U$40,5,0)+AG329</f>
        <v>0</v>
      </c>
      <c r="AR329" s="3">
        <f>VLOOKUP(INT(VLOOKUP(U329,模板计算相关数据!A:N,2,0)/30)+1,模板计算相关数据!$O$35:$U$40,6,0)+AH329</f>
        <v>0</v>
      </c>
      <c r="AS329" s="3">
        <f>VLOOKUP(INT(VLOOKUP(U329,模板计算相关数据!A:N,2,0)/30)+1,模板计算相关数据!$O$35:$U$40,7,0)+AI329</f>
        <v>0</v>
      </c>
      <c r="AT329" s="3">
        <f>VLOOKUP(INT(VLOOKUP(U329,模板计算相关数据!A:N,2,0)/30)+1,模板计算相关数据!$O$35:$V$40,8,0)</f>
        <v>0</v>
      </c>
      <c r="AU329" s="2"/>
    </row>
    <row r="330" spans="1:47" x14ac:dyDescent="0.2">
      <c r="A330" s="45">
        <v>102170201</v>
      </c>
      <c r="B330" s="45"/>
      <c r="C330" s="87" t="s">
        <v>1958</v>
      </c>
      <c r="D330" s="33" t="s">
        <v>1567</v>
      </c>
      <c r="E330" s="2">
        <v>1</v>
      </c>
      <c r="F330" s="3">
        <v>2</v>
      </c>
      <c r="G330" s="3">
        <v>1005701</v>
      </c>
      <c r="H330" s="3">
        <v>1</v>
      </c>
      <c r="I330" s="3">
        <v>4</v>
      </c>
      <c r="J330" s="3">
        <v>1</v>
      </c>
      <c r="K330" s="3"/>
      <c r="L330" s="91" t="s">
        <v>1885</v>
      </c>
      <c r="M330" s="3"/>
      <c r="N330" s="2">
        <v>1</v>
      </c>
      <c r="O330" s="2"/>
      <c r="P330" s="3" t="s">
        <v>1615</v>
      </c>
      <c r="Q330" s="95">
        <f t="shared" ref="Q330" si="43">R330</f>
        <v>4.4674509803921572</v>
      </c>
      <c r="R330" s="133">
        <f>IF(P330=模板计算相关数据!$AB$24,VLOOKUP(X330,模板计算相关数据!$P$47:$T$50,2,0),VLOOKUP(X330,模板计算相关数据!$P$4:$U$7,3,0))*VLOOKUP(Y330,模板计算相关数据!$P$22:$X$30,8,0)</f>
        <v>4.4674509803921572</v>
      </c>
      <c r="S330" s="62">
        <f t="shared" ref="S330" si="44">T330</f>
        <v>5.4739930589768004</v>
      </c>
      <c r="T330" s="133">
        <f>IF(P330=模板计算相关数据!$AB$24,VLOOKUP(X330,模板计算相关数据!$P$47:$T$50,5,0),VLOOKUP(X330,模板计算相关数据!$P$4:$U$7,6,0))*VLOOKUP(Y330,模板计算相关数据!$P$22:$X$30,9,0)</f>
        <v>5.4739930589768004</v>
      </c>
      <c r="U330" s="103">
        <v>1</v>
      </c>
      <c r="V330" s="95">
        <f t="shared" si="29"/>
        <v>4</v>
      </c>
      <c r="W330" s="29">
        <f>VLOOKUP(U330,模板计算相关数据!A:N,2,0)</f>
        <v>1</v>
      </c>
      <c r="X330" s="3" t="s">
        <v>151</v>
      </c>
      <c r="Y330" s="3" t="s">
        <v>162</v>
      </c>
      <c r="Z330" s="99">
        <v>1</v>
      </c>
      <c r="AA330" s="95">
        <v>1</v>
      </c>
      <c r="AB330" s="95">
        <v>1</v>
      </c>
      <c r="AC330" s="95">
        <v>1</v>
      </c>
      <c r="AD330" s="95">
        <v>0</v>
      </c>
      <c r="AE330" s="95">
        <v>0</v>
      </c>
      <c r="AF330" s="95">
        <v>0</v>
      </c>
      <c r="AG330" s="95">
        <v>0</v>
      </c>
      <c r="AH330" s="95">
        <v>0</v>
      </c>
      <c r="AI330" s="95">
        <v>0</v>
      </c>
      <c r="AJ330" s="3">
        <f>INT(VLOOKUP(U330,模板计算相关数据!A:N,4,0)*VLOOKUP(U330,模板计算相关数据!A:N,14,0)*(1+MAX(0,(VLOOKUP(U330,模板计算相关数据!A:N,7,0)-AQ330))*VLOOKUP(U330,模板计算相关数据!A:N,8,0))*(1-(AL330+AM330)*0.5/((AL330+AM330)*0.5+(VLOOKUP(U330,模板计算相关数据!A:N,2,0)+模板计算相关数据!$AC$27)*模板计算相关数据!$AC$28))*Q330*Z330)</f>
        <v>328</v>
      </c>
      <c r="AK330" s="3">
        <f>INT(VLOOKUP(U330,模板计算相关数据!A:N,3,0)/模板计算相关数据!$W$35/(1+MAX(0,(AO330/10000-VLOOKUP(U330,模板计算相关数据!A:N,9,0)))*AP330/10000)/(1-VLOOKUP(U330,模板计算相关数据!A:N,5,0)/(VLOOKUP(U330,模板计算相关数据!A:N,5,0)+(VLOOKUP(U330,模板计算相关数据!A:N,2,0)+模板计算相关数据!$AC$27)*模板计算相关数据!$AC$28))/S330*AA330)</f>
        <v>101</v>
      </c>
      <c r="AL330" s="3">
        <f>INT(VLOOKUP(U330,模板计算相关数据!A:N,5,0)*VLOOKUP(X330,模板计算相关数据!$P$4:$T$7,4,0)*VLOOKUP(Y330,模板计算相关数据!$P$22:$U$30,4,0)*AB330)</f>
        <v>136</v>
      </c>
      <c r="AM330" s="3">
        <f>INT(VLOOKUP(U330,模板计算相关数据!A:N,6,0)*VLOOKUP(X330,模板计算相关数据!$P$4:$T$7,4,0)*VLOOKUP(Y330,模板计算相关数据!$P$22:$U$30,5,0)*AC330)</f>
        <v>230</v>
      </c>
      <c r="AN330" s="3">
        <f>VLOOKUP(U330,模板计算相关数据!A:N,10,0)*0.5*VLOOKUP(Y330,模板计算相关数据!$P$22:$U$30,6,0)+AD330</f>
        <v>250</v>
      </c>
      <c r="AO330" s="3">
        <f>VLOOKUP(INT(VLOOKUP(U330,模板计算相关数据!A:N,2,0)/30)+1,模板计算相关数据!$O$35:$U$40,3,0)+AE330</f>
        <v>0</v>
      </c>
      <c r="AP330" s="3">
        <f>VLOOKUP(INT(VLOOKUP(U330,模板计算相关数据!A:N,2,0)/30)+1,模板计算相关数据!$O$35:$U$40,4,0)+AF330</f>
        <v>5000</v>
      </c>
      <c r="AQ330" s="3">
        <f>VLOOKUP(INT(VLOOKUP(U330,模板计算相关数据!A:N,2,0)/30)+1,模板计算相关数据!$O$35:$U$40,5,0)+AG330</f>
        <v>0</v>
      </c>
      <c r="AR330" s="3">
        <f>VLOOKUP(INT(VLOOKUP(U330,模板计算相关数据!A:N,2,0)/30)+1,模板计算相关数据!$O$35:$U$40,6,0)+AH330</f>
        <v>0</v>
      </c>
      <c r="AS330" s="3">
        <f>VLOOKUP(INT(VLOOKUP(U330,模板计算相关数据!A:N,2,0)/30)+1,模板计算相关数据!$O$35:$U$40,7,0)+AI330</f>
        <v>0</v>
      </c>
      <c r="AT330" s="3">
        <f>VLOOKUP(INT(VLOOKUP(U330,模板计算相关数据!A:N,2,0)/30)+1,模板计算相关数据!$O$35:$V$40,8,0)</f>
        <v>0</v>
      </c>
      <c r="AU330" s="2"/>
    </row>
    <row r="331" spans="1:47" x14ac:dyDescent="0.2">
      <c r="A331" s="45">
        <v>102170202</v>
      </c>
      <c r="B331" s="45"/>
      <c r="C331" s="87" t="s">
        <v>1959</v>
      </c>
      <c r="D331" s="33" t="s">
        <v>1567</v>
      </c>
      <c r="E331" s="2">
        <v>1</v>
      </c>
      <c r="F331" s="3">
        <v>5</v>
      </c>
      <c r="G331" s="3">
        <v>1005801</v>
      </c>
      <c r="H331" s="3">
        <v>1</v>
      </c>
      <c r="I331" s="3">
        <v>4</v>
      </c>
      <c r="J331" s="3">
        <v>1</v>
      </c>
      <c r="K331" s="3">
        <v>2</v>
      </c>
      <c r="L331" s="91" t="s">
        <v>1887</v>
      </c>
      <c r="M331" s="3"/>
      <c r="N331" s="2">
        <v>1</v>
      </c>
      <c r="O331" s="2"/>
      <c r="P331" s="3" t="s">
        <v>1615</v>
      </c>
      <c r="Q331" s="95">
        <f t="shared" ref="Q331:Q335" si="45">R331</f>
        <v>5.7709803921568623</v>
      </c>
      <c r="R331" s="133">
        <f>IF(P331=模板计算相关数据!$AB$24,VLOOKUP(X331,模板计算相关数据!$P$47:$T$50,2,0),VLOOKUP(X331,模板计算相关数据!$P$4:$U$7,3,0))*VLOOKUP(Y331,模板计算相关数据!$P$22:$X$30,8,0)</f>
        <v>5.7709803921568623</v>
      </c>
      <c r="S331" s="62">
        <f t="shared" ref="S331:S335" si="46">T331</f>
        <v>6.4077918749199023</v>
      </c>
      <c r="T331" s="133">
        <f>IF(P331=模板计算相关数据!$AB$24,VLOOKUP(X331,模板计算相关数据!$P$47:$T$50,5,0),VLOOKUP(X331,模板计算相关数据!$P$4:$U$7,6,0))*VLOOKUP(Y331,模板计算相关数据!$P$22:$X$30,9,0)</f>
        <v>6.4077918749199023</v>
      </c>
      <c r="U331" s="103">
        <v>1</v>
      </c>
      <c r="V331" s="95">
        <f t="shared" si="29"/>
        <v>4</v>
      </c>
      <c r="W331" s="29">
        <f>VLOOKUP(U331,模板计算相关数据!A:N,2,0)</f>
        <v>1</v>
      </c>
      <c r="X331" s="3" t="s">
        <v>151</v>
      </c>
      <c r="Y331" s="3" t="s">
        <v>243</v>
      </c>
      <c r="Z331" s="99">
        <v>1</v>
      </c>
      <c r="AA331" s="95">
        <v>1</v>
      </c>
      <c r="AB331" s="95">
        <v>1</v>
      </c>
      <c r="AC331" s="95">
        <v>1</v>
      </c>
      <c r="AD331" s="95">
        <v>0</v>
      </c>
      <c r="AE331" s="95">
        <v>0</v>
      </c>
      <c r="AF331" s="95">
        <v>0</v>
      </c>
      <c r="AG331" s="95">
        <v>0</v>
      </c>
      <c r="AH331" s="95">
        <v>0</v>
      </c>
      <c r="AI331" s="95">
        <v>0</v>
      </c>
      <c r="AJ331" s="3">
        <f>INT(VLOOKUP(U331,模板计算相关数据!A:N,4,0)*VLOOKUP(U331,模板计算相关数据!A:N,14,0)*(1+MAX(0,(VLOOKUP(U331,模板计算相关数据!A:N,7,0)-AQ331))*VLOOKUP(U331,模板计算相关数据!A:N,8,0))*(1-(AL331+AM331)*0.5/((AL331+AM331)*0.5+(VLOOKUP(U331,模板计算相关数据!A:N,2,0)+模板计算相关数据!$AC$27)*模板计算相关数据!$AC$28))*Q331*Z331)</f>
        <v>411</v>
      </c>
      <c r="AK331" s="3">
        <f>INT(VLOOKUP(U331,模板计算相关数据!A:N,3,0)/模板计算相关数据!$W$35/(1+MAX(0,(AO331/10000-VLOOKUP(U331,模板计算相关数据!A:N,9,0)))*AP331/10000)/(1-VLOOKUP(U331,模板计算相关数据!A:N,5,0)/(VLOOKUP(U331,模板计算相关数据!A:N,5,0)+(VLOOKUP(U331,模板计算相关数据!A:N,2,0)+模板计算相关数据!$AC$27)*模板计算相关数据!$AC$28))/S331*AA331)</f>
        <v>86</v>
      </c>
      <c r="AL331" s="3">
        <f>INT(VLOOKUP(U331,模板计算相关数据!A:N,5,0)*VLOOKUP(X331,模板计算相关数据!$P$4:$T$7,4,0)*VLOOKUP(Y331,模板计算相关数据!$P$22:$U$30,4,0)*AB331)</f>
        <v>145</v>
      </c>
      <c r="AM331" s="3">
        <f>INT(VLOOKUP(U331,模板计算相关数据!A:N,6,0)*VLOOKUP(X331,模板计算相关数据!$P$4:$T$7,4,0)*VLOOKUP(Y331,模板计算相关数据!$P$22:$U$30,5,0)*AC331)</f>
        <v>264</v>
      </c>
      <c r="AN331" s="3">
        <f>VLOOKUP(U331,模板计算相关数据!A:N,10,0)*0.5*VLOOKUP(Y331,模板计算相关数据!$P$22:$U$30,6,0)+AD331</f>
        <v>275</v>
      </c>
      <c r="AO331" s="3">
        <f>VLOOKUP(INT(VLOOKUP(U331,模板计算相关数据!A:N,2,0)/30)+1,模板计算相关数据!$O$35:$U$40,3,0)+AE331</f>
        <v>0</v>
      </c>
      <c r="AP331" s="3">
        <f>VLOOKUP(INT(VLOOKUP(U331,模板计算相关数据!A:N,2,0)/30)+1,模板计算相关数据!$O$35:$U$40,4,0)+AF331</f>
        <v>5000</v>
      </c>
      <c r="AQ331" s="3">
        <f>VLOOKUP(INT(VLOOKUP(U331,模板计算相关数据!A:N,2,0)/30)+1,模板计算相关数据!$O$35:$U$40,5,0)+AG331</f>
        <v>0</v>
      </c>
      <c r="AR331" s="3">
        <f>VLOOKUP(INT(VLOOKUP(U331,模板计算相关数据!A:N,2,0)/30)+1,模板计算相关数据!$O$35:$U$40,6,0)+AH331</f>
        <v>0</v>
      </c>
      <c r="AS331" s="3">
        <f>VLOOKUP(INT(VLOOKUP(U331,模板计算相关数据!A:N,2,0)/30)+1,模板计算相关数据!$O$35:$U$40,7,0)+AI331</f>
        <v>0</v>
      </c>
      <c r="AT331" s="3">
        <f>VLOOKUP(INT(VLOOKUP(U331,模板计算相关数据!A:N,2,0)/30)+1,模板计算相关数据!$O$35:$V$40,8,0)</f>
        <v>0</v>
      </c>
      <c r="AU331" s="69" t="s">
        <v>1964</v>
      </c>
    </row>
    <row r="332" spans="1:47" x14ac:dyDescent="0.2">
      <c r="A332" s="43">
        <v>102180101</v>
      </c>
      <c r="B332" s="43"/>
      <c r="C332" s="87" t="s">
        <v>1958</v>
      </c>
      <c r="D332" s="87" t="s">
        <v>1888</v>
      </c>
      <c r="E332" s="2">
        <v>1</v>
      </c>
      <c r="F332" s="3">
        <v>1</v>
      </c>
      <c r="G332" s="3">
        <v>1005701</v>
      </c>
      <c r="H332" s="3">
        <v>1</v>
      </c>
      <c r="I332" s="3">
        <v>4</v>
      </c>
      <c r="J332" s="3">
        <v>1</v>
      </c>
      <c r="K332" s="3"/>
      <c r="L332" s="91" t="s">
        <v>1885</v>
      </c>
      <c r="M332" s="3"/>
      <c r="N332" s="2">
        <v>1</v>
      </c>
      <c r="O332" s="2"/>
      <c r="P332" s="3" t="s">
        <v>1615</v>
      </c>
      <c r="Q332" s="95">
        <f t="shared" si="45"/>
        <v>4.4674509803921572</v>
      </c>
      <c r="R332" s="133">
        <f>IF(P332=模板计算相关数据!$AB$24,VLOOKUP(X332,模板计算相关数据!$P$47:$T$50,2,0),VLOOKUP(X332,模板计算相关数据!$P$4:$U$7,3,0))*VLOOKUP(Y332,模板计算相关数据!$P$22:$X$30,8,0)</f>
        <v>4.4674509803921572</v>
      </c>
      <c r="S332" s="62">
        <f t="shared" si="46"/>
        <v>5.4739930589768004</v>
      </c>
      <c r="T332" s="133">
        <f>IF(P332=模板计算相关数据!$AB$24,VLOOKUP(X332,模板计算相关数据!$P$47:$T$50,5,0),VLOOKUP(X332,模板计算相关数据!$P$4:$U$7,6,0))*VLOOKUP(Y332,模板计算相关数据!$P$22:$X$30,9,0)</f>
        <v>5.4739930589768004</v>
      </c>
      <c r="U332" s="103">
        <v>1</v>
      </c>
      <c r="V332" s="95">
        <f t="shared" si="29"/>
        <v>4</v>
      </c>
      <c r="W332" s="29">
        <f>VLOOKUP(U332,模板计算相关数据!A:N,2,0)</f>
        <v>1</v>
      </c>
      <c r="X332" s="3" t="s">
        <v>151</v>
      </c>
      <c r="Y332" s="3" t="s">
        <v>162</v>
      </c>
      <c r="Z332" s="99">
        <v>1</v>
      </c>
      <c r="AA332" s="95">
        <v>1</v>
      </c>
      <c r="AB332" s="95">
        <v>1</v>
      </c>
      <c r="AC332" s="95">
        <v>1</v>
      </c>
      <c r="AD332" s="95">
        <v>0</v>
      </c>
      <c r="AE332" s="95">
        <v>0</v>
      </c>
      <c r="AF332" s="95">
        <v>0</v>
      </c>
      <c r="AG332" s="95">
        <v>0</v>
      </c>
      <c r="AH332" s="95">
        <v>0</v>
      </c>
      <c r="AI332" s="95">
        <v>0</v>
      </c>
      <c r="AJ332" s="3">
        <f>INT(VLOOKUP(U332,模板计算相关数据!A:N,4,0)*VLOOKUP(U332,模板计算相关数据!A:N,14,0)*(1+MAX(0,(VLOOKUP(U332,模板计算相关数据!A:N,7,0)-AQ332))*VLOOKUP(U332,模板计算相关数据!A:N,8,0))*(1-(AL332+AM332)*0.5/((AL332+AM332)*0.5+(VLOOKUP(U332,模板计算相关数据!A:N,2,0)+模板计算相关数据!$AC$27)*模板计算相关数据!$AC$28))*Q332*Z332)</f>
        <v>328</v>
      </c>
      <c r="AK332" s="3">
        <f>INT(VLOOKUP(U332,模板计算相关数据!A:N,3,0)/模板计算相关数据!$W$35/(1+MAX(0,(AO332/10000-VLOOKUP(U332,模板计算相关数据!A:N,9,0)))*AP332/10000)/(1-VLOOKUP(U332,模板计算相关数据!A:N,5,0)/(VLOOKUP(U332,模板计算相关数据!A:N,5,0)+(VLOOKUP(U332,模板计算相关数据!A:N,2,0)+模板计算相关数据!$AC$27)*模板计算相关数据!$AC$28))/S332*AA332)</f>
        <v>101</v>
      </c>
      <c r="AL332" s="3">
        <f>INT(VLOOKUP(U332,模板计算相关数据!A:N,5,0)*VLOOKUP(X332,模板计算相关数据!$P$4:$T$7,4,0)*VLOOKUP(Y332,模板计算相关数据!$P$22:$U$30,4,0)*AB332)</f>
        <v>136</v>
      </c>
      <c r="AM332" s="3">
        <f>INT(VLOOKUP(U332,模板计算相关数据!A:N,6,0)*VLOOKUP(X332,模板计算相关数据!$P$4:$T$7,4,0)*VLOOKUP(Y332,模板计算相关数据!$P$22:$U$30,5,0)*AC332)</f>
        <v>230</v>
      </c>
      <c r="AN332" s="3">
        <f>VLOOKUP(U332,模板计算相关数据!A:N,10,0)*0.5*VLOOKUP(Y332,模板计算相关数据!$P$22:$U$30,6,0)+AD332</f>
        <v>250</v>
      </c>
      <c r="AO332" s="3">
        <f>VLOOKUP(INT(VLOOKUP(U332,模板计算相关数据!A:N,2,0)/30)+1,模板计算相关数据!$O$35:$U$40,3,0)+AE332</f>
        <v>0</v>
      </c>
      <c r="AP332" s="3">
        <f>VLOOKUP(INT(VLOOKUP(U332,模板计算相关数据!A:N,2,0)/30)+1,模板计算相关数据!$O$35:$U$40,4,0)+AF332</f>
        <v>5000</v>
      </c>
      <c r="AQ332" s="3">
        <f>VLOOKUP(INT(VLOOKUP(U332,模板计算相关数据!A:N,2,0)/30)+1,模板计算相关数据!$O$35:$U$40,5,0)+AG332</f>
        <v>0</v>
      </c>
      <c r="AR332" s="3">
        <f>VLOOKUP(INT(VLOOKUP(U332,模板计算相关数据!A:N,2,0)/30)+1,模板计算相关数据!$O$35:$U$40,6,0)+AH332</f>
        <v>0</v>
      </c>
      <c r="AS332" s="3">
        <f>VLOOKUP(INT(VLOOKUP(U332,模板计算相关数据!A:N,2,0)/30)+1,模板计算相关数据!$O$35:$U$40,7,0)+AI332</f>
        <v>0</v>
      </c>
      <c r="AT332" s="3">
        <f>VLOOKUP(INT(VLOOKUP(U332,模板计算相关数据!A:N,2,0)/30)+1,模板计算相关数据!$O$35:$V$40,8,0)</f>
        <v>0</v>
      </c>
      <c r="AU332" s="2"/>
    </row>
    <row r="333" spans="1:47" x14ac:dyDescent="0.2">
      <c r="A333" s="43">
        <v>102180102</v>
      </c>
      <c r="B333" s="43"/>
      <c r="C333" s="87" t="s">
        <v>1958</v>
      </c>
      <c r="D333" s="87" t="s">
        <v>1888</v>
      </c>
      <c r="E333" s="2">
        <v>1</v>
      </c>
      <c r="F333" s="3">
        <v>5</v>
      </c>
      <c r="G333" s="3">
        <v>1005701</v>
      </c>
      <c r="H333" s="3">
        <v>1</v>
      </c>
      <c r="I333" s="3">
        <v>4</v>
      </c>
      <c r="J333" s="3">
        <v>1</v>
      </c>
      <c r="K333" s="3"/>
      <c r="L333" s="91" t="s">
        <v>1885</v>
      </c>
      <c r="M333" s="3"/>
      <c r="N333" s="2">
        <v>1</v>
      </c>
      <c r="O333" s="2"/>
      <c r="P333" s="3" t="s">
        <v>1615</v>
      </c>
      <c r="Q333" s="95">
        <f t="shared" si="45"/>
        <v>4.4674509803921572</v>
      </c>
      <c r="R333" s="133">
        <f>IF(P333=模板计算相关数据!$AB$24,VLOOKUP(X333,模板计算相关数据!$P$47:$T$50,2,0),VLOOKUP(X333,模板计算相关数据!$P$4:$U$7,3,0))*VLOOKUP(Y333,模板计算相关数据!$P$22:$X$30,8,0)</f>
        <v>4.4674509803921572</v>
      </c>
      <c r="S333" s="62">
        <f t="shared" si="46"/>
        <v>5.4739930589768004</v>
      </c>
      <c r="T333" s="133">
        <f>IF(P333=模板计算相关数据!$AB$24,VLOOKUP(X333,模板计算相关数据!$P$47:$T$50,5,0),VLOOKUP(X333,模板计算相关数据!$P$4:$U$7,6,0))*VLOOKUP(Y333,模板计算相关数据!$P$22:$X$30,9,0)</f>
        <v>5.4739930589768004</v>
      </c>
      <c r="U333" s="103">
        <v>1</v>
      </c>
      <c r="V333" s="95">
        <f t="shared" si="29"/>
        <v>4</v>
      </c>
      <c r="W333" s="29">
        <f>VLOOKUP(U333,模板计算相关数据!A:N,2,0)</f>
        <v>1</v>
      </c>
      <c r="X333" s="3" t="s">
        <v>151</v>
      </c>
      <c r="Y333" s="3" t="s">
        <v>162</v>
      </c>
      <c r="Z333" s="99">
        <v>1</v>
      </c>
      <c r="AA333" s="95">
        <v>1</v>
      </c>
      <c r="AB333" s="95">
        <v>1</v>
      </c>
      <c r="AC333" s="95">
        <v>1</v>
      </c>
      <c r="AD333" s="95">
        <v>0</v>
      </c>
      <c r="AE333" s="95">
        <v>0</v>
      </c>
      <c r="AF333" s="95">
        <v>0</v>
      </c>
      <c r="AG333" s="95">
        <v>0</v>
      </c>
      <c r="AH333" s="95">
        <v>0</v>
      </c>
      <c r="AI333" s="95">
        <v>0</v>
      </c>
      <c r="AJ333" s="3">
        <f>INT(VLOOKUP(U333,模板计算相关数据!A:N,4,0)*VLOOKUP(U333,模板计算相关数据!A:N,14,0)*(1+MAX(0,(VLOOKUP(U333,模板计算相关数据!A:N,7,0)-AQ333))*VLOOKUP(U333,模板计算相关数据!A:N,8,0))*(1-(AL333+AM333)*0.5/((AL333+AM333)*0.5+(VLOOKUP(U333,模板计算相关数据!A:N,2,0)+模板计算相关数据!$AC$27)*模板计算相关数据!$AC$28))*Q333*Z333)</f>
        <v>328</v>
      </c>
      <c r="AK333" s="3">
        <f>INT(VLOOKUP(U333,模板计算相关数据!A:N,3,0)/模板计算相关数据!$W$35/(1+MAX(0,(AO333/10000-VLOOKUP(U333,模板计算相关数据!A:N,9,0)))*AP333/10000)/(1-VLOOKUP(U333,模板计算相关数据!A:N,5,0)/(VLOOKUP(U333,模板计算相关数据!A:N,5,0)+(VLOOKUP(U333,模板计算相关数据!A:N,2,0)+模板计算相关数据!$AC$27)*模板计算相关数据!$AC$28))/S333*AA333)</f>
        <v>101</v>
      </c>
      <c r="AL333" s="3">
        <f>INT(VLOOKUP(U333,模板计算相关数据!A:N,5,0)*VLOOKUP(X333,模板计算相关数据!$P$4:$T$7,4,0)*VLOOKUP(Y333,模板计算相关数据!$P$22:$U$30,4,0)*AB333)</f>
        <v>136</v>
      </c>
      <c r="AM333" s="3">
        <f>INT(VLOOKUP(U333,模板计算相关数据!A:N,6,0)*VLOOKUP(X333,模板计算相关数据!$P$4:$T$7,4,0)*VLOOKUP(Y333,模板计算相关数据!$P$22:$U$30,5,0)*AC333)</f>
        <v>230</v>
      </c>
      <c r="AN333" s="3">
        <f>VLOOKUP(U333,模板计算相关数据!A:N,10,0)*0.5*VLOOKUP(Y333,模板计算相关数据!$P$22:$U$30,6,0)+AD333</f>
        <v>250</v>
      </c>
      <c r="AO333" s="3">
        <f>VLOOKUP(INT(VLOOKUP(U333,模板计算相关数据!A:N,2,0)/30)+1,模板计算相关数据!$O$35:$U$40,3,0)+AE333</f>
        <v>0</v>
      </c>
      <c r="AP333" s="3">
        <f>VLOOKUP(INT(VLOOKUP(U333,模板计算相关数据!A:N,2,0)/30)+1,模板计算相关数据!$O$35:$U$40,4,0)+AF333</f>
        <v>5000</v>
      </c>
      <c r="AQ333" s="3">
        <f>VLOOKUP(INT(VLOOKUP(U333,模板计算相关数据!A:N,2,0)/30)+1,模板计算相关数据!$O$35:$U$40,5,0)+AG333</f>
        <v>0</v>
      </c>
      <c r="AR333" s="3">
        <f>VLOOKUP(INT(VLOOKUP(U333,模板计算相关数据!A:N,2,0)/30)+1,模板计算相关数据!$O$35:$U$40,6,0)+AH333</f>
        <v>0</v>
      </c>
      <c r="AS333" s="3">
        <f>VLOOKUP(INT(VLOOKUP(U333,模板计算相关数据!A:N,2,0)/30)+1,模板计算相关数据!$O$35:$U$40,7,0)+AI333</f>
        <v>0</v>
      </c>
      <c r="AT333" s="3">
        <f>VLOOKUP(INT(VLOOKUP(U333,模板计算相关数据!A:N,2,0)/30)+1,模板计算相关数据!$O$35:$V$40,8,0)</f>
        <v>0</v>
      </c>
      <c r="AU333" s="2"/>
    </row>
    <row r="334" spans="1:47" x14ac:dyDescent="0.2">
      <c r="A334" s="45">
        <v>102190101</v>
      </c>
      <c r="B334" s="45"/>
      <c r="C334" s="87" t="s">
        <v>1958</v>
      </c>
      <c r="D334" s="33" t="s">
        <v>1889</v>
      </c>
      <c r="E334" s="2">
        <v>1</v>
      </c>
      <c r="F334" s="3">
        <v>2</v>
      </c>
      <c r="G334" s="3">
        <v>1005701</v>
      </c>
      <c r="H334" s="3">
        <v>1</v>
      </c>
      <c r="I334" s="3">
        <v>4</v>
      </c>
      <c r="J334" s="3">
        <v>1</v>
      </c>
      <c r="K334" s="3"/>
      <c r="L334" s="91" t="s">
        <v>1885</v>
      </c>
      <c r="M334" s="3"/>
      <c r="N334" s="2">
        <v>1</v>
      </c>
      <c r="O334" s="2"/>
      <c r="P334" s="3" t="s">
        <v>1615</v>
      </c>
      <c r="Q334" s="95">
        <f t="shared" si="45"/>
        <v>4.4674509803921572</v>
      </c>
      <c r="R334" s="133">
        <f>IF(P334=模板计算相关数据!$AB$24,VLOOKUP(X334,模板计算相关数据!$P$47:$T$50,2,0),VLOOKUP(X334,模板计算相关数据!$P$4:$U$7,3,0))*VLOOKUP(Y334,模板计算相关数据!$P$22:$X$30,8,0)</f>
        <v>4.4674509803921572</v>
      </c>
      <c r="S334" s="62">
        <f t="shared" si="46"/>
        <v>5.4739930589768004</v>
      </c>
      <c r="T334" s="133">
        <f>IF(P334=模板计算相关数据!$AB$24,VLOOKUP(X334,模板计算相关数据!$P$47:$T$50,5,0),VLOOKUP(X334,模板计算相关数据!$P$4:$U$7,6,0))*VLOOKUP(Y334,模板计算相关数据!$P$22:$X$30,9,0)</f>
        <v>5.4739930589768004</v>
      </c>
      <c r="U334" s="103">
        <v>1</v>
      </c>
      <c r="V334" s="95">
        <f t="shared" si="29"/>
        <v>4</v>
      </c>
      <c r="W334" s="29">
        <f>VLOOKUP(U334,模板计算相关数据!A:N,2,0)</f>
        <v>1</v>
      </c>
      <c r="X334" s="3" t="s">
        <v>151</v>
      </c>
      <c r="Y334" s="3" t="s">
        <v>162</v>
      </c>
      <c r="Z334" s="99">
        <v>1</v>
      </c>
      <c r="AA334" s="95">
        <v>1</v>
      </c>
      <c r="AB334" s="95">
        <v>1</v>
      </c>
      <c r="AC334" s="95">
        <v>1</v>
      </c>
      <c r="AD334" s="95">
        <v>0</v>
      </c>
      <c r="AE334" s="95">
        <v>0</v>
      </c>
      <c r="AF334" s="95">
        <v>0</v>
      </c>
      <c r="AG334" s="95">
        <v>0</v>
      </c>
      <c r="AH334" s="95">
        <v>0</v>
      </c>
      <c r="AI334" s="95">
        <v>0</v>
      </c>
      <c r="AJ334" s="3">
        <f>INT(VLOOKUP(U334,模板计算相关数据!A:N,4,0)*VLOOKUP(U334,模板计算相关数据!A:N,14,0)*(1+MAX(0,(VLOOKUP(U334,模板计算相关数据!A:N,7,0)-AQ334))*VLOOKUP(U334,模板计算相关数据!A:N,8,0))*(1-(AL334+AM334)*0.5/((AL334+AM334)*0.5+(VLOOKUP(U334,模板计算相关数据!A:N,2,0)+模板计算相关数据!$AC$27)*模板计算相关数据!$AC$28))*Q334*Z334)</f>
        <v>328</v>
      </c>
      <c r="AK334" s="3">
        <f>INT(VLOOKUP(U334,模板计算相关数据!A:N,3,0)/模板计算相关数据!$W$35/(1+MAX(0,(AO334/10000-VLOOKUP(U334,模板计算相关数据!A:N,9,0)))*AP334/10000)/(1-VLOOKUP(U334,模板计算相关数据!A:N,5,0)/(VLOOKUP(U334,模板计算相关数据!A:N,5,0)+(VLOOKUP(U334,模板计算相关数据!A:N,2,0)+模板计算相关数据!$AC$27)*模板计算相关数据!$AC$28))/S334*AA334)</f>
        <v>101</v>
      </c>
      <c r="AL334" s="3">
        <f>INT(VLOOKUP(U334,模板计算相关数据!A:N,5,0)*VLOOKUP(X334,模板计算相关数据!$P$4:$T$7,4,0)*VLOOKUP(Y334,模板计算相关数据!$P$22:$U$30,4,0)*AB334)</f>
        <v>136</v>
      </c>
      <c r="AM334" s="3">
        <f>INT(VLOOKUP(U334,模板计算相关数据!A:N,6,0)*VLOOKUP(X334,模板计算相关数据!$P$4:$T$7,4,0)*VLOOKUP(Y334,模板计算相关数据!$P$22:$U$30,5,0)*AC334)</f>
        <v>230</v>
      </c>
      <c r="AN334" s="3">
        <f>VLOOKUP(U334,模板计算相关数据!A:N,10,0)*0.5*VLOOKUP(Y334,模板计算相关数据!$P$22:$U$30,6,0)+AD334</f>
        <v>250</v>
      </c>
      <c r="AO334" s="3">
        <f>VLOOKUP(INT(VLOOKUP(U334,模板计算相关数据!A:N,2,0)/30)+1,模板计算相关数据!$O$35:$U$40,3,0)+AE334</f>
        <v>0</v>
      </c>
      <c r="AP334" s="3">
        <f>VLOOKUP(INT(VLOOKUP(U334,模板计算相关数据!A:N,2,0)/30)+1,模板计算相关数据!$O$35:$U$40,4,0)+AF334</f>
        <v>5000</v>
      </c>
      <c r="AQ334" s="3">
        <f>VLOOKUP(INT(VLOOKUP(U334,模板计算相关数据!A:N,2,0)/30)+1,模板计算相关数据!$O$35:$U$40,5,0)+AG334</f>
        <v>0</v>
      </c>
      <c r="AR334" s="3">
        <f>VLOOKUP(INT(VLOOKUP(U334,模板计算相关数据!A:N,2,0)/30)+1,模板计算相关数据!$O$35:$U$40,6,0)+AH334</f>
        <v>0</v>
      </c>
      <c r="AS334" s="3">
        <f>VLOOKUP(INT(VLOOKUP(U334,模板计算相关数据!A:N,2,0)/30)+1,模板计算相关数据!$O$35:$U$40,7,0)+AI334</f>
        <v>0</v>
      </c>
      <c r="AT334" s="3">
        <f>VLOOKUP(INT(VLOOKUP(U334,模板计算相关数据!A:N,2,0)/30)+1,模板计算相关数据!$O$35:$V$40,8,0)</f>
        <v>0</v>
      </c>
      <c r="AU334" s="2"/>
    </row>
    <row r="335" spans="1:47" x14ac:dyDescent="0.2">
      <c r="A335" s="45">
        <v>102190102</v>
      </c>
      <c r="B335" s="45"/>
      <c r="C335" s="87" t="s">
        <v>1958</v>
      </c>
      <c r="D335" s="33" t="s">
        <v>1889</v>
      </c>
      <c r="E335" s="2">
        <v>1</v>
      </c>
      <c r="F335" s="3">
        <v>3</v>
      </c>
      <c r="G335" s="3">
        <v>1005701</v>
      </c>
      <c r="H335" s="3">
        <v>1</v>
      </c>
      <c r="I335" s="3">
        <v>4</v>
      </c>
      <c r="J335" s="3">
        <v>1</v>
      </c>
      <c r="K335" s="3"/>
      <c r="L335" s="91" t="s">
        <v>1885</v>
      </c>
      <c r="M335" s="3"/>
      <c r="N335" s="2">
        <v>1</v>
      </c>
      <c r="O335" s="2"/>
      <c r="P335" s="3" t="s">
        <v>1615</v>
      </c>
      <c r="Q335" s="95">
        <f t="shared" si="45"/>
        <v>4.4674509803921572</v>
      </c>
      <c r="R335" s="133">
        <f>IF(P335=模板计算相关数据!$AB$24,VLOOKUP(X335,模板计算相关数据!$P$47:$T$50,2,0),VLOOKUP(X335,模板计算相关数据!$P$4:$U$7,3,0))*VLOOKUP(Y335,模板计算相关数据!$P$22:$X$30,8,0)</f>
        <v>4.4674509803921572</v>
      </c>
      <c r="S335" s="62">
        <f t="shared" si="46"/>
        <v>5.4739930589768004</v>
      </c>
      <c r="T335" s="133">
        <f>IF(P335=模板计算相关数据!$AB$24,VLOOKUP(X335,模板计算相关数据!$P$47:$T$50,5,0),VLOOKUP(X335,模板计算相关数据!$P$4:$U$7,6,0))*VLOOKUP(Y335,模板计算相关数据!$P$22:$X$30,9,0)</f>
        <v>5.4739930589768004</v>
      </c>
      <c r="U335" s="103">
        <v>1</v>
      </c>
      <c r="V335" s="95">
        <f t="shared" si="29"/>
        <v>4</v>
      </c>
      <c r="W335" s="29">
        <f>VLOOKUP(U335,模板计算相关数据!A:N,2,0)</f>
        <v>1</v>
      </c>
      <c r="X335" s="3" t="s">
        <v>151</v>
      </c>
      <c r="Y335" s="3" t="s">
        <v>162</v>
      </c>
      <c r="Z335" s="99">
        <v>1</v>
      </c>
      <c r="AA335" s="95">
        <v>1</v>
      </c>
      <c r="AB335" s="95">
        <v>1</v>
      </c>
      <c r="AC335" s="95">
        <v>1</v>
      </c>
      <c r="AD335" s="95">
        <v>0</v>
      </c>
      <c r="AE335" s="95">
        <v>0</v>
      </c>
      <c r="AF335" s="95">
        <v>0</v>
      </c>
      <c r="AG335" s="95">
        <v>0</v>
      </c>
      <c r="AH335" s="95">
        <v>0</v>
      </c>
      <c r="AI335" s="95">
        <v>0</v>
      </c>
      <c r="AJ335" s="3">
        <f>INT(VLOOKUP(U335,模板计算相关数据!A:N,4,0)*VLOOKUP(U335,模板计算相关数据!A:N,14,0)*(1+MAX(0,(VLOOKUP(U335,模板计算相关数据!A:N,7,0)-AQ335))*VLOOKUP(U335,模板计算相关数据!A:N,8,0))*(1-(AL335+AM335)*0.5/((AL335+AM335)*0.5+(VLOOKUP(U335,模板计算相关数据!A:N,2,0)+模板计算相关数据!$AC$27)*模板计算相关数据!$AC$28))*Q335*Z335)</f>
        <v>328</v>
      </c>
      <c r="AK335" s="3">
        <f>INT(VLOOKUP(U335,模板计算相关数据!A:N,3,0)/模板计算相关数据!$W$35/(1+MAX(0,(AO335/10000-VLOOKUP(U335,模板计算相关数据!A:N,9,0)))*AP335/10000)/(1-VLOOKUP(U335,模板计算相关数据!A:N,5,0)/(VLOOKUP(U335,模板计算相关数据!A:N,5,0)+(VLOOKUP(U335,模板计算相关数据!A:N,2,0)+模板计算相关数据!$AC$27)*模板计算相关数据!$AC$28))/S335*AA335)</f>
        <v>101</v>
      </c>
      <c r="AL335" s="3">
        <f>INT(VLOOKUP(U335,模板计算相关数据!A:N,5,0)*VLOOKUP(X335,模板计算相关数据!$P$4:$T$7,4,0)*VLOOKUP(Y335,模板计算相关数据!$P$22:$U$30,4,0)*AB335)</f>
        <v>136</v>
      </c>
      <c r="AM335" s="3">
        <f>INT(VLOOKUP(U335,模板计算相关数据!A:N,6,0)*VLOOKUP(X335,模板计算相关数据!$P$4:$T$7,4,0)*VLOOKUP(Y335,模板计算相关数据!$P$22:$U$30,5,0)*AC335)</f>
        <v>230</v>
      </c>
      <c r="AN335" s="3">
        <f>VLOOKUP(U335,模板计算相关数据!A:N,10,0)*0.5*VLOOKUP(Y335,模板计算相关数据!$P$22:$U$30,6,0)+AD335</f>
        <v>250</v>
      </c>
      <c r="AO335" s="3">
        <f>VLOOKUP(INT(VLOOKUP(U335,模板计算相关数据!A:N,2,0)/30)+1,模板计算相关数据!$O$35:$U$40,3,0)+AE335</f>
        <v>0</v>
      </c>
      <c r="AP335" s="3">
        <f>VLOOKUP(INT(VLOOKUP(U335,模板计算相关数据!A:N,2,0)/30)+1,模板计算相关数据!$O$35:$U$40,4,0)+AF335</f>
        <v>5000</v>
      </c>
      <c r="AQ335" s="3">
        <f>VLOOKUP(INT(VLOOKUP(U335,模板计算相关数据!A:N,2,0)/30)+1,模板计算相关数据!$O$35:$U$40,5,0)+AG335</f>
        <v>0</v>
      </c>
      <c r="AR335" s="3">
        <f>VLOOKUP(INT(VLOOKUP(U335,模板计算相关数据!A:N,2,0)/30)+1,模板计算相关数据!$O$35:$U$40,6,0)+AH335</f>
        <v>0</v>
      </c>
      <c r="AS335" s="3">
        <f>VLOOKUP(INT(VLOOKUP(U335,模板计算相关数据!A:N,2,0)/30)+1,模板计算相关数据!$O$35:$U$40,7,0)+AI335</f>
        <v>0</v>
      </c>
      <c r="AT335" s="3">
        <f>VLOOKUP(INT(VLOOKUP(U335,模板计算相关数据!A:N,2,0)/30)+1,模板计算相关数据!$O$35:$V$40,8,0)</f>
        <v>0</v>
      </c>
      <c r="AU335" s="2"/>
    </row>
    <row r="336" spans="1:47" x14ac:dyDescent="0.2">
      <c r="A336" s="45">
        <v>102190103</v>
      </c>
      <c r="B336" s="45"/>
      <c r="C336" s="87" t="s">
        <v>1959</v>
      </c>
      <c r="D336" s="33" t="s">
        <v>1889</v>
      </c>
      <c r="E336" s="2">
        <v>1</v>
      </c>
      <c r="F336" s="3">
        <v>5</v>
      </c>
      <c r="G336" s="3">
        <v>1005801</v>
      </c>
      <c r="H336" s="3">
        <v>1</v>
      </c>
      <c r="I336" s="3">
        <v>4</v>
      </c>
      <c r="J336" s="3">
        <v>1</v>
      </c>
      <c r="K336" s="3">
        <v>2</v>
      </c>
      <c r="L336" s="91" t="s">
        <v>1887</v>
      </c>
      <c r="M336" s="3"/>
      <c r="N336" s="2">
        <v>1</v>
      </c>
      <c r="O336" s="2"/>
      <c r="P336" s="3" t="s">
        <v>1615</v>
      </c>
      <c r="Q336" s="95">
        <f t="shared" ref="Q336" si="47">R336</f>
        <v>5.7709803921568623</v>
      </c>
      <c r="R336" s="133">
        <f>IF(P336=模板计算相关数据!$AB$24,VLOOKUP(X336,模板计算相关数据!$P$47:$T$50,2,0),VLOOKUP(X336,模板计算相关数据!$P$4:$U$7,3,0))*VLOOKUP(Y336,模板计算相关数据!$P$22:$X$30,8,0)</f>
        <v>5.7709803921568623</v>
      </c>
      <c r="S336" s="62">
        <f t="shared" ref="S336" si="48">T336</f>
        <v>6.4077918749199023</v>
      </c>
      <c r="T336" s="133">
        <f>IF(P336=模板计算相关数据!$AB$24,VLOOKUP(X336,模板计算相关数据!$P$47:$T$50,5,0),VLOOKUP(X336,模板计算相关数据!$P$4:$U$7,6,0))*VLOOKUP(Y336,模板计算相关数据!$P$22:$X$30,9,0)</f>
        <v>6.4077918749199023</v>
      </c>
      <c r="U336" s="103">
        <v>1</v>
      </c>
      <c r="V336" s="95">
        <f t="shared" si="29"/>
        <v>4</v>
      </c>
      <c r="W336" s="29">
        <f>VLOOKUP(U336,模板计算相关数据!A:N,2,0)</f>
        <v>1</v>
      </c>
      <c r="X336" s="3" t="s">
        <v>151</v>
      </c>
      <c r="Y336" s="3" t="s">
        <v>243</v>
      </c>
      <c r="Z336" s="99">
        <v>1</v>
      </c>
      <c r="AA336" s="95">
        <v>1</v>
      </c>
      <c r="AB336" s="95">
        <v>1</v>
      </c>
      <c r="AC336" s="95">
        <v>1</v>
      </c>
      <c r="AD336" s="95">
        <v>0</v>
      </c>
      <c r="AE336" s="95">
        <v>0</v>
      </c>
      <c r="AF336" s="95">
        <v>0</v>
      </c>
      <c r="AG336" s="95">
        <v>0</v>
      </c>
      <c r="AH336" s="95">
        <v>0</v>
      </c>
      <c r="AI336" s="95">
        <v>0</v>
      </c>
      <c r="AJ336" s="3">
        <f>INT(VLOOKUP(U336,模板计算相关数据!A:N,4,0)*VLOOKUP(U336,模板计算相关数据!A:N,14,0)*(1+MAX(0,(VLOOKUP(U336,模板计算相关数据!A:N,7,0)-AQ336))*VLOOKUP(U336,模板计算相关数据!A:N,8,0))*(1-(AL336+AM336)*0.5/((AL336+AM336)*0.5+(VLOOKUP(U336,模板计算相关数据!A:N,2,0)+模板计算相关数据!$AC$27)*模板计算相关数据!$AC$28))*Q336*Z336)</f>
        <v>411</v>
      </c>
      <c r="AK336" s="3">
        <f>INT(VLOOKUP(U336,模板计算相关数据!A:N,3,0)/模板计算相关数据!$W$35/(1+MAX(0,(AO336/10000-VLOOKUP(U336,模板计算相关数据!A:N,9,0)))*AP336/10000)/(1-VLOOKUP(U336,模板计算相关数据!A:N,5,0)/(VLOOKUP(U336,模板计算相关数据!A:N,5,0)+(VLOOKUP(U336,模板计算相关数据!A:N,2,0)+模板计算相关数据!$AC$27)*模板计算相关数据!$AC$28))/S336*AA336)</f>
        <v>86</v>
      </c>
      <c r="AL336" s="3">
        <f>INT(VLOOKUP(U336,模板计算相关数据!A:N,5,0)*VLOOKUP(X336,模板计算相关数据!$P$4:$T$7,4,0)*VLOOKUP(Y336,模板计算相关数据!$P$22:$U$30,4,0)*AB336)</f>
        <v>145</v>
      </c>
      <c r="AM336" s="3">
        <f>INT(VLOOKUP(U336,模板计算相关数据!A:N,6,0)*VLOOKUP(X336,模板计算相关数据!$P$4:$T$7,4,0)*VLOOKUP(Y336,模板计算相关数据!$P$22:$U$30,5,0)*AC336)</f>
        <v>264</v>
      </c>
      <c r="AN336" s="3">
        <f>VLOOKUP(U336,模板计算相关数据!A:N,10,0)*0.5*VLOOKUP(Y336,模板计算相关数据!$P$22:$U$30,6,0)+AD336</f>
        <v>275</v>
      </c>
      <c r="AO336" s="3">
        <f>VLOOKUP(INT(VLOOKUP(U336,模板计算相关数据!A:N,2,0)/30)+1,模板计算相关数据!$O$35:$U$40,3,0)+AE336</f>
        <v>0</v>
      </c>
      <c r="AP336" s="3">
        <f>VLOOKUP(INT(VLOOKUP(U336,模板计算相关数据!A:N,2,0)/30)+1,模板计算相关数据!$O$35:$U$40,4,0)+AF336</f>
        <v>5000</v>
      </c>
      <c r="AQ336" s="3">
        <f>VLOOKUP(INT(VLOOKUP(U336,模板计算相关数据!A:N,2,0)/30)+1,模板计算相关数据!$O$35:$U$40,5,0)+AG336</f>
        <v>0</v>
      </c>
      <c r="AR336" s="3">
        <f>VLOOKUP(INT(VLOOKUP(U336,模板计算相关数据!A:N,2,0)/30)+1,模板计算相关数据!$O$35:$U$40,6,0)+AH336</f>
        <v>0</v>
      </c>
      <c r="AS336" s="3">
        <f>VLOOKUP(INT(VLOOKUP(U336,模板计算相关数据!A:N,2,0)/30)+1,模板计算相关数据!$O$35:$U$40,7,0)+AI336</f>
        <v>0</v>
      </c>
      <c r="AT336" s="3">
        <f>VLOOKUP(INT(VLOOKUP(U336,模板计算相关数据!A:N,2,0)/30)+1,模板计算相关数据!$O$35:$V$40,8,0)</f>
        <v>0</v>
      </c>
      <c r="AU336" s="69" t="s">
        <v>1965</v>
      </c>
    </row>
    <row r="337" spans="1:47" x14ac:dyDescent="0.2">
      <c r="A337" s="45">
        <v>102190104</v>
      </c>
      <c r="B337" s="45"/>
      <c r="C337" s="69" t="s">
        <v>1890</v>
      </c>
      <c r="D337" s="33" t="s">
        <v>1889</v>
      </c>
      <c r="E337" s="2">
        <v>1</v>
      </c>
      <c r="F337" s="3">
        <v>1</v>
      </c>
      <c r="G337" s="3">
        <v>1005701</v>
      </c>
      <c r="H337" s="3">
        <v>1</v>
      </c>
      <c r="I337" s="3">
        <v>4</v>
      </c>
      <c r="J337" s="3">
        <v>1</v>
      </c>
      <c r="K337" s="3">
        <v>3</v>
      </c>
      <c r="L337" s="56" t="s">
        <v>1887</v>
      </c>
      <c r="M337" s="3"/>
      <c r="N337" s="2">
        <v>1</v>
      </c>
      <c r="O337" s="2"/>
      <c r="P337" s="3" t="s">
        <v>1615</v>
      </c>
      <c r="Q337" s="95">
        <f t="shared" ref="Q337" si="49">R337</f>
        <v>6.9411764705882364</v>
      </c>
      <c r="R337" s="133">
        <f>IF(P337=模板计算相关数据!$AB$24,VLOOKUP(X337,模板计算相关数据!$P$47:$T$50,2,0),VLOOKUP(X337,模板计算相关数据!$P$4:$U$7,3,0))*VLOOKUP(Y337,模板计算相关数据!$P$22:$X$30,8,0)</f>
        <v>6.9411764705882364</v>
      </c>
      <c r="S337" s="62">
        <f t="shared" ref="S337" si="50">T337</f>
        <v>8.2943498888557112</v>
      </c>
      <c r="T337" s="133">
        <f>IF(P337=模板计算相关数据!$AB$24,VLOOKUP(X337,模板计算相关数据!$P$47:$T$50,5,0),VLOOKUP(X337,模板计算相关数据!$P$4:$U$7,6,0))*VLOOKUP(Y337,模板计算相关数据!$P$22:$X$30,9,0)</f>
        <v>8.2943498888557112</v>
      </c>
      <c r="U337" s="103">
        <v>1</v>
      </c>
      <c r="V337" s="95">
        <f t="shared" si="29"/>
        <v>4</v>
      </c>
      <c r="W337" s="29">
        <f>VLOOKUP(U337,模板计算相关数据!A:N,2,0)</f>
        <v>1</v>
      </c>
      <c r="X337" s="3" t="s">
        <v>151</v>
      </c>
      <c r="Y337" s="3" t="s">
        <v>155</v>
      </c>
      <c r="Z337" s="99">
        <v>1</v>
      </c>
      <c r="AA337" s="95">
        <v>1</v>
      </c>
      <c r="AB337" s="95">
        <v>1</v>
      </c>
      <c r="AC337" s="95">
        <v>1</v>
      </c>
      <c r="AD337" s="95">
        <v>0</v>
      </c>
      <c r="AE337" s="95">
        <v>0</v>
      </c>
      <c r="AF337" s="95">
        <v>0</v>
      </c>
      <c r="AG337" s="95">
        <v>0</v>
      </c>
      <c r="AH337" s="95">
        <v>0</v>
      </c>
      <c r="AI337" s="95">
        <v>4000</v>
      </c>
      <c r="AJ337" s="3">
        <f>INT(VLOOKUP(U337,模板计算相关数据!A:N,4,0)*VLOOKUP(U337,模板计算相关数据!A:N,14,0)*(1+MAX(0,(VLOOKUP(U337,模板计算相关数据!A:N,7,0)-AQ337))*VLOOKUP(U337,模板计算相关数据!A:N,8,0))*(1-(AL337+AM337)*0.5/((AL337+AM337)*0.5+(VLOOKUP(U337,模板计算相关数据!A:N,2,0)+模板计算相关数据!$AC$27)*模板计算相关数据!$AC$28))*Q337*Z337)</f>
        <v>487</v>
      </c>
      <c r="AK337" s="3">
        <f>INT(VLOOKUP(U337,模板计算相关数据!A:N,3,0)/模板计算相关数据!$W$35/(1+MAX(0,(AO337/10000-VLOOKUP(U337,模板计算相关数据!A:N,9,0)))*AP337/10000)/(1-VLOOKUP(U337,模板计算相关数据!A:N,5,0)/(VLOOKUP(U337,模板计算相关数据!A:N,5,0)+(VLOOKUP(U337,模板计算相关数据!A:N,2,0)+模板计算相关数据!$AC$27)*模板计算相关数据!$AC$28))/S337*AA337)</f>
        <v>67</v>
      </c>
      <c r="AL337" s="3">
        <f>INT(VLOOKUP(U337,模板计算相关数据!A:N,5,0)*VLOOKUP(X337,模板计算相关数据!$P$4:$T$7,4,0)*VLOOKUP(Y337,模板计算相关数据!$P$22:$U$30,4,0)*AB337)</f>
        <v>277</v>
      </c>
      <c r="AM337" s="3">
        <f>INT(VLOOKUP(U337,模板计算相关数据!A:N,6,0)*VLOOKUP(X337,模板计算相关数据!$P$4:$T$7,4,0)*VLOOKUP(Y337,模板计算相关数据!$P$22:$U$30,5,0)*AC337)</f>
        <v>153</v>
      </c>
      <c r="AN337" s="3">
        <f>VLOOKUP(U337,模板计算相关数据!A:N,10,0)*0.5*VLOOKUP(Y337,模板计算相关数据!$P$22:$U$30,6,0)+AD337</f>
        <v>225</v>
      </c>
      <c r="AO337" s="3">
        <f>VLOOKUP(INT(VLOOKUP(U337,模板计算相关数据!A:N,2,0)/30)+1,模板计算相关数据!$O$35:$U$40,3,0)+AE337</f>
        <v>0</v>
      </c>
      <c r="AP337" s="3">
        <f>VLOOKUP(INT(VLOOKUP(U337,模板计算相关数据!A:N,2,0)/30)+1,模板计算相关数据!$O$35:$U$40,4,0)+AF337</f>
        <v>5000</v>
      </c>
      <c r="AQ337" s="3">
        <f>VLOOKUP(INT(VLOOKUP(U337,模板计算相关数据!A:N,2,0)/30)+1,模板计算相关数据!$O$35:$U$40,5,0)+AG337</f>
        <v>0</v>
      </c>
      <c r="AR337" s="3">
        <f>VLOOKUP(INT(VLOOKUP(U337,模板计算相关数据!A:N,2,0)/30)+1,模板计算相关数据!$O$35:$U$40,6,0)+AH337</f>
        <v>0</v>
      </c>
      <c r="AS337" s="3">
        <f>VLOOKUP(INT(VLOOKUP(U337,模板计算相关数据!A:N,2,0)/30)+1,模板计算相关数据!$O$35:$U$40,7,0)+AI337</f>
        <v>4000</v>
      </c>
      <c r="AT337" s="3">
        <f>VLOOKUP(INT(VLOOKUP(U337,模板计算相关数据!A:N,2,0)/30)+1,模板计算相关数据!$O$35:$V$40,8,0)</f>
        <v>0</v>
      </c>
      <c r="AU337" s="69" t="s">
        <v>1966</v>
      </c>
    </row>
    <row r="338" spans="1:47" s="149" customFormat="1" x14ac:dyDescent="0.2">
      <c r="A338" s="43">
        <v>301001</v>
      </c>
      <c r="B338" s="43"/>
      <c r="C338" s="25" t="s">
        <v>1726</v>
      </c>
      <c r="D338" s="25" t="s">
        <v>1032</v>
      </c>
      <c r="E338" s="17"/>
      <c r="F338" s="43">
        <v>6</v>
      </c>
      <c r="G338" s="43">
        <v>1002701</v>
      </c>
      <c r="H338" s="43">
        <v>5</v>
      </c>
      <c r="I338" s="43">
        <v>4</v>
      </c>
      <c r="J338" s="43">
        <v>3</v>
      </c>
      <c r="K338" s="43"/>
      <c r="L338" s="43" t="s">
        <v>222</v>
      </c>
      <c r="M338" s="17"/>
      <c r="N338" s="17">
        <v>1</v>
      </c>
      <c r="O338" s="17"/>
      <c r="P338" s="43" t="s">
        <v>1615</v>
      </c>
      <c r="Q338" s="147">
        <v>5</v>
      </c>
      <c r="R338" s="133">
        <f>IF(P338=模板计算相关数据!$AB$24,VLOOKUP(X338,模板计算相关数据!$P$47:$T$50,2,0),VLOOKUP(X338,模板计算相关数据!$P$4:$U$7,3,0))*VLOOKUP(Y338,模板计算相关数据!$P$22:$X$30,8,0)</f>
        <v>5</v>
      </c>
      <c r="S338" s="42">
        <v>12</v>
      </c>
      <c r="T338" s="133">
        <f>IF(P338=模板计算相关数据!$AB$24,VLOOKUP(X338,模板计算相关数据!$P$47:$T$50,5,0),VLOOKUP(X338,模板计算相关数据!$P$4:$U$7,6,0))*VLOOKUP(Y338,模板计算相关数据!$P$22:$X$30,9,0)</f>
        <v>6.6666666666666661</v>
      </c>
      <c r="U338" s="147">
        <v>24</v>
      </c>
      <c r="V338" s="95">
        <f t="shared" si="29"/>
        <v>18</v>
      </c>
      <c r="W338" s="29">
        <f>VLOOKUP(U338,模板计算相关数据!A:N,2,0)</f>
        <v>15</v>
      </c>
      <c r="X338" s="43" t="s">
        <v>151</v>
      </c>
      <c r="Y338" s="43" t="s">
        <v>223</v>
      </c>
      <c r="Z338" s="148">
        <v>1</v>
      </c>
      <c r="AA338" s="147">
        <v>1</v>
      </c>
      <c r="AB338" s="147">
        <v>1</v>
      </c>
      <c r="AC338" s="147">
        <v>1</v>
      </c>
      <c r="AD338" s="147">
        <v>0</v>
      </c>
      <c r="AE338" s="147">
        <v>0</v>
      </c>
      <c r="AF338" s="147">
        <v>0</v>
      </c>
      <c r="AG338" s="147">
        <v>0</v>
      </c>
      <c r="AH338" s="147">
        <v>0</v>
      </c>
      <c r="AI338" s="147">
        <v>0</v>
      </c>
      <c r="AJ338" s="43">
        <f>INT(VLOOKUP(U338,模板计算相关数据!A:N,4,0)*VLOOKUP(U338,模板计算相关数据!A:N,14,0)*(1+MAX(0,(VLOOKUP(U338,模板计算相关数据!A:N,7,0)-AQ338))*VLOOKUP(U338,模板计算相关数据!A:N,8,0))*(1-(AL338+AM338)*0.5/((AL338+AM338)*0.5+(VLOOKUP(U338,模板计算相关数据!A:N,2,0)+模板计算相关数据!$AC$27)*模板计算相关数据!$AC$28))*Q338*Z338)</f>
        <v>1433</v>
      </c>
      <c r="AK338" s="43">
        <f>INT(VLOOKUP(U338,模板计算相关数据!A:N,3,0)/模板计算相关数据!$W$35/(1+MAX(0,(AO338/10000-VLOOKUP(U338,模板计算相关数据!A:N,9,0)))*AP338/10000)/(1-VLOOKUP(U338,模板计算相关数据!A:N,5,0)/(VLOOKUP(U338,模板计算相关数据!A:N,5,0)+(VLOOKUP(U338,模板计算相关数据!A:N,2,0)+模板计算相关数据!$AC$27)*模板计算相关数据!$AC$28))/S338*AA338)</f>
        <v>170</v>
      </c>
      <c r="AL338" s="43">
        <f>INT(VLOOKUP(U338,模板计算相关数据!A:N,5,0)*VLOOKUP(X338,模板计算相关数据!$P$4:$T$7,4,0)*VLOOKUP(Y338,模板计算相关数据!$P$22:$U$30,4,0)*AB338)</f>
        <v>789</v>
      </c>
      <c r="AM338" s="43">
        <f>INT(VLOOKUP(U338,模板计算相关数据!A:N,6,0)*VLOOKUP(X338,模板计算相关数据!$P$4:$T$7,4,0)*VLOOKUP(Y338,模板计算相关数据!$P$22:$U$30,5,0)*AC338)</f>
        <v>789</v>
      </c>
      <c r="AN338" s="43">
        <f>VLOOKUP(U338,模板计算相关数据!A:N,10,0)*0.5*VLOOKUP(Y338,模板计算相关数据!$P$22:$U$30,6,0)+AD338</f>
        <v>250</v>
      </c>
      <c r="AO338" s="43">
        <f>VLOOKUP(INT(VLOOKUP(U338,模板计算相关数据!A:N,2,0)/30)+1,模板计算相关数据!$O$35:$U$40,3,0)+AE338</f>
        <v>0</v>
      </c>
      <c r="AP338" s="43">
        <f>VLOOKUP(INT(VLOOKUP(U338,模板计算相关数据!A:N,2,0)/30)+1,模板计算相关数据!$O$35:$U$40,4,0)+AF338</f>
        <v>5000</v>
      </c>
      <c r="AQ338" s="43">
        <f>VLOOKUP(INT(VLOOKUP(U338,模板计算相关数据!A:N,2,0)/30)+1,模板计算相关数据!$O$35:$U$40,5,0)+AG338</f>
        <v>0</v>
      </c>
      <c r="AR338" s="43">
        <f>VLOOKUP(INT(VLOOKUP(U338,模板计算相关数据!A:N,2,0)/30)+1,模板计算相关数据!$O$35:$U$40,6,0)+AH338</f>
        <v>0</v>
      </c>
      <c r="AS338" s="43">
        <f>VLOOKUP(INT(VLOOKUP(U338,模板计算相关数据!A:N,2,0)/30)+1,模板计算相关数据!$O$35:$U$40,7,0)+AI338</f>
        <v>0</v>
      </c>
      <c r="AT338" s="43">
        <f>VLOOKUP(INT(VLOOKUP(U338,模板计算相关数据!A:N,2,0)/30)+1,模板计算相关数据!$O$35:$V$40,8,0)</f>
        <v>0</v>
      </c>
      <c r="AU338" s="17"/>
    </row>
    <row r="339" spans="1:47" x14ac:dyDescent="0.2">
      <c r="A339" s="3">
        <v>301002</v>
      </c>
      <c r="B339" s="3"/>
      <c r="C339" s="69" t="s">
        <v>1726</v>
      </c>
      <c r="D339" s="69" t="s">
        <v>1033</v>
      </c>
      <c r="E339" s="2"/>
      <c r="F339" s="3">
        <v>6</v>
      </c>
      <c r="G339" s="3">
        <v>1002701</v>
      </c>
      <c r="H339" s="3">
        <v>5</v>
      </c>
      <c r="I339" s="3">
        <v>4</v>
      </c>
      <c r="J339" s="3">
        <v>3</v>
      </c>
      <c r="K339" s="3"/>
      <c r="L339" s="3" t="s">
        <v>224</v>
      </c>
      <c r="M339" s="2"/>
      <c r="N339" s="2">
        <v>1</v>
      </c>
      <c r="O339" s="2"/>
      <c r="P339" s="3" t="s">
        <v>1615</v>
      </c>
      <c r="Q339" s="95">
        <v>5</v>
      </c>
      <c r="R339" s="133">
        <f>IF(P339=模板计算相关数据!$AB$24,VLOOKUP(X339,模板计算相关数据!$P$47:$T$50,2,0),VLOOKUP(X339,模板计算相关数据!$P$4:$U$7,3,0))*VLOOKUP(Y339,模板计算相关数据!$P$22:$X$30,8,0)</f>
        <v>5</v>
      </c>
      <c r="S339" s="62">
        <v>12</v>
      </c>
      <c r="T339" s="133">
        <f>IF(P339=模板计算相关数据!$AB$24,VLOOKUP(X339,模板计算相关数据!$P$47:$T$50,5,0),VLOOKUP(X339,模板计算相关数据!$P$4:$U$7,6,0))*VLOOKUP(Y339,模板计算相关数据!$P$22:$X$30,9,0)</f>
        <v>6.6666666666666661</v>
      </c>
      <c r="U339" s="13">
        <v>25</v>
      </c>
      <c r="V339" s="95">
        <f t="shared" si="29"/>
        <v>23</v>
      </c>
      <c r="W339" s="29">
        <f>VLOOKUP(U339,模板计算相关数据!A:N,2,0)</f>
        <v>20</v>
      </c>
      <c r="X339" s="12" t="s">
        <v>151</v>
      </c>
      <c r="Y339" s="12" t="s">
        <v>223</v>
      </c>
      <c r="Z339" s="99">
        <v>1</v>
      </c>
      <c r="AA339" s="95">
        <v>1</v>
      </c>
      <c r="AB339" s="95">
        <v>1</v>
      </c>
      <c r="AC339" s="95">
        <v>1</v>
      </c>
      <c r="AD339" s="95">
        <v>0</v>
      </c>
      <c r="AE339" s="95">
        <v>0</v>
      </c>
      <c r="AF339" s="95">
        <v>0</v>
      </c>
      <c r="AG339" s="95">
        <v>0</v>
      </c>
      <c r="AH339" s="95">
        <v>0</v>
      </c>
      <c r="AI339" s="95">
        <v>0</v>
      </c>
      <c r="AJ339" s="3">
        <f>INT(VLOOKUP(U339,模板计算相关数据!A:N,4,0)*VLOOKUP(U339,模板计算相关数据!A:N,14,0)*(1+MAX(0,(VLOOKUP(U339,模板计算相关数据!A:N,7,0)-AQ339))*VLOOKUP(U339,模板计算相关数据!A:N,8,0))*(1-(AL339+AM339)*0.5/((AL339+AM339)*0.5+(VLOOKUP(U339,模板计算相关数据!A:N,2,0)+模板计算相关数据!$AC$27)*模板计算相关数据!$AC$28))*Q339*Z339)</f>
        <v>2299</v>
      </c>
      <c r="AK339" s="3">
        <f>INT(VLOOKUP(U339,模板计算相关数据!A:N,3,0)/模板计算相关数据!$W$35/(1+MAX(0,(AO339/10000-VLOOKUP(U339,模板计算相关数据!A:N,9,0)))*AP339/10000)/(1-VLOOKUP(U339,模板计算相关数据!A:N,5,0)/(VLOOKUP(U339,模板计算相关数据!A:N,5,0)+(VLOOKUP(U339,模板计算相关数据!A:N,2,0)+模板计算相关数据!$AC$27)*模板计算相关数据!$AC$28))/S339*AA339)</f>
        <v>333</v>
      </c>
      <c r="AL339" s="3">
        <f>INT(VLOOKUP(U339,模板计算相关数据!A:N,5,0)*VLOOKUP(X339,模板计算相关数据!$P$4:$T$7,4,0)*VLOOKUP(Y339,模板计算相关数据!$P$22:$U$30,4,0)*AB339)</f>
        <v>1304</v>
      </c>
      <c r="AM339" s="3">
        <f>INT(VLOOKUP(U339,模板计算相关数据!A:N,6,0)*VLOOKUP(X339,模板计算相关数据!$P$4:$T$7,4,0)*VLOOKUP(Y339,模板计算相关数据!$P$22:$U$30,5,0)*AC339)</f>
        <v>1294</v>
      </c>
      <c r="AN339" s="3">
        <f>VLOOKUP(U339,模板计算相关数据!A:N,10,0)*0.5*VLOOKUP(Y339,模板计算相关数据!$P$22:$U$30,6,0)+AD339</f>
        <v>250</v>
      </c>
      <c r="AO339" s="3">
        <f>VLOOKUP(INT(VLOOKUP(U339,模板计算相关数据!A:N,2,0)/30)+1,模板计算相关数据!$O$35:$U$40,3,0)+AE339</f>
        <v>0</v>
      </c>
      <c r="AP339" s="3">
        <f>VLOOKUP(INT(VLOOKUP(U339,模板计算相关数据!A:N,2,0)/30)+1,模板计算相关数据!$O$35:$U$40,4,0)+AF339</f>
        <v>5000</v>
      </c>
      <c r="AQ339" s="3">
        <f>VLOOKUP(INT(VLOOKUP(U339,模板计算相关数据!A:N,2,0)/30)+1,模板计算相关数据!$O$35:$U$40,5,0)+AG339</f>
        <v>0</v>
      </c>
      <c r="AR339" s="3">
        <f>VLOOKUP(INT(VLOOKUP(U339,模板计算相关数据!A:N,2,0)/30)+1,模板计算相关数据!$O$35:$U$40,6,0)+AH339</f>
        <v>0</v>
      </c>
      <c r="AS339" s="3">
        <f>VLOOKUP(INT(VLOOKUP(U339,模板计算相关数据!A:N,2,0)/30)+1,模板计算相关数据!$O$35:$U$40,7,0)+AI339</f>
        <v>0</v>
      </c>
      <c r="AT339" s="3">
        <f>VLOOKUP(INT(VLOOKUP(U339,模板计算相关数据!A:N,2,0)/30)+1,模板计算相关数据!$O$35:$V$40,8,0)</f>
        <v>0</v>
      </c>
      <c r="AU339" s="2"/>
    </row>
    <row r="340" spans="1:47" x14ac:dyDescent="0.2">
      <c r="A340" s="3">
        <v>301003</v>
      </c>
      <c r="B340" s="3"/>
      <c r="C340" s="69" t="s">
        <v>1726</v>
      </c>
      <c r="D340" s="69" t="s">
        <v>1034</v>
      </c>
      <c r="E340" s="2"/>
      <c r="F340" s="3">
        <v>6</v>
      </c>
      <c r="G340" s="3">
        <v>1002701</v>
      </c>
      <c r="H340" s="3">
        <v>5</v>
      </c>
      <c r="I340" s="3">
        <v>4</v>
      </c>
      <c r="J340" s="3">
        <v>3</v>
      </c>
      <c r="K340" s="3"/>
      <c r="L340" s="3" t="s">
        <v>225</v>
      </c>
      <c r="M340" s="2"/>
      <c r="N340" s="2">
        <v>1</v>
      </c>
      <c r="O340" s="2"/>
      <c r="P340" s="3" t="s">
        <v>1615</v>
      </c>
      <c r="Q340" s="95">
        <v>5</v>
      </c>
      <c r="R340" s="133">
        <f>IF(P340=模板计算相关数据!$AB$24,VLOOKUP(X340,模板计算相关数据!$P$47:$T$50,2,0),VLOOKUP(X340,模板计算相关数据!$P$4:$U$7,3,0))*VLOOKUP(Y340,模板计算相关数据!$P$22:$X$30,8,0)</f>
        <v>5</v>
      </c>
      <c r="S340" s="62">
        <v>11</v>
      </c>
      <c r="T340" s="133">
        <f>IF(P340=模板计算相关数据!$AB$24,VLOOKUP(X340,模板计算相关数据!$P$47:$T$50,5,0),VLOOKUP(X340,模板计算相关数据!$P$4:$U$7,6,0))*VLOOKUP(Y340,模板计算相关数据!$P$22:$X$30,9,0)</f>
        <v>6.6666666666666661</v>
      </c>
      <c r="U340" s="98">
        <v>26</v>
      </c>
      <c r="V340" s="95">
        <f t="shared" si="29"/>
        <v>38</v>
      </c>
      <c r="W340" s="29">
        <f>VLOOKUP(U340,模板计算相关数据!A:N,2,0)</f>
        <v>35</v>
      </c>
      <c r="X340" s="3" t="s">
        <v>151</v>
      </c>
      <c r="Y340" s="3" t="s">
        <v>223</v>
      </c>
      <c r="Z340" s="99">
        <v>1</v>
      </c>
      <c r="AA340" s="95">
        <v>1</v>
      </c>
      <c r="AB340" s="95">
        <v>1</v>
      </c>
      <c r="AC340" s="95">
        <v>1</v>
      </c>
      <c r="AD340" s="95">
        <v>0</v>
      </c>
      <c r="AE340" s="95">
        <v>0</v>
      </c>
      <c r="AF340" s="95">
        <v>0</v>
      </c>
      <c r="AG340" s="95">
        <v>0</v>
      </c>
      <c r="AH340" s="95">
        <v>0</v>
      </c>
      <c r="AI340" s="95">
        <v>0</v>
      </c>
      <c r="AJ340" s="3">
        <f>INT(VLOOKUP(U340,模板计算相关数据!A:N,4,0)*VLOOKUP(U340,模板计算相关数据!A:N,14,0)*(1+MAX(0,(VLOOKUP(U340,模板计算相关数据!A:N,7,0)-AQ340))*VLOOKUP(U340,模板计算相关数据!A:N,8,0))*(1-(AL340+AM340)*0.5/((AL340+AM340)*0.5+(VLOOKUP(U340,模板计算相关数据!A:N,2,0)+模板计算相关数据!$AC$27)*模板计算相关数据!$AC$28))*Q340*Z340)</f>
        <v>3968</v>
      </c>
      <c r="AK340" s="3">
        <f>INT(VLOOKUP(U340,模板计算相关数据!A:N,3,0)/模板计算相关数据!$W$35/(1+MAX(0,(AO340/10000-VLOOKUP(U340,模板计算相关数据!A:N,9,0)))*AP340/10000)/(1-VLOOKUP(U340,模板计算相关数据!A:N,5,0)/(VLOOKUP(U340,模板计算相关数据!A:N,5,0)+(VLOOKUP(U340,模板计算相关数据!A:N,2,0)+模板计算相关数据!$AC$27)*模板计算相关数据!$AC$28))/S340*AA340)</f>
        <v>679</v>
      </c>
      <c r="AL340" s="3">
        <f>INT(VLOOKUP(U340,模板计算相关数据!A:N,5,0)*VLOOKUP(X340,模板计算相关数据!$P$4:$T$7,4,0)*VLOOKUP(Y340,模板计算相关数据!$P$22:$U$30,4,0)*AB340)</f>
        <v>2535</v>
      </c>
      <c r="AM340" s="3">
        <f>INT(VLOOKUP(U340,模板计算相关数据!A:N,6,0)*VLOOKUP(X340,模板计算相关数据!$P$4:$T$7,4,0)*VLOOKUP(Y340,模板计算相关数据!$P$22:$U$30,5,0)*AC340)</f>
        <v>2535</v>
      </c>
      <c r="AN340" s="3">
        <f>VLOOKUP(U340,模板计算相关数据!A:N,10,0)*0.5*VLOOKUP(Y340,模板计算相关数据!$P$22:$U$30,6,0)+AD340</f>
        <v>250</v>
      </c>
      <c r="AO340" s="3">
        <f>VLOOKUP(INT(VLOOKUP(U340,模板计算相关数据!A:N,2,0)/30)+1,模板计算相关数据!$O$35:$U$40,3,0)+AE340</f>
        <v>0</v>
      </c>
      <c r="AP340" s="3">
        <f>VLOOKUP(INT(VLOOKUP(U340,模板计算相关数据!A:N,2,0)/30)+1,模板计算相关数据!$O$35:$U$40,4,0)+AF340</f>
        <v>5000</v>
      </c>
      <c r="AQ340" s="3">
        <f>VLOOKUP(INT(VLOOKUP(U340,模板计算相关数据!A:N,2,0)/30)+1,模板计算相关数据!$O$35:$U$40,5,0)+AG340</f>
        <v>0</v>
      </c>
      <c r="AR340" s="3">
        <f>VLOOKUP(INT(VLOOKUP(U340,模板计算相关数据!A:N,2,0)/30)+1,模板计算相关数据!$O$35:$U$40,6,0)+AH340</f>
        <v>0</v>
      </c>
      <c r="AS340" s="3">
        <f>VLOOKUP(INT(VLOOKUP(U340,模板计算相关数据!A:N,2,0)/30)+1,模板计算相关数据!$O$35:$U$40,7,0)+AI340</f>
        <v>0</v>
      </c>
      <c r="AT340" s="3">
        <f>VLOOKUP(INT(VLOOKUP(U340,模板计算相关数据!A:N,2,0)/30)+1,模板计算相关数据!$O$35:$V$40,8,0)</f>
        <v>0</v>
      </c>
      <c r="AU340" s="2"/>
    </row>
    <row r="341" spans="1:47" x14ac:dyDescent="0.2">
      <c r="A341" s="3">
        <v>301004</v>
      </c>
      <c r="B341" s="3"/>
      <c r="C341" s="69" t="s">
        <v>1726</v>
      </c>
      <c r="D341" s="69" t="s">
        <v>1035</v>
      </c>
      <c r="E341" s="2"/>
      <c r="F341" s="3">
        <v>6</v>
      </c>
      <c r="G341" s="3">
        <v>1002701</v>
      </c>
      <c r="H341" s="3">
        <v>5</v>
      </c>
      <c r="I341" s="3">
        <v>4</v>
      </c>
      <c r="J341" s="3">
        <v>3</v>
      </c>
      <c r="K341" s="3"/>
      <c r="L341" s="62" t="s">
        <v>226</v>
      </c>
      <c r="M341" s="2"/>
      <c r="N341" s="2">
        <v>1</v>
      </c>
      <c r="O341" s="2"/>
      <c r="P341" s="3" t="s">
        <v>1615</v>
      </c>
      <c r="Q341" s="95">
        <v>5</v>
      </c>
      <c r="R341" s="133">
        <f>IF(P341=模板计算相关数据!$AB$24,VLOOKUP(X341,模板计算相关数据!$P$47:$T$50,2,0),VLOOKUP(X341,模板计算相关数据!$P$4:$U$7,3,0))*VLOOKUP(Y341,模板计算相关数据!$P$22:$X$30,8,0)</f>
        <v>5</v>
      </c>
      <c r="S341" s="62">
        <v>10.5</v>
      </c>
      <c r="T341" s="133">
        <f>IF(P341=模板计算相关数据!$AB$24,VLOOKUP(X341,模板计算相关数据!$P$47:$T$50,5,0),VLOOKUP(X341,模板计算相关数据!$P$4:$U$7,6,0))*VLOOKUP(Y341,模板计算相关数据!$P$22:$X$30,9,0)</f>
        <v>6.6666666666666661</v>
      </c>
      <c r="U341" s="98">
        <v>26</v>
      </c>
      <c r="V341" s="95">
        <f t="shared" si="29"/>
        <v>38</v>
      </c>
      <c r="W341" s="29">
        <f>VLOOKUP(U341,模板计算相关数据!A:N,2,0)</f>
        <v>35</v>
      </c>
      <c r="X341" s="3" t="s">
        <v>151</v>
      </c>
      <c r="Y341" s="3" t="s">
        <v>223</v>
      </c>
      <c r="Z341" s="99">
        <v>1</v>
      </c>
      <c r="AA341" s="95">
        <v>1</v>
      </c>
      <c r="AB341" s="95">
        <v>1</v>
      </c>
      <c r="AC341" s="95">
        <v>1</v>
      </c>
      <c r="AD341" s="95">
        <v>0</v>
      </c>
      <c r="AE341" s="95">
        <v>0</v>
      </c>
      <c r="AF341" s="95">
        <v>0</v>
      </c>
      <c r="AG341" s="95">
        <v>0</v>
      </c>
      <c r="AH341" s="95">
        <v>0</v>
      </c>
      <c r="AI341" s="95">
        <v>0</v>
      </c>
      <c r="AJ341" s="3">
        <f>INT(VLOOKUP(U341,模板计算相关数据!A:N,4,0)*VLOOKUP(U341,模板计算相关数据!A:N,14,0)*(1+MAX(0,(VLOOKUP(U341,模板计算相关数据!A:N,7,0)-AQ341))*VLOOKUP(U341,模板计算相关数据!A:N,8,0))*(1-(AL341+AM341)*0.5/((AL341+AM341)*0.5+(VLOOKUP(U341,模板计算相关数据!A:N,2,0)+模板计算相关数据!$AC$27)*模板计算相关数据!$AC$28))*Q341*Z341)</f>
        <v>3968</v>
      </c>
      <c r="AK341" s="3">
        <f>INT(VLOOKUP(U341,模板计算相关数据!A:N,3,0)/模板计算相关数据!$W$35/(1+MAX(0,(AO341/10000-VLOOKUP(U341,模板计算相关数据!A:N,9,0)))*AP341/10000)/(1-VLOOKUP(U341,模板计算相关数据!A:N,5,0)/(VLOOKUP(U341,模板计算相关数据!A:N,5,0)+(VLOOKUP(U341,模板计算相关数据!A:N,2,0)+模板计算相关数据!$AC$27)*模板计算相关数据!$AC$28))/S341*AA341)</f>
        <v>711</v>
      </c>
      <c r="AL341" s="3">
        <f>INT(VLOOKUP(U341,模板计算相关数据!A:N,5,0)*VLOOKUP(X341,模板计算相关数据!$P$4:$T$7,4,0)*VLOOKUP(Y341,模板计算相关数据!$P$22:$U$30,4,0)*AB341)</f>
        <v>2535</v>
      </c>
      <c r="AM341" s="3">
        <f>INT(VLOOKUP(U341,模板计算相关数据!A:N,6,0)*VLOOKUP(X341,模板计算相关数据!$P$4:$T$7,4,0)*VLOOKUP(Y341,模板计算相关数据!$P$22:$U$30,5,0)*AC341)</f>
        <v>2535</v>
      </c>
      <c r="AN341" s="3">
        <f>VLOOKUP(U341,模板计算相关数据!A:N,10,0)*0.5*VLOOKUP(Y341,模板计算相关数据!$P$22:$U$30,6,0)+AD341</f>
        <v>250</v>
      </c>
      <c r="AO341" s="3">
        <f>VLOOKUP(INT(VLOOKUP(U341,模板计算相关数据!A:N,2,0)/30)+1,模板计算相关数据!$O$35:$U$40,3,0)+AE341</f>
        <v>0</v>
      </c>
      <c r="AP341" s="3">
        <f>VLOOKUP(INT(VLOOKUP(U341,模板计算相关数据!A:N,2,0)/30)+1,模板计算相关数据!$O$35:$U$40,4,0)+AF341</f>
        <v>5000</v>
      </c>
      <c r="AQ341" s="3">
        <f>VLOOKUP(INT(VLOOKUP(U341,模板计算相关数据!A:N,2,0)/30)+1,模板计算相关数据!$O$35:$U$40,5,0)+AG341</f>
        <v>0</v>
      </c>
      <c r="AR341" s="3">
        <f>VLOOKUP(INT(VLOOKUP(U341,模板计算相关数据!A:N,2,0)/30)+1,模板计算相关数据!$O$35:$U$40,6,0)+AH341</f>
        <v>0</v>
      </c>
      <c r="AS341" s="3">
        <f>VLOOKUP(INT(VLOOKUP(U341,模板计算相关数据!A:N,2,0)/30)+1,模板计算相关数据!$O$35:$U$40,7,0)+AI341</f>
        <v>0</v>
      </c>
      <c r="AT341" s="3">
        <f>VLOOKUP(INT(VLOOKUP(U341,模板计算相关数据!A:N,2,0)/30)+1,模板计算相关数据!$O$35:$V$40,8,0)</f>
        <v>0</v>
      </c>
      <c r="AU341" s="2"/>
    </row>
    <row r="342" spans="1:47" x14ac:dyDescent="0.2">
      <c r="A342" s="3">
        <v>301005</v>
      </c>
      <c r="B342" s="3"/>
      <c r="C342" s="69" t="s">
        <v>1726</v>
      </c>
      <c r="D342" s="69" t="s">
        <v>1036</v>
      </c>
      <c r="E342" s="2"/>
      <c r="F342" s="3">
        <v>6</v>
      </c>
      <c r="G342" s="3">
        <v>1002701</v>
      </c>
      <c r="H342" s="3">
        <v>5</v>
      </c>
      <c r="I342" s="3">
        <v>4</v>
      </c>
      <c r="J342" s="3">
        <v>3</v>
      </c>
      <c r="K342" s="3"/>
      <c r="L342" s="62" t="s">
        <v>980</v>
      </c>
      <c r="M342" s="2"/>
      <c r="N342" s="2">
        <v>1</v>
      </c>
      <c r="O342" s="2"/>
      <c r="P342" s="3" t="s">
        <v>1615</v>
      </c>
      <c r="Q342" s="95">
        <v>5</v>
      </c>
      <c r="R342" s="133">
        <f>IF(P342=模板计算相关数据!$AB$24,VLOOKUP(X342,模板计算相关数据!$P$47:$T$50,2,0),VLOOKUP(X342,模板计算相关数据!$P$4:$U$7,3,0))*VLOOKUP(Y342,模板计算相关数据!$P$22:$X$30,8,0)</f>
        <v>5</v>
      </c>
      <c r="S342" s="62">
        <v>10</v>
      </c>
      <c r="T342" s="133">
        <f>IF(P342=模板计算相关数据!$AB$24,VLOOKUP(X342,模板计算相关数据!$P$47:$T$50,5,0),VLOOKUP(X342,模板计算相关数据!$P$4:$U$7,6,0))*VLOOKUP(Y342,模板计算相关数据!$P$22:$X$30,9,0)</f>
        <v>6.6666666666666661</v>
      </c>
      <c r="U342" s="98">
        <v>26</v>
      </c>
      <c r="V342" s="95">
        <f t="shared" si="29"/>
        <v>38</v>
      </c>
      <c r="W342" s="29">
        <f>VLOOKUP(U342,模板计算相关数据!A:N,2,0)</f>
        <v>35</v>
      </c>
      <c r="X342" s="3" t="s">
        <v>151</v>
      </c>
      <c r="Y342" s="3" t="s">
        <v>223</v>
      </c>
      <c r="Z342" s="99">
        <v>1</v>
      </c>
      <c r="AA342" s="95">
        <v>1</v>
      </c>
      <c r="AB342" s="95">
        <v>1</v>
      </c>
      <c r="AC342" s="95">
        <v>1</v>
      </c>
      <c r="AD342" s="95">
        <v>0</v>
      </c>
      <c r="AE342" s="95">
        <v>0</v>
      </c>
      <c r="AF342" s="95">
        <v>0</v>
      </c>
      <c r="AG342" s="95">
        <v>0</v>
      </c>
      <c r="AH342" s="95">
        <v>0</v>
      </c>
      <c r="AI342" s="95">
        <v>0</v>
      </c>
      <c r="AJ342" s="3">
        <f>INT(VLOOKUP(U342,模板计算相关数据!A:N,4,0)*VLOOKUP(U342,模板计算相关数据!A:N,14,0)*(1+MAX(0,(VLOOKUP(U342,模板计算相关数据!A:N,7,0)-AQ342))*VLOOKUP(U342,模板计算相关数据!A:N,8,0))*(1-(AL342+AM342)*0.5/((AL342+AM342)*0.5+(VLOOKUP(U342,模板计算相关数据!A:N,2,0)+模板计算相关数据!$AC$27)*模板计算相关数据!$AC$28))*Q342*Z342)</f>
        <v>3968</v>
      </c>
      <c r="AK342" s="3">
        <f>INT(VLOOKUP(U342,模板计算相关数据!A:N,3,0)/模板计算相关数据!$W$35/(1+MAX(0,(AO342/10000-VLOOKUP(U342,模板计算相关数据!A:N,9,0)))*AP342/10000)/(1-VLOOKUP(U342,模板计算相关数据!A:N,5,0)/(VLOOKUP(U342,模板计算相关数据!A:N,5,0)+(VLOOKUP(U342,模板计算相关数据!A:N,2,0)+模板计算相关数据!$AC$27)*模板计算相关数据!$AC$28))/S342*AA342)</f>
        <v>747</v>
      </c>
      <c r="AL342" s="3">
        <f>INT(VLOOKUP(U342,模板计算相关数据!A:N,5,0)*VLOOKUP(X342,模板计算相关数据!$P$4:$T$7,4,0)*VLOOKUP(Y342,模板计算相关数据!$P$22:$U$30,4,0)*AB342)</f>
        <v>2535</v>
      </c>
      <c r="AM342" s="3">
        <f>INT(VLOOKUP(U342,模板计算相关数据!A:N,6,0)*VLOOKUP(X342,模板计算相关数据!$P$4:$T$7,4,0)*VLOOKUP(Y342,模板计算相关数据!$P$22:$U$30,5,0)*AC342)</f>
        <v>2535</v>
      </c>
      <c r="AN342" s="3">
        <f>VLOOKUP(U342,模板计算相关数据!A:N,10,0)*0.5*VLOOKUP(Y342,模板计算相关数据!$P$22:$U$30,6,0)+AD342</f>
        <v>250</v>
      </c>
      <c r="AO342" s="3">
        <f>VLOOKUP(INT(VLOOKUP(U342,模板计算相关数据!A:N,2,0)/30)+1,模板计算相关数据!$O$35:$U$40,3,0)+AE342</f>
        <v>0</v>
      </c>
      <c r="AP342" s="3">
        <f>VLOOKUP(INT(VLOOKUP(U342,模板计算相关数据!A:N,2,0)/30)+1,模板计算相关数据!$O$35:$U$40,4,0)+AF342</f>
        <v>5000</v>
      </c>
      <c r="AQ342" s="3">
        <f>VLOOKUP(INT(VLOOKUP(U342,模板计算相关数据!A:N,2,0)/30)+1,模板计算相关数据!$O$35:$U$40,5,0)+AG342</f>
        <v>0</v>
      </c>
      <c r="AR342" s="3">
        <f>VLOOKUP(INT(VLOOKUP(U342,模板计算相关数据!A:N,2,0)/30)+1,模板计算相关数据!$O$35:$U$40,6,0)+AH342</f>
        <v>0</v>
      </c>
      <c r="AS342" s="3">
        <f>VLOOKUP(INT(VLOOKUP(U342,模板计算相关数据!A:N,2,0)/30)+1,模板计算相关数据!$O$35:$U$40,7,0)+AI342</f>
        <v>0</v>
      </c>
      <c r="AT342" s="3">
        <f>VLOOKUP(INT(VLOOKUP(U342,模板计算相关数据!A:N,2,0)/30)+1,模板计算相关数据!$O$35:$V$40,8,0)</f>
        <v>0</v>
      </c>
      <c r="AU342" s="2"/>
    </row>
    <row r="343" spans="1:47" s="149" customFormat="1" x14ac:dyDescent="0.2">
      <c r="A343" s="43">
        <v>302001</v>
      </c>
      <c r="B343" s="43"/>
      <c r="C343" s="25" t="s">
        <v>1727</v>
      </c>
      <c r="D343" s="25" t="s">
        <v>1037</v>
      </c>
      <c r="E343" s="17"/>
      <c r="F343" s="43">
        <v>6</v>
      </c>
      <c r="G343" s="43">
        <v>1001601</v>
      </c>
      <c r="H343" s="43">
        <v>6</v>
      </c>
      <c r="I343" s="43">
        <v>4</v>
      </c>
      <c r="J343" s="43">
        <v>3</v>
      </c>
      <c r="K343" s="43">
        <v>1</v>
      </c>
      <c r="L343" s="17" t="s">
        <v>896</v>
      </c>
      <c r="M343" s="17"/>
      <c r="N343" s="17">
        <v>1</v>
      </c>
      <c r="O343" s="17"/>
      <c r="P343" s="43" t="s">
        <v>1615</v>
      </c>
      <c r="Q343" s="147">
        <v>30</v>
      </c>
      <c r="R343" s="133">
        <f>IF(P343=模板计算相关数据!$AB$24,VLOOKUP(X343,模板计算相关数据!$P$47:$T$50,2,0),VLOOKUP(X343,模板计算相关数据!$P$4:$U$7,3,0))*VLOOKUP(Y343,模板计算相关数据!$P$22:$X$30,8,0)</f>
        <v>60</v>
      </c>
      <c r="S343" s="42">
        <v>12</v>
      </c>
      <c r="T343" s="133">
        <f>IF(P343=模板计算相关数据!$AB$24,VLOOKUP(X343,模板计算相关数据!$P$47:$T$50,5,0),VLOOKUP(X343,模板计算相关数据!$P$4:$U$7,6,0))*VLOOKUP(Y343,模板计算相关数据!$P$22:$X$30,9,0)</f>
        <v>2.0689655172413794</v>
      </c>
      <c r="U343" s="150">
        <v>29</v>
      </c>
      <c r="V343" s="95">
        <f t="shared" si="29"/>
        <v>7</v>
      </c>
      <c r="W343" s="29">
        <f>VLOOKUP(U343,模板计算相关数据!A:N,2,0)</f>
        <v>4</v>
      </c>
      <c r="X343" s="43" t="s">
        <v>181</v>
      </c>
      <c r="Y343" s="43" t="s">
        <v>223</v>
      </c>
      <c r="Z343" s="148">
        <v>1</v>
      </c>
      <c r="AA343" s="147">
        <v>1</v>
      </c>
      <c r="AB343" s="147">
        <v>1</v>
      </c>
      <c r="AC343" s="147">
        <v>1</v>
      </c>
      <c r="AD343" s="147">
        <v>0</v>
      </c>
      <c r="AE343" s="147">
        <v>0</v>
      </c>
      <c r="AF343" s="147">
        <v>0</v>
      </c>
      <c r="AG343" s="147">
        <v>0</v>
      </c>
      <c r="AH343" s="147">
        <v>0</v>
      </c>
      <c r="AI343" s="147">
        <v>0</v>
      </c>
      <c r="AJ343" s="43">
        <f>INT(VLOOKUP(U343,模板计算相关数据!A:N,4,0)*VLOOKUP(U343,模板计算相关数据!A:N,14,0)*(1+MAX(0,(VLOOKUP(U343,模板计算相关数据!A:N,7,0)-AQ343))*VLOOKUP(U343,模板计算相关数据!A:N,8,0))*(1-(AL343+AM343)*0.5/((AL343+AM343)*0.5+(VLOOKUP(U343,模板计算相关数据!A:N,2,0)+模板计算相关数据!$AC$27)*模板计算相关数据!$AC$28))*Q343*Z343)</f>
        <v>2950</v>
      </c>
      <c r="AK343" s="43">
        <f>INT(VLOOKUP(U343,模板计算相关数据!A:N,3,0)/模板计算相关数据!$W$35/(1+MAX(0,(AO343/10000-VLOOKUP(U343,模板计算相关数据!A:N,9,0)))*AP343/10000)/(1-VLOOKUP(U343,模板计算相关数据!A:N,5,0)/(VLOOKUP(U343,模板计算相关数据!A:N,5,0)+(VLOOKUP(U343,模板计算相关数据!A:N,2,0)+模板计算相关数据!$AC$27)*模板计算相关数据!$AC$28))/S343*AA343)</f>
        <v>76</v>
      </c>
      <c r="AL343" s="43">
        <f>INT(VLOOKUP(U343,模板计算相关数据!A:N,5,0)*VLOOKUP(X343,模板计算相关数据!$P$4:$T$7,4,0)*VLOOKUP(Y343,模板计算相关数据!$P$22:$U$30,4,0)*AB343)</f>
        <v>651</v>
      </c>
      <c r="AM343" s="43">
        <f>INT(VLOOKUP(U343,模板计算相关数据!A:N,6,0)*VLOOKUP(X343,模板计算相关数据!$P$4:$T$7,4,0)*VLOOKUP(Y343,模板计算相关数据!$P$22:$U$30,5,0)*AC343)</f>
        <v>651</v>
      </c>
      <c r="AN343" s="43">
        <f>VLOOKUP(U343,模板计算相关数据!A:N,10,0)*0.5*VLOOKUP(Y343,模板计算相关数据!$P$22:$U$30,6,0)+AD343</f>
        <v>250</v>
      </c>
      <c r="AO343" s="43">
        <f>VLOOKUP(INT(VLOOKUP(U343,模板计算相关数据!A:N,2,0)/30)+1,模板计算相关数据!$O$35:$U$40,3,0)+AE343</f>
        <v>0</v>
      </c>
      <c r="AP343" s="43">
        <f>VLOOKUP(INT(VLOOKUP(U343,模板计算相关数据!A:N,2,0)/30)+1,模板计算相关数据!$O$35:$U$40,4,0)+AF343</f>
        <v>5000</v>
      </c>
      <c r="AQ343" s="43">
        <f>VLOOKUP(INT(VLOOKUP(U343,模板计算相关数据!A:N,2,0)/30)+1,模板计算相关数据!$O$35:$U$40,5,0)+AG343</f>
        <v>0</v>
      </c>
      <c r="AR343" s="43">
        <f>VLOOKUP(INT(VLOOKUP(U343,模板计算相关数据!A:N,2,0)/30)+1,模板计算相关数据!$O$35:$U$40,6,0)+AH343</f>
        <v>0</v>
      </c>
      <c r="AS343" s="43">
        <f>VLOOKUP(INT(VLOOKUP(U343,模板计算相关数据!A:N,2,0)/30)+1,模板计算相关数据!$O$35:$U$40,7,0)+AI343</f>
        <v>0</v>
      </c>
      <c r="AT343" s="43">
        <f>VLOOKUP(INT(VLOOKUP(U343,模板计算相关数据!A:N,2,0)/30)+1,模板计算相关数据!$O$35:$V$40,8,0)</f>
        <v>0</v>
      </c>
      <c r="AU343" s="17"/>
    </row>
    <row r="344" spans="1:47" x14ac:dyDescent="0.2">
      <c r="A344" s="3">
        <v>302002</v>
      </c>
      <c r="B344" s="3"/>
      <c r="C344" s="69" t="s">
        <v>1727</v>
      </c>
      <c r="D344" s="69" t="s">
        <v>1038</v>
      </c>
      <c r="E344" s="2"/>
      <c r="F344" s="3">
        <v>6</v>
      </c>
      <c r="G344" s="3">
        <v>1001601</v>
      </c>
      <c r="H344" s="3">
        <v>6</v>
      </c>
      <c r="I344" s="3">
        <v>4</v>
      </c>
      <c r="J344" s="3">
        <v>3</v>
      </c>
      <c r="K344" s="3">
        <v>1</v>
      </c>
      <c r="L344" s="2" t="s">
        <v>897</v>
      </c>
      <c r="M344" s="2"/>
      <c r="N344" s="2">
        <v>1</v>
      </c>
      <c r="O344" s="2"/>
      <c r="P344" s="3" t="s">
        <v>1615</v>
      </c>
      <c r="Q344" s="95">
        <v>40</v>
      </c>
      <c r="R344" s="133">
        <f>IF(P344=模板计算相关数据!$AB$24,VLOOKUP(X344,模板计算相关数据!$P$47:$T$50,2,0),VLOOKUP(X344,模板计算相关数据!$P$4:$U$7,3,0))*VLOOKUP(Y344,模板计算相关数据!$P$22:$X$30,8,0)</f>
        <v>60</v>
      </c>
      <c r="S344" s="62">
        <v>12</v>
      </c>
      <c r="T344" s="133">
        <f>IF(P344=模板计算相关数据!$AB$24,VLOOKUP(X344,模板计算相关数据!$P$47:$T$50,5,0),VLOOKUP(X344,模板计算相关数据!$P$4:$U$7,6,0))*VLOOKUP(Y344,模板计算相关数据!$P$22:$X$30,9,0)</f>
        <v>2.0689655172413794</v>
      </c>
      <c r="U344" s="98">
        <v>30</v>
      </c>
      <c r="V344" s="95">
        <f t="shared" si="29"/>
        <v>21</v>
      </c>
      <c r="W344" s="29">
        <f>VLOOKUP(U344,模板计算相关数据!A:N,2,0)</f>
        <v>18</v>
      </c>
      <c r="X344" s="3" t="s">
        <v>181</v>
      </c>
      <c r="Y344" s="3" t="s">
        <v>223</v>
      </c>
      <c r="Z344" s="99">
        <v>1</v>
      </c>
      <c r="AA344" s="95">
        <v>1</v>
      </c>
      <c r="AB344" s="95">
        <v>1</v>
      </c>
      <c r="AC344" s="95">
        <v>1</v>
      </c>
      <c r="AD344" s="95">
        <v>0</v>
      </c>
      <c r="AE344" s="95">
        <v>0</v>
      </c>
      <c r="AF344" s="95">
        <v>0</v>
      </c>
      <c r="AG344" s="95">
        <v>0</v>
      </c>
      <c r="AH344" s="95">
        <v>0</v>
      </c>
      <c r="AI344" s="95">
        <v>0</v>
      </c>
      <c r="AJ344" s="3">
        <f>INT(VLOOKUP(U344,模板计算相关数据!A:N,4,0)*VLOOKUP(U344,模板计算相关数据!A:N,14,0)*(1+MAX(0,(VLOOKUP(U344,模板计算相关数据!A:N,7,0)-AQ344))*VLOOKUP(U344,模板计算相关数据!A:N,8,0))*(1-(AL344+AM344)*0.5/((AL344+AM344)*0.5+(VLOOKUP(U344,模板计算相关数据!A:N,2,0)+模板计算相关数据!$AC$27)*模板计算相关数据!$AC$28))*Q344*Z344)</f>
        <v>10344</v>
      </c>
      <c r="AK344" s="3">
        <f>INT(VLOOKUP(U344,模板计算相关数据!A:N,3,0)/模板计算相关数据!$W$35/(1+MAX(0,(AO344/10000-VLOOKUP(U344,模板计算相关数据!A:N,9,0)))*AP344/10000)/(1-VLOOKUP(U344,模板计算相关数据!A:N,5,0)/(VLOOKUP(U344,模板计算相关数据!A:N,5,0)+(VLOOKUP(U344,模板计算相关数据!A:N,2,0)+模板计算相关数据!$AC$27)*模板计算相关数据!$AC$28))/S344*AA344)</f>
        <v>194</v>
      </c>
      <c r="AL344" s="3">
        <f>INT(VLOOKUP(U344,模板计算相关数据!A:N,5,0)*VLOOKUP(X344,模板计算相关数据!$P$4:$T$7,4,0)*VLOOKUP(Y344,模板计算相关数据!$P$22:$U$30,4,0)*AB344)</f>
        <v>1698</v>
      </c>
      <c r="AM344" s="3">
        <f>INT(VLOOKUP(U344,模板计算相关数据!A:N,6,0)*VLOOKUP(X344,模板计算相关数据!$P$4:$T$7,4,0)*VLOOKUP(Y344,模板计算相关数据!$P$22:$U$30,5,0)*AC344)</f>
        <v>1698</v>
      </c>
      <c r="AN344" s="3">
        <f>VLOOKUP(U344,模板计算相关数据!A:N,10,0)*0.5*VLOOKUP(Y344,模板计算相关数据!$P$22:$U$30,6,0)+AD344</f>
        <v>250</v>
      </c>
      <c r="AO344" s="3">
        <f>VLOOKUP(INT(VLOOKUP(U344,模板计算相关数据!A:N,2,0)/30)+1,模板计算相关数据!$O$35:$U$40,3,0)+AE344</f>
        <v>0</v>
      </c>
      <c r="AP344" s="3">
        <f>VLOOKUP(INT(VLOOKUP(U344,模板计算相关数据!A:N,2,0)/30)+1,模板计算相关数据!$O$35:$U$40,4,0)+AF344</f>
        <v>5000</v>
      </c>
      <c r="AQ344" s="3">
        <f>VLOOKUP(INT(VLOOKUP(U344,模板计算相关数据!A:N,2,0)/30)+1,模板计算相关数据!$O$35:$U$40,5,0)+AG344</f>
        <v>0</v>
      </c>
      <c r="AR344" s="3">
        <f>VLOOKUP(INT(VLOOKUP(U344,模板计算相关数据!A:N,2,0)/30)+1,模板计算相关数据!$O$35:$U$40,6,0)+AH344</f>
        <v>0</v>
      </c>
      <c r="AS344" s="3">
        <f>VLOOKUP(INT(VLOOKUP(U344,模板计算相关数据!A:N,2,0)/30)+1,模板计算相关数据!$O$35:$U$40,7,0)+AI344</f>
        <v>0</v>
      </c>
      <c r="AT344" s="3">
        <f>VLOOKUP(INT(VLOOKUP(U344,模板计算相关数据!A:N,2,0)/30)+1,模板计算相关数据!$O$35:$V$40,8,0)</f>
        <v>0</v>
      </c>
      <c r="AU344" s="2"/>
    </row>
    <row r="345" spans="1:47" x14ac:dyDescent="0.2">
      <c r="A345" s="3">
        <v>302003</v>
      </c>
      <c r="B345" s="3"/>
      <c r="C345" s="69" t="s">
        <v>1727</v>
      </c>
      <c r="D345" s="69" t="s">
        <v>1039</v>
      </c>
      <c r="E345" s="2"/>
      <c r="F345" s="3">
        <v>6</v>
      </c>
      <c r="G345" s="3">
        <v>1001601</v>
      </c>
      <c r="H345" s="3">
        <v>6</v>
      </c>
      <c r="I345" s="3">
        <v>4</v>
      </c>
      <c r="J345" s="3">
        <v>3</v>
      </c>
      <c r="K345" s="3">
        <v>1</v>
      </c>
      <c r="L345" s="2" t="s">
        <v>898</v>
      </c>
      <c r="M345" s="2"/>
      <c r="N345" s="2">
        <v>1</v>
      </c>
      <c r="O345" s="2"/>
      <c r="P345" s="3" t="s">
        <v>1615</v>
      </c>
      <c r="Q345" s="95">
        <v>50</v>
      </c>
      <c r="R345" s="133">
        <f>IF(P345=模板计算相关数据!$AB$24,VLOOKUP(X345,模板计算相关数据!$P$47:$T$50,2,0),VLOOKUP(X345,模板计算相关数据!$P$4:$U$7,3,0))*VLOOKUP(Y345,模板计算相关数据!$P$22:$X$30,8,0)</f>
        <v>60</v>
      </c>
      <c r="S345" s="62">
        <v>12</v>
      </c>
      <c r="T345" s="133">
        <f>IF(P345=模板计算相关数据!$AB$24,VLOOKUP(X345,模板计算相关数据!$P$47:$T$50,5,0),VLOOKUP(X345,模板计算相关数据!$P$4:$U$7,6,0))*VLOOKUP(Y345,模板计算相关数据!$P$22:$X$30,9,0)</f>
        <v>2.0689655172413794</v>
      </c>
      <c r="U345" s="98">
        <v>31</v>
      </c>
      <c r="V345" s="95">
        <f t="shared" si="29"/>
        <v>36</v>
      </c>
      <c r="W345" s="29">
        <f>VLOOKUP(U345,模板计算相关数据!A:N,2,0)</f>
        <v>33</v>
      </c>
      <c r="X345" s="3" t="s">
        <v>181</v>
      </c>
      <c r="Y345" s="3" t="s">
        <v>223</v>
      </c>
      <c r="Z345" s="99">
        <v>1</v>
      </c>
      <c r="AA345" s="95">
        <v>1</v>
      </c>
      <c r="AB345" s="95">
        <v>1</v>
      </c>
      <c r="AC345" s="95">
        <v>1</v>
      </c>
      <c r="AD345" s="95">
        <v>0</v>
      </c>
      <c r="AE345" s="95">
        <v>0</v>
      </c>
      <c r="AF345" s="95">
        <v>0</v>
      </c>
      <c r="AG345" s="95">
        <v>0</v>
      </c>
      <c r="AH345" s="95">
        <v>0</v>
      </c>
      <c r="AI345" s="95">
        <v>0</v>
      </c>
      <c r="AJ345" s="3">
        <f>INT(VLOOKUP(U345,模板计算相关数据!A:N,4,0)*VLOOKUP(U345,模板计算相关数据!A:N,14,0)*(1+MAX(0,(VLOOKUP(U345,模板计算相关数据!A:N,7,0)-AQ345))*VLOOKUP(U345,模板计算相关数据!A:N,8,0))*(1-(AL345+AM345)*0.5/((AL345+AM345)*0.5+(VLOOKUP(U345,模板计算相关数据!A:N,2,0)+模板计算相关数据!$AC$27)*模板计算相关数据!$AC$28))*Q345*Z345)</f>
        <v>28156</v>
      </c>
      <c r="AK345" s="3">
        <f>INT(VLOOKUP(U345,模板计算相关数据!A:N,3,0)/模板计算相关数据!$W$35/(1+MAX(0,(AO345/10000-VLOOKUP(U345,模板计算相关数据!A:N,9,0)))*AP345/10000)/(1-VLOOKUP(U345,模板计算相关数据!A:N,5,0)/(VLOOKUP(U345,模板计算相关数据!A:N,5,0)+(VLOOKUP(U345,模板计算相关数据!A:N,2,0)+模板计算相关数据!$AC$27)*模板计算相关数据!$AC$28))/S345*AA345)</f>
        <v>605</v>
      </c>
      <c r="AL345" s="3">
        <f>INT(VLOOKUP(U345,模板计算相关数据!A:N,5,0)*VLOOKUP(X345,模板计算相关数据!$P$4:$T$7,4,0)*VLOOKUP(Y345,模板计算相关数据!$P$22:$U$30,4,0)*AB345)</f>
        <v>4587</v>
      </c>
      <c r="AM345" s="3">
        <f>INT(VLOOKUP(U345,模板计算相关数据!A:N,6,0)*VLOOKUP(X345,模板计算相关数据!$P$4:$T$7,4,0)*VLOOKUP(Y345,模板计算相关数据!$P$22:$U$30,5,0)*AC345)</f>
        <v>4587</v>
      </c>
      <c r="AN345" s="3">
        <f>VLOOKUP(U345,模板计算相关数据!A:N,10,0)*0.5*VLOOKUP(Y345,模板计算相关数据!$P$22:$U$30,6,0)+AD345</f>
        <v>250</v>
      </c>
      <c r="AO345" s="3">
        <f>VLOOKUP(INT(VLOOKUP(U345,模板计算相关数据!A:N,2,0)/30)+1,模板计算相关数据!$O$35:$U$40,3,0)+AE345</f>
        <v>0</v>
      </c>
      <c r="AP345" s="3">
        <f>VLOOKUP(INT(VLOOKUP(U345,模板计算相关数据!A:N,2,0)/30)+1,模板计算相关数据!$O$35:$U$40,4,0)+AF345</f>
        <v>5000</v>
      </c>
      <c r="AQ345" s="3">
        <f>VLOOKUP(INT(VLOOKUP(U345,模板计算相关数据!A:N,2,0)/30)+1,模板计算相关数据!$O$35:$U$40,5,0)+AG345</f>
        <v>0</v>
      </c>
      <c r="AR345" s="3">
        <f>VLOOKUP(INT(VLOOKUP(U345,模板计算相关数据!A:N,2,0)/30)+1,模板计算相关数据!$O$35:$U$40,6,0)+AH345</f>
        <v>0</v>
      </c>
      <c r="AS345" s="3">
        <f>VLOOKUP(INT(VLOOKUP(U345,模板计算相关数据!A:N,2,0)/30)+1,模板计算相关数据!$O$35:$U$40,7,0)+AI345</f>
        <v>0</v>
      </c>
      <c r="AT345" s="3">
        <f>VLOOKUP(INT(VLOOKUP(U345,模板计算相关数据!A:N,2,0)/30)+1,模板计算相关数据!$O$35:$V$40,8,0)</f>
        <v>0</v>
      </c>
      <c r="AU345" s="2"/>
    </row>
    <row r="346" spans="1:47" x14ac:dyDescent="0.2">
      <c r="A346" s="3">
        <v>302004</v>
      </c>
      <c r="B346" s="3"/>
      <c r="C346" s="69" t="s">
        <v>1727</v>
      </c>
      <c r="D346" s="69" t="s">
        <v>1040</v>
      </c>
      <c r="E346" s="2"/>
      <c r="F346" s="3">
        <v>6</v>
      </c>
      <c r="G346" s="3">
        <v>1001601</v>
      </c>
      <c r="H346" s="3">
        <v>6</v>
      </c>
      <c r="I346" s="3">
        <v>4</v>
      </c>
      <c r="J346" s="3">
        <v>3</v>
      </c>
      <c r="K346" s="3">
        <v>1</v>
      </c>
      <c r="L346" s="2" t="s">
        <v>899</v>
      </c>
      <c r="M346" s="2"/>
      <c r="N346" s="2">
        <v>1</v>
      </c>
      <c r="O346" s="2"/>
      <c r="P346" s="3" t="s">
        <v>1615</v>
      </c>
      <c r="Q346" s="95">
        <v>60</v>
      </c>
      <c r="R346" s="133">
        <f>IF(P346=模板计算相关数据!$AB$24,VLOOKUP(X346,模板计算相关数据!$P$47:$T$50,2,0),VLOOKUP(X346,模板计算相关数据!$P$4:$U$7,3,0))*VLOOKUP(Y346,模板计算相关数据!$P$22:$X$30,8,0)</f>
        <v>60</v>
      </c>
      <c r="S346" s="62">
        <v>12</v>
      </c>
      <c r="T346" s="133">
        <f>IF(P346=模板计算相关数据!$AB$24,VLOOKUP(X346,模板计算相关数据!$P$47:$T$50,5,0),VLOOKUP(X346,模板计算相关数据!$P$4:$U$7,6,0))*VLOOKUP(Y346,模板计算相关数据!$P$22:$X$30,9,0)</f>
        <v>2.0689655172413794</v>
      </c>
      <c r="U346" s="98">
        <v>31</v>
      </c>
      <c r="V346" s="95">
        <f t="shared" si="29"/>
        <v>36</v>
      </c>
      <c r="W346" s="29">
        <f>VLOOKUP(U346,模板计算相关数据!A:N,2,0)</f>
        <v>33</v>
      </c>
      <c r="X346" s="3" t="s">
        <v>181</v>
      </c>
      <c r="Y346" s="3" t="s">
        <v>223</v>
      </c>
      <c r="Z346" s="99">
        <v>1</v>
      </c>
      <c r="AA346" s="95">
        <v>1</v>
      </c>
      <c r="AB346" s="95">
        <v>1</v>
      </c>
      <c r="AC346" s="95">
        <v>1</v>
      </c>
      <c r="AD346" s="95">
        <v>0</v>
      </c>
      <c r="AE346" s="95">
        <v>0</v>
      </c>
      <c r="AF346" s="95">
        <v>0</v>
      </c>
      <c r="AG346" s="95">
        <v>0</v>
      </c>
      <c r="AH346" s="95">
        <v>0</v>
      </c>
      <c r="AI346" s="95">
        <v>0</v>
      </c>
      <c r="AJ346" s="3">
        <f>INT(VLOOKUP(U346,模板计算相关数据!A:N,4,0)*VLOOKUP(U346,模板计算相关数据!A:N,14,0)*(1+MAX(0,(VLOOKUP(U346,模板计算相关数据!A:N,7,0)-AQ346))*VLOOKUP(U346,模板计算相关数据!A:N,8,0))*(1-(AL346+AM346)*0.5/((AL346+AM346)*0.5+(VLOOKUP(U346,模板计算相关数据!A:N,2,0)+模板计算相关数据!$AC$27)*模板计算相关数据!$AC$28))*Q346*Z346)</f>
        <v>33788</v>
      </c>
      <c r="AK346" s="3">
        <f>INT(VLOOKUP(U346,模板计算相关数据!A:N,3,0)/模板计算相关数据!$W$35/(1+MAX(0,(AO346/10000-VLOOKUP(U346,模板计算相关数据!A:N,9,0)))*AP346/10000)/(1-VLOOKUP(U346,模板计算相关数据!A:N,5,0)/(VLOOKUP(U346,模板计算相关数据!A:N,5,0)+(VLOOKUP(U346,模板计算相关数据!A:N,2,0)+模板计算相关数据!$AC$27)*模板计算相关数据!$AC$28))/S346*AA346)</f>
        <v>605</v>
      </c>
      <c r="AL346" s="3">
        <f>INT(VLOOKUP(U346,模板计算相关数据!A:N,5,0)*VLOOKUP(X346,模板计算相关数据!$P$4:$T$7,4,0)*VLOOKUP(Y346,模板计算相关数据!$P$22:$U$30,4,0)*AB346)</f>
        <v>4587</v>
      </c>
      <c r="AM346" s="3">
        <f>INT(VLOOKUP(U346,模板计算相关数据!A:N,6,0)*VLOOKUP(X346,模板计算相关数据!$P$4:$T$7,4,0)*VLOOKUP(Y346,模板计算相关数据!$P$22:$U$30,5,0)*AC346)</f>
        <v>4587</v>
      </c>
      <c r="AN346" s="3">
        <f>VLOOKUP(U346,模板计算相关数据!A:N,10,0)*0.5*VLOOKUP(Y346,模板计算相关数据!$P$22:$U$30,6,0)+AD346</f>
        <v>250</v>
      </c>
      <c r="AO346" s="3">
        <f>VLOOKUP(INT(VLOOKUP(U346,模板计算相关数据!A:N,2,0)/30)+1,模板计算相关数据!$O$35:$U$40,3,0)+AE346</f>
        <v>0</v>
      </c>
      <c r="AP346" s="3">
        <f>VLOOKUP(INT(VLOOKUP(U346,模板计算相关数据!A:N,2,0)/30)+1,模板计算相关数据!$O$35:$U$40,4,0)+AF346</f>
        <v>5000</v>
      </c>
      <c r="AQ346" s="3">
        <f>VLOOKUP(INT(VLOOKUP(U346,模板计算相关数据!A:N,2,0)/30)+1,模板计算相关数据!$O$35:$U$40,5,0)+AG346</f>
        <v>0</v>
      </c>
      <c r="AR346" s="3">
        <f>VLOOKUP(INT(VLOOKUP(U346,模板计算相关数据!A:N,2,0)/30)+1,模板计算相关数据!$O$35:$U$40,6,0)+AH346</f>
        <v>0</v>
      </c>
      <c r="AS346" s="3">
        <f>VLOOKUP(INT(VLOOKUP(U346,模板计算相关数据!A:N,2,0)/30)+1,模板计算相关数据!$O$35:$U$40,7,0)+AI346</f>
        <v>0</v>
      </c>
      <c r="AT346" s="3">
        <f>VLOOKUP(INT(VLOOKUP(U346,模板计算相关数据!A:N,2,0)/30)+1,模板计算相关数据!$O$35:$V$40,8,0)</f>
        <v>0</v>
      </c>
      <c r="AU346" s="2"/>
    </row>
    <row r="347" spans="1:47" x14ac:dyDescent="0.2">
      <c r="A347" s="3">
        <v>302005</v>
      </c>
      <c r="B347" s="3"/>
      <c r="C347" s="69" t="s">
        <v>1727</v>
      </c>
      <c r="D347" s="69" t="s">
        <v>1041</v>
      </c>
      <c r="E347" s="2"/>
      <c r="F347" s="3">
        <v>6</v>
      </c>
      <c r="G347" s="3">
        <v>1001601</v>
      </c>
      <c r="H347" s="3">
        <v>6</v>
      </c>
      <c r="I347" s="3">
        <v>4</v>
      </c>
      <c r="J347" s="3">
        <v>3</v>
      </c>
      <c r="K347" s="3">
        <v>1</v>
      </c>
      <c r="L347" s="69" t="s">
        <v>979</v>
      </c>
      <c r="M347" s="2"/>
      <c r="N347" s="2">
        <v>1</v>
      </c>
      <c r="O347" s="2"/>
      <c r="P347" s="3" t="s">
        <v>1615</v>
      </c>
      <c r="Q347" s="95">
        <v>70</v>
      </c>
      <c r="R347" s="133">
        <f>IF(P347=模板计算相关数据!$AB$24,VLOOKUP(X347,模板计算相关数据!$P$47:$T$50,2,0),VLOOKUP(X347,模板计算相关数据!$P$4:$U$7,3,0))*VLOOKUP(Y347,模板计算相关数据!$P$22:$X$30,8,0)</f>
        <v>60</v>
      </c>
      <c r="S347" s="62">
        <v>12</v>
      </c>
      <c r="T347" s="133">
        <f>IF(P347=模板计算相关数据!$AB$24,VLOOKUP(X347,模板计算相关数据!$P$47:$T$50,5,0),VLOOKUP(X347,模板计算相关数据!$P$4:$U$7,6,0))*VLOOKUP(Y347,模板计算相关数据!$P$22:$X$30,9,0)</f>
        <v>2.0689655172413794</v>
      </c>
      <c r="U347" s="98">
        <v>31</v>
      </c>
      <c r="V347" s="95">
        <f t="shared" si="29"/>
        <v>36</v>
      </c>
      <c r="W347" s="29">
        <f>VLOOKUP(U347,模板计算相关数据!A:N,2,0)</f>
        <v>33</v>
      </c>
      <c r="X347" s="3" t="s">
        <v>181</v>
      </c>
      <c r="Y347" s="3" t="s">
        <v>223</v>
      </c>
      <c r="Z347" s="99">
        <v>1</v>
      </c>
      <c r="AA347" s="95">
        <v>1</v>
      </c>
      <c r="AB347" s="95">
        <v>1</v>
      </c>
      <c r="AC347" s="95">
        <v>1</v>
      </c>
      <c r="AD347" s="95">
        <v>0</v>
      </c>
      <c r="AE347" s="95">
        <v>0</v>
      </c>
      <c r="AF347" s="95">
        <v>0</v>
      </c>
      <c r="AG347" s="95">
        <v>0</v>
      </c>
      <c r="AH347" s="95">
        <v>0</v>
      </c>
      <c r="AI347" s="95">
        <v>0</v>
      </c>
      <c r="AJ347" s="3">
        <f>INT(VLOOKUP(U347,模板计算相关数据!A:N,4,0)*VLOOKUP(U347,模板计算相关数据!A:N,14,0)*(1+MAX(0,(VLOOKUP(U347,模板计算相关数据!A:N,7,0)-AQ347))*VLOOKUP(U347,模板计算相关数据!A:N,8,0))*(1-(AL347+AM347)*0.5/((AL347+AM347)*0.5+(VLOOKUP(U347,模板计算相关数据!A:N,2,0)+模板计算相关数据!$AC$27)*模板计算相关数据!$AC$28))*Q347*Z347)</f>
        <v>39419</v>
      </c>
      <c r="AK347" s="3">
        <f>INT(VLOOKUP(U347,模板计算相关数据!A:N,3,0)/模板计算相关数据!$W$35/(1+MAX(0,(AO347/10000-VLOOKUP(U347,模板计算相关数据!A:N,9,0)))*AP347/10000)/(1-VLOOKUP(U347,模板计算相关数据!A:N,5,0)/(VLOOKUP(U347,模板计算相关数据!A:N,5,0)+(VLOOKUP(U347,模板计算相关数据!A:N,2,0)+模板计算相关数据!$AC$27)*模板计算相关数据!$AC$28))/S347*AA347)</f>
        <v>605</v>
      </c>
      <c r="AL347" s="3">
        <f>INT(VLOOKUP(U347,模板计算相关数据!A:N,5,0)*VLOOKUP(X347,模板计算相关数据!$P$4:$T$7,4,0)*VLOOKUP(Y347,模板计算相关数据!$P$22:$U$30,4,0)*AB347)</f>
        <v>4587</v>
      </c>
      <c r="AM347" s="3">
        <f>INT(VLOOKUP(U347,模板计算相关数据!A:N,6,0)*VLOOKUP(X347,模板计算相关数据!$P$4:$T$7,4,0)*VLOOKUP(Y347,模板计算相关数据!$P$22:$U$30,5,0)*AC347)</f>
        <v>4587</v>
      </c>
      <c r="AN347" s="3">
        <f>VLOOKUP(U347,模板计算相关数据!A:N,10,0)*0.5*VLOOKUP(Y347,模板计算相关数据!$P$22:$U$30,6,0)+AD347</f>
        <v>250</v>
      </c>
      <c r="AO347" s="3">
        <f>VLOOKUP(INT(VLOOKUP(U347,模板计算相关数据!A:N,2,0)/30)+1,模板计算相关数据!$O$35:$U$40,3,0)+AE347</f>
        <v>0</v>
      </c>
      <c r="AP347" s="3">
        <f>VLOOKUP(INT(VLOOKUP(U347,模板计算相关数据!A:N,2,0)/30)+1,模板计算相关数据!$O$35:$U$40,4,0)+AF347</f>
        <v>5000</v>
      </c>
      <c r="AQ347" s="3">
        <f>VLOOKUP(INT(VLOOKUP(U347,模板计算相关数据!A:N,2,0)/30)+1,模板计算相关数据!$O$35:$U$40,5,0)+AG347</f>
        <v>0</v>
      </c>
      <c r="AR347" s="3">
        <f>VLOOKUP(INT(VLOOKUP(U347,模板计算相关数据!A:N,2,0)/30)+1,模板计算相关数据!$O$35:$U$40,6,0)+AH347</f>
        <v>0</v>
      </c>
      <c r="AS347" s="3">
        <f>VLOOKUP(INT(VLOOKUP(U347,模板计算相关数据!A:N,2,0)/30)+1,模板计算相关数据!$O$35:$U$40,7,0)+AI347</f>
        <v>0</v>
      </c>
      <c r="AT347" s="3">
        <f>VLOOKUP(INT(VLOOKUP(U347,模板计算相关数据!A:N,2,0)/30)+1,模板计算相关数据!$O$35:$V$40,8,0)</f>
        <v>0</v>
      </c>
      <c r="AU347" s="2"/>
    </row>
    <row r="348" spans="1:47" s="149" customFormat="1" x14ac:dyDescent="0.2">
      <c r="A348" s="43">
        <v>303101</v>
      </c>
      <c r="B348" s="43"/>
      <c r="C348" s="25" t="s">
        <v>1744</v>
      </c>
      <c r="D348" s="25" t="s">
        <v>1042</v>
      </c>
      <c r="E348" s="17"/>
      <c r="F348" s="43">
        <v>1</v>
      </c>
      <c r="G348" s="43">
        <v>1003401</v>
      </c>
      <c r="H348" s="43">
        <v>2</v>
      </c>
      <c r="I348" s="43">
        <v>4</v>
      </c>
      <c r="J348" s="43">
        <v>3</v>
      </c>
      <c r="K348" s="43"/>
      <c r="L348" s="17" t="s">
        <v>227</v>
      </c>
      <c r="M348" s="17"/>
      <c r="N348" s="17">
        <v>1</v>
      </c>
      <c r="O348" s="17"/>
      <c r="P348" s="43" t="s">
        <v>1615</v>
      </c>
      <c r="Q348" s="147">
        <f t="shared" ref="Q348:Q406" si="51">R348</f>
        <v>6.9411764705882364</v>
      </c>
      <c r="R348" s="133">
        <f>IF(P348=模板计算相关数据!$AB$24,VLOOKUP(X348,模板计算相关数据!$P$47:$T$50,2,0),VLOOKUP(X348,模板计算相关数据!$P$4:$U$7,3,0))*VLOOKUP(Y348,模板计算相关数据!$P$22:$X$30,8,0)</f>
        <v>6.9411764705882364</v>
      </c>
      <c r="S348" s="42">
        <v>9</v>
      </c>
      <c r="T348" s="133">
        <f>IF(P348=模板计算相关数据!$AB$24,VLOOKUP(X348,模板计算相关数据!$P$47:$T$50,5,0),VLOOKUP(X348,模板计算相关数据!$P$4:$U$7,6,0))*VLOOKUP(Y348,模板计算相关数据!$P$22:$X$30,9,0)</f>
        <v>8.2943498888557112</v>
      </c>
      <c r="U348" s="150">
        <v>39</v>
      </c>
      <c r="V348" s="95">
        <f t="shared" si="29"/>
        <v>20</v>
      </c>
      <c r="W348" s="29">
        <f>VLOOKUP(U348,模板计算相关数据!A:N,2,0)</f>
        <v>17</v>
      </c>
      <c r="X348" s="43" t="s">
        <v>151</v>
      </c>
      <c r="Y348" s="43" t="s">
        <v>155</v>
      </c>
      <c r="Z348" s="148">
        <v>1</v>
      </c>
      <c r="AA348" s="147">
        <v>1</v>
      </c>
      <c r="AB348" s="147">
        <v>1</v>
      </c>
      <c r="AC348" s="147">
        <v>1</v>
      </c>
      <c r="AD348" s="147">
        <v>0</v>
      </c>
      <c r="AE348" s="147">
        <v>0</v>
      </c>
      <c r="AF348" s="147">
        <v>0</v>
      </c>
      <c r="AG348" s="147">
        <v>0</v>
      </c>
      <c r="AH348" s="147">
        <v>0</v>
      </c>
      <c r="AI348" s="147">
        <v>0</v>
      </c>
      <c r="AJ348" s="43">
        <f>INT(VLOOKUP(U348,模板计算相关数据!A:N,4,0)*VLOOKUP(U348,模板计算相关数据!A:N,14,0)*(1+MAX(0,(VLOOKUP(U348,模板计算相关数据!A:N,7,0)-AQ348))*VLOOKUP(U348,模板计算相关数据!A:N,8,0))*(1-(AL348+AM348)*0.5/((AL348+AM348)*0.5+(VLOOKUP(U348,模板计算相关数据!A:N,2,0)+模板计算相关数据!$AC$27)*模板计算相关数据!$AC$28))*Q348*Z348)</f>
        <v>2667</v>
      </c>
      <c r="AK348" s="43">
        <f>INT(VLOOKUP(U348,模板计算相关数据!A:N,3,0)/模板计算相关数据!$W$35/(1+MAX(0,(AO348/10000-VLOOKUP(U348,模板计算相关数据!A:N,9,0)))*AP348/10000)/(1-VLOOKUP(U348,模板计算相关数据!A:N,5,0)/(VLOOKUP(U348,模板计算相关数据!A:N,5,0)+(VLOOKUP(U348,模板计算相关数据!A:N,2,0)+模板计算相关数据!$AC$27)*模板计算相关数据!$AC$28))/S348*AA348)</f>
        <v>370</v>
      </c>
      <c r="AL348" s="43">
        <f>INT(VLOOKUP(U348,模板计算相关数据!A:N,5,0)*VLOOKUP(X348,模板计算相关数据!$P$4:$T$7,4,0)*VLOOKUP(Y348,模板计算相关数据!$P$22:$U$30,4,0)*AB348)</f>
        <v>1538</v>
      </c>
      <c r="AM348" s="43">
        <f>INT(VLOOKUP(U348,模板计算相关数据!A:N,6,0)*VLOOKUP(X348,模板计算相关数据!$P$4:$T$7,4,0)*VLOOKUP(Y348,模板计算相关数据!$P$22:$U$30,5,0)*AC348)</f>
        <v>851</v>
      </c>
      <c r="AN348" s="43">
        <f>VLOOKUP(U348,模板计算相关数据!A:N,10,0)*0.5*VLOOKUP(Y348,模板计算相关数据!$P$22:$U$30,6,0)+AD348</f>
        <v>225</v>
      </c>
      <c r="AO348" s="43">
        <f>VLOOKUP(INT(VLOOKUP(U348,模板计算相关数据!A:N,2,0)/30)+1,模板计算相关数据!$O$35:$U$40,3,0)+AE348</f>
        <v>0</v>
      </c>
      <c r="AP348" s="43">
        <f>VLOOKUP(INT(VLOOKUP(U348,模板计算相关数据!A:N,2,0)/30)+1,模板计算相关数据!$O$35:$U$40,4,0)+AF348</f>
        <v>5000</v>
      </c>
      <c r="AQ348" s="43">
        <f>VLOOKUP(INT(VLOOKUP(U348,模板计算相关数据!A:N,2,0)/30)+1,模板计算相关数据!$O$35:$U$40,5,0)+AG348</f>
        <v>0</v>
      </c>
      <c r="AR348" s="43">
        <f>VLOOKUP(INT(VLOOKUP(U348,模板计算相关数据!A:N,2,0)/30)+1,模板计算相关数据!$O$35:$U$40,6,0)+AH348</f>
        <v>0</v>
      </c>
      <c r="AS348" s="43">
        <f>VLOOKUP(INT(VLOOKUP(U348,模板计算相关数据!A:N,2,0)/30)+1,模板计算相关数据!$O$35:$U$40,7,0)+AI348</f>
        <v>0</v>
      </c>
      <c r="AT348" s="43">
        <f>VLOOKUP(INT(VLOOKUP(U348,模板计算相关数据!A:N,2,0)/30)+1,模板计算相关数据!$O$35:$V$40,8,0)</f>
        <v>0</v>
      </c>
      <c r="AU348" s="17"/>
    </row>
    <row r="349" spans="1:47" x14ac:dyDescent="0.2">
      <c r="A349" s="3">
        <v>303102</v>
      </c>
      <c r="B349" s="3"/>
      <c r="C349" s="69" t="s">
        <v>1743</v>
      </c>
      <c r="D349" s="69" t="s">
        <v>1043</v>
      </c>
      <c r="E349" s="2"/>
      <c r="F349" s="3">
        <v>1</v>
      </c>
      <c r="G349" s="3">
        <v>1003401</v>
      </c>
      <c r="H349" s="3">
        <v>2</v>
      </c>
      <c r="I349" s="3">
        <v>4</v>
      </c>
      <c r="J349" s="3">
        <v>3</v>
      </c>
      <c r="K349" s="3"/>
      <c r="L349" s="2" t="s">
        <v>228</v>
      </c>
      <c r="M349" s="2"/>
      <c r="N349" s="2">
        <v>1</v>
      </c>
      <c r="O349" s="2"/>
      <c r="P349" s="3" t="s">
        <v>1615</v>
      </c>
      <c r="Q349" s="95">
        <v>7.1</v>
      </c>
      <c r="R349" s="133">
        <f>IF(P349=模板计算相关数据!$AB$24,VLOOKUP(X349,模板计算相关数据!$P$47:$T$50,2,0),VLOOKUP(X349,模板计算相关数据!$P$4:$U$7,3,0))*VLOOKUP(Y349,模板计算相关数据!$P$22:$X$30,8,0)</f>
        <v>6.9411764705882364</v>
      </c>
      <c r="S349" s="62">
        <v>9</v>
      </c>
      <c r="T349" s="133">
        <f>IF(P349=模板计算相关数据!$AB$24,VLOOKUP(X349,模板计算相关数据!$P$47:$T$50,5,0),VLOOKUP(X349,模板计算相关数据!$P$4:$U$7,6,0))*VLOOKUP(Y349,模板计算相关数据!$P$22:$X$30,9,0)</f>
        <v>8.2943498888557112</v>
      </c>
      <c r="U349" s="98">
        <v>40</v>
      </c>
      <c r="V349" s="95">
        <f t="shared" si="29"/>
        <v>33</v>
      </c>
      <c r="W349" s="29">
        <f>VLOOKUP(U349,模板计算相关数据!A:N,2,0)</f>
        <v>30</v>
      </c>
      <c r="X349" s="3" t="s">
        <v>151</v>
      </c>
      <c r="Y349" s="3" t="s">
        <v>155</v>
      </c>
      <c r="Z349" s="99">
        <v>1</v>
      </c>
      <c r="AA349" s="95">
        <v>1</v>
      </c>
      <c r="AB349" s="95">
        <v>1</v>
      </c>
      <c r="AC349" s="95">
        <v>1</v>
      </c>
      <c r="AD349" s="95">
        <v>0</v>
      </c>
      <c r="AE349" s="95">
        <v>0</v>
      </c>
      <c r="AF349" s="95">
        <v>0</v>
      </c>
      <c r="AG349" s="95">
        <v>0</v>
      </c>
      <c r="AH349" s="95">
        <v>0</v>
      </c>
      <c r="AI349" s="95">
        <v>0</v>
      </c>
      <c r="AJ349" s="3">
        <f>INT(VLOOKUP(U349,模板计算相关数据!A:N,4,0)*VLOOKUP(U349,模板计算相关数据!A:N,14,0)*(1+MAX(0,(VLOOKUP(U349,模板计算相关数据!A:N,7,0)-AQ349))*VLOOKUP(U349,模板计算相关数据!A:N,8,0))*(1-(AL349+AM349)*0.5/((AL349+AM349)*0.5+(VLOOKUP(U349,模板计算相关数据!A:N,2,0)+模板计算相关数据!$AC$27)*模板计算相关数据!$AC$28))*Q349*Z349)</f>
        <v>4912</v>
      </c>
      <c r="AK349" s="3">
        <f>INT(VLOOKUP(U349,模板计算相关数据!A:N,3,0)/模板计算相关数据!$W$35/(1+MAX(0,(AO349/10000-VLOOKUP(U349,模板计算相关数据!A:N,9,0)))*AP349/10000)/(1-VLOOKUP(U349,模板计算相关数据!A:N,5,0)/(VLOOKUP(U349,模板计算相关数据!A:N,5,0)+(VLOOKUP(U349,模板计算相关数据!A:N,2,0)+模板计算相关数据!$AC$27)*模板计算相关数据!$AC$28))/S349*AA349)</f>
        <v>733</v>
      </c>
      <c r="AL349" s="3">
        <f>INT(VLOOKUP(U349,模板计算相关数据!A:N,5,0)*VLOOKUP(X349,模板计算相关数据!$P$4:$T$7,4,0)*VLOOKUP(Y349,模板计算相关数据!$P$22:$U$30,4,0)*AB349)</f>
        <v>2898</v>
      </c>
      <c r="AM349" s="3">
        <f>INT(VLOOKUP(U349,模板计算相关数据!A:N,6,0)*VLOOKUP(X349,模板计算相关数据!$P$4:$T$7,4,0)*VLOOKUP(Y349,模板计算相关数据!$P$22:$U$30,5,0)*AC349)</f>
        <v>1605</v>
      </c>
      <c r="AN349" s="3">
        <f>VLOOKUP(U349,模板计算相关数据!A:N,10,0)*0.5*VLOOKUP(Y349,模板计算相关数据!$P$22:$U$30,6,0)+AD349</f>
        <v>225</v>
      </c>
      <c r="AO349" s="3">
        <f>VLOOKUP(INT(VLOOKUP(U349,模板计算相关数据!A:N,2,0)/30)+1,模板计算相关数据!$O$35:$U$40,3,0)+AE349</f>
        <v>0</v>
      </c>
      <c r="AP349" s="3">
        <f>VLOOKUP(INT(VLOOKUP(U349,模板计算相关数据!A:N,2,0)/30)+1,模板计算相关数据!$O$35:$U$40,4,0)+AF349</f>
        <v>5000</v>
      </c>
      <c r="AQ349" s="3">
        <f>VLOOKUP(INT(VLOOKUP(U349,模板计算相关数据!A:N,2,0)/30)+1,模板计算相关数据!$O$35:$U$40,5,0)+AG349</f>
        <v>0</v>
      </c>
      <c r="AR349" s="3">
        <f>VLOOKUP(INT(VLOOKUP(U349,模板计算相关数据!A:N,2,0)/30)+1,模板计算相关数据!$O$35:$U$40,6,0)+AH349</f>
        <v>0</v>
      </c>
      <c r="AS349" s="3">
        <f>VLOOKUP(INT(VLOOKUP(U349,模板计算相关数据!A:N,2,0)/30)+1,模板计算相关数据!$O$35:$U$40,7,0)+AI349</f>
        <v>0</v>
      </c>
      <c r="AT349" s="3">
        <f>VLOOKUP(INT(VLOOKUP(U349,模板计算相关数据!A:N,2,0)/30)+1,模板计算相关数据!$O$35:$V$40,8,0)</f>
        <v>0</v>
      </c>
      <c r="AU349" s="2"/>
    </row>
    <row r="350" spans="1:47" x14ac:dyDescent="0.2">
      <c r="A350" s="3">
        <v>303103</v>
      </c>
      <c r="B350" s="3"/>
      <c r="C350" s="69" t="s">
        <v>1743</v>
      </c>
      <c r="D350" s="69" t="s">
        <v>1044</v>
      </c>
      <c r="E350" s="2"/>
      <c r="F350" s="3">
        <v>1</v>
      </c>
      <c r="G350" s="3">
        <v>1003401</v>
      </c>
      <c r="H350" s="3">
        <v>2</v>
      </c>
      <c r="I350" s="3">
        <v>4</v>
      </c>
      <c r="J350" s="3">
        <v>3</v>
      </c>
      <c r="K350" s="3"/>
      <c r="L350" s="2" t="s">
        <v>229</v>
      </c>
      <c r="M350" s="2"/>
      <c r="N350" s="2">
        <v>1</v>
      </c>
      <c r="O350" s="2"/>
      <c r="P350" s="3" t="s">
        <v>1615</v>
      </c>
      <c r="Q350" s="95">
        <v>7.3</v>
      </c>
      <c r="R350" s="133">
        <f>IF(P350=模板计算相关数据!$AB$24,VLOOKUP(X350,模板计算相关数据!$P$47:$T$50,2,0),VLOOKUP(X350,模板计算相关数据!$P$4:$U$7,3,0))*VLOOKUP(Y350,模板计算相关数据!$P$22:$X$30,8,0)</f>
        <v>6.9411764705882364</v>
      </c>
      <c r="S350" s="62">
        <v>9</v>
      </c>
      <c r="T350" s="133">
        <f>IF(P350=模板计算相关数据!$AB$24,VLOOKUP(X350,模板计算相关数据!$P$47:$T$50,5,0),VLOOKUP(X350,模板计算相关数据!$P$4:$U$7,6,0))*VLOOKUP(Y350,模板计算相关数据!$P$22:$X$30,9,0)</f>
        <v>8.2943498888557112</v>
      </c>
      <c r="U350" s="98">
        <v>41</v>
      </c>
      <c r="V350" s="95">
        <f t="shared" si="29"/>
        <v>48</v>
      </c>
      <c r="W350" s="29">
        <f>VLOOKUP(U350,模板计算相关数据!A:N,2,0)</f>
        <v>45</v>
      </c>
      <c r="X350" s="3" t="s">
        <v>151</v>
      </c>
      <c r="Y350" s="3" t="s">
        <v>155</v>
      </c>
      <c r="Z350" s="99">
        <v>1</v>
      </c>
      <c r="AA350" s="95">
        <v>1</v>
      </c>
      <c r="AB350" s="95">
        <v>1</v>
      </c>
      <c r="AC350" s="95">
        <v>1</v>
      </c>
      <c r="AD350" s="95">
        <v>0</v>
      </c>
      <c r="AE350" s="95">
        <v>0</v>
      </c>
      <c r="AF350" s="95">
        <v>0</v>
      </c>
      <c r="AG350" s="95">
        <v>0</v>
      </c>
      <c r="AH350" s="95">
        <v>0</v>
      </c>
      <c r="AI350" s="95">
        <v>0</v>
      </c>
      <c r="AJ350" s="3">
        <f>INT(VLOOKUP(U350,模板计算相关数据!A:N,4,0)*VLOOKUP(U350,模板计算相关数据!A:N,14,0)*(1+MAX(0,(VLOOKUP(U350,模板计算相关数据!A:N,7,0)-AQ350))*VLOOKUP(U350,模板计算相关数据!A:N,8,0))*(1-(AL350+AM350)*0.5/((AL350+AM350)*0.5+(VLOOKUP(U350,模板计算相关数据!A:N,2,0)+模板计算相关数据!$AC$27)*模板计算相关数据!$AC$28))*Q350*Z350)</f>
        <v>7994</v>
      </c>
      <c r="AK350" s="3">
        <f>INT(VLOOKUP(U350,模板计算相关数据!A:N,3,0)/模板计算相关数据!$W$35/(1+MAX(0,(AO350/10000-VLOOKUP(U350,模板计算相关数据!A:N,9,0)))*AP350/10000)/(1-VLOOKUP(U350,模板计算相关数据!A:N,5,0)/(VLOOKUP(U350,模板计算相关数据!A:N,5,0)+(VLOOKUP(U350,模板计算相关数据!A:N,2,0)+模板计算相关数据!$AC$27)*模板计算相关数据!$AC$28))/S350*AA350)</f>
        <v>1174</v>
      </c>
      <c r="AL350" s="3">
        <f>INT(VLOOKUP(U350,模板计算相关数据!A:N,5,0)*VLOOKUP(X350,模板计算相关数据!$P$4:$T$7,4,0)*VLOOKUP(Y350,模板计算相关数据!$P$22:$U$30,4,0)*AB350)</f>
        <v>4562</v>
      </c>
      <c r="AM350" s="3">
        <f>INT(VLOOKUP(U350,模板计算相关数据!A:N,6,0)*VLOOKUP(X350,模板计算相关数据!$P$4:$T$7,4,0)*VLOOKUP(Y350,模板计算相关数据!$P$22:$U$30,5,0)*AC350)</f>
        <v>2521</v>
      </c>
      <c r="AN350" s="3">
        <f>VLOOKUP(U350,模板计算相关数据!A:N,10,0)*0.5*VLOOKUP(Y350,模板计算相关数据!$P$22:$U$30,6,0)+AD350</f>
        <v>225</v>
      </c>
      <c r="AO350" s="3">
        <f>VLOOKUP(INT(VLOOKUP(U350,模板计算相关数据!A:N,2,0)/30)+1,模板计算相关数据!$O$35:$U$40,3,0)+AE350</f>
        <v>0</v>
      </c>
      <c r="AP350" s="3">
        <f>VLOOKUP(INT(VLOOKUP(U350,模板计算相关数据!A:N,2,0)/30)+1,模板计算相关数据!$O$35:$U$40,4,0)+AF350</f>
        <v>5000</v>
      </c>
      <c r="AQ350" s="3">
        <f>VLOOKUP(INT(VLOOKUP(U350,模板计算相关数据!A:N,2,0)/30)+1,模板计算相关数据!$O$35:$U$40,5,0)+AG350</f>
        <v>0</v>
      </c>
      <c r="AR350" s="3">
        <f>VLOOKUP(INT(VLOOKUP(U350,模板计算相关数据!A:N,2,0)/30)+1,模板计算相关数据!$O$35:$U$40,6,0)+AH350</f>
        <v>0</v>
      </c>
      <c r="AS350" s="3">
        <f>VLOOKUP(INT(VLOOKUP(U350,模板计算相关数据!A:N,2,0)/30)+1,模板计算相关数据!$O$35:$U$40,7,0)+AI350</f>
        <v>0</v>
      </c>
      <c r="AT350" s="3">
        <f>VLOOKUP(INT(VLOOKUP(U350,模板计算相关数据!A:N,2,0)/30)+1,模板计算相关数据!$O$35:$V$40,8,0)</f>
        <v>0</v>
      </c>
      <c r="AU350" s="2"/>
    </row>
    <row r="351" spans="1:47" x14ac:dyDescent="0.2">
      <c r="A351" s="3">
        <v>303104</v>
      </c>
      <c r="B351" s="3"/>
      <c r="C351" s="69" t="s">
        <v>1743</v>
      </c>
      <c r="D351" s="69" t="s">
        <v>1045</v>
      </c>
      <c r="E351" s="2"/>
      <c r="F351" s="3">
        <v>1</v>
      </c>
      <c r="G351" s="3">
        <v>1003401</v>
      </c>
      <c r="H351" s="3">
        <v>2</v>
      </c>
      <c r="I351" s="3">
        <v>4</v>
      </c>
      <c r="J351" s="3">
        <v>3</v>
      </c>
      <c r="K351" s="3"/>
      <c r="L351" s="2" t="s">
        <v>230</v>
      </c>
      <c r="M351" s="2"/>
      <c r="N351" s="2">
        <v>1</v>
      </c>
      <c r="O351" s="2"/>
      <c r="P351" s="3" t="s">
        <v>1615</v>
      </c>
      <c r="Q351" s="95">
        <v>7.5</v>
      </c>
      <c r="R351" s="133">
        <f>IF(P351=模板计算相关数据!$AB$24,VLOOKUP(X351,模板计算相关数据!$P$47:$T$50,2,0),VLOOKUP(X351,模板计算相关数据!$P$4:$U$7,3,0))*VLOOKUP(Y351,模板计算相关数据!$P$22:$X$30,8,0)</f>
        <v>6.9411764705882364</v>
      </c>
      <c r="S351" s="62">
        <v>9</v>
      </c>
      <c r="T351" s="133">
        <f>IF(P351=模板计算相关数据!$AB$24,VLOOKUP(X351,模板计算相关数据!$P$47:$T$50,5,0),VLOOKUP(X351,模板计算相关数据!$P$4:$U$7,6,0))*VLOOKUP(Y351,模板计算相关数据!$P$22:$X$30,9,0)</f>
        <v>8.2943498888557112</v>
      </c>
      <c r="U351" s="98">
        <v>41</v>
      </c>
      <c r="V351" s="95">
        <f t="shared" si="29"/>
        <v>48</v>
      </c>
      <c r="W351" s="29">
        <f>VLOOKUP(U351,模板计算相关数据!A:N,2,0)</f>
        <v>45</v>
      </c>
      <c r="X351" s="3" t="s">
        <v>151</v>
      </c>
      <c r="Y351" s="3" t="s">
        <v>155</v>
      </c>
      <c r="Z351" s="99">
        <v>1</v>
      </c>
      <c r="AA351" s="95">
        <v>1</v>
      </c>
      <c r="AB351" s="95">
        <v>1</v>
      </c>
      <c r="AC351" s="95">
        <v>1</v>
      </c>
      <c r="AD351" s="95">
        <v>0</v>
      </c>
      <c r="AE351" s="95">
        <v>0</v>
      </c>
      <c r="AF351" s="95">
        <v>0</v>
      </c>
      <c r="AG351" s="95">
        <v>0</v>
      </c>
      <c r="AH351" s="95">
        <v>0</v>
      </c>
      <c r="AI351" s="95">
        <v>0</v>
      </c>
      <c r="AJ351" s="3">
        <f>INT(VLOOKUP(U351,模板计算相关数据!A:N,4,0)*VLOOKUP(U351,模板计算相关数据!A:N,14,0)*(1+MAX(0,(VLOOKUP(U351,模板计算相关数据!A:N,7,0)-AQ351))*VLOOKUP(U351,模板计算相关数据!A:N,8,0))*(1-(AL351+AM351)*0.5/((AL351+AM351)*0.5+(VLOOKUP(U351,模板计算相关数据!A:N,2,0)+模板计算相关数据!$AC$27)*模板计算相关数据!$AC$28))*Q351*Z351)</f>
        <v>8213</v>
      </c>
      <c r="AK351" s="3">
        <f>INT(VLOOKUP(U351,模板计算相关数据!A:N,3,0)/模板计算相关数据!$W$35/(1+MAX(0,(AO351/10000-VLOOKUP(U351,模板计算相关数据!A:N,9,0)))*AP351/10000)/(1-VLOOKUP(U351,模板计算相关数据!A:N,5,0)/(VLOOKUP(U351,模板计算相关数据!A:N,5,0)+(VLOOKUP(U351,模板计算相关数据!A:N,2,0)+模板计算相关数据!$AC$27)*模板计算相关数据!$AC$28))/S351*AA351)</f>
        <v>1174</v>
      </c>
      <c r="AL351" s="3">
        <f>INT(VLOOKUP(U351,模板计算相关数据!A:N,5,0)*VLOOKUP(X351,模板计算相关数据!$P$4:$T$7,4,0)*VLOOKUP(Y351,模板计算相关数据!$P$22:$U$30,4,0)*AB351)</f>
        <v>4562</v>
      </c>
      <c r="AM351" s="3">
        <f>INT(VLOOKUP(U351,模板计算相关数据!A:N,6,0)*VLOOKUP(X351,模板计算相关数据!$P$4:$T$7,4,0)*VLOOKUP(Y351,模板计算相关数据!$P$22:$U$30,5,0)*AC351)</f>
        <v>2521</v>
      </c>
      <c r="AN351" s="3">
        <f>VLOOKUP(U351,模板计算相关数据!A:N,10,0)*0.5*VLOOKUP(Y351,模板计算相关数据!$P$22:$U$30,6,0)+AD351</f>
        <v>225</v>
      </c>
      <c r="AO351" s="3">
        <f>VLOOKUP(INT(VLOOKUP(U351,模板计算相关数据!A:N,2,0)/30)+1,模板计算相关数据!$O$35:$U$40,3,0)+AE351</f>
        <v>0</v>
      </c>
      <c r="AP351" s="3">
        <f>VLOOKUP(INT(VLOOKUP(U351,模板计算相关数据!A:N,2,0)/30)+1,模板计算相关数据!$O$35:$U$40,4,0)+AF351</f>
        <v>5000</v>
      </c>
      <c r="AQ351" s="3">
        <f>VLOOKUP(INT(VLOOKUP(U351,模板计算相关数据!A:N,2,0)/30)+1,模板计算相关数据!$O$35:$U$40,5,0)+AG351</f>
        <v>0</v>
      </c>
      <c r="AR351" s="3">
        <f>VLOOKUP(INT(VLOOKUP(U351,模板计算相关数据!A:N,2,0)/30)+1,模板计算相关数据!$O$35:$U$40,6,0)+AH351</f>
        <v>0</v>
      </c>
      <c r="AS351" s="3">
        <f>VLOOKUP(INT(VLOOKUP(U351,模板计算相关数据!A:N,2,0)/30)+1,模板计算相关数据!$O$35:$U$40,7,0)+AI351</f>
        <v>0</v>
      </c>
      <c r="AT351" s="3">
        <f>VLOOKUP(INT(VLOOKUP(U351,模板计算相关数据!A:N,2,0)/30)+1,模板计算相关数据!$O$35:$V$40,8,0)</f>
        <v>0</v>
      </c>
      <c r="AU351" s="2"/>
    </row>
    <row r="352" spans="1:47" x14ac:dyDescent="0.2">
      <c r="A352" s="3">
        <v>303105</v>
      </c>
      <c r="B352" s="3"/>
      <c r="C352" s="69" t="s">
        <v>1741</v>
      </c>
      <c r="D352" s="69" t="s">
        <v>1046</v>
      </c>
      <c r="E352" s="2"/>
      <c r="F352" s="3">
        <v>3</v>
      </c>
      <c r="G352" s="3">
        <v>1002801</v>
      </c>
      <c r="H352" s="3">
        <v>1</v>
      </c>
      <c r="I352" s="3">
        <v>4</v>
      </c>
      <c r="J352" s="3">
        <v>3</v>
      </c>
      <c r="K352" s="3"/>
      <c r="L352" s="2" t="s">
        <v>231</v>
      </c>
      <c r="M352" s="2"/>
      <c r="N352" s="2">
        <v>1</v>
      </c>
      <c r="O352" s="2"/>
      <c r="P352" s="3" t="s">
        <v>1615</v>
      </c>
      <c r="Q352" s="95">
        <f t="shared" si="51"/>
        <v>4.417254901960785</v>
      </c>
      <c r="R352" s="133">
        <f>IF(P352=模板计算相关数据!$AB$24,VLOOKUP(X352,模板计算相关数据!$P$47:$T$50,2,0),VLOOKUP(X352,模板计算相关数据!$P$4:$U$7,3,0))*VLOOKUP(Y352,模板计算相关数据!$P$22:$X$30,8,0)</f>
        <v>4.417254901960785</v>
      </c>
      <c r="S352" s="62">
        <v>5.3</v>
      </c>
      <c r="T352" s="133">
        <f>IF(P352=模板计算相关数据!$AB$24,VLOOKUP(X352,模板计算相关数据!$P$47:$T$50,5,0),VLOOKUP(X352,模板计算相关数据!$P$4:$U$7,6,0))*VLOOKUP(Y352,模板计算相关数据!$P$22:$X$30,9,0)</f>
        <v>5.4285280003474252</v>
      </c>
      <c r="U352" s="98">
        <v>39</v>
      </c>
      <c r="V352" s="95">
        <f t="shared" si="29"/>
        <v>20</v>
      </c>
      <c r="W352" s="29">
        <f>VLOOKUP(U352,模板计算相关数据!A:N,2,0)</f>
        <v>17</v>
      </c>
      <c r="X352" s="3" t="s">
        <v>151</v>
      </c>
      <c r="Y352" s="3" t="s">
        <v>152</v>
      </c>
      <c r="Z352" s="99">
        <v>1</v>
      </c>
      <c r="AA352" s="95">
        <v>1</v>
      </c>
      <c r="AB352" s="95">
        <v>1</v>
      </c>
      <c r="AC352" s="95">
        <v>1</v>
      </c>
      <c r="AD352" s="95">
        <v>0</v>
      </c>
      <c r="AE352" s="95">
        <v>0</v>
      </c>
      <c r="AF352" s="95">
        <v>0</v>
      </c>
      <c r="AG352" s="95">
        <v>0</v>
      </c>
      <c r="AH352" s="95">
        <v>0</v>
      </c>
      <c r="AI352" s="95">
        <v>0</v>
      </c>
      <c r="AJ352" s="3">
        <f>INT(VLOOKUP(U352,模板计算相关数据!A:N,4,0)*VLOOKUP(U352,模板计算相关数据!A:N,14,0)*(1+MAX(0,(VLOOKUP(U352,模板计算相关数据!A:N,7,0)-AQ352))*VLOOKUP(U352,模板计算相关数据!A:N,8,0))*(1-(AL352+AM352)*0.5/((AL352+AM352)*0.5+(VLOOKUP(U352,模板计算相关数据!A:N,2,0)+模板计算相关数据!$AC$27)*模板计算相关数据!$AC$28))*Q352*Z352)</f>
        <v>1796</v>
      </c>
      <c r="AK352" s="3">
        <f>INT(VLOOKUP(U352,模板计算相关数据!A:N,3,0)/模板计算相关数据!$W$35/(1+MAX(0,(AO352/10000-VLOOKUP(U352,模板计算相关数据!A:N,9,0)))*AP352/10000)/(1-VLOOKUP(U352,模板计算相关数据!A:N,5,0)/(VLOOKUP(U352,模板计算相关数据!A:N,5,0)+(VLOOKUP(U352,模板计算相关数据!A:N,2,0)+模板计算相关数据!$AC$27)*模板计算相关数据!$AC$28))/S352*AA352)</f>
        <v>629</v>
      </c>
      <c r="AL352" s="3">
        <f>INT(VLOOKUP(U352,模板计算相关数据!A:N,5,0)*VLOOKUP(X352,模板计算相关数据!$P$4:$T$7,4,0)*VLOOKUP(Y352,模板计算相关数据!$P$22:$U$30,4,0)*AB352)</f>
        <v>1277</v>
      </c>
      <c r="AM352" s="3">
        <f>INT(VLOOKUP(U352,模板计算相关数据!A:N,6,0)*VLOOKUP(X352,模板计算相关数据!$P$4:$T$7,4,0)*VLOOKUP(Y352,模板计算相关数据!$P$22:$U$30,5,0)*AC352)</f>
        <v>757</v>
      </c>
      <c r="AN352" s="3">
        <f>VLOOKUP(U352,模板计算相关数据!A:N,10,0)*0.5*VLOOKUP(Y352,模板计算相关数据!$P$22:$U$30,6,0)+AD352</f>
        <v>250</v>
      </c>
      <c r="AO352" s="3">
        <f>VLOOKUP(INT(VLOOKUP(U352,模板计算相关数据!A:N,2,0)/30)+1,模板计算相关数据!$O$35:$U$40,3,0)+AE352</f>
        <v>0</v>
      </c>
      <c r="AP352" s="3">
        <f>VLOOKUP(INT(VLOOKUP(U352,模板计算相关数据!A:N,2,0)/30)+1,模板计算相关数据!$O$35:$U$40,4,0)+AF352</f>
        <v>5000</v>
      </c>
      <c r="AQ352" s="3">
        <f>VLOOKUP(INT(VLOOKUP(U352,模板计算相关数据!A:N,2,0)/30)+1,模板计算相关数据!$O$35:$U$40,5,0)+AG352</f>
        <v>0</v>
      </c>
      <c r="AR352" s="3">
        <f>VLOOKUP(INT(VLOOKUP(U352,模板计算相关数据!A:N,2,0)/30)+1,模板计算相关数据!$O$35:$U$40,6,0)+AH352</f>
        <v>0</v>
      </c>
      <c r="AS352" s="3">
        <f>VLOOKUP(INT(VLOOKUP(U352,模板计算相关数据!A:N,2,0)/30)+1,模板计算相关数据!$O$35:$U$40,7,0)+AI352</f>
        <v>0</v>
      </c>
      <c r="AT352" s="3">
        <f>VLOOKUP(INT(VLOOKUP(U352,模板计算相关数据!A:N,2,0)/30)+1,模板计算相关数据!$O$35:$V$40,8,0)</f>
        <v>0</v>
      </c>
      <c r="AU352" s="2"/>
    </row>
    <row r="353" spans="1:47" x14ac:dyDescent="0.2">
      <c r="A353" s="3">
        <v>303106</v>
      </c>
      <c r="B353" s="3"/>
      <c r="C353" s="69" t="s">
        <v>1741</v>
      </c>
      <c r="D353" s="69" t="s">
        <v>1047</v>
      </c>
      <c r="E353" s="2"/>
      <c r="F353" s="3">
        <v>3</v>
      </c>
      <c r="G353" s="3">
        <v>1002801</v>
      </c>
      <c r="H353" s="3">
        <v>1</v>
      </c>
      <c r="I353" s="3">
        <v>4</v>
      </c>
      <c r="J353" s="3">
        <v>3</v>
      </c>
      <c r="K353" s="3"/>
      <c r="L353" s="2" t="s">
        <v>232</v>
      </c>
      <c r="M353" s="2"/>
      <c r="N353" s="2">
        <v>1</v>
      </c>
      <c r="O353" s="2"/>
      <c r="P353" s="3" t="s">
        <v>1615</v>
      </c>
      <c r="Q353" s="95">
        <f t="shared" si="51"/>
        <v>4.417254901960785</v>
      </c>
      <c r="R353" s="133">
        <f>IF(P353=模板计算相关数据!$AB$24,VLOOKUP(X353,模板计算相关数据!$P$47:$T$50,2,0),VLOOKUP(X353,模板计算相关数据!$P$4:$U$7,3,0))*VLOOKUP(Y353,模板计算相关数据!$P$22:$X$30,8,0)</f>
        <v>4.417254901960785</v>
      </c>
      <c r="S353" s="62">
        <v>5.2</v>
      </c>
      <c r="T353" s="133">
        <f>IF(P353=模板计算相关数据!$AB$24,VLOOKUP(X353,模板计算相关数据!$P$47:$T$50,5,0),VLOOKUP(X353,模板计算相关数据!$P$4:$U$7,6,0))*VLOOKUP(Y353,模板计算相关数据!$P$22:$X$30,9,0)</f>
        <v>5.4285280003474252</v>
      </c>
      <c r="U353" s="98">
        <v>40</v>
      </c>
      <c r="V353" s="95">
        <f t="shared" si="29"/>
        <v>33</v>
      </c>
      <c r="W353" s="29">
        <f>VLOOKUP(U353,模板计算相关数据!A:N,2,0)</f>
        <v>30</v>
      </c>
      <c r="X353" s="3" t="s">
        <v>151</v>
      </c>
      <c r="Y353" s="3" t="s">
        <v>152</v>
      </c>
      <c r="Z353" s="99">
        <v>1</v>
      </c>
      <c r="AA353" s="95">
        <v>1</v>
      </c>
      <c r="AB353" s="95">
        <v>1</v>
      </c>
      <c r="AC353" s="95">
        <v>1</v>
      </c>
      <c r="AD353" s="95">
        <v>0</v>
      </c>
      <c r="AE353" s="95">
        <v>0</v>
      </c>
      <c r="AF353" s="95">
        <v>0</v>
      </c>
      <c r="AG353" s="95">
        <v>0</v>
      </c>
      <c r="AH353" s="95">
        <v>0</v>
      </c>
      <c r="AI353" s="95">
        <v>0</v>
      </c>
      <c r="AJ353" s="3">
        <f>INT(VLOOKUP(U353,模板计算相关数据!A:N,4,0)*VLOOKUP(U353,模板计算相关数据!A:N,14,0)*(1+MAX(0,(VLOOKUP(U353,模板计算相关数据!A:N,7,0)-AQ353))*VLOOKUP(U353,模板计算相关数据!A:N,8,0))*(1-(AL353+AM353)*0.5/((AL353+AM353)*0.5+(VLOOKUP(U353,模板计算相关数据!A:N,2,0)+模板计算相关数据!$AC$27)*模板计算相关数据!$AC$28))*Q353*Z353)</f>
        <v>3254</v>
      </c>
      <c r="AK353" s="3">
        <f>INT(VLOOKUP(U353,模板计算相关数据!A:N,3,0)/模板计算相关数据!$W$35/(1+MAX(0,(AO353/10000-VLOOKUP(U353,模板计算相关数据!A:N,9,0)))*AP353/10000)/(1-VLOOKUP(U353,模板计算相关数据!A:N,5,0)/(VLOOKUP(U353,模板计算相关数据!A:N,5,0)+(VLOOKUP(U353,模板计算相关数据!A:N,2,0)+模板计算相关数据!$AC$27)*模板计算相关数据!$AC$28))/S353*AA353)</f>
        <v>1269</v>
      </c>
      <c r="AL353" s="3">
        <f>INT(VLOOKUP(U353,模板计算相关数据!A:N,5,0)*VLOOKUP(X353,模板计算相关数据!$P$4:$T$7,4,0)*VLOOKUP(Y353,模板计算相关数据!$P$22:$U$30,4,0)*AB353)</f>
        <v>2407</v>
      </c>
      <c r="AM353" s="3">
        <f>INT(VLOOKUP(U353,模板计算相关数据!A:N,6,0)*VLOOKUP(X353,模板计算相关数据!$P$4:$T$7,4,0)*VLOOKUP(Y353,模板计算相关数据!$P$22:$U$30,5,0)*AC353)</f>
        <v>1426</v>
      </c>
      <c r="AN353" s="3">
        <f>VLOOKUP(U353,模板计算相关数据!A:N,10,0)*0.5*VLOOKUP(Y353,模板计算相关数据!$P$22:$U$30,6,0)+AD353</f>
        <v>250</v>
      </c>
      <c r="AO353" s="3">
        <f>VLOOKUP(INT(VLOOKUP(U353,模板计算相关数据!A:N,2,0)/30)+1,模板计算相关数据!$O$35:$U$40,3,0)+AE353</f>
        <v>0</v>
      </c>
      <c r="AP353" s="3">
        <f>VLOOKUP(INT(VLOOKUP(U353,模板计算相关数据!A:N,2,0)/30)+1,模板计算相关数据!$O$35:$U$40,4,0)+AF353</f>
        <v>5000</v>
      </c>
      <c r="AQ353" s="3">
        <f>VLOOKUP(INT(VLOOKUP(U353,模板计算相关数据!A:N,2,0)/30)+1,模板计算相关数据!$O$35:$U$40,5,0)+AG353</f>
        <v>0</v>
      </c>
      <c r="AR353" s="3">
        <f>VLOOKUP(INT(VLOOKUP(U353,模板计算相关数据!A:N,2,0)/30)+1,模板计算相关数据!$O$35:$U$40,6,0)+AH353</f>
        <v>0</v>
      </c>
      <c r="AS353" s="3">
        <f>VLOOKUP(INT(VLOOKUP(U353,模板计算相关数据!A:N,2,0)/30)+1,模板计算相关数据!$O$35:$U$40,7,0)+AI353</f>
        <v>0</v>
      </c>
      <c r="AT353" s="3">
        <f>VLOOKUP(INT(VLOOKUP(U353,模板计算相关数据!A:N,2,0)/30)+1,模板计算相关数据!$O$35:$V$40,8,0)</f>
        <v>0</v>
      </c>
      <c r="AU353" s="2"/>
    </row>
    <row r="354" spans="1:47" x14ac:dyDescent="0.2">
      <c r="A354" s="3">
        <v>303107</v>
      </c>
      <c r="B354" s="3"/>
      <c r="C354" s="69" t="s">
        <v>1741</v>
      </c>
      <c r="D354" s="69" t="s">
        <v>1044</v>
      </c>
      <c r="E354" s="2"/>
      <c r="F354" s="3">
        <v>3</v>
      </c>
      <c r="G354" s="3">
        <v>1002801</v>
      </c>
      <c r="H354" s="3">
        <v>1</v>
      </c>
      <c r="I354" s="3">
        <v>4</v>
      </c>
      <c r="J354" s="3">
        <v>3</v>
      </c>
      <c r="K354" s="3"/>
      <c r="L354" s="69" t="s">
        <v>933</v>
      </c>
      <c r="M354" s="2"/>
      <c r="N354" s="2">
        <v>1</v>
      </c>
      <c r="O354" s="2"/>
      <c r="P354" s="3" t="s">
        <v>1615</v>
      </c>
      <c r="Q354" s="95">
        <f t="shared" si="51"/>
        <v>4.417254901960785</v>
      </c>
      <c r="R354" s="133">
        <f>IF(P354=模板计算相关数据!$AB$24,VLOOKUP(X354,模板计算相关数据!$P$47:$T$50,2,0),VLOOKUP(X354,模板计算相关数据!$P$4:$U$7,3,0))*VLOOKUP(Y354,模板计算相关数据!$P$22:$X$30,8,0)</f>
        <v>4.417254901960785</v>
      </c>
      <c r="S354" s="62">
        <v>5.0999999999999996</v>
      </c>
      <c r="T354" s="133">
        <f>IF(P354=模板计算相关数据!$AB$24,VLOOKUP(X354,模板计算相关数据!$P$47:$T$50,5,0),VLOOKUP(X354,模板计算相关数据!$P$4:$U$7,6,0))*VLOOKUP(Y354,模板计算相关数据!$P$22:$X$30,9,0)</f>
        <v>5.4285280003474252</v>
      </c>
      <c r="U354" s="98">
        <v>41</v>
      </c>
      <c r="V354" s="95">
        <f t="shared" si="29"/>
        <v>48</v>
      </c>
      <c r="W354" s="29">
        <f>VLOOKUP(U354,模板计算相关数据!A:N,2,0)</f>
        <v>45</v>
      </c>
      <c r="X354" s="3" t="s">
        <v>151</v>
      </c>
      <c r="Y354" s="3" t="s">
        <v>152</v>
      </c>
      <c r="Z354" s="99">
        <v>1</v>
      </c>
      <c r="AA354" s="95">
        <v>1</v>
      </c>
      <c r="AB354" s="95">
        <v>1</v>
      </c>
      <c r="AC354" s="95">
        <v>1</v>
      </c>
      <c r="AD354" s="95">
        <v>0</v>
      </c>
      <c r="AE354" s="95">
        <v>0</v>
      </c>
      <c r="AF354" s="95">
        <v>0</v>
      </c>
      <c r="AG354" s="95">
        <v>0</v>
      </c>
      <c r="AH354" s="95">
        <v>0</v>
      </c>
      <c r="AI354" s="95">
        <v>0</v>
      </c>
      <c r="AJ354" s="3">
        <f>INT(VLOOKUP(U354,模板计算相关数据!A:N,4,0)*VLOOKUP(U354,模板计算相关数据!A:N,14,0)*(1+MAX(0,(VLOOKUP(U354,模板计算相关数据!A:N,7,0)-AQ354))*VLOOKUP(U354,模板计算相关数据!A:N,8,0))*(1-(AL354+AM354)*0.5/((AL354+AM354)*0.5+(VLOOKUP(U354,模板计算相关数据!A:N,2,0)+模板计算相关数据!$AC$27)*模板计算相关数据!$AC$28))*Q354*Z354)</f>
        <v>5167</v>
      </c>
      <c r="AK354" s="3">
        <f>INT(VLOOKUP(U354,模板计算相关数据!A:N,3,0)/模板计算相关数据!$W$35/(1+MAX(0,(AO354/10000-VLOOKUP(U354,模板计算相关数据!A:N,9,0)))*AP354/10000)/(1-VLOOKUP(U354,模板计算相关数据!A:N,5,0)/(VLOOKUP(U354,模板计算相关数据!A:N,5,0)+(VLOOKUP(U354,模板计算相关数据!A:N,2,0)+模板计算相关数据!$AC$27)*模板计算相关数据!$AC$28))/S354*AA354)</f>
        <v>2073</v>
      </c>
      <c r="AL354" s="3">
        <f>INT(VLOOKUP(U354,模板计算相关数据!A:N,5,0)*VLOOKUP(X354,模板计算相关数据!$P$4:$T$7,4,0)*VLOOKUP(Y354,模板计算相关数据!$P$22:$U$30,4,0)*AB354)</f>
        <v>3790</v>
      </c>
      <c r="AM354" s="3">
        <f>INT(VLOOKUP(U354,模板计算相关数据!A:N,6,0)*VLOOKUP(X354,模板计算相关数据!$P$4:$T$7,4,0)*VLOOKUP(Y354,模板计算相关数据!$P$22:$U$30,5,0)*AC354)</f>
        <v>2241</v>
      </c>
      <c r="AN354" s="3">
        <f>VLOOKUP(U354,模板计算相关数据!A:N,10,0)*0.5*VLOOKUP(Y354,模板计算相关数据!$P$22:$U$30,6,0)+AD354</f>
        <v>250</v>
      </c>
      <c r="AO354" s="3">
        <f>VLOOKUP(INT(VLOOKUP(U354,模板计算相关数据!A:N,2,0)/30)+1,模板计算相关数据!$O$35:$U$40,3,0)+AE354</f>
        <v>0</v>
      </c>
      <c r="AP354" s="3">
        <f>VLOOKUP(INT(VLOOKUP(U354,模板计算相关数据!A:N,2,0)/30)+1,模板计算相关数据!$O$35:$U$40,4,0)+AF354</f>
        <v>5000</v>
      </c>
      <c r="AQ354" s="3">
        <f>VLOOKUP(INT(VLOOKUP(U354,模板计算相关数据!A:N,2,0)/30)+1,模板计算相关数据!$O$35:$U$40,5,0)+AG354</f>
        <v>0</v>
      </c>
      <c r="AR354" s="3">
        <f>VLOOKUP(INT(VLOOKUP(U354,模板计算相关数据!A:N,2,0)/30)+1,模板计算相关数据!$O$35:$U$40,6,0)+AH354</f>
        <v>0</v>
      </c>
      <c r="AS354" s="3">
        <f>VLOOKUP(INT(VLOOKUP(U354,模板计算相关数据!A:N,2,0)/30)+1,模板计算相关数据!$O$35:$U$40,7,0)+AI354</f>
        <v>0</v>
      </c>
      <c r="AT354" s="3">
        <f>VLOOKUP(INT(VLOOKUP(U354,模板计算相关数据!A:N,2,0)/30)+1,模板计算相关数据!$O$35:$V$40,8,0)</f>
        <v>0</v>
      </c>
      <c r="AU354" s="2"/>
    </row>
    <row r="355" spans="1:47" x14ac:dyDescent="0.2">
      <c r="A355" s="3">
        <v>303108</v>
      </c>
      <c r="B355" s="3"/>
      <c r="C355" s="69" t="s">
        <v>1741</v>
      </c>
      <c r="D355" s="69" t="s">
        <v>1045</v>
      </c>
      <c r="E355" s="2"/>
      <c r="F355" s="3">
        <v>3</v>
      </c>
      <c r="G355" s="3">
        <v>1002801</v>
      </c>
      <c r="H355" s="3">
        <v>1</v>
      </c>
      <c r="I355" s="3">
        <v>4</v>
      </c>
      <c r="J355" s="3">
        <v>3</v>
      </c>
      <c r="K355" s="3"/>
      <c r="L355" s="69" t="s">
        <v>934</v>
      </c>
      <c r="M355" s="2"/>
      <c r="N355" s="2">
        <v>1</v>
      </c>
      <c r="O355" s="2"/>
      <c r="P355" s="3" t="s">
        <v>1615</v>
      </c>
      <c r="Q355" s="95">
        <f t="shared" si="51"/>
        <v>4.417254901960785</v>
      </c>
      <c r="R355" s="133">
        <f>IF(P355=模板计算相关数据!$AB$24,VLOOKUP(X355,模板计算相关数据!$P$47:$T$50,2,0),VLOOKUP(X355,模板计算相关数据!$P$4:$U$7,3,0))*VLOOKUP(Y355,模板计算相关数据!$P$22:$X$30,8,0)</f>
        <v>4.417254901960785</v>
      </c>
      <c r="S355" s="62">
        <v>5</v>
      </c>
      <c r="T355" s="133">
        <f>IF(P355=模板计算相关数据!$AB$24,VLOOKUP(X355,模板计算相关数据!$P$47:$T$50,5,0),VLOOKUP(X355,模板计算相关数据!$P$4:$U$7,6,0))*VLOOKUP(Y355,模板计算相关数据!$P$22:$X$30,9,0)</f>
        <v>5.4285280003474252</v>
      </c>
      <c r="U355" s="98">
        <v>41</v>
      </c>
      <c r="V355" s="95">
        <f t="shared" si="29"/>
        <v>48</v>
      </c>
      <c r="W355" s="29">
        <f>VLOOKUP(U355,模板计算相关数据!A:N,2,0)</f>
        <v>45</v>
      </c>
      <c r="X355" s="3" t="s">
        <v>151</v>
      </c>
      <c r="Y355" s="3" t="s">
        <v>152</v>
      </c>
      <c r="Z355" s="99">
        <v>1</v>
      </c>
      <c r="AA355" s="95">
        <v>1</v>
      </c>
      <c r="AB355" s="95">
        <v>1</v>
      </c>
      <c r="AC355" s="95">
        <v>1</v>
      </c>
      <c r="AD355" s="95">
        <v>0</v>
      </c>
      <c r="AE355" s="95">
        <v>0</v>
      </c>
      <c r="AF355" s="95">
        <v>0</v>
      </c>
      <c r="AG355" s="95">
        <v>0</v>
      </c>
      <c r="AH355" s="95">
        <v>0</v>
      </c>
      <c r="AI355" s="95">
        <v>0</v>
      </c>
      <c r="AJ355" s="3">
        <f>INT(VLOOKUP(U355,模板计算相关数据!A:N,4,0)*VLOOKUP(U355,模板计算相关数据!A:N,14,0)*(1+MAX(0,(VLOOKUP(U355,模板计算相关数据!A:N,7,0)-AQ355))*VLOOKUP(U355,模板计算相关数据!A:N,8,0))*(1-(AL355+AM355)*0.5/((AL355+AM355)*0.5+(VLOOKUP(U355,模板计算相关数据!A:N,2,0)+模板计算相关数据!$AC$27)*模板计算相关数据!$AC$28))*Q355*Z355)</f>
        <v>5167</v>
      </c>
      <c r="AK355" s="3">
        <f>INT(VLOOKUP(U355,模板计算相关数据!A:N,3,0)/模板计算相关数据!$W$35/(1+MAX(0,(AO355/10000-VLOOKUP(U355,模板计算相关数据!A:N,9,0)))*AP355/10000)/(1-VLOOKUP(U355,模板计算相关数据!A:N,5,0)/(VLOOKUP(U355,模板计算相关数据!A:N,5,0)+(VLOOKUP(U355,模板计算相关数据!A:N,2,0)+模板计算相关数据!$AC$27)*模板计算相关数据!$AC$28))/S355*AA355)</f>
        <v>2114</v>
      </c>
      <c r="AL355" s="3">
        <f>INT(VLOOKUP(U355,模板计算相关数据!A:N,5,0)*VLOOKUP(X355,模板计算相关数据!$P$4:$T$7,4,0)*VLOOKUP(Y355,模板计算相关数据!$P$22:$U$30,4,0)*AB355)</f>
        <v>3790</v>
      </c>
      <c r="AM355" s="3">
        <f>INT(VLOOKUP(U355,模板计算相关数据!A:N,6,0)*VLOOKUP(X355,模板计算相关数据!$P$4:$T$7,4,0)*VLOOKUP(Y355,模板计算相关数据!$P$22:$U$30,5,0)*AC355)</f>
        <v>2241</v>
      </c>
      <c r="AN355" s="3">
        <f>VLOOKUP(U355,模板计算相关数据!A:N,10,0)*0.5*VLOOKUP(Y355,模板计算相关数据!$P$22:$U$30,6,0)+AD355</f>
        <v>250</v>
      </c>
      <c r="AO355" s="3">
        <f>VLOOKUP(INT(VLOOKUP(U355,模板计算相关数据!A:N,2,0)/30)+1,模板计算相关数据!$O$35:$U$40,3,0)+AE355</f>
        <v>0</v>
      </c>
      <c r="AP355" s="3">
        <f>VLOOKUP(INT(VLOOKUP(U355,模板计算相关数据!A:N,2,0)/30)+1,模板计算相关数据!$O$35:$U$40,4,0)+AF355</f>
        <v>5000</v>
      </c>
      <c r="AQ355" s="3">
        <f>VLOOKUP(INT(VLOOKUP(U355,模板计算相关数据!A:N,2,0)/30)+1,模板计算相关数据!$O$35:$U$40,5,0)+AG355</f>
        <v>0</v>
      </c>
      <c r="AR355" s="3">
        <f>VLOOKUP(INT(VLOOKUP(U355,模板计算相关数据!A:N,2,0)/30)+1,模板计算相关数据!$O$35:$U$40,6,0)+AH355</f>
        <v>0</v>
      </c>
      <c r="AS355" s="3">
        <f>VLOOKUP(INT(VLOOKUP(U355,模板计算相关数据!A:N,2,0)/30)+1,模板计算相关数据!$O$35:$U$40,7,0)+AI355</f>
        <v>0</v>
      </c>
      <c r="AT355" s="3">
        <f>VLOOKUP(INT(VLOOKUP(U355,模板计算相关数据!A:N,2,0)/30)+1,模板计算相关数据!$O$35:$V$40,8,0)</f>
        <v>0</v>
      </c>
      <c r="AU355" s="2"/>
    </row>
    <row r="356" spans="1:47" x14ac:dyDescent="0.2">
      <c r="A356" s="3">
        <v>303109</v>
      </c>
      <c r="B356" s="3"/>
      <c r="C356" s="69" t="s">
        <v>1737</v>
      </c>
      <c r="D356" s="69" t="s">
        <v>1047</v>
      </c>
      <c r="E356" s="2"/>
      <c r="F356" s="3">
        <v>2</v>
      </c>
      <c r="G356" s="3">
        <v>1001401</v>
      </c>
      <c r="H356" s="3">
        <v>4</v>
      </c>
      <c r="I356" s="3">
        <v>4</v>
      </c>
      <c r="J356" s="3">
        <v>3</v>
      </c>
      <c r="K356" s="3"/>
      <c r="L356" s="69" t="s">
        <v>1640</v>
      </c>
      <c r="M356" s="2"/>
      <c r="N356" s="2">
        <v>1</v>
      </c>
      <c r="O356" s="2"/>
      <c r="P356" s="3" t="s">
        <v>1615</v>
      </c>
      <c r="Q356" s="95">
        <f t="shared" si="51"/>
        <v>4.4674509803921572</v>
      </c>
      <c r="R356" s="133">
        <f>IF(P356=模板计算相关数据!$AB$24,VLOOKUP(X356,模板计算相关数据!$P$47:$T$50,2,0),VLOOKUP(X356,模板计算相关数据!$P$4:$U$7,3,0))*VLOOKUP(Y356,模板计算相关数据!$P$22:$X$30,8,0)</f>
        <v>4.4674509803921572</v>
      </c>
      <c r="S356" s="62">
        <v>5.5</v>
      </c>
      <c r="T356" s="133">
        <f>IF(P356=模板计算相关数据!$AB$24,VLOOKUP(X356,模板计算相关数据!$P$47:$T$50,5,0),VLOOKUP(X356,模板计算相关数据!$P$4:$U$7,6,0))*VLOOKUP(Y356,模板计算相关数据!$P$22:$X$30,9,0)</f>
        <v>5.4739930589768004</v>
      </c>
      <c r="U356" s="98">
        <v>39</v>
      </c>
      <c r="V356" s="95">
        <f t="shared" si="29"/>
        <v>20</v>
      </c>
      <c r="W356" s="29">
        <f>VLOOKUP(U356,模板计算相关数据!A:N,2,0)</f>
        <v>17</v>
      </c>
      <c r="X356" s="3" t="s">
        <v>151</v>
      </c>
      <c r="Y356" s="3" t="s">
        <v>162</v>
      </c>
      <c r="Z356" s="99">
        <v>1</v>
      </c>
      <c r="AA356" s="95">
        <v>1</v>
      </c>
      <c r="AB356" s="95">
        <v>1</v>
      </c>
      <c r="AC356" s="95">
        <v>1</v>
      </c>
      <c r="AD356" s="95">
        <v>0</v>
      </c>
      <c r="AE356" s="95">
        <v>0</v>
      </c>
      <c r="AF356" s="95">
        <v>0</v>
      </c>
      <c r="AG356" s="95">
        <v>0</v>
      </c>
      <c r="AH356" s="95">
        <v>0</v>
      </c>
      <c r="AI356" s="95">
        <v>0</v>
      </c>
      <c r="AJ356" s="3">
        <f>INT(VLOOKUP(U356,模板计算相关数据!A:N,4,0)*VLOOKUP(U356,模板计算相关数据!A:N,14,0)*(1+MAX(0,(VLOOKUP(U356,模板计算相关数据!A:N,7,0)-AQ356))*VLOOKUP(U356,模板计算相关数据!A:N,8,0))*(1-(AL356+AM356)*0.5/((AL356+AM356)*0.5+(VLOOKUP(U356,模板计算相关数据!A:N,2,0)+模板计算相关数据!$AC$27)*模板计算相关数据!$AC$28))*Q356*Z356)</f>
        <v>1817</v>
      </c>
      <c r="AK356" s="3">
        <f>INT(VLOOKUP(U356,模板计算相关数据!A:N,3,0)/模板计算相关数据!$W$35/(1+MAX(0,(AO356/10000-VLOOKUP(U356,模板计算相关数据!A:N,9,0)))*AP356/10000)/(1-VLOOKUP(U356,模板计算相关数据!A:N,5,0)/(VLOOKUP(U356,模板计算相关数据!A:N,5,0)+(VLOOKUP(U356,模板计算相关数据!A:N,2,0)+模板计算相关数据!$AC$27)*模板计算相关数据!$AC$28))/S356*AA356)</f>
        <v>607</v>
      </c>
      <c r="AL356" s="3">
        <f>INT(VLOOKUP(U356,模板计算相关数据!A:N,5,0)*VLOOKUP(X356,模板计算相关数据!$P$4:$T$7,4,0)*VLOOKUP(Y356,模板计算相关数据!$P$22:$U$30,4,0)*AB356)</f>
        <v>757</v>
      </c>
      <c r="AM356" s="3">
        <f>INT(VLOOKUP(U356,模板计算相关数据!A:N,6,0)*VLOOKUP(X356,模板计算相关数据!$P$4:$T$7,4,0)*VLOOKUP(Y356,模板计算相关数据!$P$22:$U$30,5,0)*AC356)</f>
        <v>1277</v>
      </c>
      <c r="AN356" s="3">
        <f>VLOOKUP(U356,模板计算相关数据!A:N,10,0)*0.5*VLOOKUP(Y356,模板计算相关数据!$P$22:$U$30,6,0)+AD356</f>
        <v>250</v>
      </c>
      <c r="AO356" s="3">
        <f>VLOOKUP(INT(VLOOKUP(U356,模板计算相关数据!A:N,2,0)/30)+1,模板计算相关数据!$O$35:$U$40,3,0)+AE356</f>
        <v>0</v>
      </c>
      <c r="AP356" s="3">
        <f>VLOOKUP(INT(VLOOKUP(U356,模板计算相关数据!A:N,2,0)/30)+1,模板计算相关数据!$O$35:$U$40,4,0)+AF356</f>
        <v>5000</v>
      </c>
      <c r="AQ356" s="3">
        <f>VLOOKUP(INT(VLOOKUP(U356,模板计算相关数据!A:N,2,0)/30)+1,模板计算相关数据!$O$35:$U$40,5,0)+AG356</f>
        <v>0</v>
      </c>
      <c r="AR356" s="3">
        <f>VLOOKUP(INT(VLOOKUP(U356,模板计算相关数据!A:N,2,0)/30)+1,模板计算相关数据!$O$35:$U$40,6,0)+AH356</f>
        <v>0</v>
      </c>
      <c r="AS356" s="3">
        <f>VLOOKUP(INT(VLOOKUP(U356,模板计算相关数据!A:N,2,0)/30)+1,模板计算相关数据!$O$35:$U$40,7,0)+AI356</f>
        <v>0</v>
      </c>
      <c r="AT356" s="3">
        <f>VLOOKUP(INT(VLOOKUP(U356,模板计算相关数据!A:N,2,0)/30)+1,模板计算相关数据!$O$35:$V$40,8,0)</f>
        <v>0</v>
      </c>
      <c r="AU356" s="2"/>
    </row>
    <row r="357" spans="1:47" x14ac:dyDescent="0.2">
      <c r="A357" s="3">
        <v>303110</v>
      </c>
      <c r="B357" s="3"/>
      <c r="C357" s="69" t="s">
        <v>1737</v>
      </c>
      <c r="D357" s="69" t="s">
        <v>1044</v>
      </c>
      <c r="E357" s="2"/>
      <c r="F357" s="3">
        <v>2</v>
      </c>
      <c r="G357" s="3">
        <v>1001401</v>
      </c>
      <c r="H357" s="3">
        <v>4</v>
      </c>
      <c r="I357" s="3">
        <v>4</v>
      </c>
      <c r="J357" s="3">
        <v>3</v>
      </c>
      <c r="K357" s="3"/>
      <c r="L357" s="69" t="s">
        <v>1641</v>
      </c>
      <c r="M357" s="2"/>
      <c r="N357" s="2">
        <v>1</v>
      </c>
      <c r="O357" s="2"/>
      <c r="P357" s="3" t="s">
        <v>1615</v>
      </c>
      <c r="Q357" s="95">
        <f t="shared" si="51"/>
        <v>4.4674509803921572</v>
      </c>
      <c r="R357" s="133">
        <f>IF(P357=模板计算相关数据!$AB$24,VLOOKUP(X357,模板计算相关数据!$P$47:$T$50,2,0),VLOOKUP(X357,模板计算相关数据!$P$4:$U$7,3,0))*VLOOKUP(Y357,模板计算相关数据!$P$22:$X$30,8,0)</f>
        <v>4.4674509803921572</v>
      </c>
      <c r="S357" s="62">
        <v>5.4</v>
      </c>
      <c r="T357" s="133">
        <f>IF(P357=模板计算相关数据!$AB$24,VLOOKUP(X357,模板计算相关数据!$P$47:$T$50,5,0),VLOOKUP(X357,模板计算相关数据!$P$4:$U$7,6,0))*VLOOKUP(Y357,模板计算相关数据!$P$22:$X$30,9,0)</f>
        <v>5.4739930589768004</v>
      </c>
      <c r="U357" s="98">
        <v>40</v>
      </c>
      <c r="V357" s="95">
        <f t="shared" si="29"/>
        <v>33</v>
      </c>
      <c r="W357" s="29">
        <f>VLOOKUP(U357,模板计算相关数据!A:N,2,0)</f>
        <v>30</v>
      </c>
      <c r="X357" s="3" t="s">
        <v>151</v>
      </c>
      <c r="Y357" s="3" t="s">
        <v>162</v>
      </c>
      <c r="Z357" s="99">
        <v>1</v>
      </c>
      <c r="AA357" s="95">
        <v>1</v>
      </c>
      <c r="AB357" s="95">
        <v>1</v>
      </c>
      <c r="AC357" s="95">
        <v>1</v>
      </c>
      <c r="AD357" s="95">
        <v>0</v>
      </c>
      <c r="AE357" s="95">
        <v>0</v>
      </c>
      <c r="AF357" s="95">
        <v>0</v>
      </c>
      <c r="AG357" s="95">
        <v>0</v>
      </c>
      <c r="AH357" s="95">
        <v>0</v>
      </c>
      <c r="AI357" s="95">
        <v>0</v>
      </c>
      <c r="AJ357" s="3">
        <f>INT(VLOOKUP(U357,模板计算相关数据!A:N,4,0)*VLOOKUP(U357,模板计算相关数据!A:N,14,0)*(1+MAX(0,(VLOOKUP(U357,模板计算相关数据!A:N,7,0)-AQ357))*VLOOKUP(U357,模板计算相关数据!A:N,8,0))*(1-(AL357+AM357)*0.5/((AL357+AM357)*0.5+(VLOOKUP(U357,模板计算相关数据!A:N,2,0)+模板计算相关数据!$AC$27)*模板计算相关数据!$AC$28))*Q357*Z357)</f>
        <v>3291</v>
      </c>
      <c r="AK357" s="3">
        <f>INT(VLOOKUP(U357,模板计算相关数据!A:N,3,0)/模板计算相关数据!$W$35/(1+MAX(0,(AO357/10000-VLOOKUP(U357,模板计算相关数据!A:N,9,0)))*AP357/10000)/(1-VLOOKUP(U357,模板计算相关数据!A:N,5,0)/(VLOOKUP(U357,模板计算相关数据!A:N,5,0)+(VLOOKUP(U357,模板计算相关数据!A:N,2,0)+模板计算相关数据!$AC$27)*模板计算相关数据!$AC$28))/S357*AA357)</f>
        <v>1222</v>
      </c>
      <c r="AL357" s="3">
        <f>INT(VLOOKUP(U357,模板计算相关数据!A:N,5,0)*VLOOKUP(X357,模板计算相关数据!$P$4:$T$7,4,0)*VLOOKUP(Y357,模板计算相关数据!$P$22:$U$30,4,0)*AB357)</f>
        <v>1426</v>
      </c>
      <c r="AM357" s="3">
        <f>INT(VLOOKUP(U357,模板计算相关数据!A:N,6,0)*VLOOKUP(X357,模板计算相关数据!$P$4:$T$7,4,0)*VLOOKUP(Y357,模板计算相关数据!$P$22:$U$30,5,0)*AC357)</f>
        <v>2407</v>
      </c>
      <c r="AN357" s="3">
        <f>VLOOKUP(U357,模板计算相关数据!A:N,10,0)*0.5*VLOOKUP(Y357,模板计算相关数据!$P$22:$U$30,6,0)+AD357</f>
        <v>250</v>
      </c>
      <c r="AO357" s="3">
        <f>VLOOKUP(INT(VLOOKUP(U357,模板计算相关数据!A:N,2,0)/30)+1,模板计算相关数据!$O$35:$U$40,3,0)+AE357</f>
        <v>0</v>
      </c>
      <c r="AP357" s="3">
        <f>VLOOKUP(INT(VLOOKUP(U357,模板计算相关数据!A:N,2,0)/30)+1,模板计算相关数据!$O$35:$U$40,4,0)+AF357</f>
        <v>5000</v>
      </c>
      <c r="AQ357" s="3">
        <f>VLOOKUP(INT(VLOOKUP(U357,模板计算相关数据!A:N,2,0)/30)+1,模板计算相关数据!$O$35:$U$40,5,0)+AG357</f>
        <v>0</v>
      </c>
      <c r="AR357" s="3">
        <f>VLOOKUP(INT(VLOOKUP(U357,模板计算相关数据!A:N,2,0)/30)+1,模板计算相关数据!$O$35:$U$40,6,0)+AH357</f>
        <v>0</v>
      </c>
      <c r="AS357" s="3">
        <f>VLOOKUP(INT(VLOOKUP(U357,模板计算相关数据!A:N,2,0)/30)+1,模板计算相关数据!$O$35:$U$40,7,0)+AI357</f>
        <v>0</v>
      </c>
      <c r="AT357" s="3">
        <f>VLOOKUP(INT(VLOOKUP(U357,模板计算相关数据!A:N,2,0)/30)+1,模板计算相关数据!$O$35:$V$40,8,0)</f>
        <v>0</v>
      </c>
      <c r="AU357" s="2"/>
    </row>
    <row r="358" spans="1:47" x14ac:dyDescent="0.2">
      <c r="A358" s="3">
        <v>303111</v>
      </c>
      <c r="B358" s="3"/>
      <c r="C358" s="69" t="s">
        <v>1737</v>
      </c>
      <c r="D358" s="69" t="s">
        <v>1045</v>
      </c>
      <c r="E358" s="2"/>
      <c r="F358" s="3">
        <v>2</v>
      </c>
      <c r="G358" s="3">
        <v>1001401</v>
      </c>
      <c r="H358" s="3">
        <v>4</v>
      </c>
      <c r="I358" s="3">
        <v>4</v>
      </c>
      <c r="J358" s="3">
        <v>3</v>
      </c>
      <c r="K358" s="3"/>
      <c r="L358" s="69" t="s">
        <v>1642</v>
      </c>
      <c r="M358" s="2"/>
      <c r="N358" s="2">
        <v>1</v>
      </c>
      <c r="O358" s="2"/>
      <c r="P358" s="3" t="s">
        <v>1615</v>
      </c>
      <c r="Q358" s="95">
        <f t="shared" si="51"/>
        <v>4.4674509803921572</v>
      </c>
      <c r="R358" s="133">
        <f>IF(P358=模板计算相关数据!$AB$24,VLOOKUP(X358,模板计算相关数据!$P$47:$T$50,2,0),VLOOKUP(X358,模板计算相关数据!$P$4:$U$7,3,0))*VLOOKUP(Y358,模板计算相关数据!$P$22:$X$30,8,0)</f>
        <v>4.4674509803921572</v>
      </c>
      <c r="S358" s="62">
        <v>5.3</v>
      </c>
      <c r="T358" s="133">
        <f>IF(P358=模板计算相关数据!$AB$24,VLOOKUP(X358,模板计算相关数据!$P$47:$T$50,5,0),VLOOKUP(X358,模板计算相关数据!$P$4:$U$7,6,0))*VLOOKUP(Y358,模板计算相关数据!$P$22:$X$30,9,0)</f>
        <v>5.4739930589768004</v>
      </c>
      <c r="U358" s="98">
        <v>41</v>
      </c>
      <c r="V358" s="95">
        <f t="shared" si="29"/>
        <v>48</v>
      </c>
      <c r="W358" s="29">
        <f>VLOOKUP(U358,模板计算相关数据!A:N,2,0)</f>
        <v>45</v>
      </c>
      <c r="X358" s="3" t="s">
        <v>151</v>
      </c>
      <c r="Y358" s="3" t="s">
        <v>162</v>
      </c>
      <c r="Z358" s="99">
        <v>1</v>
      </c>
      <c r="AA358" s="95">
        <v>1</v>
      </c>
      <c r="AB358" s="95">
        <v>1</v>
      </c>
      <c r="AC358" s="95">
        <v>1</v>
      </c>
      <c r="AD358" s="95">
        <v>0</v>
      </c>
      <c r="AE358" s="95">
        <v>0</v>
      </c>
      <c r="AF358" s="95">
        <v>0</v>
      </c>
      <c r="AG358" s="95">
        <v>0</v>
      </c>
      <c r="AH358" s="95">
        <v>0</v>
      </c>
      <c r="AI358" s="95">
        <v>0</v>
      </c>
      <c r="AJ358" s="3">
        <f>INT(VLOOKUP(U358,模板计算相关数据!A:N,4,0)*VLOOKUP(U358,模板计算相关数据!A:N,14,0)*(1+MAX(0,(VLOOKUP(U358,模板计算相关数据!A:N,7,0)-AQ358))*VLOOKUP(U358,模板计算相关数据!A:N,8,0))*(1-(AL358+AM358)*0.5/((AL358+AM358)*0.5+(VLOOKUP(U358,模板计算相关数据!A:N,2,0)+模板计算相关数据!$AC$27)*模板计算相关数据!$AC$28))*Q358*Z358)</f>
        <v>5227</v>
      </c>
      <c r="AK358" s="3">
        <f>INT(VLOOKUP(U358,模板计算相关数据!A:N,3,0)/模板计算相关数据!$W$35/(1+MAX(0,(AO358/10000-VLOOKUP(U358,模板计算相关数据!A:N,9,0)))*AP358/10000)/(1-VLOOKUP(U358,模板计算相关数据!A:N,5,0)/(VLOOKUP(U358,模板计算相关数据!A:N,5,0)+(VLOOKUP(U358,模板计算相关数据!A:N,2,0)+模板计算相关数据!$AC$27)*模板计算相关数据!$AC$28))/S358*AA358)</f>
        <v>1995</v>
      </c>
      <c r="AL358" s="3">
        <f>INT(VLOOKUP(U358,模板计算相关数据!A:N,5,0)*VLOOKUP(X358,模板计算相关数据!$P$4:$T$7,4,0)*VLOOKUP(Y358,模板计算相关数据!$P$22:$U$30,4,0)*AB358)</f>
        <v>2246</v>
      </c>
      <c r="AM358" s="3">
        <f>INT(VLOOKUP(U358,模板计算相关数据!A:N,6,0)*VLOOKUP(X358,模板计算相关数据!$P$4:$T$7,4,0)*VLOOKUP(Y358,模板计算相关数据!$P$22:$U$30,5,0)*AC358)</f>
        <v>3781</v>
      </c>
      <c r="AN358" s="3">
        <f>VLOOKUP(U358,模板计算相关数据!A:N,10,0)*0.5*VLOOKUP(Y358,模板计算相关数据!$P$22:$U$30,6,0)+AD358</f>
        <v>250</v>
      </c>
      <c r="AO358" s="3">
        <f>VLOOKUP(INT(VLOOKUP(U358,模板计算相关数据!A:N,2,0)/30)+1,模板计算相关数据!$O$35:$U$40,3,0)+AE358</f>
        <v>0</v>
      </c>
      <c r="AP358" s="3">
        <f>VLOOKUP(INT(VLOOKUP(U358,模板计算相关数据!A:N,2,0)/30)+1,模板计算相关数据!$O$35:$U$40,4,0)+AF358</f>
        <v>5000</v>
      </c>
      <c r="AQ358" s="3">
        <f>VLOOKUP(INT(VLOOKUP(U358,模板计算相关数据!A:N,2,0)/30)+1,模板计算相关数据!$O$35:$U$40,5,0)+AG358</f>
        <v>0</v>
      </c>
      <c r="AR358" s="3">
        <f>VLOOKUP(INT(VLOOKUP(U358,模板计算相关数据!A:N,2,0)/30)+1,模板计算相关数据!$O$35:$U$40,6,0)+AH358</f>
        <v>0</v>
      </c>
      <c r="AS358" s="3">
        <f>VLOOKUP(INT(VLOOKUP(U358,模板计算相关数据!A:N,2,0)/30)+1,模板计算相关数据!$O$35:$U$40,7,0)+AI358</f>
        <v>0</v>
      </c>
      <c r="AT358" s="3">
        <f>VLOOKUP(INT(VLOOKUP(U358,模板计算相关数据!A:N,2,0)/30)+1,模板计算相关数据!$O$35:$V$40,8,0)</f>
        <v>0</v>
      </c>
      <c r="AU358" s="2"/>
    </row>
    <row r="359" spans="1:47" x14ac:dyDescent="0.2">
      <c r="A359" s="3">
        <v>303112</v>
      </c>
      <c r="B359" s="3"/>
      <c r="C359" s="69" t="s">
        <v>1743</v>
      </c>
      <c r="D359" s="69" t="s">
        <v>1048</v>
      </c>
      <c r="E359" s="2"/>
      <c r="F359" s="3">
        <v>1</v>
      </c>
      <c r="G359" s="3">
        <v>1003401</v>
      </c>
      <c r="H359" s="3">
        <v>2</v>
      </c>
      <c r="I359" s="3">
        <v>4</v>
      </c>
      <c r="J359" s="3">
        <v>3</v>
      </c>
      <c r="K359" s="3"/>
      <c r="L359" s="69" t="s">
        <v>971</v>
      </c>
      <c r="M359" s="2"/>
      <c r="N359" s="2">
        <v>1</v>
      </c>
      <c r="O359" s="2"/>
      <c r="P359" s="3" t="s">
        <v>1615</v>
      </c>
      <c r="Q359" s="95">
        <v>7.8</v>
      </c>
      <c r="R359" s="133">
        <f>IF(P359=模板计算相关数据!$AB$24,VLOOKUP(X359,模板计算相关数据!$P$47:$T$50,2,0),VLOOKUP(X359,模板计算相关数据!$P$4:$U$7,3,0))*VLOOKUP(Y359,模板计算相关数据!$P$22:$X$30,8,0)</f>
        <v>6.9411764705882364</v>
      </c>
      <c r="S359" s="62">
        <v>5.2</v>
      </c>
      <c r="T359" s="133">
        <f>IF(P359=模板计算相关数据!$AB$24,VLOOKUP(X359,模板计算相关数据!$P$47:$T$50,5,0),VLOOKUP(X359,模板计算相关数据!$P$4:$U$7,6,0))*VLOOKUP(Y359,模板计算相关数据!$P$22:$X$30,9,0)</f>
        <v>8.2943498888557112</v>
      </c>
      <c r="U359" s="98">
        <v>41</v>
      </c>
      <c r="V359" s="95">
        <f t="shared" si="29"/>
        <v>48</v>
      </c>
      <c r="W359" s="29">
        <f>VLOOKUP(U359,模板计算相关数据!A:N,2,0)</f>
        <v>45</v>
      </c>
      <c r="X359" s="3" t="s">
        <v>151</v>
      </c>
      <c r="Y359" s="3" t="s">
        <v>155</v>
      </c>
      <c r="Z359" s="99">
        <v>1</v>
      </c>
      <c r="AA359" s="95">
        <v>1</v>
      </c>
      <c r="AB359" s="95">
        <v>1</v>
      </c>
      <c r="AC359" s="95">
        <v>1</v>
      </c>
      <c r="AD359" s="95">
        <v>0</v>
      </c>
      <c r="AE359" s="95">
        <v>0</v>
      </c>
      <c r="AF359" s="95">
        <v>0</v>
      </c>
      <c r="AG359" s="95">
        <v>0</v>
      </c>
      <c r="AH359" s="95">
        <v>0</v>
      </c>
      <c r="AI359" s="95">
        <v>0</v>
      </c>
      <c r="AJ359" s="3">
        <f>INT(VLOOKUP(U359,模板计算相关数据!A:N,4,0)*VLOOKUP(U359,模板计算相关数据!A:N,14,0)*(1+MAX(0,(VLOOKUP(U359,模板计算相关数据!A:N,7,0)-AQ359))*VLOOKUP(U359,模板计算相关数据!A:N,8,0))*(1-(AL359+AM359)*0.5/((AL359+AM359)*0.5+(VLOOKUP(U359,模板计算相关数据!A:N,2,0)+模板计算相关数据!$AC$27)*模板计算相关数据!$AC$28))*Q359*Z359)</f>
        <v>8542</v>
      </c>
      <c r="AK359" s="3">
        <f>INT(VLOOKUP(U359,模板计算相关数据!A:N,3,0)/模板计算相关数据!$W$35/(1+MAX(0,(AO359/10000-VLOOKUP(U359,模板计算相关数据!A:N,9,0)))*AP359/10000)/(1-VLOOKUP(U359,模板计算相关数据!A:N,5,0)/(VLOOKUP(U359,模板计算相关数据!A:N,5,0)+(VLOOKUP(U359,模板计算相关数据!A:N,2,0)+模板计算相关数据!$AC$27)*模板计算相关数据!$AC$28))/S359*AA359)</f>
        <v>2033</v>
      </c>
      <c r="AL359" s="3">
        <f>INT(VLOOKUP(U359,模板计算相关数据!A:N,5,0)*VLOOKUP(X359,模板计算相关数据!$P$4:$T$7,4,0)*VLOOKUP(Y359,模板计算相关数据!$P$22:$U$30,4,0)*AB359)</f>
        <v>4562</v>
      </c>
      <c r="AM359" s="3">
        <f>INT(VLOOKUP(U359,模板计算相关数据!A:N,6,0)*VLOOKUP(X359,模板计算相关数据!$P$4:$T$7,4,0)*VLOOKUP(Y359,模板计算相关数据!$P$22:$U$30,5,0)*AC359)</f>
        <v>2521</v>
      </c>
      <c r="AN359" s="3">
        <f>VLOOKUP(U359,模板计算相关数据!A:N,10,0)*0.5*VLOOKUP(Y359,模板计算相关数据!$P$22:$U$30,6,0)+AD359</f>
        <v>225</v>
      </c>
      <c r="AO359" s="3">
        <f>VLOOKUP(INT(VLOOKUP(U359,模板计算相关数据!A:N,2,0)/30)+1,模板计算相关数据!$O$35:$U$40,3,0)+AE359</f>
        <v>0</v>
      </c>
      <c r="AP359" s="3">
        <f>VLOOKUP(INT(VLOOKUP(U359,模板计算相关数据!A:N,2,0)/30)+1,模板计算相关数据!$O$35:$U$40,4,0)+AF359</f>
        <v>5000</v>
      </c>
      <c r="AQ359" s="3">
        <f>VLOOKUP(INT(VLOOKUP(U359,模板计算相关数据!A:N,2,0)/30)+1,模板计算相关数据!$O$35:$U$40,5,0)+AG359</f>
        <v>0</v>
      </c>
      <c r="AR359" s="3">
        <f>VLOOKUP(INT(VLOOKUP(U359,模板计算相关数据!A:N,2,0)/30)+1,模板计算相关数据!$O$35:$U$40,6,0)+AH359</f>
        <v>0</v>
      </c>
      <c r="AS359" s="3">
        <f>VLOOKUP(INT(VLOOKUP(U359,模板计算相关数据!A:N,2,0)/30)+1,模板计算相关数据!$O$35:$U$40,7,0)+AI359</f>
        <v>0</v>
      </c>
      <c r="AT359" s="3">
        <f>VLOOKUP(INT(VLOOKUP(U359,模板计算相关数据!A:N,2,0)/30)+1,模板计算相关数据!$O$35:$V$40,8,0)</f>
        <v>0</v>
      </c>
      <c r="AU359" s="2"/>
    </row>
    <row r="360" spans="1:47" x14ac:dyDescent="0.2">
      <c r="A360" s="3">
        <v>303113</v>
      </c>
      <c r="B360" s="3"/>
      <c r="C360" s="69" t="s">
        <v>1741</v>
      </c>
      <c r="D360" s="69" t="s">
        <v>1048</v>
      </c>
      <c r="E360" s="2"/>
      <c r="F360" s="3">
        <v>3</v>
      </c>
      <c r="G360" s="3">
        <v>1002801</v>
      </c>
      <c r="H360" s="3">
        <v>1</v>
      </c>
      <c r="I360" s="3">
        <v>4</v>
      </c>
      <c r="J360" s="3">
        <v>3</v>
      </c>
      <c r="K360" s="3"/>
      <c r="L360" s="69" t="s">
        <v>972</v>
      </c>
      <c r="M360" s="2"/>
      <c r="N360" s="2">
        <v>1</v>
      </c>
      <c r="O360" s="2"/>
      <c r="P360" s="3" t="s">
        <v>1615</v>
      </c>
      <c r="Q360" s="95">
        <f t="shared" si="51"/>
        <v>4.417254901960785</v>
      </c>
      <c r="R360" s="133">
        <f>IF(P360=模板计算相关数据!$AB$24,VLOOKUP(X360,模板计算相关数据!$P$47:$T$50,2,0),VLOOKUP(X360,模板计算相关数据!$P$4:$U$7,3,0))*VLOOKUP(Y360,模板计算相关数据!$P$22:$X$30,8,0)</f>
        <v>4.417254901960785</v>
      </c>
      <c r="S360" s="62">
        <v>4.9000000000000004</v>
      </c>
      <c r="T360" s="133">
        <f>IF(P360=模板计算相关数据!$AB$24,VLOOKUP(X360,模板计算相关数据!$P$47:$T$50,5,0),VLOOKUP(X360,模板计算相关数据!$P$4:$U$7,6,0))*VLOOKUP(Y360,模板计算相关数据!$P$22:$X$30,9,0)</f>
        <v>5.4285280003474252</v>
      </c>
      <c r="U360" s="98">
        <v>41</v>
      </c>
      <c r="V360" s="95">
        <f t="shared" si="29"/>
        <v>48</v>
      </c>
      <c r="W360" s="29">
        <f>VLOOKUP(U360,模板计算相关数据!A:N,2,0)</f>
        <v>45</v>
      </c>
      <c r="X360" s="3" t="s">
        <v>151</v>
      </c>
      <c r="Y360" s="3" t="s">
        <v>152</v>
      </c>
      <c r="Z360" s="99">
        <v>1</v>
      </c>
      <c r="AA360" s="95">
        <v>1</v>
      </c>
      <c r="AB360" s="95">
        <v>1</v>
      </c>
      <c r="AC360" s="95">
        <v>1</v>
      </c>
      <c r="AD360" s="95">
        <v>0</v>
      </c>
      <c r="AE360" s="95">
        <v>0</v>
      </c>
      <c r="AF360" s="95">
        <v>0</v>
      </c>
      <c r="AG360" s="95">
        <v>0</v>
      </c>
      <c r="AH360" s="95">
        <v>0</v>
      </c>
      <c r="AI360" s="95">
        <v>0</v>
      </c>
      <c r="AJ360" s="3">
        <f>INT(VLOOKUP(U360,模板计算相关数据!A:N,4,0)*VLOOKUP(U360,模板计算相关数据!A:N,14,0)*(1+MAX(0,(VLOOKUP(U360,模板计算相关数据!A:N,7,0)-AQ360))*VLOOKUP(U360,模板计算相关数据!A:N,8,0))*(1-(AL360+AM360)*0.5/((AL360+AM360)*0.5+(VLOOKUP(U360,模板计算相关数据!A:N,2,0)+模板计算相关数据!$AC$27)*模板计算相关数据!$AC$28))*Q360*Z360)</f>
        <v>5167</v>
      </c>
      <c r="AK360" s="3">
        <f>INT(VLOOKUP(U360,模板计算相关数据!A:N,3,0)/模板计算相关数据!$W$35/(1+MAX(0,(AO360/10000-VLOOKUP(U360,模板计算相关数据!A:N,9,0)))*AP360/10000)/(1-VLOOKUP(U360,模板计算相关数据!A:N,5,0)/(VLOOKUP(U360,模板计算相关数据!A:N,5,0)+(VLOOKUP(U360,模板计算相关数据!A:N,2,0)+模板计算相关数据!$AC$27)*模板计算相关数据!$AC$28))/S360*AA360)</f>
        <v>2158</v>
      </c>
      <c r="AL360" s="3">
        <f>INT(VLOOKUP(U360,模板计算相关数据!A:N,5,0)*VLOOKUP(X360,模板计算相关数据!$P$4:$T$7,4,0)*VLOOKUP(Y360,模板计算相关数据!$P$22:$U$30,4,0)*AB360)</f>
        <v>3790</v>
      </c>
      <c r="AM360" s="3">
        <f>INT(VLOOKUP(U360,模板计算相关数据!A:N,6,0)*VLOOKUP(X360,模板计算相关数据!$P$4:$T$7,4,0)*VLOOKUP(Y360,模板计算相关数据!$P$22:$U$30,5,0)*AC360)</f>
        <v>2241</v>
      </c>
      <c r="AN360" s="3">
        <f>VLOOKUP(U360,模板计算相关数据!A:N,10,0)*0.5*VLOOKUP(Y360,模板计算相关数据!$P$22:$U$30,6,0)+AD360</f>
        <v>250</v>
      </c>
      <c r="AO360" s="3">
        <f>VLOOKUP(INT(VLOOKUP(U360,模板计算相关数据!A:N,2,0)/30)+1,模板计算相关数据!$O$35:$U$40,3,0)+AE360</f>
        <v>0</v>
      </c>
      <c r="AP360" s="3">
        <f>VLOOKUP(INT(VLOOKUP(U360,模板计算相关数据!A:N,2,0)/30)+1,模板计算相关数据!$O$35:$U$40,4,0)+AF360</f>
        <v>5000</v>
      </c>
      <c r="AQ360" s="3">
        <f>VLOOKUP(INT(VLOOKUP(U360,模板计算相关数据!A:N,2,0)/30)+1,模板计算相关数据!$O$35:$U$40,5,0)+AG360</f>
        <v>0</v>
      </c>
      <c r="AR360" s="3">
        <f>VLOOKUP(INT(VLOOKUP(U360,模板计算相关数据!A:N,2,0)/30)+1,模板计算相关数据!$O$35:$U$40,6,0)+AH360</f>
        <v>0</v>
      </c>
      <c r="AS360" s="3">
        <f>VLOOKUP(INT(VLOOKUP(U360,模板计算相关数据!A:N,2,0)/30)+1,模板计算相关数据!$O$35:$U$40,7,0)+AI360</f>
        <v>0</v>
      </c>
      <c r="AT360" s="3">
        <f>VLOOKUP(INT(VLOOKUP(U360,模板计算相关数据!A:N,2,0)/30)+1,模板计算相关数据!$O$35:$V$40,8,0)</f>
        <v>0</v>
      </c>
      <c r="AU360" s="2"/>
    </row>
    <row r="361" spans="1:47" x14ac:dyDescent="0.2">
      <c r="A361" s="3">
        <v>303114</v>
      </c>
      <c r="B361" s="3"/>
      <c r="C361" s="69" t="s">
        <v>1737</v>
      </c>
      <c r="D361" s="69" t="s">
        <v>1048</v>
      </c>
      <c r="E361" s="2"/>
      <c r="F361" s="3">
        <v>2</v>
      </c>
      <c r="G361" s="3">
        <v>1001401</v>
      </c>
      <c r="H361" s="3">
        <v>4</v>
      </c>
      <c r="I361" s="3">
        <v>4</v>
      </c>
      <c r="J361" s="3">
        <v>3</v>
      </c>
      <c r="K361" s="3"/>
      <c r="L361" s="69" t="s">
        <v>1643</v>
      </c>
      <c r="M361" s="2"/>
      <c r="N361" s="2">
        <v>1</v>
      </c>
      <c r="O361" s="2"/>
      <c r="P361" s="3" t="s">
        <v>1615</v>
      </c>
      <c r="Q361" s="95">
        <f t="shared" si="51"/>
        <v>4.4674509803921572</v>
      </c>
      <c r="R361" s="133">
        <f>IF(P361=模板计算相关数据!$AB$24,VLOOKUP(X361,模板计算相关数据!$P$47:$T$50,2,0),VLOOKUP(X361,模板计算相关数据!$P$4:$U$7,3,0))*VLOOKUP(Y361,模板计算相关数据!$P$22:$X$30,8,0)</f>
        <v>4.4674509803921572</v>
      </c>
      <c r="S361" s="62">
        <v>5</v>
      </c>
      <c r="T361" s="133">
        <f>IF(P361=模板计算相关数据!$AB$24,VLOOKUP(X361,模板计算相关数据!$P$47:$T$50,5,0),VLOOKUP(X361,模板计算相关数据!$P$4:$U$7,6,0))*VLOOKUP(Y361,模板计算相关数据!$P$22:$X$30,9,0)</f>
        <v>5.4739930589768004</v>
      </c>
      <c r="U361" s="98">
        <v>41</v>
      </c>
      <c r="V361" s="95">
        <f t="shared" si="29"/>
        <v>48</v>
      </c>
      <c r="W361" s="29">
        <f>VLOOKUP(U361,模板计算相关数据!A:N,2,0)</f>
        <v>45</v>
      </c>
      <c r="X361" s="3" t="s">
        <v>151</v>
      </c>
      <c r="Y361" s="3" t="s">
        <v>162</v>
      </c>
      <c r="Z361" s="99">
        <v>1</v>
      </c>
      <c r="AA361" s="95">
        <v>1</v>
      </c>
      <c r="AB361" s="95">
        <v>1</v>
      </c>
      <c r="AC361" s="95">
        <v>1</v>
      </c>
      <c r="AD361" s="95">
        <v>0</v>
      </c>
      <c r="AE361" s="95">
        <v>0</v>
      </c>
      <c r="AF361" s="95">
        <v>0</v>
      </c>
      <c r="AG361" s="95">
        <v>0</v>
      </c>
      <c r="AH361" s="95">
        <v>0</v>
      </c>
      <c r="AI361" s="95">
        <v>0</v>
      </c>
      <c r="AJ361" s="3">
        <f>INT(VLOOKUP(U361,模板计算相关数据!A:N,4,0)*VLOOKUP(U361,模板计算相关数据!A:N,14,0)*(1+MAX(0,(VLOOKUP(U361,模板计算相关数据!A:N,7,0)-AQ361))*VLOOKUP(U361,模板计算相关数据!A:N,8,0))*(1-(AL361+AM361)*0.5/((AL361+AM361)*0.5+(VLOOKUP(U361,模板计算相关数据!A:N,2,0)+模板计算相关数据!$AC$27)*模板计算相关数据!$AC$28))*Q361*Z361)</f>
        <v>5227</v>
      </c>
      <c r="AK361" s="3">
        <f>INT(VLOOKUP(U361,模板计算相关数据!A:N,3,0)/模板计算相关数据!$W$35/(1+MAX(0,(AO361/10000-VLOOKUP(U361,模板计算相关数据!A:N,9,0)))*AP361/10000)/(1-VLOOKUP(U361,模板计算相关数据!A:N,5,0)/(VLOOKUP(U361,模板计算相关数据!A:N,5,0)+(VLOOKUP(U361,模板计算相关数据!A:N,2,0)+模板计算相关数据!$AC$27)*模板计算相关数据!$AC$28))/S361*AA361)</f>
        <v>2114</v>
      </c>
      <c r="AL361" s="3">
        <f>INT(VLOOKUP(U361,模板计算相关数据!A:N,5,0)*VLOOKUP(X361,模板计算相关数据!$P$4:$T$7,4,0)*VLOOKUP(Y361,模板计算相关数据!$P$22:$U$30,4,0)*AB361)</f>
        <v>2246</v>
      </c>
      <c r="AM361" s="3">
        <f>INT(VLOOKUP(U361,模板计算相关数据!A:N,6,0)*VLOOKUP(X361,模板计算相关数据!$P$4:$T$7,4,0)*VLOOKUP(Y361,模板计算相关数据!$P$22:$U$30,5,0)*AC361)</f>
        <v>3781</v>
      </c>
      <c r="AN361" s="3">
        <f>VLOOKUP(U361,模板计算相关数据!A:N,10,0)*0.5*VLOOKUP(Y361,模板计算相关数据!$P$22:$U$30,6,0)+AD361</f>
        <v>250</v>
      </c>
      <c r="AO361" s="3">
        <f>VLOOKUP(INT(VLOOKUP(U361,模板计算相关数据!A:N,2,0)/30)+1,模板计算相关数据!$O$35:$U$40,3,0)+AE361</f>
        <v>0</v>
      </c>
      <c r="AP361" s="3">
        <f>VLOOKUP(INT(VLOOKUP(U361,模板计算相关数据!A:N,2,0)/30)+1,模板计算相关数据!$O$35:$U$40,4,0)+AF361</f>
        <v>5000</v>
      </c>
      <c r="AQ361" s="3">
        <f>VLOOKUP(INT(VLOOKUP(U361,模板计算相关数据!A:N,2,0)/30)+1,模板计算相关数据!$O$35:$U$40,5,0)+AG361</f>
        <v>0</v>
      </c>
      <c r="AR361" s="3">
        <f>VLOOKUP(INT(VLOOKUP(U361,模板计算相关数据!A:N,2,0)/30)+1,模板计算相关数据!$O$35:$U$40,6,0)+AH361</f>
        <v>0</v>
      </c>
      <c r="AS361" s="3">
        <f>VLOOKUP(INT(VLOOKUP(U361,模板计算相关数据!A:N,2,0)/30)+1,模板计算相关数据!$O$35:$U$40,7,0)+AI361</f>
        <v>0</v>
      </c>
      <c r="AT361" s="3">
        <f>VLOOKUP(INT(VLOOKUP(U361,模板计算相关数据!A:N,2,0)/30)+1,模板计算相关数据!$O$35:$V$40,8,0)</f>
        <v>0</v>
      </c>
      <c r="AU361" s="2"/>
    </row>
    <row r="362" spans="1:47" s="149" customFormat="1" x14ac:dyDescent="0.2">
      <c r="A362" s="43">
        <v>303201</v>
      </c>
      <c r="B362" s="43"/>
      <c r="C362" s="25" t="s">
        <v>1744</v>
      </c>
      <c r="D362" s="25" t="s">
        <v>1049</v>
      </c>
      <c r="E362" s="17"/>
      <c r="F362" s="43">
        <v>1</v>
      </c>
      <c r="G362" s="43">
        <v>1003401</v>
      </c>
      <c r="H362" s="43">
        <v>2</v>
      </c>
      <c r="I362" s="43">
        <v>4</v>
      </c>
      <c r="J362" s="43">
        <v>3</v>
      </c>
      <c r="K362" s="43"/>
      <c r="L362" s="17" t="s">
        <v>233</v>
      </c>
      <c r="M362" s="17"/>
      <c r="N362" s="17">
        <v>1</v>
      </c>
      <c r="O362" s="17"/>
      <c r="P362" s="43" t="s">
        <v>1615</v>
      </c>
      <c r="Q362" s="147">
        <f t="shared" si="51"/>
        <v>6.9411764705882364</v>
      </c>
      <c r="R362" s="133">
        <f>IF(P362=模板计算相关数据!$AB$24,VLOOKUP(X362,模板计算相关数据!$P$47:$T$50,2,0),VLOOKUP(X362,模板计算相关数据!$P$4:$U$7,3,0))*VLOOKUP(Y362,模板计算相关数据!$P$22:$X$30,8,0)</f>
        <v>6.9411764705882364</v>
      </c>
      <c r="S362" s="42">
        <v>8</v>
      </c>
      <c r="T362" s="133">
        <f>IF(P362=模板计算相关数据!$AB$24,VLOOKUP(X362,模板计算相关数据!$P$47:$T$50,5,0),VLOOKUP(X362,模板计算相关数据!$P$4:$U$7,6,0))*VLOOKUP(Y362,模板计算相关数据!$P$22:$X$30,9,0)</f>
        <v>8.2943498888557112</v>
      </c>
      <c r="U362" s="150">
        <v>39</v>
      </c>
      <c r="V362" s="95">
        <f t="shared" si="29"/>
        <v>20</v>
      </c>
      <c r="W362" s="29">
        <f>VLOOKUP(U362,模板计算相关数据!A:N,2,0)</f>
        <v>17</v>
      </c>
      <c r="X362" s="43" t="s">
        <v>151</v>
      </c>
      <c r="Y362" s="43" t="s">
        <v>234</v>
      </c>
      <c r="Z362" s="148">
        <v>1</v>
      </c>
      <c r="AA362" s="147">
        <v>1</v>
      </c>
      <c r="AB362" s="147">
        <v>1</v>
      </c>
      <c r="AC362" s="147">
        <v>1</v>
      </c>
      <c r="AD362" s="147">
        <v>0</v>
      </c>
      <c r="AE362" s="147">
        <v>0</v>
      </c>
      <c r="AF362" s="147">
        <v>0</v>
      </c>
      <c r="AG362" s="147">
        <v>0</v>
      </c>
      <c r="AH362" s="147">
        <v>0</v>
      </c>
      <c r="AI362" s="147">
        <v>0</v>
      </c>
      <c r="AJ362" s="43">
        <f>INT(VLOOKUP(U362,模板计算相关数据!A:N,4,0)*VLOOKUP(U362,模板计算相关数据!A:N,14,0)*(1+MAX(0,(VLOOKUP(U362,模板计算相关数据!A:N,7,0)-AQ362))*VLOOKUP(U362,模板计算相关数据!A:N,8,0))*(1-(AL362+AM362)*0.5/((AL362+AM362)*0.5+(VLOOKUP(U362,模板计算相关数据!A:N,2,0)+模板计算相关数据!$AC$27)*模板计算相关数据!$AC$28))*Q362*Z362)</f>
        <v>2667</v>
      </c>
      <c r="AK362" s="43">
        <f>INT(VLOOKUP(U362,模板计算相关数据!A:N,3,0)/模板计算相关数据!$W$35/(1+MAX(0,(AO362/10000-VLOOKUP(U362,模板计算相关数据!A:N,9,0)))*AP362/10000)/(1-VLOOKUP(U362,模板计算相关数据!A:N,5,0)/(VLOOKUP(U362,模板计算相关数据!A:N,5,0)+(VLOOKUP(U362,模板计算相关数据!A:N,2,0)+模板计算相关数据!$AC$27)*模板计算相关数据!$AC$28))/S362*AA362)</f>
        <v>417</v>
      </c>
      <c r="AL362" s="43">
        <f>INT(VLOOKUP(U362,模板计算相关数据!A:N,5,0)*VLOOKUP(X362,模板计算相关数据!$P$4:$T$7,4,0)*VLOOKUP(Y362,模板计算相关数据!$P$22:$U$30,4,0)*AB362)</f>
        <v>851</v>
      </c>
      <c r="AM362" s="43">
        <f>INT(VLOOKUP(U362,模板计算相关数据!A:N,6,0)*VLOOKUP(X362,模板计算相关数据!$P$4:$T$7,4,0)*VLOOKUP(Y362,模板计算相关数据!$P$22:$U$30,5,0)*AC362)</f>
        <v>1538</v>
      </c>
      <c r="AN362" s="43">
        <f>VLOOKUP(U362,模板计算相关数据!A:N,10,0)*0.5*VLOOKUP(Y362,模板计算相关数据!$P$22:$U$30,6,0)+AD362</f>
        <v>225</v>
      </c>
      <c r="AO362" s="43">
        <f>VLOOKUP(INT(VLOOKUP(U362,模板计算相关数据!A:N,2,0)/30)+1,模板计算相关数据!$O$35:$U$40,3,0)+AE362</f>
        <v>0</v>
      </c>
      <c r="AP362" s="43">
        <f>VLOOKUP(INT(VLOOKUP(U362,模板计算相关数据!A:N,2,0)/30)+1,模板计算相关数据!$O$35:$U$40,4,0)+AF362</f>
        <v>5000</v>
      </c>
      <c r="AQ362" s="43">
        <f>VLOOKUP(INT(VLOOKUP(U362,模板计算相关数据!A:N,2,0)/30)+1,模板计算相关数据!$O$35:$U$40,5,0)+AG362</f>
        <v>0</v>
      </c>
      <c r="AR362" s="43">
        <f>VLOOKUP(INT(VLOOKUP(U362,模板计算相关数据!A:N,2,0)/30)+1,模板计算相关数据!$O$35:$U$40,6,0)+AH362</f>
        <v>0</v>
      </c>
      <c r="AS362" s="43">
        <f>VLOOKUP(INT(VLOOKUP(U362,模板计算相关数据!A:N,2,0)/30)+1,模板计算相关数据!$O$35:$U$40,7,0)+AI362</f>
        <v>0</v>
      </c>
      <c r="AT362" s="43">
        <f>VLOOKUP(INT(VLOOKUP(U362,模板计算相关数据!A:N,2,0)/30)+1,模板计算相关数据!$O$35:$V$40,8,0)</f>
        <v>0</v>
      </c>
      <c r="AU362" s="17"/>
    </row>
    <row r="363" spans="1:47" x14ac:dyDescent="0.2">
      <c r="A363" s="3">
        <v>303202</v>
      </c>
      <c r="B363" s="3"/>
      <c r="C363" s="69" t="s">
        <v>1743</v>
      </c>
      <c r="D363" s="69" t="s">
        <v>1050</v>
      </c>
      <c r="E363" s="2"/>
      <c r="F363" s="3">
        <v>1</v>
      </c>
      <c r="G363" s="3">
        <v>1003401</v>
      </c>
      <c r="H363" s="3">
        <v>2</v>
      </c>
      <c r="I363" s="3">
        <v>4</v>
      </c>
      <c r="J363" s="3">
        <v>3</v>
      </c>
      <c r="K363" s="3"/>
      <c r="L363" s="2" t="s">
        <v>235</v>
      </c>
      <c r="M363" s="2"/>
      <c r="N363" s="2">
        <v>1</v>
      </c>
      <c r="O363" s="2"/>
      <c r="P363" s="3" t="s">
        <v>1615</v>
      </c>
      <c r="Q363" s="95">
        <v>7.1</v>
      </c>
      <c r="R363" s="133">
        <f>IF(P363=模板计算相关数据!$AB$24,VLOOKUP(X363,模板计算相关数据!$P$47:$T$50,2,0),VLOOKUP(X363,模板计算相关数据!$P$4:$U$7,3,0))*VLOOKUP(Y363,模板计算相关数据!$P$22:$X$30,8,0)</f>
        <v>6.9411764705882364</v>
      </c>
      <c r="S363" s="62">
        <v>8</v>
      </c>
      <c r="T363" s="133">
        <f>IF(P363=模板计算相关数据!$AB$24,VLOOKUP(X363,模板计算相关数据!$P$47:$T$50,5,0),VLOOKUP(X363,模板计算相关数据!$P$4:$U$7,6,0))*VLOOKUP(Y363,模板计算相关数据!$P$22:$X$30,9,0)</f>
        <v>8.2943498888557112</v>
      </c>
      <c r="U363" s="98">
        <v>40</v>
      </c>
      <c r="V363" s="95">
        <f t="shared" si="29"/>
        <v>33</v>
      </c>
      <c r="W363" s="29">
        <f>VLOOKUP(U363,模板计算相关数据!A:N,2,0)</f>
        <v>30</v>
      </c>
      <c r="X363" s="3" t="s">
        <v>151</v>
      </c>
      <c r="Y363" s="3" t="s">
        <v>234</v>
      </c>
      <c r="Z363" s="99">
        <v>1</v>
      </c>
      <c r="AA363" s="95">
        <v>1</v>
      </c>
      <c r="AB363" s="95">
        <v>1</v>
      </c>
      <c r="AC363" s="95">
        <v>1</v>
      </c>
      <c r="AD363" s="95">
        <v>0</v>
      </c>
      <c r="AE363" s="95">
        <v>0</v>
      </c>
      <c r="AF363" s="95">
        <v>0</v>
      </c>
      <c r="AG363" s="95">
        <v>0</v>
      </c>
      <c r="AH363" s="95">
        <v>0</v>
      </c>
      <c r="AI363" s="95">
        <v>0</v>
      </c>
      <c r="AJ363" s="3">
        <f>INT(VLOOKUP(U363,模板计算相关数据!A:N,4,0)*VLOOKUP(U363,模板计算相关数据!A:N,14,0)*(1+MAX(0,(VLOOKUP(U363,模板计算相关数据!A:N,7,0)-AQ363))*VLOOKUP(U363,模板计算相关数据!A:N,8,0))*(1-(AL363+AM363)*0.5/((AL363+AM363)*0.5+(VLOOKUP(U363,模板计算相关数据!A:N,2,0)+模板计算相关数据!$AC$27)*模板计算相关数据!$AC$28))*Q363*Z363)</f>
        <v>4912</v>
      </c>
      <c r="AK363" s="3">
        <f>INT(VLOOKUP(U363,模板计算相关数据!A:N,3,0)/模板计算相关数据!$W$35/(1+MAX(0,(AO363/10000-VLOOKUP(U363,模板计算相关数据!A:N,9,0)))*AP363/10000)/(1-VLOOKUP(U363,模板计算相关数据!A:N,5,0)/(VLOOKUP(U363,模板计算相关数据!A:N,5,0)+(VLOOKUP(U363,模板计算相关数据!A:N,2,0)+模板计算相关数据!$AC$27)*模板计算相关数据!$AC$28))/S363*AA363)</f>
        <v>824</v>
      </c>
      <c r="AL363" s="3">
        <f>INT(VLOOKUP(U363,模板计算相关数据!A:N,5,0)*VLOOKUP(X363,模板计算相关数据!$P$4:$T$7,4,0)*VLOOKUP(Y363,模板计算相关数据!$P$22:$U$30,4,0)*AB363)</f>
        <v>1605</v>
      </c>
      <c r="AM363" s="3">
        <f>INT(VLOOKUP(U363,模板计算相关数据!A:N,6,0)*VLOOKUP(X363,模板计算相关数据!$P$4:$T$7,4,0)*VLOOKUP(Y363,模板计算相关数据!$P$22:$U$30,5,0)*AC363)</f>
        <v>2898</v>
      </c>
      <c r="AN363" s="3">
        <f>VLOOKUP(U363,模板计算相关数据!A:N,10,0)*0.5*VLOOKUP(Y363,模板计算相关数据!$P$22:$U$30,6,0)+AD363</f>
        <v>225</v>
      </c>
      <c r="AO363" s="3">
        <f>VLOOKUP(INT(VLOOKUP(U363,模板计算相关数据!A:N,2,0)/30)+1,模板计算相关数据!$O$35:$U$40,3,0)+AE363</f>
        <v>0</v>
      </c>
      <c r="AP363" s="3">
        <f>VLOOKUP(INT(VLOOKUP(U363,模板计算相关数据!A:N,2,0)/30)+1,模板计算相关数据!$O$35:$U$40,4,0)+AF363</f>
        <v>5000</v>
      </c>
      <c r="AQ363" s="3">
        <f>VLOOKUP(INT(VLOOKUP(U363,模板计算相关数据!A:N,2,0)/30)+1,模板计算相关数据!$O$35:$U$40,5,0)+AG363</f>
        <v>0</v>
      </c>
      <c r="AR363" s="3">
        <f>VLOOKUP(INT(VLOOKUP(U363,模板计算相关数据!A:N,2,0)/30)+1,模板计算相关数据!$O$35:$U$40,6,0)+AH363</f>
        <v>0</v>
      </c>
      <c r="AS363" s="3">
        <f>VLOOKUP(INT(VLOOKUP(U363,模板计算相关数据!A:N,2,0)/30)+1,模板计算相关数据!$O$35:$U$40,7,0)+AI363</f>
        <v>0</v>
      </c>
      <c r="AT363" s="3">
        <f>VLOOKUP(INT(VLOOKUP(U363,模板计算相关数据!A:N,2,0)/30)+1,模板计算相关数据!$O$35:$V$40,8,0)</f>
        <v>0</v>
      </c>
      <c r="AU363" s="2"/>
    </row>
    <row r="364" spans="1:47" x14ac:dyDescent="0.2">
      <c r="A364" s="3">
        <v>303203</v>
      </c>
      <c r="B364" s="3"/>
      <c r="C364" s="69" t="s">
        <v>1743</v>
      </c>
      <c r="D364" s="69" t="s">
        <v>1051</v>
      </c>
      <c r="E364" s="2"/>
      <c r="F364" s="3">
        <v>1</v>
      </c>
      <c r="G364" s="3">
        <v>1003401</v>
      </c>
      <c r="H364" s="3">
        <v>2</v>
      </c>
      <c r="I364" s="3">
        <v>4</v>
      </c>
      <c r="J364" s="3">
        <v>3</v>
      </c>
      <c r="K364" s="3"/>
      <c r="L364" s="2" t="s">
        <v>236</v>
      </c>
      <c r="M364" s="2"/>
      <c r="N364" s="2">
        <v>1</v>
      </c>
      <c r="O364" s="2"/>
      <c r="P364" s="3" t="s">
        <v>1615</v>
      </c>
      <c r="Q364" s="95">
        <v>7.3</v>
      </c>
      <c r="R364" s="133">
        <f>IF(P364=模板计算相关数据!$AB$24,VLOOKUP(X364,模板计算相关数据!$P$47:$T$50,2,0),VLOOKUP(X364,模板计算相关数据!$P$4:$U$7,3,0))*VLOOKUP(Y364,模板计算相关数据!$P$22:$X$30,8,0)</f>
        <v>6.9411764705882364</v>
      </c>
      <c r="S364" s="62">
        <v>8</v>
      </c>
      <c r="T364" s="133">
        <f>IF(P364=模板计算相关数据!$AB$24,VLOOKUP(X364,模板计算相关数据!$P$47:$T$50,5,0),VLOOKUP(X364,模板计算相关数据!$P$4:$U$7,6,0))*VLOOKUP(Y364,模板计算相关数据!$P$22:$X$30,9,0)</f>
        <v>8.2943498888557112</v>
      </c>
      <c r="U364" s="98">
        <v>41</v>
      </c>
      <c r="V364" s="95">
        <f t="shared" si="29"/>
        <v>48</v>
      </c>
      <c r="W364" s="29">
        <f>VLOOKUP(U364,模板计算相关数据!A:N,2,0)</f>
        <v>45</v>
      </c>
      <c r="X364" s="3" t="s">
        <v>151</v>
      </c>
      <c r="Y364" s="3" t="s">
        <v>234</v>
      </c>
      <c r="Z364" s="99">
        <v>1</v>
      </c>
      <c r="AA364" s="95">
        <v>1</v>
      </c>
      <c r="AB364" s="95">
        <v>1</v>
      </c>
      <c r="AC364" s="95">
        <v>1</v>
      </c>
      <c r="AD364" s="95">
        <v>0</v>
      </c>
      <c r="AE364" s="95">
        <v>0</v>
      </c>
      <c r="AF364" s="95">
        <v>0</v>
      </c>
      <c r="AG364" s="95">
        <v>0</v>
      </c>
      <c r="AH364" s="95">
        <v>0</v>
      </c>
      <c r="AI364" s="95">
        <v>0</v>
      </c>
      <c r="AJ364" s="3">
        <f>INT(VLOOKUP(U364,模板计算相关数据!A:N,4,0)*VLOOKUP(U364,模板计算相关数据!A:N,14,0)*(1+MAX(0,(VLOOKUP(U364,模板计算相关数据!A:N,7,0)-AQ364))*VLOOKUP(U364,模板计算相关数据!A:N,8,0))*(1-(AL364+AM364)*0.5/((AL364+AM364)*0.5+(VLOOKUP(U364,模板计算相关数据!A:N,2,0)+模板计算相关数据!$AC$27)*模板计算相关数据!$AC$28))*Q364*Z364)</f>
        <v>7996</v>
      </c>
      <c r="AK364" s="3">
        <f>INT(VLOOKUP(U364,模板计算相关数据!A:N,3,0)/模板计算相关数据!$W$35/(1+MAX(0,(AO364/10000-VLOOKUP(U364,模板计算相关数据!A:N,9,0)))*AP364/10000)/(1-VLOOKUP(U364,模板计算相关数据!A:N,5,0)/(VLOOKUP(U364,模板计算相关数据!A:N,5,0)+(VLOOKUP(U364,模板计算相关数据!A:N,2,0)+模板计算相关数据!$AC$27)*模板计算相关数据!$AC$28))/S364*AA364)</f>
        <v>1321</v>
      </c>
      <c r="AL364" s="3">
        <f>INT(VLOOKUP(U364,模板计算相关数据!A:N,5,0)*VLOOKUP(X364,模板计算相关数据!$P$4:$T$7,4,0)*VLOOKUP(Y364,模板计算相关数据!$P$22:$U$30,4,0)*AB364)</f>
        <v>2526</v>
      </c>
      <c r="AM364" s="3">
        <f>INT(VLOOKUP(U364,模板计算相关数据!A:N,6,0)*VLOOKUP(X364,模板计算相关数据!$P$4:$T$7,4,0)*VLOOKUP(Y364,模板计算相关数据!$P$22:$U$30,5,0)*AC364)</f>
        <v>4552</v>
      </c>
      <c r="AN364" s="3">
        <f>VLOOKUP(U364,模板计算相关数据!A:N,10,0)*0.5*VLOOKUP(Y364,模板计算相关数据!$P$22:$U$30,6,0)+AD364</f>
        <v>225</v>
      </c>
      <c r="AO364" s="3">
        <f>VLOOKUP(INT(VLOOKUP(U364,模板计算相关数据!A:N,2,0)/30)+1,模板计算相关数据!$O$35:$U$40,3,0)+AE364</f>
        <v>0</v>
      </c>
      <c r="AP364" s="3">
        <f>VLOOKUP(INT(VLOOKUP(U364,模板计算相关数据!A:N,2,0)/30)+1,模板计算相关数据!$O$35:$U$40,4,0)+AF364</f>
        <v>5000</v>
      </c>
      <c r="AQ364" s="3">
        <f>VLOOKUP(INT(VLOOKUP(U364,模板计算相关数据!A:N,2,0)/30)+1,模板计算相关数据!$O$35:$U$40,5,0)+AG364</f>
        <v>0</v>
      </c>
      <c r="AR364" s="3">
        <f>VLOOKUP(INT(VLOOKUP(U364,模板计算相关数据!A:N,2,0)/30)+1,模板计算相关数据!$O$35:$U$40,6,0)+AH364</f>
        <v>0</v>
      </c>
      <c r="AS364" s="3">
        <f>VLOOKUP(INT(VLOOKUP(U364,模板计算相关数据!A:N,2,0)/30)+1,模板计算相关数据!$O$35:$U$40,7,0)+AI364</f>
        <v>0</v>
      </c>
      <c r="AT364" s="3">
        <f>VLOOKUP(INT(VLOOKUP(U364,模板计算相关数据!A:N,2,0)/30)+1,模板计算相关数据!$O$35:$V$40,8,0)</f>
        <v>0</v>
      </c>
      <c r="AU364" s="2"/>
    </row>
    <row r="365" spans="1:47" x14ac:dyDescent="0.2">
      <c r="A365" s="3">
        <v>303204</v>
      </c>
      <c r="B365" s="3"/>
      <c r="C365" s="69" t="s">
        <v>1743</v>
      </c>
      <c r="D365" s="69" t="s">
        <v>1052</v>
      </c>
      <c r="E365" s="2"/>
      <c r="F365" s="3">
        <v>1</v>
      </c>
      <c r="G365" s="3">
        <v>1003401</v>
      </c>
      <c r="H365" s="3">
        <v>2</v>
      </c>
      <c r="I365" s="3">
        <v>4</v>
      </c>
      <c r="J365" s="3">
        <v>3</v>
      </c>
      <c r="K365" s="3"/>
      <c r="L365" s="2" t="s">
        <v>237</v>
      </c>
      <c r="M365" s="2"/>
      <c r="N365" s="2">
        <v>1</v>
      </c>
      <c r="O365" s="2"/>
      <c r="P365" s="3" t="s">
        <v>1615</v>
      </c>
      <c r="Q365" s="95">
        <v>7.5</v>
      </c>
      <c r="R365" s="133">
        <f>IF(P365=模板计算相关数据!$AB$24,VLOOKUP(X365,模板计算相关数据!$P$47:$T$50,2,0),VLOOKUP(X365,模板计算相关数据!$P$4:$U$7,3,0))*VLOOKUP(Y365,模板计算相关数据!$P$22:$X$30,8,0)</f>
        <v>6.9411764705882364</v>
      </c>
      <c r="S365" s="62">
        <v>8</v>
      </c>
      <c r="T365" s="133">
        <f>IF(P365=模板计算相关数据!$AB$24,VLOOKUP(X365,模板计算相关数据!$P$47:$T$50,5,0),VLOOKUP(X365,模板计算相关数据!$P$4:$U$7,6,0))*VLOOKUP(Y365,模板计算相关数据!$P$22:$X$30,9,0)</f>
        <v>8.2943498888557112</v>
      </c>
      <c r="U365" s="98">
        <v>41</v>
      </c>
      <c r="V365" s="95">
        <f t="shared" si="29"/>
        <v>48</v>
      </c>
      <c r="W365" s="29">
        <f>VLOOKUP(U365,模板计算相关数据!A:N,2,0)</f>
        <v>45</v>
      </c>
      <c r="X365" s="3" t="s">
        <v>151</v>
      </c>
      <c r="Y365" s="3" t="s">
        <v>234</v>
      </c>
      <c r="Z365" s="99">
        <v>1</v>
      </c>
      <c r="AA365" s="95">
        <v>1</v>
      </c>
      <c r="AB365" s="95">
        <v>1</v>
      </c>
      <c r="AC365" s="95">
        <v>1</v>
      </c>
      <c r="AD365" s="95">
        <v>0</v>
      </c>
      <c r="AE365" s="95">
        <v>0</v>
      </c>
      <c r="AF365" s="95">
        <v>0</v>
      </c>
      <c r="AG365" s="95">
        <v>0</v>
      </c>
      <c r="AH365" s="95">
        <v>0</v>
      </c>
      <c r="AI365" s="95">
        <v>0</v>
      </c>
      <c r="AJ365" s="3">
        <f>INT(VLOOKUP(U365,模板计算相关数据!A:N,4,0)*VLOOKUP(U365,模板计算相关数据!A:N,14,0)*(1+MAX(0,(VLOOKUP(U365,模板计算相关数据!A:N,7,0)-AQ365))*VLOOKUP(U365,模板计算相关数据!A:N,8,0))*(1-(AL365+AM365)*0.5/((AL365+AM365)*0.5+(VLOOKUP(U365,模板计算相关数据!A:N,2,0)+模板计算相关数据!$AC$27)*模板计算相关数据!$AC$28))*Q365*Z365)</f>
        <v>8215</v>
      </c>
      <c r="AK365" s="3">
        <f>INT(VLOOKUP(U365,模板计算相关数据!A:N,3,0)/模板计算相关数据!$W$35/(1+MAX(0,(AO365/10000-VLOOKUP(U365,模板计算相关数据!A:N,9,0)))*AP365/10000)/(1-VLOOKUP(U365,模板计算相关数据!A:N,5,0)/(VLOOKUP(U365,模板计算相关数据!A:N,5,0)+(VLOOKUP(U365,模板计算相关数据!A:N,2,0)+模板计算相关数据!$AC$27)*模板计算相关数据!$AC$28))/S365*AA365)</f>
        <v>1321</v>
      </c>
      <c r="AL365" s="3">
        <f>INT(VLOOKUP(U365,模板计算相关数据!A:N,5,0)*VLOOKUP(X365,模板计算相关数据!$P$4:$T$7,4,0)*VLOOKUP(Y365,模板计算相关数据!$P$22:$U$30,4,0)*AB365)</f>
        <v>2526</v>
      </c>
      <c r="AM365" s="3">
        <f>INT(VLOOKUP(U365,模板计算相关数据!A:N,6,0)*VLOOKUP(X365,模板计算相关数据!$P$4:$T$7,4,0)*VLOOKUP(Y365,模板计算相关数据!$P$22:$U$30,5,0)*AC365)</f>
        <v>4552</v>
      </c>
      <c r="AN365" s="3">
        <f>VLOOKUP(U365,模板计算相关数据!A:N,10,0)*0.5*VLOOKUP(Y365,模板计算相关数据!$P$22:$U$30,6,0)+AD365</f>
        <v>225</v>
      </c>
      <c r="AO365" s="3">
        <f>VLOOKUP(INT(VLOOKUP(U365,模板计算相关数据!A:N,2,0)/30)+1,模板计算相关数据!$O$35:$U$40,3,0)+AE365</f>
        <v>0</v>
      </c>
      <c r="AP365" s="3">
        <f>VLOOKUP(INT(VLOOKUP(U365,模板计算相关数据!A:N,2,0)/30)+1,模板计算相关数据!$O$35:$U$40,4,0)+AF365</f>
        <v>5000</v>
      </c>
      <c r="AQ365" s="3">
        <f>VLOOKUP(INT(VLOOKUP(U365,模板计算相关数据!A:N,2,0)/30)+1,模板计算相关数据!$O$35:$U$40,5,0)+AG365</f>
        <v>0</v>
      </c>
      <c r="AR365" s="3">
        <f>VLOOKUP(INT(VLOOKUP(U365,模板计算相关数据!A:N,2,0)/30)+1,模板计算相关数据!$O$35:$U$40,6,0)+AH365</f>
        <v>0</v>
      </c>
      <c r="AS365" s="3">
        <f>VLOOKUP(INT(VLOOKUP(U365,模板计算相关数据!A:N,2,0)/30)+1,模板计算相关数据!$O$35:$U$40,7,0)+AI365</f>
        <v>0</v>
      </c>
      <c r="AT365" s="3">
        <f>VLOOKUP(INT(VLOOKUP(U365,模板计算相关数据!A:N,2,0)/30)+1,模板计算相关数据!$O$35:$V$40,8,0)</f>
        <v>0</v>
      </c>
      <c r="AU365" s="2"/>
    </row>
    <row r="366" spans="1:47" x14ac:dyDescent="0.2">
      <c r="A366" s="3">
        <v>303205</v>
      </c>
      <c r="B366" s="3"/>
      <c r="C366" s="69" t="s">
        <v>1736</v>
      </c>
      <c r="D366" s="69" t="s">
        <v>1053</v>
      </c>
      <c r="E366" s="2"/>
      <c r="F366" s="3">
        <v>2</v>
      </c>
      <c r="G366" s="3">
        <v>1003501</v>
      </c>
      <c r="H366" s="3">
        <v>4</v>
      </c>
      <c r="I366" s="3">
        <v>4</v>
      </c>
      <c r="J366" s="3">
        <v>3</v>
      </c>
      <c r="K366" s="3"/>
      <c r="L366" s="2" t="s">
        <v>238</v>
      </c>
      <c r="M366" s="2"/>
      <c r="N366" s="2">
        <v>1</v>
      </c>
      <c r="O366" s="2"/>
      <c r="P366" s="3" t="s">
        <v>1615</v>
      </c>
      <c r="Q366" s="95">
        <f t="shared" si="51"/>
        <v>4.4674509803921572</v>
      </c>
      <c r="R366" s="133">
        <f>IF(P366=模板计算相关数据!$AB$24,VLOOKUP(X366,模板计算相关数据!$P$47:$T$50,2,0),VLOOKUP(X366,模板计算相关数据!$P$4:$U$7,3,0))*VLOOKUP(Y366,模板计算相关数据!$P$22:$X$30,8,0)</f>
        <v>4.4674509803921572</v>
      </c>
      <c r="S366" s="62">
        <v>5.3</v>
      </c>
      <c r="T366" s="133">
        <f>IF(P366=模板计算相关数据!$AB$24,VLOOKUP(X366,模板计算相关数据!$P$47:$T$50,5,0),VLOOKUP(X366,模板计算相关数据!$P$4:$U$7,6,0))*VLOOKUP(Y366,模板计算相关数据!$P$22:$X$30,9,0)</f>
        <v>5.4739930589768004</v>
      </c>
      <c r="U366" s="98">
        <v>39</v>
      </c>
      <c r="V366" s="95">
        <f t="shared" si="29"/>
        <v>20</v>
      </c>
      <c r="W366" s="29">
        <f>VLOOKUP(U366,模板计算相关数据!A:N,2,0)</f>
        <v>17</v>
      </c>
      <c r="X366" s="3" t="s">
        <v>151</v>
      </c>
      <c r="Y366" s="3" t="s">
        <v>162</v>
      </c>
      <c r="Z366" s="99">
        <v>1</v>
      </c>
      <c r="AA366" s="95">
        <v>1</v>
      </c>
      <c r="AB366" s="95">
        <v>1</v>
      </c>
      <c r="AC366" s="95">
        <v>1</v>
      </c>
      <c r="AD366" s="95">
        <v>0</v>
      </c>
      <c r="AE366" s="95">
        <v>0</v>
      </c>
      <c r="AF366" s="95">
        <v>0</v>
      </c>
      <c r="AG366" s="95">
        <v>0</v>
      </c>
      <c r="AH366" s="95">
        <v>0</v>
      </c>
      <c r="AI366" s="95">
        <v>0</v>
      </c>
      <c r="AJ366" s="3">
        <f>INT(VLOOKUP(U366,模板计算相关数据!A:N,4,0)*VLOOKUP(U366,模板计算相关数据!A:N,14,0)*(1+MAX(0,(VLOOKUP(U366,模板计算相关数据!A:N,7,0)-AQ366))*VLOOKUP(U366,模板计算相关数据!A:N,8,0))*(1-(AL366+AM366)*0.5/((AL366+AM366)*0.5+(VLOOKUP(U366,模板计算相关数据!A:N,2,0)+模板计算相关数据!$AC$27)*模板计算相关数据!$AC$28))*Q366*Z366)</f>
        <v>1817</v>
      </c>
      <c r="AK366" s="3">
        <f>INT(VLOOKUP(U366,模板计算相关数据!A:N,3,0)/模板计算相关数据!$W$35/(1+MAX(0,(AO366/10000-VLOOKUP(U366,模板计算相关数据!A:N,9,0)))*AP366/10000)/(1-VLOOKUP(U366,模板计算相关数据!A:N,5,0)/(VLOOKUP(U366,模板计算相关数据!A:N,5,0)+(VLOOKUP(U366,模板计算相关数据!A:N,2,0)+模板计算相关数据!$AC$27)*模板计算相关数据!$AC$28))/S366*AA366)</f>
        <v>629</v>
      </c>
      <c r="AL366" s="3">
        <f>INT(VLOOKUP(U366,模板计算相关数据!A:N,5,0)*VLOOKUP(X366,模板计算相关数据!$P$4:$T$7,4,0)*VLOOKUP(Y366,模板计算相关数据!$P$22:$U$30,4,0)*AB366)</f>
        <v>757</v>
      </c>
      <c r="AM366" s="3">
        <f>INT(VLOOKUP(U366,模板计算相关数据!A:N,6,0)*VLOOKUP(X366,模板计算相关数据!$P$4:$T$7,4,0)*VLOOKUP(Y366,模板计算相关数据!$P$22:$U$30,5,0)*AC366)</f>
        <v>1277</v>
      </c>
      <c r="AN366" s="3">
        <f>VLOOKUP(U366,模板计算相关数据!A:N,10,0)*0.5*VLOOKUP(Y366,模板计算相关数据!$P$22:$U$30,6,0)+AD366</f>
        <v>250</v>
      </c>
      <c r="AO366" s="3">
        <f>VLOOKUP(INT(VLOOKUP(U366,模板计算相关数据!A:N,2,0)/30)+1,模板计算相关数据!$O$35:$U$40,3,0)+AE366</f>
        <v>0</v>
      </c>
      <c r="AP366" s="3">
        <f>VLOOKUP(INT(VLOOKUP(U366,模板计算相关数据!A:N,2,0)/30)+1,模板计算相关数据!$O$35:$U$40,4,0)+AF366</f>
        <v>5000</v>
      </c>
      <c r="AQ366" s="3">
        <f>VLOOKUP(INT(VLOOKUP(U366,模板计算相关数据!A:N,2,0)/30)+1,模板计算相关数据!$O$35:$U$40,5,0)+AG366</f>
        <v>0</v>
      </c>
      <c r="AR366" s="3">
        <f>VLOOKUP(INT(VLOOKUP(U366,模板计算相关数据!A:N,2,0)/30)+1,模板计算相关数据!$O$35:$U$40,6,0)+AH366</f>
        <v>0</v>
      </c>
      <c r="AS366" s="3">
        <f>VLOOKUP(INT(VLOOKUP(U366,模板计算相关数据!A:N,2,0)/30)+1,模板计算相关数据!$O$35:$U$40,7,0)+AI366</f>
        <v>0</v>
      </c>
      <c r="AT366" s="3">
        <f>VLOOKUP(INT(VLOOKUP(U366,模板计算相关数据!A:N,2,0)/30)+1,模板计算相关数据!$O$35:$V$40,8,0)</f>
        <v>0</v>
      </c>
      <c r="AU366" s="2"/>
    </row>
    <row r="367" spans="1:47" x14ac:dyDescent="0.2">
      <c r="A367" s="3">
        <v>303206</v>
      </c>
      <c r="B367" s="3"/>
      <c r="C367" s="69" t="s">
        <v>1736</v>
      </c>
      <c r="D367" s="69" t="s">
        <v>1054</v>
      </c>
      <c r="E367" s="2"/>
      <c r="F367" s="3">
        <v>2</v>
      </c>
      <c r="G367" s="3">
        <v>1003501</v>
      </c>
      <c r="H367" s="3">
        <v>4</v>
      </c>
      <c r="I367" s="3">
        <v>4</v>
      </c>
      <c r="J367" s="3">
        <v>3</v>
      </c>
      <c r="K367" s="3"/>
      <c r="L367" s="2" t="s">
        <v>239</v>
      </c>
      <c r="M367" s="2"/>
      <c r="N367" s="2">
        <v>1</v>
      </c>
      <c r="O367" s="2"/>
      <c r="P367" s="3" t="s">
        <v>1615</v>
      </c>
      <c r="Q367" s="95">
        <f t="shared" si="51"/>
        <v>4.4674509803921572</v>
      </c>
      <c r="R367" s="133">
        <f>IF(P367=模板计算相关数据!$AB$24,VLOOKUP(X367,模板计算相关数据!$P$47:$T$50,2,0),VLOOKUP(X367,模板计算相关数据!$P$4:$U$7,3,0))*VLOOKUP(Y367,模板计算相关数据!$P$22:$X$30,8,0)</f>
        <v>4.4674509803921572</v>
      </c>
      <c r="S367" s="62">
        <v>5.2</v>
      </c>
      <c r="T367" s="133">
        <f>IF(P367=模板计算相关数据!$AB$24,VLOOKUP(X367,模板计算相关数据!$P$47:$T$50,5,0),VLOOKUP(X367,模板计算相关数据!$P$4:$U$7,6,0))*VLOOKUP(Y367,模板计算相关数据!$P$22:$X$30,9,0)</f>
        <v>5.4739930589768004</v>
      </c>
      <c r="U367" s="98">
        <v>40</v>
      </c>
      <c r="V367" s="95">
        <f t="shared" si="29"/>
        <v>33</v>
      </c>
      <c r="W367" s="29">
        <f>VLOOKUP(U367,模板计算相关数据!A:N,2,0)</f>
        <v>30</v>
      </c>
      <c r="X367" s="3" t="s">
        <v>151</v>
      </c>
      <c r="Y367" s="3" t="s">
        <v>162</v>
      </c>
      <c r="Z367" s="99">
        <v>1</v>
      </c>
      <c r="AA367" s="95">
        <v>1</v>
      </c>
      <c r="AB367" s="95">
        <v>1</v>
      </c>
      <c r="AC367" s="95">
        <v>1</v>
      </c>
      <c r="AD367" s="95">
        <v>0</v>
      </c>
      <c r="AE367" s="95">
        <v>0</v>
      </c>
      <c r="AF367" s="95">
        <v>0</v>
      </c>
      <c r="AG367" s="95">
        <v>0</v>
      </c>
      <c r="AH367" s="95">
        <v>0</v>
      </c>
      <c r="AI367" s="95">
        <v>0</v>
      </c>
      <c r="AJ367" s="3">
        <f>INT(VLOOKUP(U367,模板计算相关数据!A:N,4,0)*VLOOKUP(U367,模板计算相关数据!A:N,14,0)*(1+MAX(0,(VLOOKUP(U367,模板计算相关数据!A:N,7,0)-AQ367))*VLOOKUP(U367,模板计算相关数据!A:N,8,0))*(1-(AL367+AM367)*0.5/((AL367+AM367)*0.5+(VLOOKUP(U367,模板计算相关数据!A:N,2,0)+模板计算相关数据!$AC$27)*模板计算相关数据!$AC$28))*Q367*Z367)</f>
        <v>3291</v>
      </c>
      <c r="AK367" s="3">
        <f>INT(VLOOKUP(U367,模板计算相关数据!A:N,3,0)/模板计算相关数据!$W$35/(1+MAX(0,(AO367/10000-VLOOKUP(U367,模板计算相关数据!A:N,9,0)))*AP367/10000)/(1-VLOOKUP(U367,模板计算相关数据!A:N,5,0)/(VLOOKUP(U367,模板计算相关数据!A:N,5,0)+(VLOOKUP(U367,模板计算相关数据!A:N,2,0)+模板计算相关数据!$AC$27)*模板计算相关数据!$AC$28))/S367*AA367)</f>
        <v>1269</v>
      </c>
      <c r="AL367" s="3">
        <f>INT(VLOOKUP(U367,模板计算相关数据!A:N,5,0)*VLOOKUP(X367,模板计算相关数据!$P$4:$T$7,4,0)*VLOOKUP(Y367,模板计算相关数据!$P$22:$U$30,4,0)*AB367)</f>
        <v>1426</v>
      </c>
      <c r="AM367" s="3">
        <f>INT(VLOOKUP(U367,模板计算相关数据!A:N,6,0)*VLOOKUP(X367,模板计算相关数据!$P$4:$T$7,4,0)*VLOOKUP(Y367,模板计算相关数据!$P$22:$U$30,5,0)*AC367)</f>
        <v>2407</v>
      </c>
      <c r="AN367" s="3">
        <f>VLOOKUP(U367,模板计算相关数据!A:N,10,0)*0.5*VLOOKUP(Y367,模板计算相关数据!$P$22:$U$30,6,0)+AD367</f>
        <v>250</v>
      </c>
      <c r="AO367" s="3">
        <f>VLOOKUP(INT(VLOOKUP(U367,模板计算相关数据!A:N,2,0)/30)+1,模板计算相关数据!$O$35:$U$40,3,0)+AE367</f>
        <v>0</v>
      </c>
      <c r="AP367" s="3">
        <f>VLOOKUP(INT(VLOOKUP(U367,模板计算相关数据!A:N,2,0)/30)+1,模板计算相关数据!$O$35:$U$40,4,0)+AF367</f>
        <v>5000</v>
      </c>
      <c r="AQ367" s="3">
        <f>VLOOKUP(INT(VLOOKUP(U367,模板计算相关数据!A:N,2,0)/30)+1,模板计算相关数据!$O$35:$U$40,5,0)+AG367</f>
        <v>0</v>
      </c>
      <c r="AR367" s="3">
        <f>VLOOKUP(INT(VLOOKUP(U367,模板计算相关数据!A:N,2,0)/30)+1,模板计算相关数据!$O$35:$U$40,6,0)+AH367</f>
        <v>0</v>
      </c>
      <c r="AS367" s="3">
        <f>VLOOKUP(INT(VLOOKUP(U367,模板计算相关数据!A:N,2,0)/30)+1,模板计算相关数据!$O$35:$U$40,7,0)+AI367</f>
        <v>0</v>
      </c>
      <c r="AT367" s="3">
        <f>VLOOKUP(INT(VLOOKUP(U367,模板计算相关数据!A:N,2,0)/30)+1,模板计算相关数据!$O$35:$V$40,8,0)</f>
        <v>0</v>
      </c>
      <c r="AU367" s="2"/>
    </row>
    <row r="368" spans="1:47" x14ac:dyDescent="0.2">
      <c r="A368" s="3">
        <v>303207</v>
      </c>
      <c r="B368" s="3"/>
      <c r="C368" s="69" t="s">
        <v>1736</v>
      </c>
      <c r="D368" s="69" t="s">
        <v>1051</v>
      </c>
      <c r="E368" s="2"/>
      <c r="F368" s="3">
        <v>2</v>
      </c>
      <c r="G368" s="3">
        <v>1003501</v>
      </c>
      <c r="H368" s="3">
        <v>4</v>
      </c>
      <c r="I368" s="3">
        <v>4</v>
      </c>
      <c r="J368" s="3">
        <v>3</v>
      </c>
      <c r="K368" s="3"/>
      <c r="L368" s="2" t="s">
        <v>240</v>
      </c>
      <c r="M368" s="2"/>
      <c r="N368" s="2">
        <v>1</v>
      </c>
      <c r="O368" s="2"/>
      <c r="P368" s="3" t="s">
        <v>1615</v>
      </c>
      <c r="Q368" s="95">
        <f t="shared" si="51"/>
        <v>4.4674509803921572</v>
      </c>
      <c r="R368" s="133">
        <f>IF(P368=模板计算相关数据!$AB$24,VLOOKUP(X368,模板计算相关数据!$P$47:$T$50,2,0),VLOOKUP(X368,模板计算相关数据!$P$4:$U$7,3,0))*VLOOKUP(Y368,模板计算相关数据!$P$22:$X$30,8,0)</f>
        <v>4.4674509803921572</v>
      </c>
      <c r="S368" s="62">
        <v>5</v>
      </c>
      <c r="T368" s="133">
        <f>IF(P368=模板计算相关数据!$AB$24,VLOOKUP(X368,模板计算相关数据!$P$47:$T$50,5,0),VLOOKUP(X368,模板计算相关数据!$P$4:$U$7,6,0))*VLOOKUP(Y368,模板计算相关数据!$P$22:$X$30,9,0)</f>
        <v>5.4739930589768004</v>
      </c>
      <c r="U368" s="98">
        <v>41</v>
      </c>
      <c r="V368" s="95">
        <f t="shared" ref="V368:V431" si="52">W368+3</f>
        <v>48</v>
      </c>
      <c r="W368" s="29">
        <f>VLOOKUP(U368,模板计算相关数据!A:N,2,0)</f>
        <v>45</v>
      </c>
      <c r="X368" s="3" t="s">
        <v>151</v>
      </c>
      <c r="Y368" s="3" t="s">
        <v>162</v>
      </c>
      <c r="Z368" s="99">
        <v>1</v>
      </c>
      <c r="AA368" s="95">
        <v>1</v>
      </c>
      <c r="AB368" s="95">
        <v>1</v>
      </c>
      <c r="AC368" s="95">
        <v>1</v>
      </c>
      <c r="AD368" s="95">
        <v>0</v>
      </c>
      <c r="AE368" s="95">
        <v>0</v>
      </c>
      <c r="AF368" s="95">
        <v>0</v>
      </c>
      <c r="AG368" s="95">
        <v>0</v>
      </c>
      <c r="AH368" s="95">
        <v>0</v>
      </c>
      <c r="AI368" s="95">
        <v>0</v>
      </c>
      <c r="AJ368" s="3">
        <f>INT(VLOOKUP(U368,模板计算相关数据!A:N,4,0)*VLOOKUP(U368,模板计算相关数据!A:N,14,0)*(1+MAX(0,(VLOOKUP(U368,模板计算相关数据!A:N,7,0)-AQ368))*VLOOKUP(U368,模板计算相关数据!A:N,8,0))*(1-(AL368+AM368)*0.5/((AL368+AM368)*0.5+(VLOOKUP(U368,模板计算相关数据!A:N,2,0)+模板计算相关数据!$AC$27)*模板计算相关数据!$AC$28))*Q368*Z368)</f>
        <v>5227</v>
      </c>
      <c r="AK368" s="3">
        <f>INT(VLOOKUP(U368,模板计算相关数据!A:N,3,0)/模板计算相关数据!$W$35/(1+MAX(0,(AO368/10000-VLOOKUP(U368,模板计算相关数据!A:N,9,0)))*AP368/10000)/(1-VLOOKUP(U368,模板计算相关数据!A:N,5,0)/(VLOOKUP(U368,模板计算相关数据!A:N,5,0)+(VLOOKUP(U368,模板计算相关数据!A:N,2,0)+模板计算相关数据!$AC$27)*模板计算相关数据!$AC$28))/S368*AA368)</f>
        <v>2114</v>
      </c>
      <c r="AL368" s="3">
        <f>INT(VLOOKUP(U368,模板计算相关数据!A:N,5,0)*VLOOKUP(X368,模板计算相关数据!$P$4:$T$7,4,0)*VLOOKUP(Y368,模板计算相关数据!$P$22:$U$30,4,0)*AB368)</f>
        <v>2246</v>
      </c>
      <c r="AM368" s="3">
        <f>INT(VLOOKUP(U368,模板计算相关数据!A:N,6,0)*VLOOKUP(X368,模板计算相关数据!$P$4:$T$7,4,0)*VLOOKUP(Y368,模板计算相关数据!$P$22:$U$30,5,0)*AC368)</f>
        <v>3781</v>
      </c>
      <c r="AN368" s="3">
        <f>VLOOKUP(U368,模板计算相关数据!A:N,10,0)*0.5*VLOOKUP(Y368,模板计算相关数据!$P$22:$U$30,6,0)+AD368</f>
        <v>250</v>
      </c>
      <c r="AO368" s="3">
        <f>VLOOKUP(INT(VLOOKUP(U368,模板计算相关数据!A:N,2,0)/30)+1,模板计算相关数据!$O$35:$U$40,3,0)+AE368</f>
        <v>0</v>
      </c>
      <c r="AP368" s="3">
        <f>VLOOKUP(INT(VLOOKUP(U368,模板计算相关数据!A:N,2,0)/30)+1,模板计算相关数据!$O$35:$U$40,4,0)+AF368</f>
        <v>5000</v>
      </c>
      <c r="AQ368" s="3">
        <f>VLOOKUP(INT(VLOOKUP(U368,模板计算相关数据!A:N,2,0)/30)+1,模板计算相关数据!$O$35:$U$40,5,0)+AG368</f>
        <v>0</v>
      </c>
      <c r="AR368" s="3">
        <f>VLOOKUP(INT(VLOOKUP(U368,模板计算相关数据!A:N,2,0)/30)+1,模板计算相关数据!$O$35:$U$40,6,0)+AH368</f>
        <v>0</v>
      </c>
      <c r="AS368" s="3">
        <f>VLOOKUP(INT(VLOOKUP(U368,模板计算相关数据!A:N,2,0)/30)+1,模板计算相关数据!$O$35:$U$40,7,0)+AI368</f>
        <v>0</v>
      </c>
      <c r="AT368" s="3">
        <f>VLOOKUP(INT(VLOOKUP(U368,模板计算相关数据!A:N,2,0)/30)+1,模板计算相关数据!$O$35:$V$40,8,0)</f>
        <v>0</v>
      </c>
      <c r="AU368" s="2"/>
    </row>
    <row r="369" spans="1:47" x14ac:dyDescent="0.2">
      <c r="A369" s="3">
        <v>303208</v>
      </c>
      <c r="B369" s="3"/>
      <c r="C369" s="69" t="s">
        <v>1736</v>
      </c>
      <c r="D369" s="69" t="s">
        <v>1052</v>
      </c>
      <c r="E369" s="2"/>
      <c r="F369" s="3">
        <v>2</v>
      </c>
      <c r="G369" s="3">
        <v>1003501</v>
      </c>
      <c r="H369" s="3">
        <v>4</v>
      </c>
      <c r="I369" s="3">
        <v>4</v>
      </c>
      <c r="J369" s="3">
        <v>3</v>
      </c>
      <c r="K369" s="3"/>
      <c r="L369" s="2" t="s">
        <v>241</v>
      </c>
      <c r="M369" s="2"/>
      <c r="N369" s="2">
        <v>1</v>
      </c>
      <c r="O369" s="2"/>
      <c r="P369" s="3" t="s">
        <v>1615</v>
      </c>
      <c r="Q369" s="95">
        <f t="shared" si="51"/>
        <v>4.4674509803921572</v>
      </c>
      <c r="R369" s="133">
        <f>IF(P369=模板计算相关数据!$AB$24,VLOOKUP(X369,模板计算相关数据!$P$47:$T$50,2,0),VLOOKUP(X369,模板计算相关数据!$P$4:$U$7,3,0))*VLOOKUP(Y369,模板计算相关数据!$P$22:$X$30,8,0)</f>
        <v>4.4674509803921572</v>
      </c>
      <c r="S369" s="62">
        <v>4.9000000000000004</v>
      </c>
      <c r="T369" s="133">
        <f>IF(P369=模板计算相关数据!$AB$24,VLOOKUP(X369,模板计算相关数据!$P$47:$T$50,5,0),VLOOKUP(X369,模板计算相关数据!$P$4:$U$7,6,0))*VLOOKUP(Y369,模板计算相关数据!$P$22:$X$30,9,0)</f>
        <v>5.4739930589768004</v>
      </c>
      <c r="U369" s="98">
        <v>41</v>
      </c>
      <c r="V369" s="95">
        <f t="shared" si="52"/>
        <v>48</v>
      </c>
      <c r="W369" s="29">
        <f>VLOOKUP(U369,模板计算相关数据!A:N,2,0)</f>
        <v>45</v>
      </c>
      <c r="X369" s="3" t="s">
        <v>151</v>
      </c>
      <c r="Y369" s="3" t="s">
        <v>162</v>
      </c>
      <c r="Z369" s="99">
        <v>1</v>
      </c>
      <c r="AA369" s="95">
        <v>1</v>
      </c>
      <c r="AB369" s="95">
        <v>1</v>
      </c>
      <c r="AC369" s="95">
        <v>1</v>
      </c>
      <c r="AD369" s="95">
        <v>0</v>
      </c>
      <c r="AE369" s="95">
        <v>0</v>
      </c>
      <c r="AF369" s="95">
        <v>0</v>
      </c>
      <c r="AG369" s="95">
        <v>0</v>
      </c>
      <c r="AH369" s="95">
        <v>0</v>
      </c>
      <c r="AI369" s="95">
        <v>0</v>
      </c>
      <c r="AJ369" s="3">
        <f>INT(VLOOKUP(U369,模板计算相关数据!A:N,4,0)*VLOOKUP(U369,模板计算相关数据!A:N,14,0)*(1+MAX(0,(VLOOKUP(U369,模板计算相关数据!A:N,7,0)-AQ369))*VLOOKUP(U369,模板计算相关数据!A:N,8,0))*(1-(AL369+AM369)*0.5/((AL369+AM369)*0.5+(VLOOKUP(U369,模板计算相关数据!A:N,2,0)+模板计算相关数据!$AC$27)*模板计算相关数据!$AC$28))*Q369*Z369)</f>
        <v>5227</v>
      </c>
      <c r="AK369" s="3">
        <f>INT(VLOOKUP(U369,模板计算相关数据!A:N,3,0)/模板计算相关数据!$W$35/(1+MAX(0,(AO369/10000-VLOOKUP(U369,模板计算相关数据!A:N,9,0)))*AP369/10000)/(1-VLOOKUP(U369,模板计算相关数据!A:N,5,0)/(VLOOKUP(U369,模板计算相关数据!A:N,5,0)+(VLOOKUP(U369,模板计算相关数据!A:N,2,0)+模板计算相关数据!$AC$27)*模板计算相关数据!$AC$28))/S369*AA369)</f>
        <v>2158</v>
      </c>
      <c r="AL369" s="3">
        <f>INT(VLOOKUP(U369,模板计算相关数据!A:N,5,0)*VLOOKUP(X369,模板计算相关数据!$P$4:$T$7,4,0)*VLOOKUP(Y369,模板计算相关数据!$P$22:$U$30,4,0)*AB369)</f>
        <v>2246</v>
      </c>
      <c r="AM369" s="3">
        <f>INT(VLOOKUP(U369,模板计算相关数据!A:N,6,0)*VLOOKUP(X369,模板计算相关数据!$P$4:$T$7,4,0)*VLOOKUP(Y369,模板计算相关数据!$P$22:$U$30,5,0)*AC369)</f>
        <v>3781</v>
      </c>
      <c r="AN369" s="3">
        <f>VLOOKUP(U369,模板计算相关数据!A:N,10,0)*0.5*VLOOKUP(Y369,模板计算相关数据!$P$22:$U$30,6,0)+AD369</f>
        <v>250</v>
      </c>
      <c r="AO369" s="3">
        <f>VLOOKUP(INT(VLOOKUP(U369,模板计算相关数据!A:N,2,0)/30)+1,模板计算相关数据!$O$35:$U$40,3,0)+AE369</f>
        <v>0</v>
      </c>
      <c r="AP369" s="3">
        <f>VLOOKUP(INT(VLOOKUP(U369,模板计算相关数据!A:N,2,0)/30)+1,模板计算相关数据!$O$35:$U$40,4,0)+AF369</f>
        <v>5000</v>
      </c>
      <c r="AQ369" s="3">
        <f>VLOOKUP(INT(VLOOKUP(U369,模板计算相关数据!A:N,2,0)/30)+1,模板计算相关数据!$O$35:$U$40,5,0)+AG369</f>
        <v>0</v>
      </c>
      <c r="AR369" s="3">
        <f>VLOOKUP(INT(VLOOKUP(U369,模板计算相关数据!A:N,2,0)/30)+1,模板计算相关数据!$O$35:$U$40,6,0)+AH369</f>
        <v>0</v>
      </c>
      <c r="AS369" s="3">
        <f>VLOOKUP(INT(VLOOKUP(U369,模板计算相关数据!A:N,2,0)/30)+1,模板计算相关数据!$O$35:$U$40,7,0)+AI369</f>
        <v>0</v>
      </c>
      <c r="AT369" s="3">
        <f>VLOOKUP(INT(VLOOKUP(U369,模板计算相关数据!A:N,2,0)/30)+1,模板计算相关数据!$O$35:$V$40,8,0)</f>
        <v>0</v>
      </c>
      <c r="AU369" s="2"/>
    </row>
    <row r="370" spans="1:47" x14ac:dyDescent="0.2">
      <c r="A370" s="3">
        <v>303209</v>
      </c>
      <c r="B370" s="3"/>
      <c r="C370" s="69" t="s">
        <v>1730</v>
      </c>
      <c r="D370" s="69" t="s">
        <v>1053</v>
      </c>
      <c r="E370" s="2"/>
      <c r="F370" s="3">
        <v>5</v>
      </c>
      <c r="G370" s="3">
        <v>1003101</v>
      </c>
      <c r="H370" s="3">
        <v>5</v>
      </c>
      <c r="I370" s="3">
        <v>4</v>
      </c>
      <c r="J370" s="3">
        <v>3</v>
      </c>
      <c r="K370" s="3"/>
      <c r="L370" s="2" t="s">
        <v>242</v>
      </c>
      <c r="M370" s="2"/>
      <c r="N370" s="2">
        <v>1</v>
      </c>
      <c r="O370" s="2"/>
      <c r="P370" s="3" t="s">
        <v>1615</v>
      </c>
      <c r="Q370" s="95">
        <f t="shared" si="51"/>
        <v>5.7709803921568623</v>
      </c>
      <c r="R370" s="133">
        <f>IF(P370=模板计算相关数据!$AB$24,VLOOKUP(X370,模板计算相关数据!$P$47:$T$50,2,0),VLOOKUP(X370,模板计算相关数据!$P$4:$U$7,3,0))*VLOOKUP(Y370,模板计算相关数据!$P$22:$X$30,8,0)</f>
        <v>5.7709803921568623</v>
      </c>
      <c r="S370" s="62">
        <f t="shared" ref="S370:S405" si="53">T370</f>
        <v>6.4077918749199023</v>
      </c>
      <c r="T370" s="133">
        <f>IF(P370=模板计算相关数据!$AB$24,VLOOKUP(X370,模板计算相关数据!$P$47:$T$50,5,0),VLOOKUP(X370,模板计算相关数据!$P$4:$U$7,6,0))*VLOOKUP(Y370,模板计算相关数据!$P$22:$X$30,9,0)</f>
        <v>6.4077918749199023</v>
      </c>
      <c r="U370" s="98">
        <v>39</v>
      </c>
      <c r="V370" s="95">
        <f t="shared" si="52"/>
        <v>20</v>
      </c>
      <c r="W370" s="29">
        <f>VLOOKUP(U370,模板计算相关数据!A:N,2,0)</f>
        <v>17</v>
      </c>
      <c r="X370" s="3" t="s">
        <v>151</v>
      </c>
      <c r="Y370" s="3" t="s">
        <v>243</v>
      </c>
      <c r="Z370" s="99">
        <v>1</v>
      </c>
      <c r="AA370" s="95">
        <v>1</v>
      </c>
      <c r="AB370" s="95">
        <v>1</v>
      </c>
      <c r="AC370" s="95">
        <v>1</v>
      </c>
      <c r="AD370" s="95">
        <v>0</v>
      </c>
      <c r="AE370" s="95">
        <v>0</v>
      </c>
      <c r="AF370" s="95">
        <v>0</v>
      </c>
      <c r="AG370" s="95">
        <v>0</v>
      </c>
      <c r="AH370" s="95">
        <v>0</v>
      </c>
      <c r="AI370" s="95">
        <v>0</v>
      </c>
      <c r="AJ370" s="3">
        <f>INT(VLOOKUP(U370,模板计算相关数据!A:N,4,0)*VLOOKUP(U370,模板计算相关数据!A:N,14,0)*(1+MAX(0,(VLOOKUP(U370,模板计算相关数据!A:N,7,0)-AQ370))*VLOOKUP(U370,模板计算相关数据!A:N,8,0))*(1-(AL370+AM370)*0.5/((AL370+AM370)*0.5+(VLOOKUP(U370,模板计算相关数据!A:N,2,0)+模板计算相关数据!$AC$27)*模板计算相关数据!$AC$28))*Q370*Z370)</f>
        <v>2258</v>
      </c>
      <c r="AK370" s="3">
        <f>INT(VLOOKUP(U370,模板计算相关数据!A:N,3,0)/模板计算相关数据!$W$35/(1+MAX(0,(AO370/10000-VLOOKUP(U370,模板计算相关数据!A:N,9,0)))*AP370/10000)/(1-VLOOKUP(U370,模板计算相关数据!A:N,5,0)/(VLOOKUP(U370,模板计算相关数据!A:N,5,0)+(VLOOKUP(U370,模板计算相关数据!A:N,2,0)+模板计算相关数据!$AC$27)*模板计算相关数据!$AC$28))/S370*AA370)</f>
        <v>521</v>
      </c>
      <c r="AL370" s="3">
        <f>INT(VLOOKUP(U370,模板计算相关数据!A:N,5,0)*VLOOKUP(X370,模板计算相关数据!$P$4:$T$7,4,0)*VLOOKUP(Y370,模板计算相关数据!$P$22:$U$30,4,0)*AB370)</f>
        <v>804</v>
      </c>
      <c r="AM370" s="3">
        <f>INT(VLOOKUP(U370,模板计算相关数据!A:N,6,0)*VLOOKUP(X370,模板计算相关数据!$P$4:$T$7,4,0)*VLOOKUP(Y370,模板计算相关数据!$P$22:$U$30,5,0)*AC370)</f>
        <v>1467</v>
      </c>
      <c r="AN370" s="3">
        <f>VLOOKUP(U370,模板计算相关数据!A:N,10,0)*0.5*VLOOKUP(Y370,模板计算相关数据!$P$22:$U$30,6,0)+AD370</f>
        <v>275</v>
      </c>
      <c r="AO370" s="3">
        <f>VLOOKUP(INT(VLOOKUP(U370,模板计算相关数据!A:N,2,0)/30)+1,模板计算相关数据!$O$35:$U$40,3,0)+AE370</f>
        <v>0</v>
      </c>
      <c r="AP370" s="3">
        <f>VLOOKUP(INT(VLOOKUP(U370,模板计算相关数据!A:N,2,0)/30)+1,模板计算相关数据!$O$35:$U$40,4,0)+AF370</f>
        <v>5000</v>
      </c>
      <c r="AQ370" s="3">
        <f>VLOOKUP(INT(VLOOKUP(U370,模板计算相关数据!A:N,2,0)/30)+1,模板计算相关数据!$O$35:$U$40,5,0)+AG370</f>
        <v>0</v>
      </c>
      <c r="AR370" s="3">
        <f>VLOOKUP(INT(VLOOKUP(U370,模板计算相关数据!A:N,2,0)/30)+1,模板计算相关数据!$O$35:$U$40,6,0)+AH370</f>
        <v>0</v>
      </c>
      <c r="AS370" s="3">
        <f>VLOOKUP(INT(VLOOKUP(U370,模板计算相关数据!A:N,2,0)/30)+1,模板计算相关数据!$O$35:$U$40,7,0)+AI370</f>
        <v>0</v>
      </c>
      <c r="AT370" s="3">
        <f>VLOOKUP(INT(VLOOKUP(U370,模板计算相关数据!A:N,2,0)/30)+1,模板计算相关数据!$O$35:$V$40,8,0)</f>
        <v>0</v>
      </c>
      <c r="AU370" s="2"/>
    </row>
    <row r="371" spans="1:47" x14ac:dyDescent="0.2">
      <c r="A371" s="3">
        <v>303210</v>
      </c>
      <c r="B371" s="3"/>
      <c r="C371" s="69" t="s">
        <v>1730</v>
      </c>
      <c r="D371" s="69" t="s">
        <v>1054</v>
      </c>
      <c r="E371" s="2"/>
      <c r="F371" s="3">
        <v>5</v>
      </c>
      <c r="G371" s="3">
        <v>1003101</v>
      </c>
      <c r="H371" s="3">
        <v>5</v>
      </c>
      <c r="I371" s="3">
        <v>4</v>
      </c>
      <c r="J371" s="3">
        <v>3</v>
      </c>
      <c r="K371" s="3"/>
      <c r="L371" s="2" t="s">
        <v>244</v>
      </c>
      <c r="M371" s="2"/>
      <c r="N371" s="2">
        <v>1</v>
      </c>
      <c r="O371" s="2"/>
      <c r="P371" s="3" t="s">
        <v>1615</v>
      </c>
      <c r="Q371" s="95">
        <v>5.9</v>
      </c>
      <c r="R371" s="133">
        <f>IF(P371=模板计算相关数据!$AB$24,VLOOKUP(X371,模板计算相关数据!$P$47:$T$50,2,0),VLOOKUP(X371,模板计算相关数据!$P$4:$U$7,3,0))*VLOOKUP(Y371,模板计算相关数据!$P$22:$X$30,8,0)</f>
        <v>5.7709803921568623</v>
      </c>
      <c r="S371" s="62">
        <v>6.3</v>
      </c>
      <c r="T371" s="133">
        <f>IF(P371=模板计算相关数据!$AB$24,VLOOKUP(X371,模板计算相关数据!$P$47:$T$50,5,0),VLOOKUP(X371,模板计算相关数据!$P$4:$U$7,6,0))*VLOOKUP(Y371,模板计算相关数据!$P$22:$X$30,9,0)</f>
        <v>6.4077918749199023</v>
      </c>
      <c r="U371" s="98">
        <v>40</v>
      </c>
      <c r="V371" s="95">
        <f t="shared" si="52"/>
        <v>33</v>
      </c>
      <c r="W371" s="29">
        <f>VLOOKUP(U371,模板计算相关数据!A:N,2,0)</f>
        <v>30</v>
      </c>
      <c r="X371" s="3" t="s">
        <v>151</v>
      </c>
      <c r="Y371" s="3" t="s">
        <v>243</v>
      </c>
      <c r="Z371" s="99">
        <v>1</v>
      </c>
      <c r="AA371" s="95">
        <v>1</v>
      </c>
      <c r="AB371" s="95">
        <v>1</v>
      </c>
      <c r="AC371" s="95">
        <v>1</v>
      </c>
      <c r="AD371" s="95">
        <v>0</v>
      </c>
      <c r="AE371" s="95">
        <v>0</v>
      </c>
      <c r="AF371" s="95">
        <v>0</v>
      </c>
      <c r="AG371" s="95">
        <v>0</v>
      </c>
      <c r="AH371" s="95">
        <v>0</v>
      </c>
      <c r="AI371" s="95">
        <v>0</v>
      </c>
      <c r="AJ371" s="3">
        <f>INT(VLOOKUP(U371,模板计算相关数据!A:N,4,0)*VLOOKUP(U371,模板计算相关数据!A:N,14,0)*(1+MAX(0,(VLOOKUP(U371,模板计算相关数据!A:N,7,0)-AQ371))*VLOOKUP(U371,模板计算相关数据!A:N,8,0))*(1-(AL371+AM371)*0.5/((AL371+AM371)*0.5+(VLOOKUP(U371,模板计算相关数据!A:N,2,0)+模板计算相关数据!$AC$27)*模板计算相关数据!$AC$28))*Q371*Z371)</f>
        <v>4166</v>
      </c>
      <c r="AK371" s="3">
        <f>INT(VLOOKUP(U371,模板计算相关数据!A:N,3,0)/模板计算相关数据!$W$35/(1+MAX(0,(AO371/10000-VLOOKUP(U371,模板计算相关数据!A:N,9,0)))*AP371/10000)/(1-VLOOKUP(U371,模板计算相关数据!A:N,5,0)/(VLOOKUP(U371,模板计算相关数据!A:N,5,0)+(VLOOKUP(U371,模板计算相关数据!A:N,2,0)+模板计算相关数据!$AC$27)*模板计算相关数据!$AC$28))/S371*AA371)</f>
        <v>1047</v>
      </c>
      <c r="AL371" s="3">
        <f>INT(VLOOKUP(U371,模板计算相关数据!A:N,5,0)*VLOOKUP(X371,模板计算相关数据!$P$4:$T$7,4,0)*VLOOKUP(Y371,模板计算相关数据!$P$22:$U$30,4,0)*AB371)</f>
        <v>1516</v>
      </c>
      <c r="AM371" s="3">
        <f>INT(VLOOKUP(U371,模板计算相关数据!A:N,6,0)*VLOOKUP(X371,模板计算相关数据!$P$4:$T$7,4,0)*VLOOKUP(Y371,模板计算相关数据!$P$22:$U$30,5,0)*AC371)</f>
        <v>2764</v>
      </c>
      <c r="AN371" s="3">
        <f>VLOOKUP(U371,模板计算相关数据!A:N,10,0)*0.5*VLOOKUP(Y371,模板计算相关数据!$P$22:$U$30,6,0)+AD371</f>
        <v>275</v>
      </c>
      <c r="AO371" s="3">
        <f>VLOOKUP(INT(VLOOKUP(U371,模板计算相关数据!A:N,2,0)/30)+1,模板计算相关数据!$O$35:$U$40,3,0)+AE371</f>
        <v>0</v>
      </c>
      <c r="AP371" s="3">
        <f>VLOOKUP(INT(VLOOKUP(U371,模板计算相关数据!A:N,2,0)/30)+1,模板计算相关数据!$O$35:$U$40,4,0)+AF371</f>
        <v>5000</v>
      </c>
      <c r="AQ371" s="3">
        <f>VLOOKUP(INT(VLOOKUP(U371,模板计算相关数据!A:N,2,0)/30)+1,模板计算相关数据!$O$35:$U$40,5,0)+AG371</f>
        <v>0</v>
      </c>
      <c r="AR371" s="3">
        <f>VLOOKUP(INT(VLOOKUP(U371,模板计算相关数据!A:N,2,0)/30)+1,模板计算相关数据!$O$35:$U$40,6,0)+AH371</f>
        <v>0</v>
      </c>
      <c r="AS371" s="3">
        <f>VLOOKUP(INT(VLOOKUP(U371,模板计算相关数据!A:N,2,0)/30)+1,模板计算相关数据!$O$35:$U$40,7,0)+AI371</f>
        <v>0</v>
      </c>
      <c r="AT371" s="3">
        <f>VLOOKUP(INT(VLOOKUP(U371,模板计算相关数据!A:N,2,0)/30)+1,模板计算相关数据!$O$35:$V$40,8,0)</f>
        <v>0</v>
      </c>
      <c r="AU371" s="2"/>
    </row>
    <row r="372" spans="1:47" x14ac:dyDescent="0.2">
      <c r="A372" s="3">
        <v>303211</v>
      </c>
      <c r="B372" s="3"/>
      <c r="C372" s="69" t="s">
        <v>1730</v>
      </c>
      <c r="D372" s="69" t="s">
        <v>1051</v>
      </c>
      <c r="E372" s="2"/>
      <c r="F372" s="3">
        <v>5</v>
      </c>
      <c r="G372" s="3">
        <v>1003101</v>
      </c>
      <c r="H372" s="3">
        <v>5</v>
      </c>
      <c r="I372" s="3">
        <v>4</v>
      </c>
      <c r="J372" s="3">
        <v>3</v>
      </c>
      <c r="K372" s="3"/>
      <c r="L372" s="2" t="s">
        <v>245</v>
      </c>
      <c r="M372" s="2"/>
      <c r="N372" s="2">
        <v>1</v>
      </c>
      <c r="O372" s="2"/>
      <c r="P372" s="3" t="s">
        <v>1615</v>
      </c>
      <c r="Q372" s="95">
        <v>6</v>
      </c>
      <c r="R372" s="133">
        <f>IF(P372=模板计算相关数据!$AB$24,VLOOKUP(X372,模板计算相关数据!$P$47:$T$50,2,0),VLOOKUP(X372,模板计算相关数据!$P$4:$U$7,3,0))*VLOOKUP(Y372,模板计算相关数据!$P$22:$X$30,8,0)</f>
        <v>5.7709803921568623</v>
      </c>
      <c r="S372" s="62">
        <v>6.2</v>
      </c>
      <c r="T372" s="133">
        <f>IF(P372=模板计算相关数据!$AB$24,VLOOKUP(X372,模板计算相关数据!$P$47:$T$50,5,0),VLOOKUP(X372,模板计算相关数据!$P$4:$U$7,6,0))*VLOOKUP(Y372,模板计算相关数据!$P$22:$X$30,9,0)</f>
        <v>6.4077918749199023</v>
      </c>
      <c r="U372" s="98">
        <v>41</v>
      </c>
      <c r="V372" s="95">
        <f t="shared" si="52"/>
        <v>48</v>
      </c>
      <c r="W372" s="29">
        <f>VLOOKUP(U372,模板计算相关数据!A:N,2,0)</f>
        <v>45</v>
      </c>
      <c r="X372" s="3" t="s">
        <v>151</v>
      </c>
      <c r="Y372" s="3" t="s">
        <v>243</v>
      </c>
      <c r="Z372" s="99">
        <v>1</v>
      </c>
      <c r="AA372" s="95">
        <v>1</v>
      </c>
      <c r="AB372" s="95">
        <v>1</v>
      </c>
      <c r="AC372" s="95">
        <v>1</v>
      </c>
      <c r="AD372" s="95">
        <v>0</v>
      </c>
      <c r="AE372" s="95">
        <v>0</v>
      </c>
      <c r="AF372" s="95">
        <v>0</v>
      </c>
      <c r="AG372" s="95">
        <v>0</v>
      </c>
      <c r="AH372" s="95">
        <v>0</v>
      </c>
      <c r="AI372" s="95">
        <v>0</v>
      </c>
      <c r="AJ372" s="3">
        <f>INT(VLOOKUP(U372,模板计算相关数据!A:N,4,0)*VLOOKUP(U372,模板计算相关数据!A:N,14,0)*(1+MAX(0,(VLOOKUP(U372,模板计算相关数据!A:N,7,0)-AQ372))*VLOOKUP(U372,模板计算相关数据!A:N,8,0))*(1-(AL372+AM372)*0.5/((AL372+AM372)*0.5+(VLOOKUP(U372,模板计算相关数据!A:N,2,0)+模板计算相关数据!$AC$27)*模板计算相关数据!$AC$28))*Q372*Z372)</f>
        <v>6715</v>
      </c>
      <c r="AK372" s="3">
        <f>INT(VLOOKUP(U372,模板计算相关数据!A:N,3,0)/模板计算相关数据!$W$35/(1+MAX(0,(AO372/10000-VLOOKUP(U372,模板计算相关数据!A:N,9,0)))*AP372/10000)/(1-VLOOKUP(U372,模板计算相关数据!A:N,5,0)/(VLOOKUP(U372,模板计算相关数据!A:N,5,0)+(VLOOKUP(U372,模板计算相关数据!A:N,2,0)+模板计算相关数据!$AC$27)*模板计算相关数据!$AC$28))/S372*AA372)</f>
        <v>1705</v>
      </c>
      <c r="AL372" s="3">
        <f>INT(VLOOKUP(U372,模板计算相关数据!A:N,5,0)*VLOOKUP(X372,模板计算相关数据!$P$4:$T$7,4,0)*VLOOKUP(Y372,模板计算相关数据!$P$22:$U$30,4,0)*AB372)</f>
        <v>2386</v>
      </c>
      <c r="AM372" s="3">
        <f>INT(VLOOKUP(U372,模板计算相关数据!A:N,6,0)*VLOOKUP(X372,模板计算相关数据!$P$4:$T$7,4,0)*VLOOKUP(Y372,模板计算相关数据!$P$22:$U$30,5,0)*AC372)</f>
        <v>4341</v>
      </c>
      <c r="AN372" s="3">
        <f>VLOOKUP(U372,模板计算相关数据!A:N,10,0)*0.5*VLOOKUP(Y372,模板计算相关数据!$P$22:$U$30,6,0)+AD372</f>
        <v>275</v>
      </c>
      <c r="AO372" s="3">
        <f>VLOOKUP(INT(VLOOKUP(U372,模板计算相关数据!A:N,2,0)/30)+1,模板计算相关数据!$O$35:$U$40,3,0)+AE372</f>
        <v>0</v>
      </c>
      <c r="AP372" s="3">
        <f>VLOOKUP(INT(VLOOKUP(U372,模板计算相关数据!A:N,2,0)/30)+1,模板计算相关数据!$O$35:$U$40,4,0)+AF372</f>
        <v>5000</v>
      </c>
      <c r="AQ372" s="3">
        <f>VLOOKUP(INT(VLOOKUP(U372,模板计算相关数据!A:N,2,0)/30)+1,模板计算相关数据!$O$35:$U$40,5,0)+AG372</f>
        <v>0</v>
      </c>
      <c r="AR372" s="3">
        <f>VLOOKUP(INT(VLOOKUP(U372,模板计算相关数据!A:N,2,0)/30)+1,模板计算相关数据!$O$35:$U$40,6,0)+AH372</f>
        <v>0</v>
      </c>
      <c r="AS372" s="3">
        <f>VLOOKUP(INT(VLOOKUP(U372,模板计算相关数据!A:N,2,0)/30)+1,模板计算相关数据!$O$35:$U$40,7,0)+AI372</f>
        <v>0</v>
      </c>
      <c r="AT372" s="3">
        <f>VLOOKUP(INT(VLOOKUP(U372,模板计算相关数据!A:N,2,0)/30)+1,模板计算相关数据!$O$35:$V$40,8,0)</f>
        <v>0</v>
      </c>
      <c r="AU372" s="2"/>
    </row>
    <row r="373" spans="1:47" x14ac:dyDescent="0.2">
      <c r="A373" s="3">
        <v>303212</v>
      </c>
      <c r="B373" s="3"/>
      <c r="C373" s="69" t="s">
        <v>1730</v>
      </c>
      <c r="D373" s="69" t="s">
        <v>1052</v>
      </c>
      <c r="E373" s="2"/>
      <c r="F373" s="3">
        <v>5</v>
      </c>
      <c r="G373" s="3">
        <v>1003101</v>
      </c>
      <c r="H373" s="3">
        <v>5</v>
      </c>
      <c r="I373" s="3">
        <v>4</v>
      </c>
      <c r="J373" s="3">
        <v>3</v>
      </c>
      <c r="K373" s="3"/>
      <c r="L373" s="2" t="s">
        <v>246</v>
      </c>
      <c r="M373" s="2"/>
      <c r="N373" s="2">
        <v>1</v>
      </c>
      <c r="O373" s="2"/>
      <c r="P373" s="3" t="s">
        <v>1615</v>
      </c>
      <c r="Q373" s="95">
        <v>6.1</v>
      </c>
      <c r="R373" s="133">
        <f>IF(P373=模板计算相关数据!$AB$24,VLOOKUP(X373,模板计算相关数据!$P$47:$T$50,2,0),VLOOKUP(X373,模板计算相关数据!$P$4:$U$7,3,0))*VLOOKUP(Y373,模板计算相关数据!$P$22:$X$30,8,0)</f>
        <v>5.7709803921568623</v>
      </c>
      <c r="S373" s="62">
        <v>6.1</v>
      </c>
      <c r="T373" s="133">
        <f>IF(P373=模板计算相关数据!$AB$24,VLOOKUP(X373,模板计算相关数据!$P$47:$T$50,5,0),VLOOKUP(X373,模板计算相关数据!$P$4:$U$7,6,0))*VLOOKUP(Y373,模板计算相关数据!$P$22:$X$30,9,0)</f>
        <v>6.4077918749199023</v>
      </c>
      <c r="U373" s="98">
        <v>41</v>
      </c>
      <c r="V373" s="95">
        <f t="shared" si="52"/>
        <v>48</v>
      </c>
      <c r="W373" s="29">
        <f>VLOOKUP(U373,模板计算相关数据!A:N,2,0)</f>
        <v>45</v>
      </c>
      <c r="X373" s="3" t="s">
        <v>151</v>
      </c>
      <c r="Y373" s="3" t="s">
        <v>243</v>
      </c>
      <c r="Z373" s="99">
        <v>1</v>
      </c>
      <c r="AA373" s="95">
        <v>1</v>
      </c>
      <c r="AB373" s="95">
        <v>1</v>
      </c>
      <c r="AC373" s="95">
        <v>1</v>
      </c>
      <c r="AD373" s="95">
        <v>0</v>
      </c>
      <c r="AE373" s="95">
        <v>0</v>
      </c>
      <c r="AF373" s="95">
        <v>0</v>
      </c>
      <c r="AG373" s="95">
        <v>0</v>
      </c>
      <c r="AH373" s="95">
        <v>0</v>
      </c>
      <c r="AI373" s="95">
        <v>0</v>
      </c>
      <c r="AJ373" s="3">
        <f>INT(VLOOKUP(U373,模板计算相关数据!A:N,4,0)*VLOOKUP(U373,模板计算相关数据!A:N,14,0)*(1+MAX(0,(VLOOKUP(U373,模板计算相关数据!A:N,7,0)-AQ373))*VLOOKUP(U373,模板计算相关数据!A:N,8,0))*(1-(AL373+AM373)*0.5/((AL373+AM373)*0.5+(VLOOKUP(U373,模板计算相关数据!A:N,2,0)+模板计算相关数据!$AC$27)*模板计算相关数据!$AC$28))*Q373*Z373)</f>
        <v>6827</v>
      </c>
      <c r="AK373" s="3">
        <f>INT(VLOOKUP(U373,模板计算相关数据!A:N,3,0)/模板计算相关数据!$W$35/(1+MAX(0,(AO373/10000-VLOOKUP(U373,模板计算相关数据!A:N,9,0)))*AP373/10000)/(1-VLOOKUP(U373,模板计算相关数据!A:N,5,0)/(VLOOKUP(U373,模板计算相关数据!A:N,5,0)+(VLOOKUP(U373,模板计算相关数据!A:N,2,0)+模板计算相关数据!$AC$27)*模板计算相关数据!$AC$28))/S373*AA373)</f>
        <v>1733</v>
      </c>
      <c r="AL373" s="3">
        <f>INT(VLOOKUP(U373,模板计算相关数据!A:N,5,0)*VLOOKUP(X373,模板计算相关数据!$P$4:$T$7,4,0)*VLOOKUP(Y373,模板计算相关数据!$P$22:$U$30,4,0)*AB373)</f>
        <v>2386</v>
      </c>
      <c r="AM373" s="3">
        <f>INT(VLOOKUP(U373,模板计算相关数据!A:N,6,0)*VLOOKUP(X373,模板计算相关数据!$P$4:$T$7,4,0)*VLOOKUP(Y373,模板计算相关数据!$P$22:$U$30,5,0)*AC373)</f>
        <v>4341</v>
      </c>
      <c r="AN373" s="3">
        <f>VLOOKUP(U373,模板计算相关数据!A:N,10,0)*0.5*VLOOKUP(Y373,模板计算相关数据!$P$22:$U$30,6,0)+AD373</f>
        <v>275</v>
      </c>
      <c r="AO373" s="3">
        <f>VLOOKUP(INT(VLOOKUP(U373,模板计算相关数据!A:N,2,0)/30)+1,模板计算相关数据!$O$35:$U$40,3,0)+AE373</f>
        <v>0</v>
      </c>
      <c r="AP373" s="3">
        <f>VLOOKUP(INT(VLOOKUP(U373,模板计算相关数据!A:N,2,0)/30)+1,模板计算相关数据!$O$35:$U$40,4,0)+AF373</f>
        <v>5000</v>
      </c>
      <c r="AQ373" s="3">
        <f>VLOOKUP(INT(VLOOKUP(U373,模板计算相关数据!A:N,2,0)/30)+1,模板计算相关数据!$O$35:$U$40,5,0)+AG373</f>
        <v>0</v>
      </c>
      <c r="AR373" s="3">
        <f>VLOOKUP(INT(VLOOKUP(U373,模板计算相关数据!A:N,2,0)/30)+1,模板计算相关数据!$O$35:$U$40,6,0)+AH373</f>
        <v>0</v>
      </c>
      <c r="AS373" s="3">
        <f>VLOOKUP(INT(VLOOKUP(U373,模板计算相关数据!A:N,2,0)/30)+1,模板计算相关数据!$O$35:$U$40,7,0)+AI373</f>
        <v>0</v>
      </c>
      <c r="AT373" s="3">
        <f>VLOOKUP(INT(VLOOKUP(U373,模板计算相关数据!A:N,2,0)/30)+1,模板计算相关数据!$O$35:$V$40,8,0)</f>
        <v>0</v>
      </c>
      <c r="AU373" s="2"/>
    </row>
    <row r="374" spans="1:47" x14ac:dyDescent="0.2">
      <c r="A374" s="3">
        <v>303213</v>
      </c>
      <c r="B374" s="3"/>
      <c r="C374" s="69" t="s">
        <v>1743</v>
      </c>
      <c r="D374" s="69" t="s">
        <v>1055</v>
      </c>
      <c r="E374" s="2"/>
      <c r="F374" s="3">
        <v>1</v>
      </c>
      <c r="G374" s="3">
        <v>1003401</v>
      </c>
      <c r="H374" s="3">
        <v>2</v>
      </c>
      <c r="I374" s="3">
        <v>4</v>
      </c>
      <c r="J374" s="3">
        <v>3</v>
      </c>
      <c r="K374" s="3"/>
      <c r="L374" s="69" t="s">
        <v>973</v>
      </c>
      <c r="M374" s="2"/>
      <c r="N374" s="2">
        <v>1</v>
      </c>
      <c r="O374" s="2"/>
      <c r="P374" s="3" t="s">
        <v>1615</v>
      </c>
      <c r="Q374" s="95">
        <v>7.8</v>
      </c>
      <c r="R374" s="133">
        <f>IF(P374=模板计算相关数据!$AB$24,VLOOKUP(X374,模板计算相关数据!$P$47:$T$50,2,0),VLOOKUP(X374,模板计算相关数据!$P$4:$U$7,3,0))*VLOOKUP(Y374,模板计算相关数据!$P$22:$X$30,8,0)</f>
        <v>6.9411764705882364</v>
      </c>
      <c r="S374" s="62">
        <v>8</v>
      </c>
      <c r="T374" s="133">
        <f>IF(P374=模板计算相关数据!$AB$24,VLOOKUP(X374,模板计算相关数据!$P$47:$T$50,5,0),VLOOKUP(X374,模板计算相关数据!$P$4:$U$7,6,0))*VLOOKUP(Y374,模板计算相关数据!$P$22:$X$30,9,0)</f>
        <v>8.2943498888557112</v>
      </c>
      <c r="U374" s="98">
        <v>41</v>
      </c>
      <c r="V374" s="95">
        <f t="shared" si="52"/>
        <v>48</v>
      </c>
      <c r="W374" s="29">
        <f>VLOOKUP(U374,模板计算相关数据!A:N,2,0)</f>
        <v>45</v>
      </c>
      <c r="X374" s="3" t="s">
        <v>151</v>
      </c>
      <c r="Y374" s="3" t="s">
        <v>234</v>
      </c>
      <c r="Z374" s="99">
        <v>1</v>
      </c>
      <c r="AA374" s="95">
        <v>1</v>
      </c>
      <c r="AB374" s="95">
        <v>1</v>
      </c>
      <c r="AC374" s="95">
        <v>1</v>
      </c>
      <c r="AD374" s="95">
        <v>0</v>
      </c>
      <c r="AE374" s="95">
        <v>0</v>
      </c>
      <c r="AF374" s="95">
        <v>0</v>
      </c>
      <c r="AG374" s="95">
        <v>0</v>
      </c>
      <c r="AH374" s="95">
        <v>0</v>
      </c>
      <c r="AI374" s="95">
        <v>0</v>
      </c>
      <c r="AJ374" s="3">
        <f>INT(VLOOKUP(U374,模板计算相关数据!A:N,4,0)*VLOOKUP(U374,模板计算相关数据!A:N,14,0)*(1+MAX(0,(VLOOKUP(U374,模板计算相关数据!A:N,7,0)-AQ374))*VLOOKUP(U374,模板计算相关数据!A:N,8,0))*(1-(AL374+AM374)*0.5/((AL374+AM374)*0.5+(VLOOKUP(U374,模板计算相关数据!A:N,2,0)+模板计算相关数据!$AC$27)*模板计算相关数据!$AC$28))*Q374*Z374)</f>
        <v>8544</v>
      </c>
      <c r="AK374" s="3">
        <f>INT(VLOOKUP(U374,模板计算相关数据!A:N,3,0)/模板计算相关数据!$W$35/(1+MAX(0,(AO374/10000-VLOOKUP(U374,模板计算相关数据!A:N,9,0)))*AP374/10000)/(1-VLOOKUP(U374,模板计算相关数据!A:N,5,0)/(VLOOKUP(U374,模板计算相关数据!A:N,5,0)+(VLOOKUP(U374,模板计算相关数据!A:N,2,0)+模板计算相关数据!$AC$27)*模板计算相关数据!$AC$28))/S374*AA374)</f>
        <v>1321</v>
      </c>
      <c r="AL374" s="3">
        <f>INT(VLOOKUP(U374,模板计算相关数据!A:N,5,0)*VLOOKUP(X374,模板计算相关数据!$P$4:$T$7,4,0)*VLOOKUP(Y374,模板计算相关数据!$P$22:$U$30,4,0)*AB374)</f>
        <v>2526</v>
      </c>
      <c r="AM374" s="3">
        <f>INT(VLOOKUP(U374,模板计算相关数据!A:N,6,0)*VLOOKUP(X374,模板计算相关数据!$P$4:$T$7,4,0)*VLOOKUP(Y374,模板计算相关数据!$P$22:$U$30,5,0)*AC374)</f>
        <v>4552</v>
      </c>
      <c r="AN374" s="3">
        <f>VLOOKUP(U374,模板计算相关数据!A:N,10,0)*0.5*VLOOKUP(Y374,模板计算相关数据!$P$22:$U$30,6,0)+AD374</f>
        <v>225</v>
      </c>
      <c r="AO374" s="3">
        <f>VLOOKUP(INT(VLOOKUP(U374,模板计算相关数据!A:N,2,0)/30)+1,模板计算相关数据!$O$35:$U$40,3,0)+AE374</f>
        <v>0</v>
      </c>
      <c r="AP374" s="3">
        <f>VLOOKUP(INT(VLOOKUP(U374,模板计算相关数据!A:N,2,0)/30)+1,模板计算相关数据!$O$35:$U$40,4,0)+AF374</f>
        <v>5000</v>
      </c>
      <c r="AQ374" s="3">
        <f>VLOOKUP(INT(VLOOKUP(U374,模板计算相关数据!A:N,2,0)/30)+1,模板计算相关数据!$O$35:$U$40,5,0)+AG374</f>
        <v>0</v>
      </c>
      <c r="AR374" s="3">
        <f>VLOOKUP(INT(VLOOKUP(U374,模板计算相关数据!A:N,2,0)/30)+1,模板计算相关数据!$O$35:$U$40,6,0)+AH374</f>
        <v>0</v>
      </c>
      <c r="AS374" s="3">
        <f>VLOOKUP(INT(VLOOKUP(U374,模板计算相关数据!A:N,2,0)/30)+1,模板计算相关数据!$O$35:$U$40,7,0)+AI374</f>
        <v>0</v>
      </c>
      <c r="AT374" s="3">
        <f>VLOOKUP(INT(VLOOKUP(U374,模板计算相关数据!A:N,2,0)/30)+1,模板计算相关数据!$O$35:$V$40,8,0)</f>
        <v>0</v>
      </c>
      <c r="AU374" s="2"/>
    </row>
    <row r="375" spans="1:47" x14ac:dyDescent="0.2">
      <c r="A375" s="3">
        <v>303214</v>
      </c>
      <c r="B375" s="3"/>
      <c r="C375" s="69" t="s">
        <v>1736</v>
      </c>
      <c r="D375" s="69" t="s">
        <v>1055</v>
      </c>
      <c r="E375" s="2"/>
      <c r="F375" s="3">
        <v>2</v>
      </c>
      <c r="G375" s="3">
        <v>1003501</v>
      </c>
      <c r="H375" s="3">
        <v>4</v>
      </c>
      <c r="I375" s="3">
        <v>4</v>
      </c>
      <c r="J375" s="3">
        <v>3</v>
      </c>
      <c r="K375" s="3"/>
      <c r="L375" s="69" t="s">
        <v>974</v>
      </c>
      <c r="M375" s="2"/>
      <c r="N375" s="2">
        <v>1</v>
      </c>
      <c r="O375" s="2"/>
      <c r="P375" s="3" t="s">
        <v>1615</v>
      </c>
      <c r="Q375" s="95">
        <f t="shared" si="51"/>
        <v>4.4674509803921572</v>
      </c>
      <c r="R375" s="133">
        <f>IF(P375=模板计算相关数据!$AB$24,VLOOKUP(X375,模板计算相关数据!$P$47:$T$50,2,0),VLOOKUP(X375,模板计算相关数据!$P$4:$U$7,3,0))*VLOOKUP(Y375,模板计算相关数据!$P$22:$X$30,8,0)</f>
        <v>4.4674509803921572</v>
      </c>
      <c r="S375" s="62">
        <v>4.7</v>
      </c>
      <c r="T375" s="133">
        <f>IF(P375=模板计算相关数据!$AB$24,VLOOKUP(X375,模板计算相关数据!$P$47:$T$50,5,0),VLOOKUP(X375,模板计算相关数据!$P$4:$U$7,6,0))*VLOOKUP(Y375,模板计算相关数据!$P$22:$X$30,9,0)</f>
        <v>5.4739930589768004</v>
      </c>
      <c r="U375" s="98">
        <v>41</v>
      </c>
      <c r="V375" s="95">
        <f t="shared" si="52"/>
        <v>48</v>
      </c>
      <c r="W375" s="29">
        <f>VLOOKUP(U375,模板计算相关数据!A:N,2,0)</f>
        <v>45</v>
      </c>
      <c r="X375" s="3" t="s">
        <v>151</v>
      </c>
      <c r="Y375" s="3" t="s">
        <v>162</v>
      </c>
      <c r="Z375" s="99">
        <v>1</v>
      </c>
      <c r="AA375" s="95">
        <v>1</v>
      </c>
      <c r="AB375" s="95">
        <v>1</v>
      </c>
      <c r="AC375" s="95">
        <v>1</v>
      </c>
      <c r="AD375" s="95">
        <v>0</v>
      </c>
      <c r="AE375" s="95">
        <v>0</v>
      </c>
      <c r="AF375" s="95">
        <v>0</v>
      </c>
      <c r="AG375" s="95">
        <v>0</v>
      </c>
      <c r="AH375" s="95">
        <v>0</v>
      </c>
      <c r="AI375" s="95">
        <v>0</v>
      </c>
      <c r="AJ375" s="3">
        <f>INT(VLOOKUP(U375,模板计算相关数据!A:N,4,0)*VLOOKUP(U375,模板计算相关数据!A:N,14,0)*(1+MAX(0,(VLOOKUP(U375,模板计算相关数据!A:N,7,0)-AQ375))*VLOOKUP(U375,模板计算相关数据!A:N,8,0))*(1-(AL375+AM375)*0.5/((AL375+AM375)*0.5+(VLOOKUP(U375,模板计算相关数据!A:N,2,0)+模板计算相关数据!$AC$27)*模板计算相关数据!$AC$28))*Q375*Z375)</f>
        <v>5227</v>
      </c>
      <c r="AK375" s="3">
        <f>INT(VLOOKUP(U375,模板计算相关数据!A:N,3,0)/模板计算相关数据!$W$35/(1+MAX(0,(AO375/10000-VLOOKUP(U375,模板计算相关数据!A:N,9,0)))*AP375/10000)/(1-VLOOKUP(U375,模板计算相关数据!A:N,5,0)/(VLOOKUP(U375,模板计算相关数据!A:N,5,0)+(VLOOKUP(U375,模板计算相关数据!A:N,2,0)+模板计算相关数据!$AC$27)*模板计算相关数据!$AC$28))/S375*AA375)</f>
        <v>2249</v>
      </c>
      <c r="AL375" s="3">
        <f>INT(VLOOKUP(U375,模板计算相关数据!A:N,5,0)*VLOOKUP(X375,模板计算相关数据!$P$4:$T$7,4,0)*VLOOKUP(Y375,模板计算相关数据!$P$22:$U$30,4,0)*AB375)</f>
        <v>2246</v>
      </c>
      <c r="AM375" s="3">
        <f>INT(VLOOKUP(U375,模板计算相关数据!A:N,6,0)*VLOOKUP(X375,模板计算相关数据!$P$4:$T$7,4,0)*VLOOKUP(Y375,模板计算相关数据!$P$22:$U$30,5,0)*AC375)</f>
        <v>3781</v>
      </c>
      <c r="AN375" s="3">
        <f>VLOOKUP(U375,模板计算相关数据!A:N,10,0)*0.5*VLOOKUP(Y375,模板计算相关数据!$P$22:$U$30,6,0)+AD375</f>
        <v>250</v>
      </c>
      <c r="AO375" s="3">
        <f>VLOOKUP(INT(VLOOKUP(U375,模板计算相关数据!A:N,2,0)/30)+1,模板计算相关数据!$O$35:$U$40,3,0)+AE375</f>
        <v>0</v>
      </c>
      <c r="AP375" s="3">
        <f>VLOOKUP(INT(VLOOKUP(U375,模板计算相关数据!A:N,2,0)/30)+1,模板计算相关数据!$O$35:$U$40,4,0)+AF375</f>
        <v>5000</v>
      </c>
      <c r="AQ375" s="3">
        <f>VLOOKUP(INT(VLOOKUP(U375,模板计算相关数据!A:N,2,0)/30)+1,模板计算相关数据!$O$35:$U$40,5,0)+AG375</f>
        <v>0</v>
      </c>
      <c r="AR375" s="3">
        <f>VLOOKUP(INT(VLOOKUP(U375,模板计算相关数据!A:N,2,0)/30)+1,模板计算相关数据!$O$35:$U$40,6,0)+AH375</f>
        <v>0</v>
      </c>
      <c r="AS375" s="3">
        <f>VLOOKUP(INT(VLOOKUP(U375,模板计算相关数据!A:N,2,0)/30)+1,模板计算相关数据!$O$35:$U$40,7,0)+AI375</f>
        <v>0</v>
      </c>
      <c r="AT375" s="3">
        <f>VLOOKUP(INT(VLOOKUP(U375,模板计算相关数据!A:N,2,0)/30)+1,模板计算相关数据!$O$35:$V$40,8,0)</f>
        <v>0</v>
      </c>
      <c r="AU375" s="2"/>
    </row>
    <row r="376" spans="1:47" x14ac:dyDescent="0.2">
      <c r="A376" s="3">
        <v>303215</v>
      </c>
      <c r="B376" s="3"/>
      <c r="C376" s="69" t="s">
        <v>1730</v>
      </c>
      <c r="D376" s="69" t="s">
        <v>1055</v>
      </c>
      <c r="E376" s="2"/>
      <c r="F376" s="3">
        <v>5</v>
      </c>
      <c r="G376" s="3">
        <v>1003101</v>
      </c>
      <c r="H376" s="3">
        <v>5</v>
      </c>
      <c r="I376" s="3">
        <v>4</v>
      </c>
      <c r="J376" s="3">
        <v>3</v>
      </c>
      <c r="K376" s="3"/>
      <c r="L376" s="69" t="s">
        <v>975</v>
      </c>
      <c r="M376" s="2"/>
      <c r="N376" s="2">
        <v>1</v>
      </c>
      <c r="O376" s="2"/>
      <c r="P376" s="3" t="s">
        <v>1615</v>
      </c>
      <c r="Q376" s="95">
        <v>6.2</v>
      </c>
      <c r="R376" s="133">
        <f>IF(P376=模板计算相关数据!$AB$24,VLOOKUP(X376,模板计算相关数据!$P$47:$T$50,2,0),VLOOKUP(X376,模板计算相关数据!$P$4:$U$7,3,0))*VLOOKUP(Y376,模板计算相关数据!$P$22:$X$30,8,0)</f>
        <v>5.7709803921568623</v>
      </c>
      <c r="S376" s="62">
        <v>6</v>
      </c>
      <c r="T376" s="133">
        <f>IF(P376=模板计算相关数据!$AB$24,VLOOKUP(X376,模板计算相关数据!$P$47:$T$50,5,0),VLOOKUP(X376,模板计算相关数据!$P$4:$U$7,6,0))*VLOOKUP(Y376,模板计算相关数据!$P$22:$X$30,9,0)</f>
        <v>6.4077918749199023</v>
      </c>
      <c r="U376" s="98">
        <v>41</v>
      </c>
      <c r="V376" s="95">
        <f t="shared" si="52"/>
        <v>48</v>
      </c>
      <c r="W376" s="29">
        <f>VLOOKUP(U376,模板计算相关数据!A:N,2,0)</f>
        <v>45</v>
      </c>
      <c r="X376" s="3" t="s">
        <v>151</v>
      </c>
      <c r="Y376" s="3" t="s">
        <v>243</v>
      </c>
      <c r="Z376" s="99">
        <v>1</v>
      </c>
      <c r="AA376" s="95">
        <v>1</v>
      </c>
      <c r="AB376" s="95">
        <v>1</v>
      </c>
      <c r="AC376" s="95">
        <v>1</v>
      </c>
      <c r="AD376" s="95">
        <v>0</v>
      </c>
      <c r="AE376" s="95">
        <v>0</v>
      </c>
      <c r="AF376" s="95">
        <v>0</v>
      </c>
      <c r="AG376" s="95">
        <v>0</v>
      </c>
      <c r="AH376" s="95">
        <v>0</v>
      </c>
      <c r="AI376" s="95">
        <v>0</v>
      </c>
      <c r="AJ376" s="3">
        <f>INT(VLOOKUP(U376,模板计算相关数据!A:N,4,0)*VLOOKUP(U376,模板计算相关数据!A:N,14,0)*(1+MAX(0,(VLOOKUP(U376,模板计算相关数据!A:N,7,0)-AQ376))*VLOOKUP(U376,模板计算相关数据!A:N,8,0))*(1-(AL376+AM376)*0.5/((AL376+AM376)*0.5+(VLOOKUP(U376,模板计算相关数据!A:N,2,0)+模板计算相关数据!$AC$27)*模板计算相关数据!$AC$28))*Q376*Z376)</f>
        <v>6939</v>
      </c>
      <c r="AK376" s="3">
        <f>INT(VLOOKUP(U376,模板计算相关数据!A:N,3,0)/模板计算相关数据!$W$35/(1+MAX(0,(AO376/10000-VLOOKUP(U376,模板计算相关数据!A:N,9,0)))*AP376/10000)/(1-VLOOKUP(U376,模板计算相关数据!A:N,5,0)/(VLOOKUP(U376,模板计算相关数据!A:N,5,0)+(VLOOKUP(U376,模板计算相关数据!A:N,2,0)+模板计算相关数据!$AC$27)*模板计算相关数据!$AC$28))/S376*AA376)</f>
        <v>1762</v>
      </c>
      <c r="AL376" s="3">
        <f>INT(VLOOKUP(U376,模板计算相关数据!A:N,5,0)*VLOOKUP(X376,模板计算相关数据!$P$4:$T$7,4,0)*VLOOKUP(Y376,模板计算相关数据!$P$22:$U$30,4,0)*AB376)</f>
        <v>2386</v>
      </c>
      <c r="AM376" s="3">
        <f>INT(VLOOKUP(U376,模板计算相关数据!A:N,6,0)*VLOOKUP(X376,模板计算相关数据!$P$4:$T$7,4,0)*VLOOKUP(Y376,模板计算相关数据!$P$22:$U$30,5,0)*AC376)</f>
        <v>4341</v>
      </c>
      <c r="AN376" s="3">
        <f>VLOOKUP(U376,模板计算相关数据!A:N,10,0)*0.5*VLOOKUP(Y376,模板计算相关数据!$P$22:$U$30,6,0)+AD376</f>
        <v>275</v>
      </c>
      <c r="AO376" s="3">
        <f>VLOOKUP(INT(VLOOKUP(U376,模板计算相关数据!A:N,2,0)/30)+1,模板计算相关数据!$O$35:$U$40,3,0)+AE376</f>
        <v>0</v>
      </c>
      <c r="AP376" s="3">
        <f>VLOOKUP(INT(VLOOKUP(U376,模板计算相关数据!A:N,2,0)/30)+1,模板计算相关数据!$O$35:$U$40,4,0)+AF376</f>
        <v>5000</v>
      </c>
      <c r="AQ376" s="3">
        <f>VLOOKUP(INT(VLOOKUP(U376,模板计算相关数据!A:N,2,0)/30)+1,模板计算相关数据!$O$35:$U$40,5,0)+AG376</f>
        <v>0</v>
      </c>
      <c r="AR376" s="3">
        <f>VLOOKUP(INT(VLOOKUP(U376,模板计算相关数据!A:N,2,0)/30)+1,模板计算相关数据!$O$35:$U$40,6,0)+AH376</f>
        <v>0</v>
      </c>
      <c r="AS376" s="3">
        <f>VLOOKUP(INT(VLOOKUP(U376,模板计算相关数据!A:N,2,0)/30)+1,模板计算相关数据!$O$35:$U$40,7,0)+AI376</f>
        <v>0</v>
      </c>
      <c r="AT376" s="3">
        <f>VLOOKUP(INT(VLOOKUP(U376,模板计算相关数据!A:N,2,0)/30)+1,模板计算相关数据!$O$35:$V$40,8,0)</f>
        <v>0</v>
      </c>
      <c r="AU376" s="2"/>
    </row>
    <row r="377" spans="1:47" s="149" customFormat="1" x14ac:dyDescent="0.2">
      <c r="A377" s="43">
        <v>303301</v>
      </c>
      <c r="B377" s="43"/>
      <c r="C377" s="25" t="s">
        <v>1732</v>
      </c>
      <c r="D377" s="25" t="s">
        <v>1056</v>
      </c>
      <c r="E377" s="17"/>
      <c r="F377" s="43">
        <v>3</v>
      </c>
      <c r="G377" s="43">
        <v>1001301</v>
      </c>
      <c r="H377" s="43">
        <v>1</v>
      </c>
      <c r="I377" s="43">
        <v>4</v>
      </c>
      <c r="J377" s="43">
        <v>3</v>
      </c>
      <c r="K377" s="43"/>
      <c r="L377" s="17" t="s">
        <v>247</v>
      </c>
      <c r="M377" s="17"/>
      <c r="N377" s="17">
        <v>1</v>
      </c>
      <c r="O377" s="17"/>
      <c r="P377" s="43" t="s">
        <v>1615</v>
      </c>
      <c r="Q377" s="147">
        <f t="shared" si="51"/>
        <v>4.417254901960785</v>
      </c>
      <c r="R377" s="133">
        <f>IF(P377=模板计算相关数据!$AB$24,VLOOKUP(X377,模板计算相关数据!$P$47:$T$50,2,0),VLOOKUP(X377,模板计算相关数据!$P$4:$U$7,3,0))*VLOOKUP(Y377,模板计算相关数据!$P$22:$X$30,8,0)</f>
        <v>4.417254901960785</v>
      </c>
      <c r="S377" s="42">
        <f t="shared" si="53"/>
        <v>5.4285280003474252</v>
      </c>
      <c r="T377" s="133">
        <f>IF(P377=模板计算相关数据!$AB$24,VLOOKUP(X377,模板计算相关数据!$P$47:$T$50,5,0),VLOOKUP(X377,模板计算相关数据!$P$4:$U$7,6,0))*VLOOKUP(Y377,模板计算相关数据!$P$22:$X$30,9,0)</f>
        <v>5.4285280003474252</v>
      </c>
      <c r="U377" s="150">
        <v>39</v>
      </c>
      <c r="V377" s="95">
        <f t="shared" si="52"/>
        <v>20</v>
      </c>
      <c r="W377" s="29">
        <f>VLOOKUP(U377,模板计算相关数据!A:N,2,0)</f>
        <v>17</v>
      </c>
      <c r="X377" s="43" t="s">
        <v>151</v>
      </c>
      <c r="Y377" s="43" t="s">
        <v>152</v>
      </c>
      <c r="Z377" s="148">
        <v>1</v>
      </c>
      <c r="AA377" s="147">
        <v>1</v>
      </c>
      <c r="AB377" s="147">
        <v>1</v>
      </c>
      <c r="AC377" s="147">
        <v>1</v>
      </c>
      <c r="AD377" s="147">
        <v>285</v>
      </c>
      <c r="AE377" s="147">
        <v>0</v>
      </c>
      <c r="AF377" s="147">
        <v>0</v>
      </c>
      <c r="AG377" s="147">
        <v>0</v>
      </c>
      <c r="AH377" s="147">
        <v>0</v>
      </c>
      <c r="AI377" s="147">
        <v>0</v>
      </c>
      <c r="AJ377" s="43">
        <f>INT(VLOOKUP(U377,模板计算相关数据!A:N,4,0)*VLOOKUP(U377,模板计算相关数据!A:N,14,0)*(1+MAX(0,(VLOOKUP(U377,模板计算相关数据!A:N,7,0)-AQ377))*VLOOKUP(U377,模板计算相关数据!A:N,8,0))*(1-(AL377+AM377)*0.5/((AL377+AM377)*0.5+(VLOOKUP(U377,模板计算相关数据!A:N,2,0)+模板计算相关数据!$AC$27)*模板计算相关数据!$AC$28))*Q377*Z377)</f>
        <v>1796</v>
      </c>
      <c r="AK377" s="43">
        <f>INT(VLOOKUP(U377,模板计算相关数据!A:N,3,0)/模板计算相关数据!$W$35/(1+MAX(0,(AO377/10000-VLOOKUP(U377,模板计算相关数据!A:N,9,0)))*AP377/10000)/(1-VLOOKUP(U377,模板计算相关数据!A:N,5,0)/(VLOOKUP(U377,模板计算相关数据!A:N,5,0)+(VLOOKUP(U377,模板计算相关数据!A:N,2,0)+模板计算相关数据!$AC$27)*模板计算相关数据!$AC$28))/S377*AA377)</f>
        <v>615</v>
      </c>
      <c r="AL377" s="43">
        <f>INT(VLOOKUP(U377,模板计算相关数据!A:N,5,0)*VLOOKUP(X377,模板计算相关数据!$P$4:$T$7,4,0)*VLOOKUP(Y377,模板计算相关数据!$P$22:$U$30,4,0)*AB377)</f>
        <v>1277</v>
      </c>
      <c r="AM377" s="43">
        <f>INT(VLOOKUP(U377,模板计算相关数据!A:N,6,0)*VLOOKUP(X377,模板计算相关数据!$P$4:$T$7,4,0)*VLOOKUP(Y377,模板计算相关数据!$P$22:$U$30,5,0)*AC377)</f>
        <v>757</v>
      </c>
      <c r="AN377" s="43">
        <f>VLOOKUP(U377,模板计算相关数据!A:N,10,0)*0.5*VLOOKUP(Y377,模板计算相关数据!$P$22:$U$30,6,0)+AD377</f>
        <v>535</v>
      </c>
      <c r="AO377" s="43">
        <f>VLOOKUP(INT(VLOOKUP(U377,模板计算相关数据!A:N,2,0)/30)+1,模板计算相关数据!$O$35:$U$40,3,0)+AE377</f>
        <v>0</v>
      </c>
      <c r="AP377" s="43">
        <f>VLOOKUP(INT(VLOOKUP(U377,模板计算相关数据!A:N,2,0)/30)+1,模板计算相关数据!$O$35:$U$40,4,0)+AF377</f>
        <v>5000</v>
      </c>
      <c r="AQ377" s="43">
        <f>VLOOKUP(INT(VLOOKUP(U377,模板计算相关数据!A:N,2,0)/30)+1,模板计算相关数据!$O$35:$U$40,5,0)+AG377</f>
        <v>0</v>
      </c>
      <c r="AR377" s="43">
        <f>VLOOKUP(INT(VLOOKUP(U377,模板计算相关数据!A:N,2,0)/30)+1,模板计算相关数据!$O$35:$U$40,6,0)+AH377</f>
        <v>0</v>
      </c>
      <c r="AS377" s="43">
        <f>VLOOKUP(INT(VLOOKUP(U377,模板计算相关数据!A:N,2,0)/30)+1,模板计算相关数据!$O$35:$U$40,7,0)+AI377</f>
        <v>0</v>
      </c>
      <c r="AT377" s="43">
        <f>VLOOKUP(INT(VLOOKUP(U377,模板计算相关数据!A:N,2,0)/30)+1,模板计算相关数据!$O$35:$V$40,8,0)</f>
        <v>0</v>
      </c>
      <c r="AU377" s="17"/>
    </row>
    <row r="378" spans="1:47" x14ac:dyDescent="0.2">
      <c r="A378" s="3">
        <v>303302</v>
      </c>
      <c r="B378" s="3"/>
      <c r="C378" s="69" t="s">
        <v>1731</v>
      </c>
      <c r="D378" s="69" t="s">
        <v>1057</v>
      </c>
      <c r="E378" s="2"/>
      <c r="F378" s="3">
        <v>3</v>
      </c>
      <c r="G378" s="3">
        <v>1001301</v>
      </c>
      <c r="H378" s="3">
        <v>1</v>
      </c>
      <c r="I378" s="3">
        <v>4</v>
      </c>
      <c r="J378" s="3">
        <v>3</v>
      </c>
      <c r="K378" s="3"/>
      <c r="L378" s="2" t="s">
        <v>248</v>
      </c>
      <c r="M378" s="2"/>
      <c r="N378" s="2">
        <v>1</v>
      </c>
      <c r="O378" s="2"/>
      <c r="P378" s="3" t="s">
        <v>1615</v>
      </c>
      <c r="Q378" s="95">
        <v>4.5</v>
      </c>
      <c r="R378" s="133">
        <f>IF(P378=模板计算相关数据!$AB$24,VLOOKUP(X378,模板计算相关数据!$P$47:$T$50,2,0),VLOOKUP(X378,模板计算相关数据!$P$4:$U$7,3,0))*VLOOKUP(Y378,模板计算相关数据!$P$22:$X$30,8,0)</f>
        <v>4.417254901960785</v>
      </c>
      <c r="S378" s="62">
        <v>5.3</v>
      </c>
      <c r="T378" s="133">
        <f>IF(P378=模板计算相关数据!$AB$24,VLOOKUP(X378,模板计算相关数据!$P$47:$T$50,5,0),VLOOKUP(X378,模板计算相关数据!$P$4:$U$7,6,0))*VLOOKUP(Y378,模板计算相关数据!$P$22:$X$30,9,0)</f>
        <v>5.4285280003474252</v>
      </c>
      <c r="U378" s="98">
        <v>40</v>
      </c>
      <c r="V378" s="95">
        <f t="shared" si="52"/>
        <v>33</v>
      </c>
      <c r="W378" s="29">
        <f>VLOOKUP(U378,模板计算相关数据!A:N,2,0)</f>
        <v>30</v>
      </c>
      <c r="X378" s="3" t="s">
        <v>151</v>
      </c>
      <c r="Y378" s="3" t="s">
        <v>152</v>
      </c>
      <c r="Z378" s="99">
        <v>1</v>
      </c>
      <c r="AA378" s="95">
        <v>1</v>
      </c>
      <c r="AB378" s="95">
        <v>1</v>
      </c>
      <c r="AC378" s="95">
        <v>1</v>
      </c>
      <c r="AD378" s="95">
        <v>295</v>
      </c>
      <c r="AE378" s="95">
        <v>0</v>
      </c>
      <c r="AF378" s="95">
        <v>0</v>
      </c>
      <c r="AG378" s="95">
        <v>0</v>
      </c>
      <c r="AH378" s="95">
        <v>0</v>
      </c>
      <c r="AI378" s="95">
        <v>0</v>
      </c>
      <c r="AJ378" s="3">
        <f>INT(VLOOKUP(U378,模板计算相关数据!A:N,4,0)*VLOOKUP(U378,模板计算相关数据!A:N,14,0)*(1+MAX(0,(VLOOKUP(U378,模板计算相关数据!A:N,7,0)-AQ378))*VLOOKUP(U378,模板计算相关数据!A:N,8,0))*(1-(AL378+AM378)*0.5/((AL378+AM378)*0.5+(VLOOKUP(U378,模板计算相关数据!A:N,2,0)+模板计算相关数据!$AC$27)*模板计算相关数据!$AC$28))*Q378*Z378)</f>
        <v>3315</v>
      </c>
      <c r="AK378" s="3">
        <f>INT(VLOOKUP(U378,模板计算相关数据!A:N,3,0)/模板计算相关数据!$W$35/(1+MAX(0,(AO378/10000-VLOOKUP(U378,模板计算相关数据!A:N,9,0)))*AP378/10000)/(1-VLOOKUP(U378,模板计算相关数据!A:N,5,0)/(VLOOKUP(U378,模板计算相关数据!A:N,5,0)+(VLOOKUP(U378,模板计算相关数据!A:N,2,0)+模板计算相关数据!$AC$27)*模板计算相关数据!$AC$28))/S378*AA378)</f>
        <v>1245</v>
      </c>
      <c r="AL378" s="3">
        <f>INT(VLOOKUP(U378,模板计算相关数据!A:N,5,0)*VLOOKUP(X378,模板计算相关数据!$P$4:$T$7,4,0)*VLOOKUP(Y378,模板计算相关数据!$P$22:$U$30,4,0)*AB378)</f>
        <v>2407</v>
      </c>
      <c r="AM378" s="3">
        <f>INT(VLOOKUP(U378,模板计算相关数据!A:N,6,0)*VLOOKUP(X378,模板计算相关数据!$P$4:$T$7,4,0)*VLOOKUP(Y378,模板计算相关数据!$P$22:$U$30,5,0)*AC378)</f>
        <v>1426</v>
      </c>
      <c r="AN378" s="3">
        <f>VLOOKUP(U378,模板计算相关数据!A:N,10,0)*0.5*VLOOKUP(Y378,模板计算相关数据!$P$22:$U$30,6,0)+AD378</f>
        <v>545</v>
      </c>
      <c r="AO378" s="3">
        <f>VLOOKUP(INT(VLOOKUP(U378,模板计算相关数据!A:N,2,0)/30)+1,模板计算相关数据!$O$35:$U$40,3,0)+AE378</f>
        <v>0</v>
      </c>
      <c r="AP378" s="3">
        <f>VLOOKUP(INT(VLOOKUP(U378,模板计算相关数据!A:N,2,0)/30)+1,模板计算相关数据!$O$35:$U$40,4,0)+AF378</f>
        <v>5000</v>
      </c>
      <c r="AQ378" s="3">
        <f>VLOOKUP(INT(VLOOKUP(U378,模板计算相关数据!A:N,2,0)/30)+1,模板计算相关数据!$O$35:$U$40,5,0)+AG378</f>
        <v>0</v>
      </c>
      <c r="AR378" s="3">
        <f>VLOOKUP(INT(VLOOKUP(U378,模板计算相关数据!A:N,2,0)/30)+1,模板计算相关数据!$O$35:$U$40,6,0)+AH378</f>
        <v>0</v>
      </c>
      <c r="AS378" s="3">
        <f>VLOOKUP(INT(VLOOKUP(U378,模板计算相关数据!A:N,2,0)/30)+1,模板计算相关数据!$O$35:$U$40,7,0)+AI378</f>
        <v>0</v>
      </c>
      <c r="AT378" s="3">
        <f>VLOOKUP(INT(VLOOKUP(U378,模板计算相关数据!A:N,2,0)/30)+1,模板计算相关数据!$O$35:$V$40,8,0)</f>
        <v>0</v>
      </c>
      <c r="AU378" s="2"/>
    </row>
    <row r="379" spans="1:47" x14ac:dyDescent="0.2">
      <c r="A379" s="3">
        <v>303303</v>
      </c>
      <c r="B379" s="3"/>
      <c r="C379" s="69" t="s">
        <v>1731</v>
      </c>
      <c r="D379" s="69" t="s">
        <v>1058</v>
      </c>
      <c r="E379" s="2"/>
      <c r="F379" s="3">
        <v>3</v>
      </c>
      <c r="G379" s="3">
        <v>1001301</v>
      </c>
      <c r="H379" s="3">
        <v>1</v>
      </c>
      <c r="I379" s="3">
        <v>4</v>
      </c>
      <c r="J379" s="3">
        <v>3</v>
      </c>
      <c r="K379" s="3"/>
      <c r="L379" s="2" t="s">
        <v>249</v>
      </c>
      <c r="M379" s="2"/>
      <c r="N379" s="2">
        <v>1</v>
      </c>
      <c r="O379" s="2"/>
      <c r="P379" s="3" t="s">
        <v>1615</v>
      </c>
      <c r="Q379" s="95">
        <v>4.5999999999999996</v>
      </c>
      <c r="R379" s="133">
        <f>IF(P379=模板计算相关数据!$AB$24,VLOOKUP(X379,模板计算相关数据!$P$47:$T$50,2,0),VLOOKUP(X379,模板计算相关数据!$P$4:$U$7,3,0))*VLOOKUP(Y379,模板计算相关数据!$P$22:$X$30,8,0)</f>
        <v>4.417254901960785</v>
      </c>
      <c r="S379" s="62">
        <v>5.2</v>
      </c>
      <c r="T379" s="133">
        <f>IF(P379=模板计算相关数据!$AB$24,VLOOKUP(X379,模板计算相关数据!$P$47:$T$50,5,0),VLOOKUP(X379,模板计算相关数据!$P$4:$U$7,6,0))*VLOOKUP(Y379,模板计算相关数据!$P$22:$X$30,9,0)</f>
        <v>5.4285280003474252</v>
      </c>
      <c r="U379" s="98">
        <v>41</v>
      </c>
      <c r="V379" s="95">
        <f t="shared" si="52"/>
        <v>48</v>
      </c>
      <c r="W379" s="29">
        <f>VLOOKUP(U379,模板计算相关数据!A:N,2,0)</f>
        <v>45</v>
      </c>
      <c r="X379" s="3" t="s">
        <v>151</v>
      </c>
      <c r="Y379" s="3" t="s">
        <v>152</v>
      </c>
      <c r="Z379" s="99">
        <v>1</v>
      </c>
      <c r="AA379" s="95">
        <v>1</v>
      </c>
      <c r="AB379" s="95">
        <v>1</v>
      </c>
      <c r="AC379" s="95">
        <v>1</v>
      </c>
      <c r="AD379" s="95">
        <v>305</v>
      </c>
      <c r="AE379" s="95">
        <v>0</v>
      </c>
      <c r="AF379" s="95">
        <v>0</v>
      </c>
      <c r="AG379" s="95">
        <v>0</v>
      </c>
      <c r="AH379" s="95">
        <v>0</v>
      </c>
      <c r="AI379" s="95">
        <v>0</v>
      </c>
      <c r="AJ379" s="3">
        <f>INT(VLOOKUP(U379,模板计算相关数据!A:N,4,0)*VLOOKUP(U379,模板计算相关数据!A:N,14,0)*(1+MAX(0,(VLOOKUP(U379,模板计算相关数据!A:N,7,0)-AQ379))*VLOOKUP(U379,模板计算相关数据!A:N,8,0))*(1-(AL379+AM379)*0.5/((AL379+AM379)*0.5+(VLOOKUP(U379,模板计算相关数据!A:N,2,0)+模板计算相关数据!$AC$27)*模板计算相关数据!$AC$28))*Q379*Z379)</f>
        <v>5380</v>
      </c>
      <c r="AK379" s="3">
        <f>INT(VLOOKUP(U379,模板计算相关数据!A:N,3,0)/模板计算相关数据!$W$35/(1+MAX(0,(AO379/10000-VLOOKUP(U379,模板计算相关数据!A:N,9,0)))*AP379/10000)/(1-VLOOKUP(U379,模板计算相关数据!A:N,5,0)/(VLOOKUP(U379,模板计算相关数据!A:N,5,0)+(VLOOKUP(U379,模板计算相关数据!A:N,2,0)+模板计算相关数据!$AC$27)*模板计算相关数据!$AC$28))/S379*AA379)</f>
        <v>2033</v>
      </c>
      <c r="AL379" s="3">
        <f>INT(VLOOKUP(U379,模板计算相关数据!A:N,5,0)*VLOOKUP(X379,模板计算相关数据!$P$4:$T$7,4,0)*VLOOKUP(Y379,模板计算相关数据!$P$22:$U$30,4,0)*AB379)</f>
        <v>3790</v>
      </c>
      <c r="AM379" s="3">
        <f>INT(VLOOKUP(U379,模板计算相关数据!A:N,6,0)*VLOOKUP(X379,模板计算相关数据!$P$4:$T$7,4,0)*VLOOKUP(Y379,模板计算相关数据!$P$22:$U$30,5,0)*AC379)</f>
        <v>2241</v>
      </c>
      <c r="AN379" s="3">
        <f>VLOOKUP(U379,模板计算相关数据!A:N,10,0)*0.5*VLOOKUP(Y379,模板计算相关数据!$P$22:$U$30,6,0)+AD379</f>
        <v>555</v>
      </c>
      <c r="AO379" s="3">
        <f>VLOOKUP(INT(VLOOKUP(U379,模板计算相关数据!A:N,2,0)/30)+1,模板计算相关数据!$O$35:$U$40,3,0)+AE379</f>
        <v>0</v>
      </c>
      <c r="AP379" s="3">
        <f>VLOOKUP(INT(VLOOKUP(U379,模板计算相关数据!A:N,2,0)/30)+1,模板计算相关数据!$O$35:$U$40,4,0)+AF379</f>
        <v>5000</v>
      </c>
      <c r="AQ379" s="3">
        <f>VLOOKUP(INT(VLOOKUP(U379,模板计算相关数据!A:N,2,0)/30)+1,模板计算相关数据!$O$35:$U$40,5,0)+AG379</f>
        <v>0</v>
      </c>
      <c r="AR379" s="3">
        <f>VLOOKUP(INT(VLOOKUP(U379,模板计算相关数据!A:N,2,0)/30)+1,模板计算相关数据!$O$35:$U$40,6,0)+AH379</f>
        <v>0</v>
      </c>
      <c r="AS379" s="3">
        <f>VLOOKUP(INT(VLOOKUP(U379,模板计算相关数据!A:N,2,0)/30)+1,模板计算相关数据!$O$35:$U$40,7,0)+AI379</f>
        <v>0</v>
      </c>
      <c r="AT379" s="3">
        <f>VLOOKUP(INT(VLOOKUP(U379,模板计算相关数据!A:N,2,0)/30)+1,模板计算相关数据!$O$35:$V$40,8,0)</f>
        <v>0</v>
      </c>
      <c r="AU379" s="2"/>
    </row>
    <row r="380" spans="1:47" x14ac:dyDescent="0.2">
      <c r="A380" s="3">
        <v>303304</v>
      </c>
      <c r="B380" s="3"/>
      <c r="C380" s="69" t="s">
        <v>1731</v>
      </c>
      <c r="D380" s="69" t="s">
        <v>1059</v>
      </c>
      <c r="E380" s="2"/>
      <c r="F380" s="3">
        <v>3</v>
      </c>
      <c r="G380" s="3">
        <v>1001301</v>
      </c>
      <c r="H380" s="3">
        <v>1</v>
      </c>
      <c r="I380" s="3">
        <v>4</v>
      </c>
      <c r="J380" s="3">
        <v>3</v>
      </c>
      <c r="K380" s="3"/>
      <c r="L380" s="2" t="s">
        <v>250</v>
      </c>
      <c r="M380" s="2"/>
      <c r="N380" s="2">
        <v>1</v>
      </c>
      <c r="O380" s="2"/>
      <c r="P380" s="3" t="s">
        <v>1615</v>
      </c>
      <c r="Q380" s="95">
        <v>4.7</v>
      </c>
      <c r="R380" s="133">
        <f>IF(P380=模板计算相关数据!$AB$24,VLOOKUP(X380,模板计算相关数据!$P$47:$T$50,2,0),VLOOKUP(X380,模板计算相关数据!$P$4:$U$7,3,0))*VLOOKUP(Y380,模板计算相关数据!$P$22:$X$30,8,0)</f>
        <v>4.417254901960785</v>
      </c>
      <c r="S380" s="62">
        <v>5.0999999999999996</v>
      </c>
      <c r="T380" s="133">
        <f>IF(P380=模板计算相关数据!$AB$24,VLOOKUP(X380,模板计算相关数据!$P$47:$T$50,5,0),VLOOKUP(X380,模板计算相关数据!$P$4:$U$7,6,0))*VLOOKUP(Y380,模板计算相关数据!$P$22:$X$30,9,0)</f>
        <v>5.4285280003474252</v>
      </c>
      <c r="U380" s="98">
        <v>41</v>
      </c>
      <c r="V380" s="95">
        <f t="shared" si="52"/>
        <v>48</v>
      </c>
      <c r="W380" s="29">
        <f>VLOOKUP(U380,模板计算相关数据!A:N,2,0)</f>
        <v>45</v>
      </c>
      <c r="X380" s="3" t="s">
        <v>151</v>
      </c>
      <c r="Y380" s="3" t="s">
        <v>152</v>
      </c>
      <c r="Z380" s="99">
        <v>1</v>
      </c>
      <c r="AA380" s="95">
        <v>1</v>
      </c>
      <c r="AB380" s="95">
        <v>1</v>
      </c>
      <c r="AC380" s="95">
        <v>1</v>
      </c>
      <c r="AD380" s="95">
        <v>310</v>
      </c>
      <c r="AE380" s="95">
        <v>0</v>
      </c>
      <c r="AF380" s="95">
        <v>0</v>
      </c>
      <c r="AG380" s="95">
        <v>0</v>
      </c>
      <c r="AH380" s="95">
        <v>0</v>
      </c>
      <c r="AI380" s="95">
        <v>0</v>
      </c>
      <c r="AJ380" s="3">
        <f>INT(VLOOKUP(U380,模板计算相关数据!A:N,4,0)*VLOOKUP(U380,模板计算相关数据!A:N,14,0)*(1+MAX(0,(VLOOKUP(U380,模板计算相关数据!A:N,7,0)-AQ380))*VLOOKUP(U380,模板计算相关数据!A:N,8,0))*(1-(AL380+AM380)*0.5/((AL380+AM380)*0.5+(VLOOKUP(U380,模板计算相关数据!A:N,2,0)+模板计算相关数据!$AC$27)*模板计算相关数据!$AC$28))*Q380*Z380)</f>
        <v>5497</v>
      </c>
      <c r="AK380" s="3">
        <f>INT(VLOOKUP(U380,模板计算相关数据!A:N,3,0)/模板计算相关数据!$W$35/(1+MAX(0,(AO380/10000-VLOOKUP(U380,模板计算相关数据!A:N,9,0)))*AP380/10000)/(1-VLOOKUP(U380,模板计算相关数据!A:N,5,0)/(VLOOKUP(U380,模板计算相关数据!A:N,5,0)+(VLOOKUP(U380,模板计算相关数据!A:N,2,0)+模板计算相关数据!$AC$27)*模板计算相关数据!$AC$28))/S380*AA380)</f>
        <v>2073</v>
      </c>
      <c r="AL380" s="3">
        <f>INT(VLOOKUP(U380,模板计算相关数据!A:N,5,0)*VLOOKUP(X380,模板计算相关数据!$P$4:$T$7,4,0)*VLOOKUP(Y380,模板计算相关数据!$P$22:$U$30,4,0)*AB380)</f>
        <v>3790</v>
      </c>
      <c r="AM380" s="3">
        <f>INT(VLOOKUP(U380,模板计算相关数据!A:N,6,0)*VLOOKUP(X380,模板计算相关数据!$P$4:$T$7,4,0)*VLOOKUP(Y380,模板计算相关数据!$P$22:$U$30,5,0)*AC380)</f>
        <v>2241</v>
      </c>
      <c r="AN380" s="3">
        <f>VLOOKUP(U380,模板计算相关数据!A:N,10,0)*0.5*VLOOKUP(Y380,模板计算相关数据!$P$22:$U$30,6,0)+AD380</f>
        <v>560</v>
      </c>
      <c r="AO380" s="3">
        <f>VLOOKUP(INT(VLOOKUP(U380,模板计算相关数据!A:N,2,0)/30)+1,模板计算相关数据!$O$35:$U$40,3,0)+AE380</f>
        <v>0</v>
      </c>
      <c r="AP380" s="3">
        <f>VLOOKUP(INT(VLOOKUP(U380,模板计算相关数据!A:N,2,0)/30)+1,模板计算相关数据!$O$35:$U$40,4,0)+AF380</f>
        <v>5000</v>
      </c>
      <c r="AQ380" s="3">
        <f>VLOOKUP(INT(VLOOKUP(U380,模板计算相关数据!A:N,2,0)/30)+1,模板计算相关数据!$O$35:$U$40,5,0)+AG380</f>
        <v>0</v>
      </c>
      <c r="AR380" s="3">
        <f>VLOOKUP(INT(VLOOKUP(U380,模板计算相关数据!A:N,2,0)/30)+1,模板计算相关数据!$O$35:$U$40,6,0)+AH380</f>
        <v>0</v>
      </c>
      <c r="AS380" s="3">
        <f>VLOOKUP(INT(VLOOKUP(U380,模板计算相关数据!A:N,2,0)/30)+1,模板计算相关数据!$O$35:$U$40,7,0)+AI380</f>
        <v>0</v>
      </c>
      <c r="AT380" s="3">
        <f>VLOOKUP(INT(VLOOKUP(U380,模板计算相关数据!A:N,2,0)/30)+1,模板计算相关数据!$O$35:$V$40,8,0)</f>
        <v>0</v>
      </c>
      <c r="AU380" s="2"/>
    </row>
    <row r="381" spans="1:47" x14ac:dyDescent="0.2">
      <c r="A381" s="3">
        <v>303305</v>
      </c>
      <c r="B381" s="3"/>
      <c r="C381" s="69" t="s">
        <v>1730</v>
      </c>
      <c r="D381" s="69" t="s">
        <v>1060</v>
      </c>
      <c r="E381" s="2"/>
      <c r="F381" s="3">
        <v>1</v>
      </c>
      <c r="G381" s="3">
        <v>1003101</v>
      </c>
      <c r="H381" s="3">
        <v>5</v>
      </c>
      <c r="I381" s="3">
        <v>4</v>
      </c>
      <c r="J381" s="3">
        <v>3</v>
      </c>
      <c r="K381" s="3"/>
      <c r="L381" s="2" t="s">
        <v>251</v>
      </c>
      <c r="M381" s="2"/>
      <c r="N381" s="2">
        <v>1</v>
      </c>
      <c r="O381" s="2"/>
      <c r="P381" s="3" t="s">
        <v>1615</v>
      </c>
      <c r="Q381" s="95">
        <f t="shared" si="51"/>
        <v>5.7709803921568623</v>
      </c>
      <c r="R381" s="133">
        <f>IF(P381=模板计算相关数据!$AB$24,VLOOKUP(X381,模板计算相关数据!$P$47:$T$50,2,0),VLOOKUP(X381,模板计算相关数据!$P$4:$U$7,3,0))*VLOOKUP(Y381,模板计算相关数据!$P$22:$X$30,8,0)</f>
        <v>5.7709803921568623</v>
      </c>
      <c r="S381" s="62">
        <v>6.4</v>
      </c>
      <c r="T381" s="133">
        <f>IF(P381=模板计算相关数据!$AB$24,VLOOKUP(X381,模板计算相关数据!$P$47:$T$50,5,0),VLOOKUP(X381,模板计算相关数据!$P$4:$U$7,6,0))*VLOOKUP(Y381,模板计算相关数据!$P$22:$X$30,9,0)</f>
        <v>6.4077918749198997</v>
      </c>
      <c r="U381" s="98">
        <v>39</v>
      </c>
      <c r="V381" s="95">
        <f t="shared" si="52"/>
        <v>20</v>
      </c>
      <c r="W381" s="29">
        <f>VLOOKUP(U381,模板计算相关数据!A:N,2,0)</f>
        <v>17</v>
      </c>
      <c r="X381" s="3" t="s">
        <v>151</v>
      </c>
      <c r="Y381" s="3" t="s">
        <v>159</v>
      </c>
      <c r="Z381" s="99">
        <v>1</v>
      </c>
      <c r="AA381" s="95">
        <v>1</v>
      </c>
      <c r="AB381" s="95">
        <v>1</v>
      </c>
      <c r="AC381" s="95">
        <v>1</v>
      </c>
      <c r="AD381" s="95">
        <v>255</v>
      </c>
      <c r="AE381" s="95">
        <v>0</v>
      </c>
      <c r="AF381" s="95">
        <v>0</v>
      </c>
      <c r="AG381" s="95">
        <v>0</v>
      </c>
      <c r="AH381" s="95">
        <v>0</v>
      </c>
      <c r="AI381" s="95">
        <v>0</v>
      </c>
      <c r="AJ381" s="3">
        <f>INT(VLOOKUP(U381,模板计算相关数据!A:N,4,0)*VLOOKUP(U381,模板计算相关数据!A:N,14,0)*(1+MAX(0,(VLOOKUP(U381,模板计算相关数据!A:N,7,0)-AQ381))*VLOOKUP(U381,模板计算相关数据!A:N,8,0))*(1-(AL381+AM381)*0.5/((AL381+AM381)*0.5+(VLOOKUP(U381,模板计算相关数据!A:N,2,0)+模板计算相关数据!$AC$27)*模板计算相关数据!$AC$28))*Q381*Z381)</f>
        <v>2258</v>
      </c>
      <c r="AK381" s="3">
        <f>INT(VLOOKUP(U381,模板计算相关数据!A:N,3,0)/模板计算相关数据!$W$35/(1+MAX(0,(AO381/10000-VLOOKUP(U381,模板计算相关数据!A:N,9,0)))*AP381/10000)/(1-VLOOKUP(U381,模板计算相关数据!A:N,5,0)/(VLOOKUP(U381,模板计算相关数据!A:N,5,0)+(VLOOKUP(U381,模板计算相关数据!A:N,2,0)+模板计算相关数据!$AC$27)*模板计算相关数据!$AC$28))/S381*AA381)</f>
        <v>521</v>
      </c>
      <c r="AL381" s="3">
        <f>INT(VLOOKUP(U381,模板计算相关数据!A:N,5,0)*VLOOKUP(X381,模板计算相关数据!$P$4:$T$7,4,0)*VLOOKUP(Y381,模板计算相关数据!$P$22:$U$30,4,0)*AB381)</f>
        <v>1467</v>
      </c>
      <c r="AM381" s="3">
        <f>INT(VLOOKUP(U381,模板计算相关数据!A:N,6,0)*VLOOKUP(X381,模板计算相关数据!$P$4:$T$7,4,0)*VLOOKUP(Y381,模板计算相关数据!$P$22:$U$30,5,0)*AC381)</f>
        <v>804</v>
      </c>
      <c r="AN381" s="4">
        <f>VLOOKUP(U381,模板计算相关数据!A:N,10,0)*0.5*VLOOKUP(Y381,模板计算相关数据!$P$22:$U$30,6,0)+AD381</f>
        <v>530</v>
      </c>
      <c r="AO381" s="3">
        <f>VLOOKUP(INT(VLOOKUP(U381,模板计算相关数据!A:N,2,0)/30)+1,模板计算相关数据!$O$35:$U$40,3,0)+AE381</f>
        <v>0</v>
      </c>
      <c r="AP381" s="3">
        <f>VLOOKUP(INT(VLOOKUP(U381,模板计算相关数据!A:N,2,0)/30)+1,模板计算相关数据!$O$35:$U$40,4,0)+AF381</f>
        <v>5000</v>
      </c>
      <c r="AQ381" s="3">
        <f>VLOOKUP(INT(VLOOKUP(U381,模板计算相关数据!A:N,2,0)/30)+1,模板计算相关数据!$O$35:$U$40,5,0)+AG381</f>
        <v>0</v>
      </c>
      <c r="AR381" s="3">
        <f>VLOOKUP(INT(VLOOKUP(U381,模板计算相关数据!A:N,2,0)/30)+1,模板计算相关数据!$O$35:$U$40,6,0)+AH381</f>
        <v>0</v>
      </c>
      <c r="AS381" s="3">
        <f>VLOOKUP(INT(VLOOKUP(U381,模板计算相关数据!A:N,2,0)/30)+1,模板计算相关数据!$O$35:$U$40,7,0)+AI381</f>
        <v>0</v>
      </c>
      <c r="AT381" s="3">
        <f>VLOOKUP(INT(VLOOKUP(U381,模板计算相关数据!A:N,2,0)/30)+1,模板计算相关数据!$O$35:$V$40,8,0)</f>
        <v>0</v>
      </c>
      <c r="AU381" s="2"/>
    </row>
    <row r="382" spans="1:47" x14ac:dyDescent="0.2">
      <c r="A382" s="3">
        <v>303306</v>
      </c>
      <c r="B382" s="3"/>
      <c r="C382" s="69" t="s">
        <v>1730</v>
      </c>
      <c r="D382" s="69" t="s">
        <v>1061</v>
      </c>
      <c r="E382" s="2"/>
      <c r="F382" s="3">
        <v>1</v>
      </c>
      <c r="G382" s="3">
        <v>1003101</v>
      </c>
      <c r="H382" s="3">
        <v>5</v>
      </c>
      <c r="I382" s="3">
        <v>4</v>
      </c>
      <c r="J382" s="3">
        <v>3</v>
      </c>
      <c r="K382" s="3"/>
      <c r="L382" s="2" t="s">
        <v>252</v>
      </c>
      <c r="M382" s="2"/>
      <c r="N382" s="2">
        <v>1</v>
      </c>
      <c r="O382" s="2"/>
      <c r="P382" s="3" t="s">
        <v>1615</v>
      </c>
      <c r="Q382" s="95">
        <v>5.9</v>
      </c>
      <c r="R382" s="133">
        <f>IF(P382=模板计算相关数据!$AB$24,VLOOKUP(X382,模板计算相关数据!$P$47:$T$50,2,0),VLOOKUP(X382,模板计算相关数据!$P$4:$U$7,3,0))*VLOOKUP(Y382,模板计算相关数据!$P$22:$X$30,8,0)</f>
        <v>5.7709803921568623</v>
      </c>
      <c r="S382" s="62">
        <v>6.3</v>
      </c>
      <c r="T382" s="133">
        <f>IF(P382=模板计算相关数据!$AB$24,VLOOKUP(X382,模板计算相关数据!$P$47:$T$50,5,0),VLOOKUP(X382,模板计算相关数据!$P$4:$U$7,6,0))*VLOOKUP(Y382,模板计算相关数据!$P$22:$X$30,9,0)</f>
        <v>6.4077918749198997</v>
      </c>
      <c r="U382" s="98">
        <v>40</v>
      </c>
      <c r="V382" s="95">
        <f t="shared" si="52"/>
        <v>33</v>
      </c>
      <c r="W382" s="29">
        <f>VLOOKUP(U382,模板计算相关数据!A:N,2,0)</f>
        <v>30</v>
      </c>
      <c r="X382" s="3" t="s">
        <v>151</v>
      </c>
      <c r="Y382" s="3" t="s">
        <v>159</v>
      </c>
      <c r="Z382" s="99">
        <v>1</v>
      </c>
      <c r="AA382" s="95">
        <v>1</v>
      </c>
      <c r="AB382" s="95">
        <v>1</v>
      </c>
      <c r="AC382" s="95">
        <v>1</v>
      </c>
      <c r="AD382" s="95">
        <v>265</v>
      </c>
      <c r="AE382" s="95">
        <v>0</v>
      </c>
      <c r="AF382" s="95">
        <v>0</v>
      </c>
      <c r="AG382" s="95">
        <v>0</v>
      </c>
      <c r="AH382" s="95">
        <v>0</v>
      </c>
      <c r="AI382" s="95">
        <v>0</v>
      </c>
      <c r="AJ382" s="3">
        <f>INT(VLOOKUP(U382,模板计算相关数据!A:N,4,0)*VLOOKUP(U382,模板计算相关数据!A:N,14,0)*(1+MAX(0,(VLOOKUP(U382,模板计算相关数据!A:N,7,0)-AQ382))*VLOOKUP(U382,模板计算相关数据!A:N,8,0))*(1-(AL382+AM382)*0.5/((AL382+AM382)*0.5+(VLOOKUP(U382,模板计算相关数据!A:N,2,0)+模板计算相关数据!$AC$27)*模板计算相关数据!$AC$28))*Q382*Z382)</f>
        <v>4166</v>
      </c>
      <c r="AK382" s="3">
        <f>INT(VLOOKUP(U382,模板计算相关数据!A:N,3,0)/模板计算相关数据!$W$35/(1+MAX(0,(AO382/10000-VLOOKUP(U382,模板计算相关数据!A:N,9,0)))*AP382/10000)/(1-VLOOKUP(U382,模板计算相关数据!A:N,5,0)/(VLOOKUP(U382,模板计算相关数据!A:N,5,0)+(VLOOKUP(U382,模板计算相关数据!A:N,2,0)+模板计算相关数据!$AC$27)*模板计算相关数据!$AC$28))/S382*AA382)</f>
        <v>1047</v>
      </c>
      <c r="AL382" s="3">
        <f>INT(VLOOKUP(U382,模板计算相关数据!A:N,5,0)*VLOOKUP(X382,模板计算相关数据!$P$4:$T$7,4,0)*VLOOKUP(Y382,模板计算相关数据!$P$22:$U$30,4,0)*AB382)</f>
        <v>2764</v>
      </c>
      <c r="AM382" s="3">
        <f>INT(VLOOKUP(U382,模板计算相关数据!A:N,6,0)*VLOOKUP(X382,模板计算相关数据!$P$4:$T$7,4,0)*VLOOKUP(Y382,模板计算相关数据!$P$22:$U$30,5,0)*AC382)</f>
        <v>1516</v>
      </c>
      <c r="AN382" s="4">
        <f>VLOOKUP(U382,模板计算相关数据!A:N,10,0)*0.5*VLOOKUP(Y382,模板计算相关数据!$P$22:$U$30,6,0)+AD382</f>
        <v>540</v>
      </c>
      <c r="AO382" s="3">
        <f>VLOOKUP(INT(VLOOKUP(U382,模板计算相关数据!A:N,2,0)/30)+1,模板计算相关数据!$O$35:$U$40,3,0)+AE382</f>
        <v>0</v>
      </c>
      <c r="AP382" s="3">
        <f>VLOOKUP(INT(VLOOKUP(U382,模板计算相关数据!A:N,2,0)/30)+1,模板计算相关数据!$O$35:$U$40,4,0)+AF382</f>
        <v>5000</v>
      </c>
      <c r="AQ382" s="3">
        <f>VLOOKUP(INT(VLOOKUP(U382,模板计算相关数据!A:N,2,0)/30)+1,模板计算相关数据!$O$35:$U$40,5,0)+AG382</f>
        <v>0</v>
      </c>
      <c r="AR382" s="3">
        <f>VLOOKUP(INT(VLOOKUP(U382,模板计算相关数据!A:N,2,0)/30)+1,模板计算相关数据!$O$35:$U$40,6,0)+AH382</f>
        <v>0</v>
      </c>
      <c r="AS382" s="3">
        <f>VLOOKUP(INT(VLOOKUP(U382,模板计算相关数据!A:N,2,0)/30)+1,模板计算相关数据!$O$35:$U$40,7,0)+AI382</f>
        <v>0</v>
      </c>
      <c r="AT382" s="3">
        <f>VLOOKUP(INT(VLOOKUP(U382,模板计算相关数据!A:N,2,0)/30)+1,模板计算相关数据!$O$35:$V$40,8,0)</f>
        <v>0</v>
      </c>
      <c r="AU382" s="2"/>
    </row>
    <row r="383" spans="1:47" x14ac:dyDescent="0.2">
      <c r="A383" s="3">
        <v>303307</v>
      </c>
      <c r="B383" s="3"/>
      <c r="C383" s="69" t="s">
        <v>1730</v>
      </c>
      <c r="D383" s="69" t="s">
        <v>1058</v>
      </c>
      <c r="E383" s="2"/>
      <c r="F383" s="3">
        <v>1</v>
      </c>
      <c r="G383" s="3">
        <v>1003101</v>
      </c>
      <c r="H383" s="3">
        <v>5</v>
      </c>
      <c r="I383" s="3">
        <v>4</v>
      </c>
      <c r="J383" s="3">
        <v>3</v>
      </c>
      <c r="K383" s="3"/>
      <c r="L383" s="2" t="s">
        <v>253</v>
      </c>
      <c r="M383" s="2"/>
      <c r="N383" s="2">
        <v>1</v>
      </c>
      <c r="O383" s="2"/>
      <c r="P383" s="3" t="s">
        <v>1615</v>
      </c>
      <c r="Q383" s="95">
        <v>6</v>
      </c>
      <c r="R383" s="133">
        <f>IF(P383=模板计算相关数据!$AB$24,VLOOKUP(X383,模板计算相关数据!$P$47:$T$50,2,0),VLOOKUP(X383,模板计算相关数据!$P$4:$U$7,3,0))*VLOOKUP(Y383,模板计算相关数据!$P$22:$X$30,8,0)</f>
        <v>5.7709803921568623</v>
      </c>
      <c r="S383" s="62">
        <v>6.2</v>
      </c>
      <c r="T383" s="133">
        <f>IF(P383=模板计算相关数据!$AB$24,VLOOKUP(X383,模板计算相关数据!$P$47:$T$50,5,0),VLOOKUP(X383,模板计算相关数据!$P$4:$U$7,6,0))*VLOOKUP(Y383,模板计算相关数据!$P$22:$X$30,9,0)</f>
        <v>6.4077918749198997</v>
      </c>
      <c r="U383" s="98">
        <v>41</v>
      </c>
      <c r="V383" s="95">
        <f t="shared" si="52"/>
        <v>48</v>
      </c>
      <c r="W383" s="29">
        <f>VLOOKUP(U383,模板计算相关数据!A:N,2,0)</f>
        <v>45</v>
      </c>
      <c r="X383" s="3" t="s">
        <v>151</v>
      </c>
      <c r="Y383" s="3" t="s">
        <v>159</v>
      </c>
      <c r="Z383" s="99">
        <v>1</v>
      </c>
      <c r="AA383" s="95">
        <v>1</v>
      </c>
      <c r="AB383" s="95">
        <v>1</v>
      </c>
      <c r="AC383" s="95">
        <v>1</v>
      </c>
      <c r="AD383" s="95">
        <v>275</v>
      </c>
      <c r="AE383" s="95">
        <v>0</v>
      </c>
      <c r="AF383" s="95">
        <v>0</v>
      </c>
      <c r="AG383" s="95">
        <v>0</v>
      </c>
      <c r="AH383" s="95">
        <v>0</v>
      </c>
      <c r="AI383" s="95">
        <v>0</v>
      </c>
      <c r="AJ383" s="3">
        <f>INT(VLOOKUP(U383,模板计算相关数据!A:N,4,0)*VLOOKUP(U383,模板计算相关数据!A:N,14,0)*(1+MAX(0,(VLOOKUP(U383,模板计算相关数据!A:N,7,0)-AQ383))*VLOOKUP(U383,模板计算相关数据!A:N,8,0))*(1-(AL383+AM383)*0.5/((AL383+AM383)*0.5+(VLOOKUP(U383,模板计算相关数据!A:N,2,0)+模板计算相关数据!$AC$27)*模板计算相关数据!$AC$28))*Q383*Z383)</f>
        <v>6713</v>
      </c>
      <c r="AK383" s="3">
        <f>INT(VLOOKUP(U383,模板计算相关数据!A:N,3,0)/模板计算相关数据!$W$35/(1+MAX(0,(AO383/10000-VLOOKUP(U383,模板计算相关数据!A:N,9,0)))*AP383/10000)/(1-VLOOKUP(U383,模板计算相关数据!A:N,5,0)/(VLOOKUP(U383,模板计算相关数据!A:N,5,0)+(VLOOKUP(U383,模板计算相关数据!A:N,2,0)+模板计算相关数据!$AC$27)*模板计算相关数据!$AC$28))/S383*AA383)</f>
        <v>1705</v>
      </c>
      <c r="AL383" s="3">
        <f>INT(VLOOKUP(U383,模板计算相关数据!A:N,5,0)*VLOOKUP(X383,模板计算相关数据!$P$4:$T$7,4,0)*VLOOKUP(Y383,模板计算相关数据!$P$22:$U$30,4,0)*AB383)</f>
        <v>4351</v>
      </c>
      <c r="AM383" s="3">
        <f>INT(VLOOKUP(U383,模板计算相关数据!A:N,6,0)*VLOOKUP(X383,模板计算相关数据!$P$4:$T$7,4,0)*VLOOKUP(Y383,模板计算相关数据!$P$22:$U$30,5,0)*AC383)</f>
        <v>2381</v>
      </c>
      <c r="AN383" s="4">
        <f>VLOOKUP(U383,模板计算相关数据!A:N,10,0)*0.5*VLOOKUP(Y383,模板计算相关数据!$P$22:$U$30,6,0)+AD383</f>
        <v>550</v>
      </c>
      <c r="AO383" s="3">
        <f>VLOOKUP(INT(VLOOKUP(U383,模板计算相关数据!A:N,2,0)/30)+1,模板计算相关数据!$O$35:$U$40,3,0)+AE383</f>
        <v>0</v>
      </c>
      <c r="AP383" s="3">
        <f>VLOOKUP(INT(VLOOKUP(U383,模板计算相关数据!A:N,2,0)/30)+1,模板计算相关数据!$O$35:$U$40,4,0)+AF383</f>
        <v>5000</v>
      </c>
      <c r="AQ383" s="3">
        <f>VLOOKUP(INT(VLOOKUP(U383,模板计算相关数据!A:N,2,0)/30)+1,模板计算相关数据!$O$35:$U$40,5,0)+AG383</f>
        <v>0</v>
      </c>
      <c r="AR383" s="3">
        <f>VLOOKUP(INT(VLOOKUP(U383,模板计算相关数据!A:N,2,0)/30)+1,模板计算相关数据!$O$35:$U$40,6,0)+AH383</f>
        <v>0</v>
      </c>
      <c r="AS383" s="3">
        <f>VLOOKUP(INT(VLOOKUP(U383,模板计算相关数据!A:N,2,0)/30)+1,模板计算相关数据!$O$35:$U$40,7,0)+AI383</f>
        <v>0</v>
      </c>
      <c r="AT383" s="3">
        <f>VLOOKUP(INT(VLOOKUP(U383,模板计算相关数据!A:N,2,0)/30)+1,模板计算相关数据!$O$35:$V$40,8,0)</f>
        <v>0</v>
      </c>
      <c r="AU383" s="2"/>
    </row>
    <row r="384" spans="1:47" x14ac:dyDescent="0.2">
      <c r="A384" s="3">
        <v>303308</v>
      </c>
      <c r="B384" s="3"/>
      <c r="C384" s="69" t="s">
        <v>1730</v>
      </c>
      <c r="D384" s="69" t="s">
        <v>1059</v>
      </c>
      <c r="E384" s="2"/>
      <c r="F384" s="3">
        <v>1</v>
      </c>
      <c r="G384" s="3">
        <v>1003101</v>
      </c>
      <c r="H384" s="3">
        <v>5</v>
      </c>
      <c r="I384" s="3">
        <v>4</v>
      </c>
      <c r="J384" s="3">
        <v>3</v>
      </c>
      <c r="K384" s="3"/>
      <c r="L384" s="69" t="s">
        <v>935</v>
      </c>
      <c r="M384" s="2"/>
      <c r="N384" s="2">
        <v>1</v>
      </c>
      <c r="O384" s="2"/>
      <c r="P384" s="3" t="s">
        <v>1615</v>
      </c>
      <c r="Q384" s="95">
        <v>6.1</v>
      </c>
      <c r="R384" s="133">
        <f>IF(P384=模板计算相关数据!$AB$24,VLOOKUP(X384,模板计算相关数据!$P$47:$T$50,2,0),VLOOKUP(X384,模板计算相关数据!$P$4:$U$7,3,0))*VLOOKUP(Y384,模板计算相关数据!$P$22:$X$30,8,0)</f>
        <v>5.7709803921568623</v>
      </c>
      <c r="S384" s="62">
        <v>6.1</v>
      </c>
      <c r="T384" s="133">
        <f>IF(P384=模板计算相关数据!$AB$24,VLOOKUP(X384,模板计算相关数据!$P$47:$T$50,5,0),VLOOKUP(X384,模板计算相关数据!$P$4:$U$7,6,0))*VLOOKUP(Y384,模板计算相关数据!$P$22:$X$30,9,0)</f>
        <v>6.4077918749198997</v>
      </c>
      <c r="U384" s="98">
        <v>41</v>
      </c>
      <c r="V384" s="95">
        <f t="shared" si="52"/>
        <v>48</v>
      </c>
      <c r="W384" s="29">
        <f>VLOOKUP(U384,模板计算相关数据!A:N,2,0)</f>
        <v>45</v>
      </c>
      <c r="X384" s="3" t="s">
        <v>151</v>
      </c>
      <c r="Y384" s="3" t="s">
        <v>159</v>
      </c>
      <c r="Z384" s="99">
        <v>1</v>
      </c>
      <c r="AA384" s="95">
        <v>1</v>
      </c>
      <c r="AB384" s="95">
        <v>1</v>
      </c>
      <c r="AC384" s="95">
        <v>1</v>
      </c>
      <c r="AD384" s="95">
        <v>280</v>
      </c>
      <c r="AE384" s="95">
        <v>0</v>
      </c>
      <c r="AF384" s="95">
        <v>0</v>
      </c>
      <c r="AG384" s="95">
        <v>0</v>
      </c>
      <c r="AH384" s="95">
        <v>0</v>
      </c>
      <c r="AI384" s="95">
        <v>0</v>
      </c>
      <c r="AJ384" s="3">
        <f>INT(VLOOKUP(U384,模板计算相关数据!A:N,4,0)*VLOOKUP(U384,模板计算相关数据!A:N,14,0)*(1+MAX(0,(VLOOKUP(U384,模板计算相关数据!A:N,7,0)-AQ384))*VLOOKUP(U384,模板计算相关数据!A:N,8,0))*(1-(AL384+AM384)*0.5/((AL384+AM384)*0.5+(VLOOKUP(U384,模板计算相关数据!A:N,2,0)+模板计算相关数据!$AC$27)*模板计算相关数据!$AC$28))*Q384*Z384)</f>
        <v>6825</v>
      </c>
      <c r="AK384" s="3">
        <f>INT(VLOOKUP(U384,模板计算相关数据!A:N,3,0)/模板计算相关数据!$W$35/(1+MAX(0,(AO384/10000-VLOOKUP(U384,模板计算相关数据!A:N,9,0)))*AP384/10000)/(1-VLOOKUP(U384,模板计算相关数据!A:N,5,0)/(VLOOKUP(U384,模板计算相关数据!A:N,5,0)+(VLOOKUP(U384,模板计算相关数据!A:N,2,0)+模板计算相关数据!$AC$27)*模板计算相关数据!$AC$28))/S384*AA384)</f>
        <v>1733</v>
      </c>
      <c r="AL384" s="3">
        <f>INT(VLOOKUP(U384,模板计算相关数据!A:N,5,0)*VLOOKUP(X384,模板计算相关数据!$P$4:$T$7,4,0)*VLOOKUP(Y384,模板计算相关数据!$P$22:$U$30,4,0)*AB384)</f>
        <v>4351</v>
      </c>
      <c r="AM384" s="3">
        <f>INT(VLOOKUP(U384,模板计算相关数据!A:N,6,0)*VLOOKUP(X384,模板计算相关数据!$P$4:$T$7,4,0)*VLOOKUP(Y384,模板计算相关数据!$P$22:$U$30,5,0)*AC384)</f>
        <v>2381</v>
      </c>
      <c r="AN384" s="4">
        <f>VLOOKUP(U384,模板计算相关数据!A:N,10,0)*0.5*VLOOKUP(Y384,模板计算相关数据!$P$22:$U$30,6,0)+AD384</f>
        <v>555</v>
      </c>
      <c r="AO384" s="3">
        <f>VLOOKUP(INT(VLOOKUP(U384,模板计算相关数据!A:N,2,0)/30)+1,模板计算相关数据!$O$35:$U$40,3,0)+AE384</f>
        <v>0</v>
      </c>
      <c r="AP384" s="3">
        <f>VLOOKUP(INT(VLOOKUP(U384,模板计算相关数据!A:N,2,0)/30)+1,模板计算相关数据!$O$35:$U$40,4,0)+AF384</f>
        <v>5000</v>
      </c>
      <c r="AQ384" s="3">
        <f>VLOOKUP(INT(VLOOKUP(U384,模板计算相关数据!A:N,2,0)/30)+1,模板计算相关数据!$O$35:$U$40,5,0)+AG384</f>
        <v>0</v>
      </c>
      <c r="AR384" s="3">
        <f>VLOOKUP(INT(VLOOKUP(U384,模板计算相关数据!A:N,2,0)/30)+1,模板计算相关数据!$O$35:$U$40,6,0)+AH384</f>
        <v>0</v>
      </c>
      <c r="AS384" s="3">
        <f>VLOOKUP(INT(VLOOKUP(U384,模板计算相关数据!A:N,2,0)/30)+1,模板计算相关数据!$O$35:$U$40,7,0)+AI384</f>
        <v>0</v>
      </c>
      <c r="AT384" s="3">
        <f>VLOOKUP(INT(VLOOKUP(U384,模板计算相关数据!A:N,2,0)/30)+1,模板计算相关数据!$O$35:$V$40,8,0)</f>
        <v>0</v>
      </c>
      <c r="AU384" s="2"/>
    </row>
    <row r="385" spans="1:47" x14ac:dyDescent="0.2">
      <c r="A385" s="3">
        <v>303309</v>
      </c>
      <c r="B385" s="3"/>
      <c r="C385" s="69" t="s">
        <v>1729</v>
      </c>
      <c r="D385" s="69" t="s">
        <v>1060</v>
      </c>
      <c r="E385" s="2"/>
      <c r="F385" s="3">
        <v>2</v>
      </c>
      <c r="G385" s="3">
        <v>1002901</v>
      </c>
      <c r="H385" s="3">
        <v>3</v>
      </c>
      <c r="I385" s="3">
        <v>4</v>
      </c>
      <c r="J385" s="3">
        <v>3</v>
      </c>
      <c r="K385" s="3"/>
      <c r="L385" s="2" t="s">
        <v>254</v>
      </c>
      <c r="M385" s="2"/>
      <c r="N385" s="2">
        <v>1</v>
      </c>
      <c r="O385" s="2"/>
      <c r="P385" s="3" t="s">
        <v>1615</v>
      </c>
      <c r="Q385" s="95">
        <f t="shared" si="51"/>
        <v>5.6000000000000014</v>
      </c>
      <c r="R385" s="133">
        <f>IF(P385=模板计算相关数据!$AB$24,VLOOKUP(X385,模板计算相关数据!$P$47:$T$50,2,0),VLOOKUP(X385,模板计算相关数据!$P$4:$U$7,3,0))*VLOOKUP(Y385,模板计算相关数据!$P$22:$X$30,8,0)</f>
        <v>5.6000000000000014</v>
      </c>
      <c r="S385" s="62">
        <f t="shared" si="53"/>
        <v>6.6693344004268367</v>
      </c>
      <c r="T385" s="133">
        <f>IF(P385=模板计算相关数据!$AB$24,VLOOKUP(X385,模板计算相关数据!$P$47:$T$50,5,0),VLOOKUP(X385,模板计算相关数据!$P$4:$U$7,6,0))*VLOOKUP(Y385,模板计算相关数据!$P$22:$X$30,9,0)</f>
        <v>6.6693344004268367</v>
      </c>
      <c r="U385" s="98">
        <v>39</v>
      </c>
      <c r="V385" s="95">
        <f t="shared" si="52"/>
        <v>20</v>
      </c>
      <c r="W385" s="29">
        <f>VLOOKUP(U385,模板计算相关数据!A:N,2,0)</f>
        <v>17</v>
      </c>
      <c r="X385" s="3" t="s">
        <v>151</v>
      </c>
      <c r="Y385" s="3" t="s">
        <v>255</v>
      </c>
      <c r="Z385" s="99">
        <v>1</v>
      </c>
      <c r="AA385" s="95">
        <v>1</v>
      </c>
      <c r="AB385" s="95">
        <v>1</v>
      </c>
      <c r="AC385" s="95">
        <v>1</v>
      </c>
      <c r="AD385" s="95">
        <v>270</v>
      </c>
      <c r="AE385" s="95">
        <v>0</v>
      </c>
      <c r="AF385" s="95">
        <v>0</v>
      </c>
      <c r="AG385" s="95">
        <v>0</v>
      </c>
      <c r="AH385" s="95">
        <v>0</v>
      </c>
      <c r="AI385" s="95">
        <v>0</v>
      </c>
      <c r="AJ385" s="3">
        <f>INT(VLOOKUP(U385,模板计算相关数据!A:N,4,0)*VLOOKUP(U385,模板计算相关数据!A:N,14,0)*(1+MAX(0,(VLOOKUP(U385,模板计算相关数据!A:N,7,0)-AQ385))*VLOOKUP(U385,模板计算相关数据!A:N,8,0))*(1-(AL385+AM385)*0.5/((AL385+AM385)*0.5+(VLOOKUP(U385,模板计算相关数据!A:N,2,0)+模板计算相关数据!$AC$27)*模板计算相关数据!$AC$28))*Q385*Z385)</f>
        <v>2159</v>
      </c>
      <c r="AK385" s="3">
        <f>INT(VLOOKUP(U385,模板计算相关数据!A:N,3,0)/模板计算相关数据!$W$35/(1+MAX(0,(AO385/10000-VLOOKUP(U385,模板计算相关数据!A:N,9,0)))*AP385/10000)/(1-VLOOKUP(U385,模板计算相关数据!A:N,5,0)/(VLOOKUP(U385,模板计算相关数据!A:N,5,0)+(VLOOKUP(U385,模板计算相关数据!A:N,2,0)+模板计算相关数据!$AC$27)*模板计算相关数据!$AC$28))/S385*AA385)</f>
        <v>500</v>
      </c>
      <c r="AL385" s="3">
        <f>INT(VLOOKUP(U385,模板计算相关数据!A:N,5,0)*VLOOKUP(X385,模板计算相关数据!$P$4:$T$7,4,0)*VLOOKUP(Y385,模板计算相关数据!$P$22:$U$30,4,0)*AB385)</f>
        <v>828</v>
      </c>
      <c r="AM385" s="3">
        <f>INT(VLOOKUP(U385,模板计算相关数据!A:N,6,0)*VLOOKUP(X385,模板计算相关数据!$P$4:$T$7,4,0)*VLOOKUP(Y385,模板计算相关数据!$P$22:$U$30,5,0)*AC385)</f>
        <v>1538</v>
      </c>
      <c r="AN385" s="3">
        <f>VLOOKUP(U385,模板计算相关数据!A:N,10,0)*0.5*VLOOKUP(Y385,模板计算相关数据!$P$22:$U$30,6,0)+AD385</f>
        <v>495</v>
      </c>
      <c r="AO385" s="3">
        <f>VLOOKUP(INT(VLOOKUP(U385,模板计算相关数据!A:N,2,0)/30)+1,模板计算相关数据!$O$35:$U$40,3,0)+AE385</f>
        <v>0</v>
      </c>
      <c r="AP385" s="3">
        <f>VLOOKUP(INT(VLOOKUP(U385,模板计算相关数据!A:N,2,0)/30)+1,模板计算相关数据!$O$35:$U$40,4,0)+AF385</f>
        <v>5000</v>
      </c>
      <c r="AQ385" s="3">
        <f>VLOOKUP(INT(VLOOKUP(U385,模板计算相关数据!A:N,2,0)/30)+1,模板计算相关数据!$O$35:$U$40,5,0)+AG385</f>
        <v>0</v>
      </c>
      <c r="AR385" s="3">
        <f>VLOOKUP(INT(VLOOKUP(U385,模板计算相关数据!A:N,2,0)/30)+1,模板计算相关数据!$O$35:$U$40,6,0)+AH385</f>
        <v>0</v>
      </c>
      <c r="AS385" s="3">
        <f>VLOOKUP(INT(VLOOKUP(U385,模板计算相关数据!A:N,2,0)/30)+1,模板计算相关数据!$O$35:$U$40,7,0)+AI385</f>
        <v>0</v>
      </c>
      <c r="AT385" s="3">
        <f>VLOOKUP(INT(VLOOKUP(U385,模板计算相关数据!A:N,2,0)/30)+1,模板计算相关数据!$O$35:$V$40,8,0)</f>
        <v>0</v>
      </c>
      <c r="AU385" s="2"/>
    </row>
    <row r="386" spans="1:47" x14ac:dyDescent="0.2">
      <c r="A386" s="3">
        <v>303310</v>
      </c>
      <c r="B386" s="3"/>
      <c r="C386" s="69" t="s">
        <v>1729</v>
      </c>
      <c r="D386" s="69" t="s">
        <v>1061</v>
      </c>
      <c r="E386" s="2"/>
      <c r="F386" s="3">
        <v>2</v>
      </c>
      <c r="G386" s="3">
        <v>1002901</v>
      </c>
      <c r="H386" s="3">
        <v>3</v>
      </c>
      <c r="I386" s="3">
        <v>4</v>
      </c>
      <c r="J386" s="3">
        <v>3</v>
      </c>
      <c r="K386" s="3"/>
      <c r="L386" s="2" t="s">
        <v>256</v>
      </c>
      <c r="M386" s="2"/>
      <c r="N386" s="2">
        <v>1</v>
      </c>
      <c r="O386" s="2"/>
      <c r="P386" s="3" t="s">
        <v>1615</v>
      </c>
      <c r="Q386" s="95">
        <f t="shared" si="51"/>
        <v>5.6000000000000014</v>
      </c>
      <c r="R386" s="133">
        <f>IF(P386=模板计算相关数据!$AB$24,VLOOKUP(X386,模板计算相关数据!$P$47:$T$50,2,0),VLOOKUP(X386,模板计算相关数据!$P$4:$U$7,3,0))*VLOOKUP(Y386,模板计算相关数据!$P$22:$X$30,8,0)</f>
        <v>5.6000000000000014</v>
      </c>
      <c r="S386" s="62">
        <v>6.57</v>
      </c>
      <c r="T386" s="133">
        <f>IF(P386=模板计算相关数据!$AB$24,VLOOKUP(X386,模板计算相关数据!$P$47:$T$50,5,0),VLOOKUP(X386,模板计算相关数据!$P$4:$U$7,6,0))*VLOOKUP(Y386,模板计算相关数据!$P$22:$X$30,9,0)</f>
        <v>6.6693344004268367</v>
      </c>
      <c r="U386" s="98">
        <v>40</v>
      </c>
      <c r="V386" s="95">
        <f t="shared" si="52"/>
        <v>33</v>
      </c>
      <c r="W386" s="29">
        <f>VLOOKUP(U386,模板计算相关数据!A:N,2,0)</f>
        <v>30</v>
      </c>
      <c r="X386" s="3" t="s">
        <v>151</v>
      </c>
      <c r="Y386" s="3" t="s">
        <v>255</v>
      </c>
      <c r="Z386" s="99">
        <v>1</v>
      </c>
      <c r="AA386" s="95">
        <v>1</v>
      </c>
      <c r="AB386" s="95">
        <v>1</v>
      </c>
      <c r="AC386" s="95">
        <v>1</v>
      </c>
      <c r="AD386" s="95">
        <v>280</v>
      </c>
      <c r="AE386" s="95">
        <v>0</v>
      </c>
      <c r="AF386" s="95">
        <v>0</v>
      </c>
      <c r="AG386" s="95">
        <v>0</v>
      </c>
      <c r="AH386" s="95">
        <v>0</v>
      </c>
      <c r="AI386" s="95">
        <v>0</v>
      </c>
      <c r="AJ386" s="3">
        <f>INT(VLOOKUP(U386,模板计算相关数据!A:N,4,0)*VLOOKUP(U386,模板计算相关数据!A:N,14,0)*(1+MAX(0,(VLOOKUP(U386,模板计算相关数据!A:N,7,0)-AQ386))*VLOOKUP(U386,模板计算相关数据!A:N,8,0))*(1-(AL386+AM386)*0.5/((AL386+AM386)*0.5+(VLOOKUP(U386,模板计算相关数据!A:N,2,0)+模板计算相关数据!$AC$27)*模板计算相关数据!$AC$28))*Q386*Z386)</f>
        <v>3890</v>
      </c>
      <c r="AK386" s="3">
        <f>INT(VLOOKUP(U386,模板计算相关数据!A:N,3,0)/模板计算相关数据!$W$35/(1+MAX(0,(AO386/10000-VLOOKUP(U386,模板计算相关数据!A:N,9,0)))*AP386/10000)/(1-VLOOKUP(U386,模板计算相关数据!A:N,5,0)/(VLOOKUP(U386,模板计算相关数据!A:N,5,0)+(VLOOKUP(U386,模板计算相关数据!A:N,2,0)+模板计算相关数据!$AC$27)*模板计算相关数据!$AC$28))/S386*AA386)</f>
        <v>1004</v>
      </c>
      <c r="AL386" s="3">
        <f>INT(VLOOKUP(U386,模板计算相关数据!A:N,5,0)*VLOOKUP(X386,模板计算相关数据!$P$4:$T$7,4,0)*VLOOKUP(Y386,模板计算相关数据!$P$22:$U$30,4,0)*AB386)</f>
        <v>1560</v>
      </c>
      <c r="AM386" s="3">
        <f>INT(VLOOKUP(U386,模板计算相关数据!A:N,6,0)*VLOOKUP(X386,模板计算相关数据!$P$4:$T$7,4,0)*VLOOKUP(Y386,模板计算相关数据!$P$22:$U$30,5,0)*AC386)</f>
        <v>2898</v>
      </c>
      <c r="AN386" s="3">
        <f>VLOOKUP(U386,模板计算相关数据!A:N,10,0)*0.5*VLOOKUP(Y386,模板计算相关数据!$P$22:$U$30,6,0)+AD386</f>
        <v>505</v>
      </c>
      <c r="AO386" s="3">
        <f>VLOOKUP(INT(VLOOKUP(U386,模板计算相关数据!A:N,2,0)/30)+1,模板计算相关数据!$O$35:$U$40,3,0)+AE386</f>
        <v>0</v>
      </c>
      <c r="AP386" s="3">
        <f>VLOOKUP(INT(VLOOKUP(U386,模板计算相关数据!A:N,2,0)/30)+1,模板计算相关数据!$O$35:$U$40,4,0)+AF386</f>
        <v>5000</v>
      </c>
      <c r="AQ386" s="3">
        <f>VLOOKUP(INT(VLOOKUP(U386,模板计算相关数据!A:N,2,0)/30)+1,模板计算相关数据!$O$35:$U$40,5,0)+AG386</f>
        <v>0</v>
      </c>
      <c r="AR386" s="3">
        <f>VLOOKUP(INT(VLOOKUP(U386,模板计算相关数据!A:N,2,0)/30)+1,模板计算相关数据!$O$35:$U$40,6,0)+AH386</f>
        <v>0</v>
      </c>
      <c r="AS386" s="3">
        <f>VLOOKUP(INT(VLOOKUP(U386,模板计算相关数据!A:N,2,0)/30)+1,模板计算相关数据!$O$35:$U$40,7,0)+AI386</f>
        <v>0</v>
      </c>
      <c r="AT386" s="3">
        <f>VLOOKUP(INT(VLOOKUP(U386,模板计算相关数据!A:N,2,0)/30)+1,模板计算相关数据!$O$35:$V$40,8,0)</f>
        <v>0</v>
      </c>
      <c r="AU386" s="2"/>
    </row>
    <row r="387" spans="1:47" x14ac:dyDescent="0.2">
      <c r="A387" s="3">
        <v>303311</v>
      </c>
      <c r="B387" s="3"/>
      <c r="C387" s="69" t="s">
        <v>1729</v>
      </c>
      <c r="D387" s="69" t="s">
        <v>1058</v>
      </c>
      <c r="E387" s="2"/>
      <c r="F387" s="3">
        <v>2</v>
      </c>
      <c r="G387" s="3">
        <v>1002901</v>
      </c>
      <c r="H387" s="3">
        <v>3</v>
      </c>
      <c r="I387" s="3">
        <v>4</v>
      </c>
      <c r="J387" s="3">
        <v>3</v>
      </c>
      <c r="K387" s="3"/>
      <c r="L387" s="2" t="s">
        <v>257</v>
      </c>
      <c r="M387" s="2"/>
      <c r="N387" s="2">
        <v>1</v>
      </c>
      <c r="O387" s="2"/>
      <c r="P387" s="3" t="s">
        <v>1615</v>
      </c>
      <c r="Q387" s="95">
        <v>5.7</v>
      </c>
      <c r="R387" s="133">
        <f>IF(P387=模板计算相关数据!$AB$24,VLOOKUP(X387,模板计算相关数据!$P$47:$T$50,2,0),VLOOKUP(X387,模板计算相关数据!$P$4:$U$7,3,0))*VLOOKUP(Y387,模板计算相关数据!$P$22:$X$30,8,0)</f>
        <v>5.6000000000000014</v>
      </c>
      <c r="S387" s="62">
        <v>6.47</v>
      </c>
      <c r="T387" s="133">
        <f>IF(P387=模板计算相关数据!$AB$24,VLOOKUP(X387,模板计算相关数据!$P$47:$T$50,5,0),VLOOKUP(X387,模板计算相关数据!$P$4:$U$7,6,0))*VLOOKUP(Y387,模板计算相关数据!$P$22:$X$30,9,0)</f>
        <v>6.6693344004268367</v>
      </c>
      <c r="U387" s="98">
        <v>41</v>
      </c>
      <c r="V387" s="95">
        <f t="shared" si="52"/>
        <v>48</v>
      </c>
      <c r="W387" s="29">
        <f>VLOOKUP(U387,模板计算相关数据!A:N,2,0)</f>
        <v>45</v>
      </c>
      <c r="X387" s="3" t="s">
        <v>151</v>
      </c>
      <c r="Y387" s="3" t="s">
        <v>255</v>
      </c>
      <c r="Z387" s="99">
        <v>1</v>
      </c>
      <c r="AA387" s="95">
        <v>1</v>
      </c>
      <c r="AB387" s="95">
        <v>1</v>
      </c>
      <c r="AC387" s="95">
        <v>1</v>
      </c>
      <c r="AD387" s="95">
        <v>290</v>
      </c>
      <c r="AE387" s="95">
        <v>0</v>
      </c>
      <c r="AF387" s="95">
        <v>0</v>
      </c>
      <c r="AG387" s="95">
        <v>0</v>
      </c>
      <c r="AH387" s="95">
        <v>0</v>
      </c>
      <c r="AI387" s="95">
        <v>0</v>
      </c>
      <c r="AJ387" s="3">
        <f>INT(VLOOKUP(U387,模板计算相关数据!A:N,4,0)*VLOOKUP(U387,模板计算相关数据!A:N,14,0)*(1+MAX(0,(VLOOKUP(U387,模板计算相关数据!A:N,7,0)-AQ387))*VLOOKUP(U387,模板计算相关数据!A:N,8,0))*(1-(AL387+AM387)*0.5/((AL387+AM387)*0.5+(VLOOKUP(U387,模板计算相关数据!A:N,2,0)+模板计算相关数据!$AC$27)*模板计算相关数据!$AC$28))*Q387*Z387)</f>
        <v>6270</v>
      </c>
      <c r="AK387" s="3">
        <f>INT(VLOOKUP(U387,模板计算相关数据!A:N,3,0)/模板计算相关数据!$W$35/(1+MAX(0,(AO387/10000-VLOOKUP(U387,模板计算相关数据!A:N,9,0)))*AP387/10000)/(1-VLOOKUP(U387,模板计算相关数据!A:N,5,0)/(VLOOKUP(U387,模板计算相关数据!A:N,5,0)+(VLOOKUP(U387,模板计算相关数据!A:N,2,0)+模板计算相关数据!$AC$27)*模板计算相关数据!$AC$28))/S387*AA387)</f>
        <v>1634</v>
      </c>
      <c r="AL387" s="3">
        <f>INT(VLOOKUP(U387,模板计算相关数据!A:N,5,0)*VLOOKUP(X387,模板计算相关数据!$P$4:$T$7,4,0)*VLOOKUP(Y387,模板计算相关数据!$P$22:$U$30,4,0)*AB387)</f>
        <v>2456</v>
      </c>
      <c r="AM387" s="3">
        <f>INT(VLOOKUP(U387,模板计算相关数据!A:N,6,0)*VLOOKUP(X387,模板计算相关数据!$P$4:$T$7,4,0)*VLOOKUP(Y387,模板计算相关数据!$P$22:$U$30,5,0)*AC387)</f>
        <v>4552</v>
      </c>
      <c r="AN387" s="3">
        <f>VLOOKUP(U387,模板计算相关数据!A:N,10,0)*0.5*VLOOKUP(Y387,模板计算相关数据!$P$22:$U$30,6,0)+AD387</f>
        <v>515</v>
      </c>
      <c r="AO387" s="3">
        <f>VLOOKUP(INT(VLOOKUP(U387,模板计算相关数据!A:N,2,0)/30)+1,模板计算相关数据!$O$35:$U$40,3,0)+AE387</f>
        <v>0</v>
      </c>
      <c r="AP387" s="3">
        <f>VLOOKUP(INT(VLOOKUP(U387,模板计算相关数据!A:N,2,0)/30)+1,模板计算相关数据!$O$35:$U$40,4,0)+AF387</f>
        <v>5000</v>
      </c>
      <c r="AQ387" s="3">
        <f>VLOOKUP(INT(VLOOKUP(U387,模板计算相关数据!A:N,2,0)/30)+1,模板计算相关数据!$O$35:$U$40,5,0)+AG387</f>
        <v>0</v>
      </c>
      <c r="AR387" s="3">
        <f>VLOOKUP(INT(VLOOKUP(U387,模板计算相关数据!A:N,2,0)/30)+1,模板计算相关数据!$O$35:$U$40,6,0)+AH387</f>
        <v>0</v>
      </c>
      <c r="AS387" s="3">
        <f>VLOOKUP(INT(VLOOKUP(U387,模板计算相关数据!A:N,2,0)/30)+1,模板计算相关数据!$O$35:$U$40,7,0)+AI387</f>
        <v>0</v>
      </c>
      <c r="AT387" s="3">
        <f>VLOOKUP(INT(VLOOKUP(U387,模板计算相关数据!A:N,2,0)/30)+1,模板计算相关数据!$O$35:$V$40,8,0)</f>
        <v>0</v>
      </c>
      <c r="AU387" s="2"/>
    </row>
    <row r="388" spans="1:47" x14ac:dyDescent="0.2">
      <c r="A388" s="3">
        <v>303312</v>
      </c>
      <c r="B388" s="3"/>
      <c r="C388" s="69" t="s">
        <v>1729</v>
      </c>
      <c r="D388" s="69" t="s">
        <v>1059</v>
      </c>
      <c r="E388" s="2"/>
      <c r="F388" s="3">
        <v>2</v>
      </c>
      <c r="G388" s="3">
        <v>1002901</v>
      </c>
      <c r="H388" s="3">
        <v>3</v>
      </c>
      <c r="I388" s="3">
        <v>4</v>
      </c>
      <c r="J388" s="3">
        <v>3</v>
      </c>
      <c r="K388" s="3"/>
      <c r="L388" s="2" t="s">
        <v>258</v>
      </c>
      <c r="M388" s="2"/>
      <c r="N388" s="2">
        <v>1</v>
      </c>
      <c r="O388" s="2"/>
      <c r="P388" s="3" t="s">
        <v>1615</v>
      </c>
      <c r="Q388" s="95">
        <v>5.7</v>
      </c>
      <c r="R388" s="133">
        <f>IF(P388=模板计算相关数据!$AB$24,VLOOKUP(X388,模板计算相关数据!$P$47:$T$50,2,0),VLOOKUP(X388,模板计算相关数据!$P$4:$U$7,3,0))*VLOOKUP(Y388,模板计算相关数据!$P$22:$X$30,8,0)</f>
        <v>5.6000000000000014</v>
      </c>
      <c r="S388" s="62">
        <v>6.37</v>
      </c>
      <c r="T388" s="133">
        <f>IF(P388=模板计算相关数据!$AB$24,VLOOKUP(X388,模板计算相关数据!$P$47:$T$50,5,0),VLOOKUP(X388,模板计算相关数据!$P$4:$U$7,6,0))*VLOOKUP(Y388,模板计算相关数据!$P$22:$X$30,9,0)</f>
        <v>6.6693344004268367</v>
      </c>
      <c r="U388" s="98">
        <v>41</v>
      </c>
      <c r="V388" s="95">
        <f t="shared" si="52"/>
        <v>48</v>
      </c>
      <c r="W388" s="29">
        <f>VLOOKUP(U388,模板计算相关数据!A:N,2,0)</f>
        <v>45</v>
      </c>
      <c r="X388" s="3" t="s">
        <v>151</v>
      </c>
      <c r="Y388" s="3" t="s">
        <v>255</v>
      </c>
      <c r="Z388" s="99">
        <v>1</v>
      </c>
      <c r="AA388" s="95">
        <v>1</v>
      </c>
      <c r="AB388" s="95">
        <v>1</v>
      </c>
      <c r="AC388" s="95">
        <v>1</v>
      </c>
      <c r="AD388" s="95">
        <v>300</v>
      </c>
      <c r="AE388" s="95">
        <v>0</v>
      </c>
      <c r="AF388" s="95">
        <v>0</v>
      </c>
      <c r="AG388" s="95">
        <v>0</v>
      </c>
      <c r="AH388" s="95">
        <v>0</v>
      </c>
      <c r="AI388" s="95">
        <v>0</v>
      </c>
      <c r="AJ388" s="3">
        <f>INT(VLOOKUP(U388,模板计算相关数据!A:N,4,0)*VLOOKUP(U388,模板计算相关数据!A:N,14,0)*(1+MAX(0,(VLOOKUP(U388,模板计算相关数据!A:N,7,0)-AQ388))*VLOOKUP(U388,模板计算相关数据!A:N,8,0))*(1-(AL388+AM388)*0.5/((AL388+AM388)*0.5+(VLOOKUP(U388,模板计算相关数据!A:N,2,0)+模板计算相关数据!$AC$27)*模板计算相关数据!$AC$28))*Q388*Z388)</f>
        <v>6270</v>
      </c>
      <c r="AK388" s="3">
        <f>INT(VLOOKUP(U388,模板计算相关数据!A:N,3,0)/模板计算相关数据!$W$35/(1+MAX(0,(AO388/10000-VLOOKUP(U388,模板计算相关数据!A:N,9,0)))*AP388/10000)/(1-VLOOKUP(U388,模板计算相关数据!A:N,5,0)/(VLOOKUP(U388,模板计算相关数据!A:N,5,0)+(VLOOKUP(U388,模板计算相关数据!A:N,2,0)+模板计算相关数据!$AC$27)*模板计算相关数据!$AC$28))/S388*AA388)</f>
        <v>1660</v>
      </c>
      <c r="AL388" s="3">
        <f>INT(VLOOKUP(U388,模板计算相关数据!A:N,5,0)*VLOOKUP(X388,模板计算相关数据!$P$4:$T$7,4,0)*VLOOKUP(Y388,模板计算相关数据!$P$22:$U$30,4,0)*AB388)</f>
        <v>2456</v>
      </c>
      <c r="AM388" s="3">
        <f>INT(VLOOKUP(U388,模板计算相关数据!A:N,6,0)*VLOOKUP(X388,模板计算相关数据!$P$4:$T$7,4,0)*VLOOKUP(Y388,模板计算相关数据!$P$22:$U$30,5,0)*AC388)</f>
        <v>4552</v>
      </c>
      <c r="AN388" s="3">
        <f>VLOOKUP(U388,模板计算相关数据!A:N,10,0)*0.5*VLOOKUP(Y388,模板计算相关数据!$P$22:$U$30,6,0)+AD388</f>
        <v>525</v>
      </c>
      <c r="AO388" s="3">
        <f>VLOOKUP(INT(VLOOKUP(U388,模板计算相关数据!A:N,2,0)/30)+1,模板计算相关数据!$O$35:$U$40,3,0)+AE388</f>
        <v>0</v>
      </c>
      <c r="AP388" s="3">
        <f>VLOOKUP(INT(VLOOKUP(U388,模板计算相关数据!A:N,2,0)/30)+1,模板计算相关数据!$O$35:$U$40,4,0)+AF388</f>
        <v>5000</v>
      </c>
      <c r="AQ388" s="3">
        <f>VLOOKUP(INT(VLOOKUP(U388,模板计算相关数据!A:N,2,0)/30)+1,模板计算相关数据!$O$35:$U$40,5,0)+AG388</f>
        <v>0</v>
      </c>
      <c r="AR388" s="3">
        <f>VLOOKUP(INT(VLOOKUP(U388,模板计算相关数据!A:N,2,0)/30)+1,模板计算相关数据!$O$35:$U$40,6,0)+AH388</f>
        <v>0</v>
      </c>
      <c r="AS388" s="3">
        <f>VLOOKUP(INT(VLOOKUP(U388,模板计算相关数据!A:N,2,0)/30)+1,模板计算相关数据!$O$35:$U$40,7,0)+AI388</f>
        <v>0</v>
      </c>
      <c r="AT388" s="3">
        <f>VLOOKUP(INT(VLOOKUP(U388,模板计算相关数据!A:N,2,0)/30)+1,模板计算相关数据!$O$35:$V$40,8,0)</f>
        <v>0</v>
      </c>
      <c r="AU388" s="2"/>
    </row>
    <row r="389" spans="1:47" x14ac:dyDescent="0.2">
      <c r="A389" s="3">
        <v>303313</v>
      </c>
      <c r="B389" s="3"/>
      <c r="C389" s="69" t="s">
        <v>1731</v>
      </c>
      <c r="D389" s="69" t="s">
        <v>1062</v>
      </c>
      <c r="E389" s="2"/>
      <c r="F389" s="3">
        <v>3</v>
      </c>
      <c r="G389" s="3">
        <v>1001301</v>
      </c>
      <c r="H389" s="3">
        <v>1</v>
      </c>
      <c r="I389" s="3">
        <v>4</v>
      </c>
      <c r="J389" s="3">
        <v>3</v>
      </c>
      <c r="K389" s="3"/>
      <c r="L389" s="69" t="s">
        <v>976</v>
      </c>
      <c r="M389" s="2"/>
      <c r="N389" s="2">
        <v>1</v>
      </c>
      <c r="O389" s="2"/>
      <c r="P389" s="3" t="s">
        <v>1615</v>
      </c>
      <c r="Q389" s="95">
        <v>4.8</v>
      </c>
      <c r="R389" s="133">
        <f>IF(P389=模板计算相关数据!$AB$24,VLOOKUP(X389,模板计算相关数据!$P$47:$T$50,2,0),VLOOKUP(X389,模板计算相关数据!$P$4:$U$7,3,0))*VLOOKUP(Y389,模板计算相关数据!$P$22:$X$30,8,0)</f>
        <v>4.417254901960785</v>
      </c>
      <c r="S389" s="62">
        <v>5</v>
      </c>
      <c r="T389" s="133">
        <f>IF(P389=模板计算相关数据!$AB$24,VLOOKUP(X389,模板计算相关数据!$P$47:$T$50,5,0),VLOOKUP(X389,模板计算相关数据!$P$4:$U$7,6,0))*VLOOKUP(Y389,模板计算相关数据!$P$22:$X$30,9,0)</f>
        <v>5.4285280003474252</v>
      </c>
      <c r="U389" s="98">
        <v>41</v>
      </c>
      <c r="V389" s="95">
        <f t="shared" si="52"/>
        <v>48</v>
      </c>
      <c r="W389" s="29">
        <f>VLOOKUP(U389,模板计算相关数据!A:N,2,0)</f>
        <v>45</v>
      </c>
      <c r="X389" s="3" t="s">
        <v>151</v>
      </c>
      <c r="Y389" s="3" t="s">
        <v>152</v>
      </c>
      <c r="Z389" s="99">
        <v>1</v>
      </c>
      <c r="AA389" s="95">
        <v>1</v>
      </c>
      <c r="AB389" s="95">
        <v>1</v>
      </c>
      <c r="AC389" s="95">
        <v>1</v>
      </c>
      <c r="AD389" s="95">
        <v>320</v>
      </c>
      <c r="AE389" s="95">
        <v>0</v>
      </c>
      <c r="AF389" s="95">
        <v>0</v>
      </c>
      <c r="AG389" s="95">
        <v>0</v>
      </c>
      <c r="AH389" s="95">
        <v>0</v>
      </c>
      <c r="AI389" s="95">
        <v>0</v>
      </c>
      <c r="AJ389" s="3">
        <f>INT(VLOOKUP(U389,模板计算相关数据!A:N,4,0)*VLOOKUP(U389,模板计算相关数据!A:N,14,0)*(1+MAX(0,(VLOOKUP(U389,模板计算相关数据!A:N,7,0)-AQ389))*VLOOKUP(U389,模板计算相关数据!A:N,8,0))*(1-(AL389+AM389)*0.5/((AL389+AM389)*0.5+(VLOOKUP(U389,模板计算相关数据!A:N,2,0)+模板计算相关数据!$AC$27)*模板计算相关数据!$AC$28))*Q389*Z389)</f>
        <v>5614</v>
      </c>
      <c r="AK389" s="3">
        <f>INT(VLOOKUP(U389,模板计算相关数据!A:N,3,0)/模板计算相关数据!$W$35/(1+MAX(0,(AO389/10000-VLOOKUP(U389,模板计算相关数据!A:N,9,0)))*AP389/10000)/(1-VLOOKUP(U389,模板计算相关数据!A:N,5,0)/(VLOOKUP(U389,模板计算相关数据!A:N,5,0)+(VLOOKUP(U389,模板计算相关数据!A:N,2,0)+模板计算相关数据!$AC$27)*模板计算相关数据!$AC$28))/S389*AA389)</f>
        <v>2114</v>
      </c>
      <c r="AL389" s="3">
        <f>INT(VLOOKUP(U389,模板计算相关数据!A:N,5,0)*VLOOKUP(X389,模板计算相关数据!$P$4:$T$7,4,0)*VLOOKUP(Y389,模板计算相关数据!$P$22:$U$30,4,0)*AB389)</f>
        <v>3790</v>
      </c>
      <c r="AM389" s="3">
        <f>INT(VLOOKUP(U389,模板计算相关数据!A:N,6,0)*VLOOKUP(X389,模板计算相关数据!$P$4:$T$7,4,0)*VLOOKUP(Y389,模板计算相关数据!$P$22:$U$30,5,0)*AC389)</f>
        <v>2241</v>
      </c>
      <c r="AN389" s="3">
        <f>VLOOKUP(U389,模板计算相关数据!A:N,10,0)*0.5*VLOOKUP(Y389,模板计算相关数据!$P$22:$U$30,6,0)+AD389</f>
        <v>570</v>
      </c>
      <c r="AO389" s="3">
        <f>VLOOKUP(INT(VLOOKUP(U389,模板计算相关数据!A:N,2,0)/30)+1,模板计算相关数据!$O$35:$U$40,3,0)+AE389</f>
        <v>0</v>
      </c>
      <c r="AP389" s="3">
        <f>VLOOKUP(INT(VLOOKUP(U389,模板计算相关数据!A:N,2,0)/30)+1,模板计算相关数据!$O$35:$U$40,4,0)+AF389</f>
        <v>5000</v>
      </c>
      <c r="AQ389" s="3">
        <f>VLOOKUP(INT(VLOOKUP(U389,模板计算相关数据!A:N,2,0)/30)+1,模板计算相关数据!$O$35:$U$40,5,0)+AG389</f>
        <v>0</v>
      </c>
      <c r="AR389" s="3">
        <f>VLOOKUP(INT(VLOOKUP(U389,模板计算相关数据!A:N,2,0)/30)+1,模板计算相关数据!$O$35:$U$40,6,0)+AH389</f>
        <v>0</v>
      </c>
      <c r="AS389" s="3">
        <f>VLOOKUP(INT(VLOOKUP(U389,模板计算相关数据!A:N,2,0)/30)+1,模板计算相关数据!$O$35:$U$40,7,0)+AI389</f>
        <v>0</v>
      </c>
      <c r="AT389" s="3">
        <f>VLOOKUP(INT(VLOOKUP(U389,模板计算相关数据!A:N,2,0)/30)+1,模板计算相关数据!$O$35:$V$40,8,0)</f>
        <v>0</v>
      </c>
      <c r="AU389" s="2"/>
    </row>
    <row r="390" spans="1:47" x14ac:dyDescent="0.2">
      <c r="A390" s="3">
        <v>303314</v>
      </c>
      <c r="B390" s="3"/>
      <c r="C390" s="69" t="s">
        <v>1730</v>
      </c>
      <c r="D390" s="69" t="s">
        <v>1062</v>
      </c>
      <c r="E390" s="2"/>
      <c r="F390" s="3">
        <v>1</v>
      </c>
      <c r="G390" s="3">
        <v>1003101</v>
      </c>
      <c r="H390" s="3">
        <v>5</v>
      </c>
      <c r="I390" s="3">
        <v>4</v>
      </c>
      <c r="J390" s="3">
        <v>3</v>
      </c>
      <c r="K390" s="3"/>
      <c r="L390" s="69" t="s">
        <v>977</v>
      </c>
      <c r="M390" s="2"/>
      <c r="N390" s="2">
        <v>1</v>
      </c>
      <c r="O390" s="2"/>
      <c r="P390" s="3" t="s">
        <v>1615</v>
      </c>
      <c r="Q390" s="95">
        <v>6.2</v>
      </c>
      <c r="R390" s="133">
        <f>IF(P390=模板计算相关数据!$AB$24,VLOOKUP(X390,模板计算相关数据!$P$47:$T$50,2,0),VLOOKUP(X390,模板计算相关数据!$P$4:$U$7,3,0))*VLOOKUP(Y390,模板计算相关数据!$P$22:$X$30,8,0)</f>
        <v>5.7709803921568623</v>
      </c>
      <c r="S390" s="62">
        <v>6</v>
      </c>
      <c r="T390" s="133">
        <f>IF(P390=模板计算相关数据!$AB$24,VLOOKUP(X390,模板计算相关数据!$P$47:$T$50,5,0),VLOOKUP(X390,模板计算相关数据!$P$4:$U$7,6,0))*VLOOKUP(Y390,模板计算相关数据!$P$22:$X$30,9,0)</f>
        <v>6.4077918749198997</v>
      </c>
      <c r="U390" s="98">
        <v>41</v>
      </c>
      <c r="V390" s="95">
        <f t="shared" si="52"/>
        <v>48</v>
      </c>
      <c r="W390" s="29">
        <f>VLOOKUP(U390,模板计算相关数据!A:N,2,0)</f>
        <v>45</v>
      </c>
      <c r="X390" s="3" t="s">
        <v>151</v>
      </c>
      <c r="Y390" s="3" t="s">
        <v>159</v>
      </c>
      <c r="Z390" s="99">
        <v>1</v>
      </c>
      <c r="AA390" s="95">
        <v>1</v>
      </c>
      <c r="AB390" s="95">
        <v>1</v>
      </c>
      <c r="AC390" s="95">
        <v>1</v>
      </c>
      <c r="AD390" s="95">
        <v>290</v>
      </c>
      <c r="AE390" s="95">
        <v>0</v>
      </c>
      <c r="AF390" s="95">
        <v>0</v>
      </c>
      <c r="AG390" s="95">
        <v>0</v>
      </c>
      <c r="AH390" s="95">
        <v>0</v>
      </c>
      <c r="AI390" s="95">
        <v>0</v>
      </c>
      <c r="AJ390" s="3">
        <f>INT(VLOOKUP(U390,模板计算相关数据!A:N,4,0)*VLOOKUP(U390,模板计算相关数据!A:N,14,0)*(1+MAX(0,(VLOOKUP(U390,模板计算相关数据!A:N,7,0)-AQ390))*VLOOKUP(U390,模板计算相关数据!A:N,8,0))*(1-(AL390+AM390)*0.5/((AL390+AM390)*0.5+(VLOOKUP(U390,模板计算相关数据!A:N,2,0)+模板计算相关数据!$AC$27)*模板计算相关数据!$AC$28))*Q390*Z390)</f>
        <v>6937</v>
      </c>
      <c r="AK390" s="3">
        <f>INT(VLOOKUP(U390,模板计算相关数据!A:N,3,0)/模板计算相关数据!$W$35/(1+MAX(0,(AO390/10000-VLOOKUP(U390,模板计算相关数据!A:N,9,0)))*AP390/10000)/(1-VLOOKUP(U390,模板计算相关数据!A:N,5,0)/(VLOOKUP(U390,模板计算相关数据!A:N,5,0)+(VLOOKUP(U390,模板计算相关数据!A:N,2,0)+模板计算相关数据!$AC$27)*模板计算相关数据!$AC$28))/S390*AA390)</f>
        <v>1762</v>
      </c>
      <c r="AL390" s="3">
        <f>INT(VLOOKUP(U390,模板计算相关数据!A:N,5,0)*VLOOKUP(X390,模板计算相关数据!$P$4:$T$7,4,0)*VLOOKUP(Y390,模板计算相关数据!$P$22:$U$30,4,0)*AB390)</f>
        <v>4351</v>
      </c>
      <c r="AM390" s="3">
        <f>INT(VLOOKUP(U390,模板计算相关数据!A:N,6,0)*VLOOKUP(X390,模板计算相关数据!$P$4:$T$7,4,0)*VLOOKUP(Y390,模板计算相关数据!$P$22:$U$30,5,0)*AC390)</f>
        <v>2381</v>
      </c>
      <c r="AN390" s="4">
        <f>VLOOKUP(U390,模板计算相关数据!A:N,10,0)*0.5*VLOOKUP(Y390,模板计算相关数据!$P$22:$U$30,6,0)+AD390</f>
        <v>565</v>
      </c>
      <c r="AO390" s="3">
        <f>VLOOKUP(INT(VLOOKUP(U390,模板计算相关数据!A:N,2,0)/30)+1,模板计算相关数据!$O$35:$U$40,3,0)+AE390</f>
        <v>0</v>
      </c>
      <c r="AP390" s="3">
        <f>VLOOKUP(INT(VLOOKUP(U390,模板计算相关数据!A:N,2,0)/30)+1,模板计算相关数据!$O$35:$U$40,4,0)+AF390</f>
        <v>5000</v>
      </c>
      <c r="AQ390" s="3">
        <f>VLOOKUP(INT(VLOOKUP(U390,模板计算相关数据!A:N,2,0)/30)+1,模板计算相关数据!$O$35:$U$40,5,0)+AG390</f>
        <v>0</v>
      </c>
      <c r="AR390" s="3">
        <f>VLOOKUP(INT(VLOOKUP(U390,模板计算相关数据!A:N,2,0)/30)+1,模板计算相关数据!$O$35:$U$40,6,0)+AH390</f>
        <v>0</v>
      </c>
      <c r="AS390" s="3">
        <f>VLOOKUP(INT(VLOOKUP(U390,模板计算相关数据!A:N,2,0)/30)+1,模板计算相关数据!$O$35:$U$40,7,0)+AI390</f>
        <v>0</v>
      </c>
      <c r="AT390" s="3">
        <f>VLOOKUP(INT(VLOOKUP(U390,模板计算相关数据!A:N,2,0)/30)+1,模板计算相关数据!$O$35:$V$40,8,0)</f>
        <v>0</v>
      </c>
      <c r="AU390" s="2"/>
    </row>
    <row r="391" spans="1:47" x14ac:dyDescent="0.2">
      <c r="A391" s="3">
        <v>303315</v>
      </c>
      <c r="B391" s="3"/>
      <c r="C391" s="69" t="s">
        <v>1729</v>
      </c>
      <c r="D391" s="69" t="s">
        <v>1062</v>
      </c>
      <c r="E391" s="2"/>
      <c r="F391" s="3">
        <v>2</v>
      </c>
      <c r="G391" s="3">
        <v>1002901</v>
      </c>
      <c r="H391" s="3">
        <v>3</v>
      </c>
      <c r="I391" s="3">
        <v>4</v>
      </c>
      <c r="J391" s="3">
        <v>3</v>
      </c>
      <c r="K391" s="3"/>
      <c r="L391" s="69" t="s">
        <v>978</v>
      </c>
      <c r="M391" s="2"/>
      <c r="N391" s="2">
        <v>1</v>
      </c>
      <c r="O391" s="2"/>
      <c r="P391" s="3" t="s">
        <v>1615</v>
      </c>
      <c r="Q391" s="95">
        <v>5.8</v>
      </c>
      <c r="R391" s="133">
        <f>IF(P391=模板计算相关数据!$AB$24,VLOOKUP(X391,模板计算相关数据!$P$47:$T$50,2,0),VLOOKUP(X391,模板计算相关数据!$P$4:$U$7,3,0))*VLOOKUP(Y391,模板计算相关数据!$P$22:$X$30,8,0)</f>
        <v>5.6000000000000014</v>
      </c>
      <c r="S391" s="62">
        <v>6.27</v>
      </c>
      <c r="T391" s="133">
        <f>IF(P391=模板计算相关数据!$AB$24,VLOOKUP(X391,模板计算相关数据!$P$47:$T$50,5,0),VLOOKUP(X391,模板计算相关数据!$P$4:$U$7,6,0))*VLOOKUP(Y391,模板计算相关数据!$P$22:$X$30,9,0)</f>
        <v>6.6693344004268367</v>
      </c>
      <c r="U391" s="98">
        <v>41</v>
      </c>
      <c r="V391" s="95">
        <f t="shared" si="52"/>
        <v>48</v>
      </c>
      <c r="W391" s="29">
        <f>VLOOKUP(U391,模板计算相关数据!A:N,2,0)</f>
        <v>45</v>
      </c>
      <c r="X391" s="3" t="s">
        <v>151</v>
      </c>
      <c r="Y391" s="3" t="s">
        <v>255</v>
      </c>
      <c r="Z391" s="99">
        <v>1</v>
      </c>
      <c r="AA391" s="95">
        <v>1</v>
      </c>
      <c r="AB391" s="95">
        <v>1</v>
      </c>
      <c r="AC391" s="95">
        <v>1</v>
      </c>
      <c r="AD391" s="95">
        <v>310</v>
      </c>
      <c r="AE391" s="95">
        <v>0</v>
      </c>
      <c r="AF391" s="95">
        <v>0</v>
      </c>
      <c r="AG391" s="95">
        <v>0</v>
      </c>
      <c r="AH391" s="95">
        <v>0</v>
      </c>
      <c r="AI391" s="95">
        <v>0</v>
      </c>
      <c r="AJ391" s="3">
        <f>INT(VLOOKUP(U391,模板计算相关数据!A:N,4,0)*VLOOKUP(U391,模板计算相关数据!A:N,14,0)*(1+MAX(0,(VLOOKUP(U391,模板计算相关数据!A:N,7,0)-AQ391))*VLOOKUP(U391,模板计算相关数据!A:N,8,0))*(1-(AL391+AM391)*0.5/((AL391+AM391)*0.5+(VLOOKUP(U391,模板计算相关数据!A:N,2,0)+模板计算相关数据!$AC$27)*模板计算相关数据!$AC$28))*Q391*Z391)</f>
        <v>6380</v>
      </c>
      <c r="AK391" s="3">
        <f>INT(VLOOKUP(U391,模板计算相关数据!A:N,3,0)/模板计算相关数据!$W$35/(1+MAX(0,(AO391/10000-VLOOKUP(U391,模板计算相关数据!A:N,9,0)))*AP391/10000)/(1-VLOOKUP(U391,模板计算相关数据!A:N,5,0)/(VLOOKUP(U391,模板计算相关数据!A:N,5,0)+(VLOOKUP(U391,模板计算相关数据!A:N,2,0)+模板计算相关数据!$AC$27)*模板计算相关数据!$AC$28))/S391*AA391)</f>
        <v>1686</v>
      </c>
      <c r="AL391" s="3">
        <f>INT(VLOOKUP(U391,模板计算相关数据!A:N,5,0)*VLOOKUP(X391,模板计算相关数据!$P$4:$T$7,4,0)*VLOOKUP(Y391,模板计算相关数据!$P$22:$U$30,4,0)*AB391)</f>
        <v>2456</v>
      </c>
      <c r="AM391" s="3">
        <f>INT(VLOOKUP(U391,模板计算相关数据!A:N,6,0)*VLOOKUP(X391,模板计算相关数据!$P$4:$T$7,4,0)*VLOOKUP(Y391,模板计算相关数据!$P$22:$U$30,5,0)*AC391)</f>
        <v>4552</v>
      </c>
      <c r="AN391" s="3">
        <f>VLOOKUP(U391,模板计算相关数据!A:N,10,0)*0.5*VLOOKUP(Y391,模板计算相关数据!$P$22:$U$30,6,0)+AD391</f>
        <v>535</v>
      </c>
      <c r="AO391" s="3">
        <f>VLOOKUP(INT(VLOOKUP(U391,模板计算相关数据!A:N,2,0)/30)+1,模板计算相关数据!$O$35:$U$40,3,0)+AE391</f>
        <v>0</v>
      </c>
      <c r="AP391" s="3">
        <f>VLOOKUP(INT(VLOOKUP(U391,模板计算相关数据!A:N,2,0)/30)+1,模板计算相关数据!$O$35:$U$40,4,0)+AF391</f>
        <v>5000</v>
      </c>
      <c r="AQ391" s="3">
        <f>VLOOKUP(INT(VLOOKUP(U391,模板计算相关数据!A:N,2,0)/30)+1,模板计算相关数据!$O$35:$U$40,5,0)+AG391</f>
        <v>0</v>
      </c>
      <c r="AR391" s="3">
        <f>VLOOKUP(INT(VLOOKUP(U391,模板计算相关数据!A:N,2,0)/30)+1,模板计算相关数据!$O$35:$U$40,6,0)+AH391</f>
        <v>0</v>
      </c>
      <c r="AS391" s="3">
        <f>VLOOKUP(INT(VLOOKUP(U391,模板计算相关数据!A:N,2,0)/30)+1,模板计算相关数据!$O$35:$U$40,7,0)+AI391</f>
        <v>0</v>
      </c>
      <c r="AT391" s="3">
        <f>VLOOKUP(INT(VLOOKUP(U391,模板计算相关数据!A:N,2,0)/30)+1,模板计算相关数据!$O$35:$V$40,8,0)</f>
        <v>0</v>
      </c>
      <c r="AU391" s="2"/>
    </row>
    <row r="392" spans="1:47" s="149" customFormat="1" x14ac:dyDescent="0.2">
      <c r="A392" s="43">
        <v>304101</v>
      </c>
      <c r="B392" s="43"/>
      <c r="C392" s="25" t="s">
        <v>1729</v>
      </c>
      <c r="D392" s="25" t="s">
        <v>1063</v>
      </c>
      <c r="E392" s="17"/>
      <c r="F392" s="43">
        <v>3</v>
      </c>
      <c r="G392" s="43">
        <v>1002901</v>
      </c>
      <c r="H392" s="43">
        <v>3</v>
      </c>
      <c r="I392" s="43">
        <v>4</v>
      </c>
      <c r="J392" s="43">
        <v>3</v>
      </c>
      <c r="K392" s="43"/>
      <c r="L392" s="17" t="s">
        <v>259</v>
      </c>
      <c r="M392" s="17"/>
      <c r="N392" s="17">
        <v>1</v>
      </c>
      <c r="O392" s="17"/>
      <c r="P392" s="43" t="s">
        <v>1615</v>
      </c>
      <c r="Q392" s="147">
        <f t="shared" si="51"/>
        <v>5.6000000000000014</v>
      </c>
      <c r="R392" s="133">
        <f>IF(P392=模板计算相关数据!$AB$24,VLOOKUP(X392,模板计算相关数据!$P$47:$T$50,2,0),VLOOKUP(X392,模板计算相关数据!$P$4:$U$7,3,0))*VLOOKUP(Y392,模板计算相关数据!$P$22:$X$30,8,0)</f>
        <v>5.6000000000000014</v>
      </c>
      <c r="S392" s="42">
        <f t="shared" si="53"/>
        <v>6.6693344004268367</v>
      </c>
      <c r="T392" s="133">
        <f>IF(P392=模板计算相关数据!$AB$24,VLOOKUP(X392,模板计算相关数据!$P$47:$T$50,5,0),VLOOKUP(X392,模板计算相关数据!$P$4:$U$7,6,0))*VLOOKUP(Y392,模板计算相关数据!$P$22:$X$30,9,0)</f>
        <v>6.6693344004268367</v>
      </c>
      <c r="U392" s="150">
        <v>34</v>
      </c>
      <c r="V392" s="95">
        <f t="shared" si="52"/>
        <v>19</v>
      </c>
      <c r="W392" s="29">
        <f>VLOOKUP(U392,模板计算相关数据!A:N,2,0)</f>
        <v>16</v>
      </c>
      <c r="X392" s="43" t="s">
        <v>151</v>
      </c>
      <c r="Y392" s="43" t="s">
        <v>255</v>
      </c>
      <c r="Z392" s="148">
        <v>1</v>
      </c>
      <c r="AA392" s="147">
        <v>1</v>
      </c>
      <c r="AB392" s="147">
        <v>1</v>
      </c>
      <c r="AC392" s="147">
        <v>1</v>
      </c>
      <c r="AD392" s="147">
        <v>0</v>
      </c>
      <c r="AE392" s="147">
        <v>0</v>
      </c>
      <c r="AF392" s="147">
        <v>0</v>
      </c>
      <c r="AG392" s="147">
        <v>0</v>
      </c>
      <c r="AH392" s="147">
        <v>0</v>
      </c>
      <c r="AI392" s="147">
        <v>0</v>
      </c>
      <c r="AJ392" s="43">
        <f>INT(VLOOKUP(U392,模板计算相关数据!A:N,4,0)*VLOOKUP(U392,模板计算相关数据!A:N,14,0)*(1+MAX(0,(VLOOKUP(U392,模板计算相关数据!A:N,7,0)-AQ392))*VLOOKUP(U392,模板计算相关数据!A:N,8,0))*(1-(AL392+AM392)*0.5/((AL392+AM392)*0.5+(VLOOKUP(U392,模板计算相关数据!A:N,2,0)+模板计算相关数据!$AC$27)*模板计算相关数据!$AC$28))*Q392*Z392)</f>
        <v>1679</v>
      </c>
      <c r="AK392" s="43">
        <f>INT(VLOOKUP(U392,模板计算相关数据!A:N,3,0)/模板计算相关数据!$W$35/(1+MAX(0,(AO392/10000-VLOOKUP(U392,模板计算相关数据!A:N,9,0)))*AP392/10000)/(1-VLOOKUP(U392,模板计算相关数据!A:N,5,0)/(VLOOKUP(U392,模板计算相关数据!A:N,5,0)+(VLOOKUP(U392,模板计算相关数据!A:N,2,0)+模板计算相关数据!$AC$27)*模板计算相关数据!$AC$28))/S392*AA392)</f>
        <v>321</v>
      </c>
      <c r="AL392" s="43">
        <f>INT(VLOOKUP(U392,模板计算相关数据!A:N,5,0)*VLOOKUP(X392,模板计算相关数据!$P$4:$T$7,4,0)*VLOOKUP(Y392,模板计算相关数据!$P$22:$U$30,4,0)*AB392)</f>
        <v>580</v>
      </c>
      <c r="AM392" s="43">
        <f>INT(VLOOKUP(U392,模板计算相关数据!A:N,6,0)*VLOOKUP(X392,模板计算相关数据!$P$4:$T$7,4,0)*VLOOKUP(Y392,模板计算相关数据!$P$22:$U$30,5,0)*AC392)</f>
        <v>1077</v>
      </c>
      <c r="AN392" s="43">
        <f>VLOOKUP(U392,模板计算相关数据!A:N,10,0)*0.5*VLOOKUP(Y392,模板计算相关数据!$P$22:$U$30,6,0)+AD392</f>
        <v>225</v>
      </c>
      <c r="AO392" s="43">
        <f>VLOOKUP(INT(VLOOKUP(U392,模板计算相关数据!A:N,2,0)/30)+1,模板计算相关数据!$O$35:$U$40,3,0)+AE392</f>
        <v>0</v>
      </c>
      <c r="AP392" s="43">
        <f>VLOOKUP(INT(VLOOKUP(U392,模板计算相关数据!A:N,2,0)/30)+1,模板计算相关数据!$O$35:$U$40,4,0)+AF392</f>
        <v>5000</v>
      </c>
      <c r="AQ392" s="43">
        <f>VLOOKUP(INT(VLOOKUP(U392,模板计算相关数据!A:N,2,0)/30)+1,模板计算相关数据!$O$35:$U$40,5,0)+AG392</f>
        <v>0</v>
      </c>
      <c r="AR392" s="43">
        <f>VLOOKUP(INT(VLOOKUP(U392,模板计算相关数据!A:N,2,0)/30)+1,模板计算相关数据!$O$35:$U$40,6,0)+AH392</f>
        <v>0</v>
      </c>
      <c r="AS392" s="43">
        <f>VLOOKUP(INT(VLOOKUP(U392,模板计算相关数据!A:N,2,0)/30)+1,模板计算相关数据!$O$35:$U$40,7,0)+AI392</f>
        <v>0</v>
      </c>
      <c r="AT392" s="43">
        <f>VLOOKUP(INT(VLOOKUP(U392,模板计算相关数据!A:N,2,0)/30)+1,模板计算相关数据!$O$35:$V$40,8,0)</f>
        <v>0</v>
      </c>
      <c r="AU392" s="17"/>
    </row>
    <row r="393" spans="1:47" x14ac:dyDescent="0.2">
      <c r="A393" s="3">
        <v>304102</v>
      </c>
      <c r="B393" s="3"/>
      <c r="C393" s="69" t="s">
        <v>1728</v>
      </c>
      <c r="D393" s="69" t="s">
        <v>1064</v>
      </c>
      <c r="E393" s="2"/>
      <c r="F393" s="3">
        <v>3</v>
      </c>
      <c r="G393" s="3">
        <v>1002901</v>
      </c>
      <c r="H393" s="3">
        <v>3</v>
      </c>
      <c r="I393" s="3">
        <v>4</v>
      </c>
      <c r="J393" s="3">
        <v>3</v>
      </c>
      <c r="K393" s="3"/>
      <c r="L393" s="2" t="s">
        <v>260</v>
      </c>
      <c r="M393" s="2"/>
      <c r="N393" s="2">
        <v>1</v>
      </c>
      <c r="O393" s="2"/>
      <c r="P393" s="3" t="s">
        <v>1615</v>
      </c>
      <c r="Q393" s="95">
        <v>5.8</v>
      </c>
      <c r="R393" s="133">
        <f>IF(P393=模板计算相关数据!$AB$24,VLOOKUP(X393,模板计算相关数据!$P$47:$T$50,2,0),VLOOKUP(X393,模板计算相关数据!$P$4:$U$7,3,0))*VLOOKUP(Y393,模板计算相关数据!$P$22:$X$30,8,0)</f>
        <v>5.6000000000000014</v>
      </c>
      <c r="S393" s="62">
        <f t="shared" si="53"/>
        <v>6.6693344004268367</v>
      </c>
      <c r="T393" s="133">
        <f>IF(P393=模板计算相关数据!$AB$24,VLOOKUP(X393,模板计算相关数据!$P$47:$T$50,5,0),VLOOKUP(X393,模板计算相关数据!$P$4:$U$7,6,0))*VLOOKUP(Y393,模板计算相关数据!$P$22:$X$30,9,0)</f>
        <v>6.6693344004268367</v>
      </c>
      <c r="U393" s="98">
        <v>35</v>
      </c>
      <c r="V393" s="95">
        <f t="shared" si="52"/>
        <v>33</v>
      </c>
      <c r="W393" s="29">
        <f>VLOOKUP(U393,模板计算相关数据!A:N,2,0)</f>
        <v>30</v>
      </c>
      <c r="X393" s="3" t="s">
        <v>151</v>
      </c>
      <c r="Y393" s="3" t="s">
        <v>255</v>
      </c>
      <c r="Z393" s="99">
        <v>1</v>
      </c>
      <c r="AA393" s="95">
        <v>1</v>
      </c>
      <c r="AB393" s="95">
        <v>1</v>
      </c>
      <c r="AC393" s="95">
        <v>1</v>
      </c>
      <c r="AD393" s="95">
        <v>0</v>
      </c>
      <c r="AE393" s="95">
        <v>0</v>
      </c>
      <c r="AF393" s="95">
        <v>0</v>
      </c>
      <c r="AG393" s="95">
        <v>0</v>
      </c>
      <c r="AH393" s="95">
        <v>0</v>
      </c>
      <c r="AI393" s="95">
        <v>0</v>
      </c>
      <c r="AJ393" s="3">
        <f>INT(VLOOKUP(U393,模板计算相关数据!A:N,4,0)*VLOOKUP(U393,模板计算相关数据!A:N,14,0)*(1+MAX(0,(VLOOKUP(U393,模板计算相关数据!A:N,7,0)-AQ393))*VLOOKUP(U393,模板计算相关数据!A:N,8,0))*(1-(AL393+AM393)*0.5/((AL393+AM393)*0.5+(VLOOKUP(U393,模板计算相关数据!A:N,2,0)+模板计算相关数据!$AC$27)*模板计算相关数据!$AC$28))*Q393*Z393)</f>
        <v>4029</v>
      </c>
      <c r="AK393" s="3">
        <f>INT(VLOOKUP(U393,模板计算相关数据!A:N,3,0)/模板计算相关数据!$W$35/(1+MAX(0,(AO393/10000-VLOOKUP(U393,模板计算相关数据!A:N,9,0)))*AP393/10000)/(1-VLOOKUP(U393,模板计算相关数据!A:N,5,0)/(VLOOKUP(U393,模板计算相关数据!A:N,5,0)+(VLOOKUP(U393,模板计算相关数据!A:N,2,0)+模板计算相关数据!$AC$27)*模板计算相关数据!$AC$28))/S393*AA393)</f>
        <v>989</v>
      </c>
      <c r="AL393" s="3">
        <f>INT(VLOOKUP(U393,模板计算相关数据!A:N,5,0)*VLOOKUP(X393,模板计算相关数据!$P$4:$T$7,4,0)*VLOOKUP(Y393,模板计算相关数据!$P$22:$U$30,4,0)*AB393)</f>
        <v>1560</v>
      </c>
      <c r="AM393" s="3">
        <f>INT(VLOOKUP(U393,模板计算相关数据!A:N,6,0)*VLOOKUP(X393,模板计算相关数据!$P$4:$T$7,4,0)*VLOOKUP(Y393,模板计算相关数据!$P$22:$U$30,5,0)*AC393)</f>
        <v>2898</v>
      </c>
      <c r="AN393" s="3">
        <f>VLOOKUP(U393,模板计算相关数据!A:N,10,0)*0.5*VLOOKUP(Y393,模板计算相关数据!$P$22:$U$30,6,0)+AD393</f>
        <v>225</v>
      </c>
      <c r="AO393" s="3">
        <f>VLOOKUP(INT(VLOOKUP(U393,模板计算相关数据!A:N,2,0)/30)+1,模板计算相关数据!$O$35:$U$40,3,0)+AE393</f>
        <v>0</v>
      </c>
      <c r="AP393" s="3">
        <f>VLOOKUP(INT(VLOOKUP(U393,模板计算相关数据!A:N,2,0)/30)+1,模板计算相关数据!$O$35:$U$40,4,0)+AF393</f>
        <v>5000</v>
      </c>
      <c r="AQ393" s="3">
        <f>VLOOKUP(INT(VLOOKUP(U393,模板计算相关数据!A:N,2,0)/30)+1,模板计算相关数据!$O$35:$U$40,5,0)+AG393</f>
        <v>0</v>
      </c>
      <c r="AR393" s="3">
        <f>VLOOKUP(INT(VLOOKUP(U393,模板计算相关数据!A:N,2,0)/30)+1,模板计算相关数据!$O$35:$U$40,6,0)+AH393</f>
        <v>0</v>
      </c>
      <c r="AS393" s="3">
        <f>VLOOKUP(INT(VLOOKUP(U393,模板计算相关数据!A:N,2,0)/30)+1,模板计算相关数据!$O$35:$U$40,7,0)+AI393</f>
        <v>0</v>
      </c>
      <c r="AT393" s="3">
        <f>VLOOKUP(INT(VLOOKUP(U393,模板计算相关数据!A:N,2,0)/30)+1,模板计算相关数据!$O$35:$V$40,8,0)</f>
        <v>0</v>
      </c>
      <c r="AU393" s="2"/>
    </row>
    <row r="394" spans="1:47" x14ac:dyDescent="0.2">
      <c r="A394" s="3">
        <v>304103</v>
      </c>
      <c r="B394" s="3"/>
      <c r="C394" s="69" t="s">
        <v>1728</v>
      </c>
      <c r="D394" s="69" t="s">
        <v>1065</v>
      </c>
      <c r="E394" s="2"/>
      <c r="F394" s="3">
        <v>3</v>
      </c>
      <c r="G394" s="3">
        <v>1002901</v>
      </c>
      <c r="H394" s="3">
        <v>3</v>
      </c>
      <c r="I394" s="3">
        <v>4</v>
      </c>
      <c r="J394" s="3">
        <v>3</v>
      </c>
      <c r="K394" s="3"/>
      <c r="L394" s="2" t="s">
        <v>261</v>
      </c>
      <c r="M394" s="2"/>
      <c r="N394" s="2">
        <v>1</v>
      </c>
      <c r="O394" s="2"/>
      <c r="P394" s="3" t="s">
        <v>1615</v>
      </c>
      <c r="Q394" s="95">
        <v>6</v>
      </c>
      <c r="R394" s="133">
        <f>IF(P394=模板计算相关数据!$AB$24,VLOOKUP(X394,模板计算相关数据!$P$47:$T$50,2,0),VLOOKUP(X394,模板计算相关数据!$P$4:$U$7,3,0))*VLOOKUP(Y394,模板计算相关数据!$P$22:$X$30,8,0)</f>
        <v>5.6000000000000014</v>
      </c>
      <c r="S394" s="62">
        <f t="shared" si="53"/>
        <v>6.6693344004268367</v>
      </c>
      <c r="T394" s="133">
        <f>IF(P394=模板计算相关数据!$AB$24,VLOOKUP(X394,模板计算相关数据!$P$47:$T$50,5,0),VLOOKUP(X394,模板计算相关数据!$P$4:$U$7,6,0))*VLOOKUP(Y394,模板计算相关数据!$P$22:$X$30,9,0)</f>
        <v>6.6693344004268367</v>
      </c>
      <c r="U394" s="98">
        <v>36</v>
      </c>
      <c r="V394" s="95">
        <f t="shared" si="52"/>
        <v>48</v>
      </c>
      <c r="W394" s="29">
        <f>VLOOKUP(U394,模板计算相关数据!A:N,2,0)</f>
        <v>45</v>
      </c>
      <c r="X394" s="3" t="s">
        <v>151</v>
      </c>
      <c r="Y394" s="3" t="s">
        <v>255</v>
      </c>
      <c r="Z394" s="99">
        <v>1</v>
      </c>
      <c r="AA394" s="95">
        <v>1</v>
      </c>
      <c r="AB394" s="95">
        <v>1</v>
      </c>
      <c r="AC394" s="95">
        <v>1</v>
      </c>
      <c r="AD394" s="95">
        <v>0</v>
      </c>
      <c r="AE394" s="95">
        <v>0</v>
      </c>
      <c r="AF394" s="95">
        <v>0</v>
      </c>
      <c r="AG394" s="95">
        <v>0</v>
      </c>
      <c r="AH394" s="95">
        <v>0</v>
      </c>
      <c r="AI394" s="95">
        <v>0</v>
      </c>
      <c r="AJ394" s="3">
        <f>INT(VLOOKUP(U394,模板计算相关数据!A:N,4,0)*VLOOKUP(U394,模板计算相关数据!A:N,14,0)*(1+MAX(0,(VLOOKUP(U394,模板计算相关数据!A:N,7,0)-AQ394))*VLOOKUP(U394,模板计算相关数据!A:N,8,0))*(1-(AL394+AM394)*0.5/((AL394+AM394)*0.5+(VLOOKUP(U394,模板计算相关数据!A:N,2,0)+模板计算相关数据!$AC$27)*模板计算相关数据!$AC$28))*Q394*Z394)</f>
        <v>6600</v>
      </c>
      <c r="AK394" s="3">
        <f>INT(VLOOKUP(U394,模板计算相关数据!A:N,3,0)/模板计算相关数据!$W$35/(1+MAX(0,(AO394/10000-VLOOKUP(U394,模板计算相关数据!A:N,9,0)))*AP394/10000)/(1-VLOOKUP(U394,模板计算相关数据!A:N,5,0)/(VLOOKUP(U394,模板计算相关数据!A:N,5,0)+(VLOOKUP(U394,模板计算相关数据!A:N,2,0)+模板计算相关数据!$AC$27)*模板计算相关数据!$AC$28))/S394*AA394)</f>
        <v>1585</v>
      </c>
      <c r="AL394" s="3">
        <f>INT(VLOOKUP(U394,模板计算相关数据!A:N,5,0)*VLOOKUP(X394,模板计算相关数据!$P$4:$T$7,4,0)*VLOOKUP(Y394,模板计算相关数据!$P$22:$U$30,4,0)*AB394)</f>
        <v>2456</v>
      </c>
      <c r="AM394" s="3">
        <f>INT(VLOOKUP(U394,模板计算相关数据!A:N,6,0)*VLOOKUP(X394,模板计算相关数据!$P$4:$T$7,4,0)*VLOOKUP(Y394,模板计算相关数据!$P$22:$U$30,5,0)*AC394)</f>
        <v>4552</v>
      </c>
      <c r="AN394" s="3">
        <f>VLOOKUP(U394,模板计算相关数据!A:N,10,0)*0.5*VLOOKUP(Y394,模板计算相关数据!$P$22:$U$30,6,0)+AD394</f>
        <v>225</v>
      </c>
      <c r="AO394" s="3">
        <f>VLOOKUP(INT(VLOOKUP(U394,模板计算相关数据!A:N,2,0)/30)+1,模板计算相关数据!$O$35:$U$40,3,0)+AE394</f>
        <v>0</v>
      </c>
      <c r="AP394" s="3">
        <f>VLOOKUP(INT(VLOOKUP(U394,模板计算相关数据!A:N,2,0)/30)+1,模板计算相关数据!$O$35:$U$40,4,0)+AF394</f>
        <v>5000</v>
      </c>
      <c r="AQ394" s="3">
        <f>VLOOKUP(INT(VLOOKUP(U394,模板计算相关数据!A:N,2,0)/30)+1,模板计算相关数据!$O$35:$U$40,5,0)+AG394</f>
        <v>0</v>
      </c>
      <c r="AR394" s="3">
        <f>VLOOKUP(INT(VLOOKUP(U394,模板计算相关数据!A:N,2,0)/30)+1,模板计算相关数据!$O$35:$U$40,6,0)+AH394</f>
        <v>0</v>
      </c>
      <c r="AS394" s="3">
        <f>VLOOKUP(INT(VLOOKUP(U394,模板计算相关数据!A:N,2,0)/30)+1,模板计算相关数据!$O$35:$U$40,7,0)+AI394</f>
        <v>0</v>
      </c>
      <c r="AT394" s="3">
        <f>VLOOKUP(INT(VLOOKUP(U394,模板计算相关数据!A:N,2,0)/30)+1,模板计算相关数据!$O$35:$V$40,8,0)</f>
        <v>0</v>
      </c>
      <c r="AU394" s="2"/>
    </row>
    <row r="395" spans="1:47" x14ac:dyDescent="0.2">
      <c r="A395" s="3">
        <v>304104</v>
      </c>
      <c r="B395" s="3"/>
      <c r="C395" s="69" t="s">
        <v>1728</v>
      </c>
      <c r="D395" s="69" t="s">
        <v>1066</v>
      </c>
      <c r="E395" s="2"/>
      <c r="F395" s="3">
        <v>3</v>
      </c>
      <c r="G395" s="3">
        <v>1002901</v>
      </c>
      <c r="H395" s="3">
        <v>3</v>
      </c>
      <c r="I395" s="3">
        <v>4</v>
      </c>
      <c r="J395" s="3">
        <v>3</v>
      </c>
      <c r="K395" s="3"/>
      <c r="L395" s="2" t="s">
        <v>262</v>
      </c>
      <c r="M395" s="2"/>
      <c r="N395" s="2">
        <v>1</v>
      </c>
      <c r="O395" s="2"/>
      <c r="P395" s="3" t="s">
        <v>1615</v>
      </c>
      <c r="Q395" s="95">
        <v>6.2</v>
      </c>
      <c r="R395" s="133">
        <f>IF(P395=模板计算相关数据!$AB$24,VLOOKUP(X395,模板计算相关数据!$P$47:$T$50,2,0),VLOOKUP(X395,模板计算相关数据!$P$4:$U$7,3,0))*VLOOKUP(Y395,模板计算相关数据!$P$22:$X$30,8,0)</f>
        <v>5.6000000000000014</v>
      </c>
      <c r="S395" s="62">
        <f t="shared" si="53"/>
        <v>6.6693344004268367</v>
      </c>
      <c r="T395" s="133">
        <f>IF(P395=模板计算相关数据!$AB$24,VLOOKUP(X395,模板计算相关数据!$P$47:$T$50,5,0),VLOOKUP(X395,模板计算相关数据!$P$4:$U$7,6,0))*VLOOKUP(Y395,模板计算相关数据!$P$22:$X$30,9,0)</f>
        <v>6.6693344004268367</v>
      </c>
      <c r="U395" s="98">
        <v>36</v>
      </c>
      <c r="V395" s="95">
        <f t="shared" si="52"/>
        <v>48</v>
      </c>
      <c r="W395" s="29">
        <f>VLOOKUP(U395,模板计算相关数据!A:N,2,0)</f>
        <v>45</v>
      </c>
      <c r="X395" s="3" t="s">
        <v>151</v>
      </c>
      <c r="Y395" s="3" t="s">
        <v>255</v>
      </c>
      <c r="Z395" s="99">
        <v>1</v>
      </c>
      <c r="AA395" s="95">
        <v>1</v>
      </c>
      <c r="AB395" s="95">
        <v>1</v>
      </c>
      <c r="AC395" s="95">
        <v>1</v>
      </c>
      <c r="AD395" s="95">
        <v>0</v>
      </c>
      <c r="AE395" s="95">
        <v>0</v>
      </c>
      <c r="AF395" s="95">
        <v>0</v>
      </c>
      <c r="AG395" s="95">
        <v>0</v>
      </c>
      <c r="AH395" s="95">
        <v>0</v>
      </c>
      <c r="AI395" s="95">
        <v>0</v>
      </c>
      <c r="AJ395" s="3">
        <f>INT(VLOOKUP(U395,模板计算相关数据!A:N,4,0)*VLOOKUP(U395,模板计算相关数据!A:N,14,0)*(1+MAX(0,(VLOOKUP(U395,模板计算相关数据!A:N,7,0)-AQ395))*VLOOKUP(U395,模板计算相关数据!A:N,8,0))*(1-(AL395+AM395)*0.5/((AL395+AM395)*0.5+(VLOOKUP(U395,模板计算相关数据!A:N,2,0)+模板计算相关数据!$AC$27)*模板计算相关数据!$AC$28))*Q395*Z395)</f>
        <v>6820</v>
      </c>
      <c r="AK395" s="3">
        <f>INT(VLOOKUP(U395,模板计算相关数据!A:N,3,0)/模板计算相关数据!$W$35/(1+MAX(0,(AO395/10000-VLOOKUP(U395,模板计算相关数据!A:N,9,0)))*AP395/10000)/(1-VLOOKUP(U395,模板计算相关数据!A:N,5,0)/(VLOOKUP(U395,模板计算相关数据!A:N,5,0)+(VLOOKUP(U395,模板计算相关数据!A:N,2,0)+模板计算相关数据!$AC$27)*模板计算相关数据!$AC$28))/S395*AA395)</f>
        <v>1585</v>
      </c>
      <c r="AL395" s="3">
        <f>INT(VLOOKUP(U395,模板计算相关数据!A:N,5,0)*VLOOKUP(X395,模板计算相关数据!$P$4:$T$7,4,0)*VLOOKUP(Y395,模板计算相关数据!$P$22:$U$30,4,0)*AB395)</f>
        <v>2456</v>
      </c>
      <c r="AM395" s="3">
        <f>INT(VLOOKUP(U395,模板计算相关数据!A:N,6,0)*VLOOKUP(X395,模板计算相关数据!$P$4:$T$7,4,0)*VLOOKUP(Y395,模板计算相关数据!$P$22:$U$30,5,0)*AC395)</f>
        <v>4552</v>
      </c>
      <c r="AN395" s="3">
        <f>VLOOKUP(U395,模板计算相关数据!A:N,10,0)*0.5*VLOOKUP(Y395,模板计算相关数据!$P$22:$U$30,6,0)+AD395</f>
        <v>225</v>
      </c>
      <c r="AO395" s="3">
        <f>VLOOKUP(INT(VLOOKUP(U395,模板计算相关数据!A:N,2,0)/30)+1,模板计算相关数据!$O$35:$U$40,3,0)+AE395</f>
        <v>0</v>
      </c>
      <c r="AP395" s="3">
        <f>VLOOKUP(INT(VLOOKUP(U395,模板计算相关数据!A:N,2,0)/30)+1,模板计算相关数据!$O$35:$U$40,4,0)+AF395</f>
        <v>5000</v>
      </c>
      <c r="AQ395" s="3">
        <f>VLOOKUP(INT(VLOOKUP(U395,模板计算相关数据!A:N,2,0)/30)+1,模板计算相关数据!$O$35:$U$40,5,0)+AG395</f>
        <v>0</v>
      </c>
      <c r="AR395" s="3">
        <f>VLOOKUP(INT(VLOOKUP(U395,模板计算相关数据!A:N,2,0)/30)+1,模板计算相关数据!$O$35:$U$40,6,0)+AH395</f>
        <v>0</v>
      </c>
      <c r="AS395" s="3">
        <f>VLOOKUP(INT(VLOOKUP(U395,模板计算相关数据!A:N,2,0)/30)+1,模板计算相关数据!$O$35:$U$40,7,0)+AI395</f>
        <v>0</v>
      </c>
      <c r="AT395" s="3">
        <f>VLOOKUP(INT(VLOOKUP(U395,模板计算相关数据!A:N,2,0)/30)+1,模板计算相关数据!$O$35:$V$40,8,0)</f>
        <v>0</v>
      </c>
      <c r="AU395" s="2"/>
    </row>
    <row r="396" spans="1:47" x14ac:dyDescent="0.2">
      <c r="A396" s="3">
        <v>304105</v>
      </c>
      <c r="B396" s="3"/>
      <c r="C396" s="69" t="s">
        <v>1730</v>
      </c>
      <c r="D396" s="69" t="s">
        <v>1067</v>
      </c>
      <c r="E396" s="2"/>
      <c r="F396" s="3">
        <v>3</v>
      </c>
      <c r="G396" s="3">
        <v>1003101</v>
      </c>
      <c r="H396" s="3">
        <v>5</v>
      </c>
      <c r="I396" s="3">
        <v>4</v>
      </c>
      <c r="J396" s="3">
        <v>3</v>
      </c>
      <c r="K396" s="3"/>
      <c r="L396" s="2" t="s">
        <v>263</v>
      </c>
      <c r="M396" s="2"/>
      <c r="N396" s="2">
        <v>1</v>
      </c>
      <c r="O396" s="2"/>
      <c r="P396" s="3" t="s">
        <v>1615</v>
      </c>
      <c r="Q396" s="95">
        <f>R396</f>
        <v>5.7709803921568623</v>
      </c>
      <c r="R396" s="133">
        <f>IF(P396=模板计算相关数据!$AB$24,VLOOKUP(X396,模板计算相关数据!$P$47:$T$50,2,0),VLOOKUP(X396,模板计算相关数据!$P$4:$U$7,3,0))*VLOOKUP(Y396,模板计算相关数据!$P$22:$X$30,8,0)</f>
        <v>5.7709803921568623</v>
      </c>
      <c r="S396" s="62">
        <f t="shared" si="53"/>
        <v>6.4077918749198997</v>
      </c>
      <c r="T396" s="133">
        <f>IF(P396=模板计算相关数据!$AB$24,VLOOKUP(X396,模板计算相关数据!$P$47:$T$50,5,0),VLOOKUP(X396,模板计算相关数据!$P$4:$U$7,6,0))*VLOOKUP(Y396,模板计算相关数据!$P$22:$X$30,9,0)</f>
        <v>6.4077918749198997</v>
      </c>
      <c r="U396" s="98">
        <v>34</v>
      </c>
      <c r="V396" s="95">
        <f t="shared" si="52"/>
        <v>19</v>
      </c>
      <c r="W396" s="29">
        <f>VLOOKUP(U396,模板计算相关数据!A:N,2,0)</f>
        <v>16</v>
      </c>
      <c r="X396" s="3" t="s">
        <v>151</v>
      </c>
      <c r="Y396" s="3" t="s">
        <v>159</v>
      </c>
      <c r="Z396" s="99">
        <v>1</v>
      </c>
      <c r="AA396" s="95">
        <v>1</v>
      </c>
      <c r="AB396" s="95">
        <v>1</v>
      </c>
      <c r="AC396" s="95">
        <v>1</v>
      </c>
      <c r="AD396" s="95">
        <v>0</v>
      </c>
      <c r="AE396" s="95">
        <v>0</v>
      </c>
      <c r="AF396" s="95">
        <v>0</v>
      </c>
      <c r="AG396" s="95">
        <v>0</v>
      </c>
      <c r="AH396" s="95">
        <v>0</v>
      </c>
      <c r="AI396" s="95">
        <v>0</v>
      </c>
      <c r="AJ396" s="3">
        <f>INT(VLOOKUP(U396,模板计算相关数据!A:N,4,0)*VLOOKUP(U396,模板计算相关数据!A:N,14,0)*(1+MAX(0,(VLOOKUP(U396,模板计算相关数据!A:N,7,0)-AQ396))*VLOOKUP(U396,模板计算相关数据!A:N,8,0))*(1-(AL396+AM396)*0.5/((AL396+AM396)*0.5+(VLOOKUP(U396,模板计算相关数据!A:N,2,0)+模板计算相关数据!$AC$27)*模板计算相关数据!$AC$28))*Q396*Z396)</f>
        <v>1752</v>
      </c>
      <c r="AK396" s="3">
        <f>INT(VLOOKUP(U396,模板计算相关数据!A:N,3,0)/模板计算相关数据!$W$35/(1+MAX(0,(AO396/10000-VLOOKUP(U396,模板计算相关数据!A:N,9,0)))*AP396/10000)/(1-VLOOKUP(U396,模板计算相关数据!A:N,5,0)/(VLOOKUP(U396,模板计算相关数据!A:N,5,0)+(VLOOKUP(U396,模板计算相关数据!A:N,2,0)+模板计算相关数据!$AC$27)*模板计算相关数据!$AC$28))/S396*AA396)</f>
        <v>334</v>
      </c>
      <c r="AL396" s="3">
        <f>INT(VLOOKUP(U396,模板计算相关数据!A:N,5,0)*VLOOKUP(X396,模板计算相关数据!$P$4:$T$7,4,0)*VLOOKUP(Y396,模板计算相关数据!$P$22:$U$30,4,0)*AB396)</f>
        <v>1027</v>
      </c>
      <c r="AM396" s="3">
        <f>INT(VLOOKUP(U396,模板计算相关数据!A:N,6,0)*VLOOKUP(X396,模板计算相关数据!$P$4:$T$7,4,0)*VLOOKUP(Y396,模板计算相关数据!$P$22:$U$30,5,0)*AC396)</f>
        <v>563</v>
      </c>
      <c r="AN396" s="3">
        <f>VLOOKUP(U396,模板计算相关数据!A:N,10,0)*0.5*VLOOKUP(Y396,模板计算相关数据!$P$22:$U$30,6,0)+AD396</f>
        <v>275</v>
      </c>
      <c r="AO396" s="3">
        <f>VLOOKUP(INT(VLOOKUP(U396,模板计算相关数据!A:N,2,0)/30)+1,模板计算相关数据!$O$35:$U$40,3,0)+AE396</f>
        <v>0</v>
      </c>
      <c r="AP396" s="3">
        <f>VLOOKUP(INT(VLOOKUP(U396,模板计算相关数据!A:N,2,0)/30)+1,模板计算相关数据!$O$35:$U$40,4,0)+AF396</f>
        <v>5000</v>
      </c>
      <c r="AQ396" s="3">
        <f>VLOOKUP(INT(VLOOKUP(U396,模板计算相关数据!A:N,2,0)/30)+1,模板计算相关数据!$O$35:$U$40,5,0)+AG396</f>
        <v>0</v>
      </c>
      <c r="AR396" s="3">
        <f>VLOOKUP(INT(VLOOKUP(U396,模板计算相关数据!A:N,2,0)/30)+1,模板计算相关数据!$O$35:$U$40,6,0)+AH396</f>
        <v>0</v>
      </c>
      <c r="AS396" s="3">
        <f>VLOOKUP(INT(VLOOKUP(U396,模板计算相关数据!A:N,2,0)/30)+1,模板计算相关数据!$O$35:$U$40,7,0)+AI396</f>
        <v>0</v>
      </c>
      <c r="AT396" s="3">
        <f>VLOOKUP(INT(VLOOKUP(U396,模板计算相关数据!A:N,2,0)/30)+1,模板计算相关数据!$O$35:$V$40,8,0)</f>
        <v>0</v>
      </c>
      <c r="AU396" s="2"/>
    </row>
    <row r="397" spans="1:47" x14ac:dyDescent="0.2">
      <c r="A397" s="3">
        <v>304106</v>
      </c>
      <c r="B397" s="3"/>
      <c r="C397" s="69" t="s">
        <v>1730</v>
      </c>
      <c r="D397" s="69" t="s">
        <v>1068</v>
      </c>
      <c r="E397" s="2"/>
      <c r="F397" s="3">
        <v>3</v>
      </c>
      <c r="G397" s="3">
        <v>1003101</v>
      </c>
      <c r="H397" s="3">
        <v>5</v>
      </c>
      <c r="I397" s="3">
        <v>4</v>
      </c>
      <c r="J397" s="3">
        <v>3</v>
      </c>
      <c r="K397" s="3"/>
      <c r="L397" s="2" t="s">
        <v>264</v>
      </c>
      <c r="M397" s="2"/>
      <c r="N397" s="2">
        <v>1</v>
      </c>
      <c r="O397" s="2"/>
      <c r="P397" s="3" t="s">
        <v>1615</v>
      </c>
      <c r="Q397" s="95">
        <v>6</v>
      </c>
      <c r="R397" s="133">
        <f>IF(P397=模板计算相关数据!$AB$24,VLOOKUP(X397,模板计算相关数据!$P$47:$T$50,2,0),VLOOKUP(X397,模板计算相关数据!$P$4:$U$7,3,0))*VLOOKUP(Y397,模板计算相关数据!$P$22:$X$30,8,0)</f>
        <v>5.7709803921568623</v>
      </c>
      <c r="S397" s="62">
        <f t="shared" si="53"/>
        <v>6.4077918749198997</v>
      </c>
      <c r="T397" s="133">
        <f>IF(P397=模板计算相关数据!$AB$24,VLOOKUP(X397,模板计算相关数据!$P$47:$T$50,5,0),VLOOKUP(X397,模板计算相关数据!$P$4:$U$7,6,0))*VLOOKUP(Y397,模板计算相关数据!$P$22:$X$30,9,0)</f>
        <v>6.4077918749198997</v>
      </c>
      <c r="U397" s="98">
        <v>35</v>
      </c>
      <c r="V397" s="95">
        <f t="shared" si="52"/>
        <v>33</v>
      </c>
      <c r="W397" s="29">
        <f>VLOOKUP(U397,模板计算相关数据!A:N,2,0)</f>
        <v>30</v>
      </c>
      <c r="X397" s="3" t="s">
        <v>151</v>
      </c>
      <c r="Y397" s="3" t="s">
        <v>159</v>
      </c>
      <c r="Z397" s="99">
        <v>1</v>
      </c>
      <c r="AA397" s="95">
        <v>1</v>
      </c>
      <c r="AB397" s="95">
        <v>1</v>
      </c>
      <c r="AC397" s="95">
        <v>1</v>
      </c>
      <c r="AD397" s="95">
        <v>0</v>
      </c>
      <c r="AE397" s="95">
        <v>0</v>
      </c>
      <c r="AF397" s="95">
        <v>0</v>
      </c>
      <c r="AG397" s="95">
        <v>0</v>
      </c>
      <c r="AH397" s="95">
        <v>0</v>
      </c>
      <c r="AI397" s="95">
        <v>0</v>
      </c>
      <c r="AJ397" s="3">
        <f>INT(VLOOKUP(U397,模板计算相关数据!A:N,4,0)*VLOOKUP(U397,模板计算相关数据!A:N,14,0)*(1+MAX(0,(VLOOKUP(U397,模板计算相关数据!A:N,7,0)-AQ397))*VLOOKUP(U397,模板计算相关数据!A:N,8,0))*(1-(AL397+AM397)*0.5/((AL397+AM397)*0.5+(VLOOKUP(U397,模板计算相关数据!A:N,2,0)+模板计算相关数据!$AC$27)*模板计算相关数据!$AC$28))*Q397*Z397)</f>
        <v>4237</v>
      </c>
      <c r="AK397" s="3">
        <f>INT(VLOOKUP(U397,模板计算相关数据!A:N,3,0)/模板计算相关数据!$W$35/(1+MAX(0,(AO397/10000-VLOOKUP(U397,模板计算相关数据!A:N,9,0)))*AP397/10000)/(1-VLOOKUP(U397,模板计算相关数据!A:N,5,0)/(VLOOKUP(U397,模板计算相关数据!A:N,5,0)+(VLOOKUP(U397,模板计算相关数据!A:N,2,0)+模板计算相关数据!$AC$27)*模板计算相关数据!$AC$28))/S397*AA397)</f>
        <v>1029</v>
      </c>
      <c r="AL397" s="3">
        <f>INT(VLOOKUP(U397,模板计算相关数据!A:N,5,0)*VLOOKUP(X397,模板计算相关数据!$P$4:$T$7,4,0)*VLOOKUP(Y397,模板计算相关数据!$P$22:$U$30,4,0)*AB397)</f>
        <v>2764</v>
      </c>
      <c r="AM397" s="3">
        <f>INT(VLOOKUP(U397,模板计算相关数据!A:N,6,0)*VLOOKUP(X397,模板计算相关数据!$P$4:$T$7,4,0)*VLOOKUP(Y397,模板计算相关数据!$P$22:$U$30,5,0)*AC397)</f>
        <v>1516</v>
      </c>
      <c r="AN397" s="3">
        <f>VLOOKUP(U397,模板计算相关数据!A:N,10,0)*0.5*VLOOKUP(Y397,模板计算相关数据!$P$22:$U$30,6,0)+AD397</f>
        <v>275</v>
      </c>
      <c r="AO397" s="3">
        <f>VLOOKUP(INT(VLOOKUP(U397,模板计算相关数据!A:N,2,0)/30)+1,模板计算相关数据!$O$35:$U$40,3,0)+AE397</f>
        <v>0</v>
      </c>
      <c r="AP397" s="3">
        <f>VLOOKUP(INT(VLOOKUP(U397,模板计算相关数据!A:N,2,0)/30)+1,模板计算相关数据!$O$35:$U$40,4,0)+AF397</f>
        <v>5000</v>
      </c>
      <c r="AQ397" s="3">
        <f>VLOOKUP(INT(VLOOKUP(U397,模板计算相关数据!A:N,2,0)/30)+1,模板计算相关数据!$O$35:$U$40,5,0)+AG397</f>
        <v>0</v>
      </c>
      <c r="AR397" s="3">
        <f>VLOOKUP(INT(VLOOKUP(U397,模板计算相关数据!A:N,2,0)/30)+1,模板计算相关数据!$O$35:$U$40,6,0)+AH397</f>
        <v>0</v>
      </c>
      <c r="AS397" s="3">
        <f>VLOOKUP(INT(VLOOKUP(U397,模板计算相关数据!A:N,2,0)/30)+1,模板计算相关数据!$O$35:$U$40,7,0)+AI397</f>
        <v>0</v>
      </c>
      <c r="AT397" s="3">
        <f>VLOOKUP(INT(VLOOKUP(U397,模板计算相关数据!A:N,2,0)/30)+1,模板计算相关数据!$O$35:$V$40,8,0)</f>
        <v>0</v>
      </c>
      <c r="AU397" s="2"/>
    </row>
    <row r="398" spans="1:47" x14ac:dyDescent="0.2">
      <c r="A398" s="3">
        <v>304107</v>
      </c>
      <c r="B398" s="3"/>
      <c r="C398" s="69" t="s">
        <v>1730</v>
      </c>
      <c r="D398" s="69" t="s">
        <v>1065</v>
      </c>
      <c r="E398" s="2"/>
      <c r="F398" s="3">
        <v>3</v>
      </c>
      <c r="G398" s="3">
        <v>1003101</v>
      </c>
      <c r="H398" s="3">
        <v>5</v>
      </c>
      <c r="I398" s="3">
        <v>4</v>
      </c>
      <c r="J398" s="3">
        <v>3</v>
      </c>
      <c r="K398" s="3"/>
      <c r="L398" s="2" t="s">
        <v>265</v>
      </c>
      <c r="M398" s="2"/>
      <c r="N398" s="2">
        <v>1</v>
      </c>
      <c r="O398" s="2"/>
      <c r="P398" s="3" t="s">
        <v>1615</v>
      </c>
      <c r="Q398" s="95">
        <v>6.2</v>
      </c>
      <c r="R398" s="133">
        <f>IF(P398=模板计算相关数据!$AB$24,VLOOKUP(X398,模板计算相关数据!$P$47:$T$50,2,0),VLOOKUP(X398,模板计算相关数据!$P$4:$U$7,3,0))*VLOOKUP(Y398,模板计算相关数据!$P$22:$X$30,8,0)</f>
        <v>5.7709803921568623</v>
      </c>
      <c r="S398" s="62">
        <f t="shared" si="53"/>
        <v>6.4077918749198997</v>
      </c>
      <c r="T398" s="133">
        <f>IF(P398=模板计算相关数据!$AB$24,VLOOKUP(X398,模板计算相关数据!$P$47:$T$50,5,0),VLOOKUP(X398,模板计算相关数据!$P$4:$U$7,6,0))*VLOOKUP(Y398,模板计算相关数据!$P$22:$X$30,9,0)</f>
        <v>6.4077918749198997</v>
      </c>
      <c r="U398" s="98">
        <v>36</v>
      </c>
      <c r="V398" s="95">
        <f t="shared" si="52"/>
        <v>48</v>
      </c>
      <c r="W398" s="29">
        <f>VLOOKUP(U398,模板计算相关数据!A:N,2,0)</f>
        <v>45</v>
      </c>
      <c r="X398" s="3" t="s">
        <v>151</v>
      </c>
      <c r="Y398" s="3" t="s">
        <v>159</v>
      </c>
      <c r="Z398" s="99">
        <v>1</v>
      </c>
      <c r="AA398" s="95">
        <v>1</v>
      </c>
      <c r="AB398" s="95">
        <v>1</v>
      </c>
      <c r="AC398" s="95">
        <v>1</v>
      </c>
      <c r="AD398" s="95">
        <v>0</v>
      </c>
      <c r="AE398" s="95">
        <v>0</v>
      </c>
      <c r="AF398" s="95">
        <v>0</v>
      </c>
      <c r="AG398" s="95">
        <v>0</v>
      </c>
      <c r="AH398" s="95">
        <v>0</v>
      </c>
      <c r="AI398" s="95">
        <v>0</v>
      </c>
      <c r="AJ398" s="3">
        <f>INT(VLOOKUP(U398,模板计算相关数据!A:N,4,0)*VLOOKUP(U398,模板计算相关数据!A:N,14,0)*(1+MAX(0,(VLOOKUP(U398,模板计算相关数据!A:N,7,0)-AQ398))*VLOOKUP(U398,模板计算相关数据!A:N,8,0))*(1-(AL398+AM398)*0.5/((AL398+AM398)*0.5+(VLOOKUP(U398,模板计算相关数据!A:N,2,0)+模板计算相关数据!$AC$27)*模板计算相关数据!$AC$28))*Q398*Z398)</f>
        <v>6937</v>
      </c>
      <c r="AK398" s="3">
        <f>INT(VLOOKUP(U398,模板计算相关数据!A:N,3,0)/模板计算相关数据!$W$35/(1+MAX(0,(AO398/10000-VLOOKUP(U398,模板计算相关数据!A:N,9,0)))*AP398/10000)/(1-VLOOKUP(U398,模板计算相关数据!A:N,5,0)/(VLOOKUP(U398,模板计算相关数据!A:N,5,0)+(VLOOKUP(U398,模板计算相关数据!A:N,2,0)+模板计算相关数据!$AC$27)*模板计算相关数据!$AC$28))/S398*AA398)</f>
        <v>1650</v>
      </c>
      <c r="AL398" s="3">
        <f>INT(VLOOKUP(U398,模板计算相关数据!A:N,5,0)*VLOOKUP(X398,模板计算相关数据!$P$4:$T$7,4,0)*VLOOKUP(Y398,模板计算相关数据!$P$22:$U$30,4,0)*AB398)</f>
        <v>4351</v>
      </c>
      <c r="AM398" s="3">
        <f>INT(VLOOKUP(U398,模板计算相关数据!A:N,6,0)*VLOOKUP(X398,模板计算相关数据!$P$4:$T$7,4,0)*VLOOKUP(Y398,模板计算相关数据!$P$22:$U$30,5,0)*AC398)</f>
        <v>2381</v>
      </c>
      <c r="AN398" s="3">
        <f>VLOOKUP(U398,模板计算相关数据!A:N,10,0)*0.5*VLOOKUP(Y398,模板计算相关数据!$P$22:$U$30,6,0)+AD398</f>
        <v>275</v>
      </c>
      <c r="AO398" s="3">
        <f>VLOOKUP(INT(VLOOKUP(U398,模板计算相关数据!A:N,2,0)/30)+1,模板计算相关数据!$O$35:$U$40,3,0)+AE398</f>
        <v>0</v>
      </c>
      <c r="AP398" s="3">
        <f>VLOOKUP(INT(VLOOKUP(U398,模板计算相关数据!A:N,2,0)/30)+1,模板计算相关数据!$O$35:$U$40,4,0)+AF398</f>
        <v>5000</v>
      </c>
      <c r="AQ398" s="3">
        <f>VLOOKUP(INT(VLOOKUP(U398,模板计算相关数据!A:N,2,0)/30)+1,模板计算相关数据!$O$35:$U$40,5,0)+AG398</f>
        <v>0</v>
      </c>
      <c r="AR398" s="3">
        <f>VLOOKUP(INT(VLOOKUP(U398,模板计算相关数据!A:N,2,0)/30)+1,模板计算相关数据!$O$35:$U$40,6,0)+AH398</f>
        <v>0</v>
      </c>
      <c r="AS398" s="3">
        <f>VLOOKUP(INT(VLOOKUP(U398,模板计算相关数据!A:N,2,0)/30)+1,模板计算相关数据!$O$35:$U$40,7,0)+AI398</f>
        <v>0</v>
      </c>
      <c r="AT398" s="3">
        <f>VLOOKUP(INT(VLOOKUP(U398,模板计算相关数据!A:N,2,0)/30)+1,模板计算相关数据!$O$35:$V$40,8,0)</f>
        <v>0</v>
      </c>
      <c r="AU398" s="2"/>
    </row>
    <row r="399" spans="1:47" x14ac:dyDescent="0.2">
      <c r="A399" s="3">
        <v>304108</v>
      </c>
      <c r="B399" s="3"/>
      <c r="C399" s="69" t="s">
        <v>1730</v>
      </c>
      <c r="D399" s="69" t="s">
        <v>1066</v>
      </c>
      <c r="E399" s="2"/>
      <c r="F399" s="3">
        <v>3</v>
      </c>
      <c r="G399" s="3">
        <v>1003101</v>
      </c>
      <c r="H399" s="3">
        <v>5</v>
      </c>
      <c r="I399" s="3">
        <v>4</v>
      </c>
      <c r="J399" s="3">
        <v>3</v>
      </c>
      <c r="K399" s="3"/>
      <c r="L399" s="2" t="s">
        <v>266</v>
      </c>
      <c r="M399" s="2"/>
      <c r="N399" s="2">
        <v>1</v>
      </c>
      <c r="O399" s="2"/>
      <c r="P399" s="3" t="s">
        <v>1615</v>
      </c>
      <c r="Q399" s="95">
        <v>6.5</v>
      </c>
      <c r="R399" s="133">
        <f>IF(P399=模板计算相关数据!$AB$24,VLOOKUP(X399,模板计算相关数据!$P$47:$T$50,2,0),VLOOKUP(X399,模板计算相关数据!$P$4:$U$7,3,0))*VLOOKUP(Y399,模板计算相关数据!$P$22:$X$30,8,0)</f>
        <v>5.7709803921568623</v>
      </c>
      <c r="S399" s="62">
        <f t="shared" si="53"/>
        <v>6.4077918749198997</v>
      </c>
      <c r="T399" s="133">
        <f>IF(P399=模板计算相关数据!$AB$24,VLOOKUP(X399,模板计算相关数据!$P$47:$T$50,5,0),VLOOKUP(X399,模板计算相关数据!$P$4:$U$7,6,0))*VLOOKUP(Y399,模板计算相关数据!$P$22:$X$30,9,0)</f>
        <v>6.4077918749198997</v>
      </c>
      <c r="U399" s="98">
        <v>36</v>
      </c>
      <c r="V399" s="95">
        <f t="shared" si="52"/>
        <v>48</v>
      </c>
      <c r="W399" s="29">
        <f>VLOOKUP(U399,模板计算相关数据!A:N,2,0)</f>
        <v>45</v>
      </c>
      <c r="X399" s="3" t="s">
        <v>151</v>
      </c>
      <c r="Y399" s="3" t="s">
        <v>159</v>
      </c>
      <c r="Z399" s="99">
        <v>1</v>
      </c>
      <c r="AA399" s="95">
        <v>1</v>
      </c>
      <c r="AB399" s="95">
        <v>1</v>
      </c>
      <c r="AC399" s="95">
        <v>1</v>
      </c>
      <c r="AD399" s="95">
        <v>0</v>
      </c>
      <c r="AE399" s="95">
        <v>0</v>
      </c>
      <c r="AF399" s="95">
        <v>0</v>
      </c>
      <c r="AG399" s="95">
        <v>0</v>
      </c>
      <c r="AH399" s="95">
        <v>0</v>
      </c>
      <c r="AI399" s="95">
        <v>0</v>
      </c>
      <c r="AJ399" s="3">
        <f>INT(VLOOKUP(U399,模板计算相关数据!A:N,4,0)*VLOOKUP(U399,模板计算相关数据!A:N,14,0)*(1+MAX(0,(VLOOKUP(U399,模板计算相关数据!A:N,7,0)-AQ399))*VLOOKUP(U399,模板计算相关数据!A:N,8,0))*(1-(AL399+AM399)*0.5/((AL399+AM399)*0.5+(VLOOKUP(U399,模板计算相关数据!A:N,2,0)+模板计算相关数据!$AC$27)*模板计算相关数据!$AC$28))*Q399*Z399)</f>
        <v>7273</v>
      </c>
      <c r="AK399" s="3">
        <f>INT(VLOOKUP(U399,模板计算相关数据!A:N,3,0)/模板计算相关数据!$W$35/(1+MAX(0,(AO399/10000-VLOOKUP(U399,模板计算相关数据!A:N,9,0)))*AP399/10000)/(1-VLOOKUP(U399,模板计算相关数据!A:N,5,0)/(VLOOKUP(U399,模板计算相关数据!A:N,5,0)+(VLOOKUP(U399,模板计算相关数据!A:N,2,0)+模板计算相关数据!$AC$27)*模板计算相关数据!$AC$28))/S399*AA399)</f>
        <v>1650</v>
      </c>
      <c r="AL399" s="3">
        <f>INT(VLOOKUP(U399,模板计算相关数据!A:N,5,0)*VLOOKUP(X399,模板计算相关数据!$P$4:$T$7,4,0)*VLOOKUP(Y399,模板计算相关数据!$P$22:$U$30,4,0)*AB399)</f>
        <v>4351</v>
      </c>
      <c r="AM399" s="3">
        <f>INT(VLOOKUP(U399,模板计算相关数据!A:N,6,0)*VLOOKUP(X399,模板计算相关数据!$P$4:$T$7,4,0)*VLOOKUP(Y399,模板计算相关数据!$P$22:$U$30,5,0)*AC399)</f>
        <v>2381</v>
      </c>
      <c r="AN399" s="3">
        <f>VLOOKUP(U399,模板计算相关数据!A:N,10,0)*0.5*VLOOKUP(Y399,模板计算相关数据!$P$22:$U$30,6,0)+AD399</f>
        <v>275</v>
      </c>
      <c r="AO399" s="3">
        <f>VLOOKUP(INT(VLOOKUP(U399,模板计算相关数据!A:N,2,0)/30)+1,模板计算相关数据!$O$35:$U$40,3,0)+AE399</f>
        <v>0</v>
      </c>
      <c r="AP399" s="3">
        <f>VLOOKUP(INT(VLOOKUP(U399,模板计算相关数据!A:N,2,0)/30)+1,模板计算相关数据!$O$35:$U$40,4,0)+AF399</f>
        <v>5000</v>
      </c>
      <c r="AQ399" s="3">
        <f>VLOOKUP(INT(VLOOKUP(U399,模板计算相关数据!A:N,2,0)/30)+1,模板计算相关数据!$O$35:$U$40,5,0)+AG399</f>
        <v>0</v>
      </c>
      <c r="AR399" s="3">
        <f>VLOOKUP(INT(VLOOKUP(U399,模板计算相关数据!A:N,2,0)/30)+1,模板计算相关数据!$O$35:$U$40,6,0)+AH399</f>
        <v>0</v>
      </c>
      <c r="AS399" s="3">
        <f>VLOOKUP(INT(VLOOKUP(U399,模板计算相关数据!A:N,2,0)/30)+1,模板计算相关数据!$O$35:$U$40,7,0)+AI399</f>
        <v>0</v>
      </c>
      <c r="AT399" s="3">
        <f>VLOOKUP(INT(VLOOKUP(U399,模板计算相关数据!A:N,2,0)/30)+1,模板计算相关数据!$O$35:$V$40,8,0)</f>
        <v>0</v>
      </c>
      <c r="AU399" s="2"/>
    </row>
    <row r="400" spans="1:47" x14ac:dyDescent="0.2">
      <c r="A400" s="3">
        <v>304109</v>
      </c>
      <c r="B400" s="3"/>
      <c r="C400" s="69" t="s">
        <v>1732</v>
      </c>
      <c r="D400" s="69" t="s">
        <v>1067</v>
      </c>
      <c r="E400" s="2"/>
      <c r="F400" s="3">
        <v>3</v>
      </c>
      <c r="G400" s="3">
        <v>1001301</v>
      </c>
      <c r="H400" s="3">
        <v>1</v>
      </c>
      <c r="I400" s="3">
        <v>4</v>
      </c>
      <c r="J400" s="3">
        <v>3</v>
      </c>
      <c r="K400" s="3"/>
      <c r="L400" s="2" t="s">
        <v>267</v>
      </c>
      <c r="M400" s="2"/>
      <c r="N400" s="2">
        <v>1</v>
      </c>
      <c r="O400" s="2"/>
      <c r="P400" s="3" t="s">
        <v>1615</v>
      </c>
      <c r="Q400" s="95">
        <f t="shared" si="51"/>
        <v>4.417254901960785</v>
      </c>
      <c r="R400" s="133">
        <f>IF(P400=模板计算相关数据!$AB$24,VLOOKUP(X400,模板计算相关数据!$P$47:$T$50,2,0),VLOOKUP(X400,模板计算相关数据!$P$4:$U$7,3,0))*VLOOKUP(Y400,模板计算相关数据!$P$22:$X$30,8,0)</f>
        <v>4.417254901960785</v>
      </c>
      <c r="S400" s="62">
        <f t="shared" si="53"/>
        <v>5.4285280003474252</v>
      </c>
      <c r="T400" s="133">
        <f>IF(P400=模板计算相关数据!$AB$24,VLOOKUP(X400,模板计算相关数据!$P$47:$T$50,5,0),VLOOKUP(X400,模板计算相关数据!$P$4:$U$7,6,0))*VLOOKUP(Y400,模板计算相关数据!$P$22:$X$30,9,0)</f>
        <v>5.4285280003474252</v>
      </c>
      <c r="U400" s="98">
        <v>34</v>
      </c>
      <c r="V400" s="95">
        <f t="shared" si="52"/>
        <v>19</v>
      </c>
      <c r="W400" s="29">
        <f>VLOOKUP(U400,模板计算相关数据!A:N,2,0)</f>
        <v>16</v>
      </c>
      <c r="X400" s="3" t="s">
        <v>151</v>
      </c>
      <c r="Y400" s="3" t="s">
        <v>152</v>
      </c>
      <c r="Z400" s="99">
        <v>1</v>
      </c>
      <c r="AA400" s="95">
        <v>1</v>
      </c>
      <c r="AB400" s="95">
        <v>1</v>
      </c>
      <c r="AC400" s="95">
        <v>1</v>
      </c>
      <c r="AD400" s="95">
        <v>0</v>
      </c>
      <c r="AE400" s="95">
        <v>0</v>
      </c>
      <c r="AF400" s="95">
        <v>0</v>
      </c>
      <c r="AG400" s="95">
        <v>0</v>
      </c>
      <c r="AH400" s="95">
        <v>0</v>
      </c>
      <c r="AI400" s="95">
        <v>0</v>
      </c>
      <c r="AJ400" s="3">
        <f>INT(VLOOKUP(U400,模板计算相关数据!A:N,4,0)*VLOOKUP(U400,模板计算相关数据!A:N,14,0)*(1+MAX(0,(VLOOKUP(U400,模板计算相关数据!A:N,7,0)-AQ400))*VLOOKUP(U400,模板计算相关数据!A:N,8,0))*(1-(AL400+AM400)*0.5/((AL400+AM400)*0.5+(VLOOKUP(U400,模板计算相关数据!A:N,2,0)+模板计算相关数据!$AC$27)*模板计算相关数据!$AC$28))*Q400*Z400)</f>
        <v>1383</v>
      </c>
      <c r="AK400" s="3">
        <f>INT(VLOOKUP(U400,模板计算相关数据!A:N,3,0)/模板计算相关数据!$W$35/(1+MAX(0,(AO400/10000-VLOOKUP(U400,模板计算相关数据!A:N,9,0)))*AP400/10000)/(1-VLOOKUP(U400,模板计算相关数据!A:N,5,0)/(VLOOKUP(U400,模板计算相关数据!A:N,5,0)+(VLOOKUP(U400,模板计算相关数据!A:N,2,0)+模板计算相关数据!$AC$27)*模板计算相关数据!$AC$28))/S400*AA400)</f>
        <v>394</v>
      </c>
      <c r="AL400" s="3">
        <f>INT(VLOOKUP(U400,模板计算相关数据!A:N,5,0)*VLOOKUP(X400,模板计算相关数据!$P$4:$T$7,4,0)*VLOOKUP(Y400,模板计算相关数据!$P$22:$U$30,4,0)*AB400)</f>
        <v>895</v>
      </c>
      <c r="AM400" s="3">
        <f>INT(VLOOKUP(U400,模板计算相关数据!A:N,6,0)*VLOOKUP(X400,模板计算相关数据!$P$4:$T$7,4,0)*VLOOKUP(Y400,模板计算相关数据!$P$22:$U$30,5,0)*AC400)</f>
        <v>530</v>
      </c>
      <c r="AN400" s="3">
        <f>VLOOKUP(U400,模板计算相关数据!A:N,10,0)*0.5*VLOOKUP(Y400,模板计算相关数据!$P$22:$U$30,6,0)+AD400</f>
        <v>250</v>
      </c>
      <c r="AO400" s="3">
        <f>VLOOKUP(INT(VLOOKUP(U400,模板计算相关数据!A:N,2,0)/30)+1,模板计算相关数据!$O$35:$U$40,3,0)+AE400</f>
        <v>0</v>
      </c>
      <c r="AP400" s="3">
        <f>VLOOKUP(INT(VLOOKUP(U400,模板计算相关数据!A:N,2,0)/30)+1,模板计算相关数据!$O$35:$U$40,4,0)+AF400</f>
        <v>5000</v>
      </c>
      <c r="AQ400" s="3">
        <f>VLOOKUP(INT(VLOOKUP(U400,模板计算相关数据!A:N,2,0)/30)+1,模板计算相关数据!$O$35:$U$40,5,0)+AG400</f>
        <v>0</v>
      </c>
      <c r="AR400" s="3">
        <f>VLOOKUP(INT(VLOOKUP(U400,模板计算相关数据!A:N,2,0)/30)+1,模板计算相关数据!$O$35:$U$40,6,0)+AH400</f>
        <v>0</v>
      </c>
      <c r="AS400" s="3">
        <f>VLOOKUP(INT(VLOOKUP(U400,模板计算相关数据!A:N,2,0)/30)+1,模板计算相关数据!$O$35:$U$40,7,0)+AI400</f>
        <v>0</v>
      </c>
      <c r="AT400" s="3">
        <f>VLOOKUP(INT(VLOOKUP(U400,模板计算相关数据!A:N,2,0)/30)+1,模板计算相关数据!$O$35:$V$40,8,0)</f>
        <v>0</v>
      </c>
      <c r="AU400" s="2"/>
    </row>
    <row r="401" spans="1:47" x14ac:dyDescent="0.2">
      <c r="A401" s="3">
        <v>304110</v>
      </c>
      <c r="B401" s="3"/>
      <c r="C401" s="69" t="s">
        <v>1732</v>
      </c>
      <c r="D401" s="69" t="s">
        <v>1068</v>
      </c>
      <c r="E401" s="2"/>
      <c r="F401" s="3">
        <v>3</v>
      </c>
      <c r="G401" s="3">
        <v>1001301</v>
      </c>
      <c r="H401" s="3">
        <v>1</v>
      </c>
      <c r="I401" s="3">
        <v>4</v>
      </c>
      <c r="J401" s="3">
        <v>3</v>
      </c>
      <c r="K401" s="3"/>
      <c r="L401" s="2" t="s">
        <v>268</v>
      </c>
      <c r="M401" s="2"/>
      <c r="N401" s="2">
        <v>1</v>
      </c>
      <c r="O401" s="2"/>
      <c r="P401" s="3" t="s">
        <v>1615</v>
      </c>
      <c r="Q401" s="95">
        <f t="shared" si="51"/>
        <v>4.417254901960785</v>
      </c>
      <c r="R401" s="133">
        <f>IF(P401=模板计算相关数据!$AB$24,VLOOKUP(X401,模板计算相关数据!$P$47:$T$50,2,0),VLOOKUP(X401,模板计算相关数据!$P$4:$U$7,3,0))*VLOOKUP(Y401,模板计算相关数据!$P$22:$X$30,8,0)</f>
        <v>4.417254901960785</v>
      </c>
      <c r="S401" s="62">
        <v>5.2</v>
      </c>
      <c r="T401" s="133">
        <f>IF(P401=模板计算相关数据!$AB$24,VLOOKUP(X401,模板计算相关数据!$P$47:$T$50,5,0),VLOOKUP(X401,模板计算相关数据!$P$4:$U$7,6,0))*VLOOKUP(Y401,模板计算相关数据!$P$22:$X$30,9,0)</f>
        <v>5.4285280003474252</v>
      </c>
      <c r="U401" s="98">
        <v>35</v>
      </c>
      <c r="V401" s="95">
        <f t="shared" si="52"/>
        <v>33</v>
      </c>
      <c r="W401" s="29">
        <f>VLOOKUP(U401,模板计算相关数据!A:N,2,0)</f>
        <v>30</v>
      </c>
      <c r="X401" s="3" t="s">
        <v>151</v>
      </c>
      <c r="Y401" s="3" t="s">
        <v>152</v>
      </c>
      <c r="Z401" s="99">
        <v>1</v>
      </c>
      <c r="AA401" s="95">
        <v>1</v>
      </c>
      <c r="AB401" s="95">
        <v>1</v>
      </c>
      <c r="AC401" s="95">
        <v>1</v>
      </c>
      <c r="AD401" s="95">
        <v>0</v>
      </c>
      <c r="AE401" s="95">
        <v>0</v>
      </c>
      <c r="AF401" s="95">
        <v>0</v>
      </c>
      <c r="AG401" s="95">
        <v>0</v>
      </c>
      <c r="AH401" s="95">
        <v>0</v>
      </c>
      <c r="AI401" s="95">
        <v>0</v>
      </c>
      <c r="AJ401" s="3">
        <f>INT(VLOOKUP(U401,模板计算相关数据!A:N,4,0)*VLOOKUP(U401,模板计算相关数据!A:N,14,0)*(1+MAX(0,(VLOOKUP(U401,模板计算相关数据!A:N,7,0)-AQ401))*VLOOKUP(U401,模板计算相关数据!A:N,8,0))*(1-(AL401+AM401)*0.5/((AL401+AM401)*0.5+(VLOOKUP(U401,模板计算相关数据!A:N,2,0)+模板计算相关数据!$AC$27)*模板计算相关数据!$AC$28))*Q401*Z401)</f>
        <v>3254</v>
      </c>
      <c r="AK401" s="3">
        <f>INT(VLOOKUP(U401,模板计算相关数据!A:N,3,0)/模板计算相关数据!$W$35/(1+MAX(0,(AO401/10000-VLOOKUP(U401,模板计算相关数据!A:N,9,0)))*AP401/10000)/(1-VLOOKUP(U401,模板计算相关数据!A:N,5,0)/(VLOOKUP(U401,模板计算相关数据!A:N,5,0)+(VLOOKUP(U401,模板计算相关数据!A:N,2,0)+模板计算相关数据!$AC$27)*模板计算相关数据!$AC$28))/S401*AA401)</f>
        <v>1269</v>
      </c>
      <c r="AL401" s="3">
        <f>INT(VLOOKUP(U401,模板计算相关数据!A:N,5,0)*VLOOKUP(X401,模板计算相关数据!$P$4:$T$7,4,0)*VLOOKUP(Y401,模板计算相关数据!$P$22:$U$30,4,0)*AB401)</f>
        <v>2407</v>
      </c>
      <c r="AM401" s="3">
        <f>INT(VLOOKUP(U401,模板计算相关数据!A:N,6,0)*VLOOKUP(X401,模板计算相关数据!$P$4:$T$7,4,0)*VLOOKUP(Y401,模板计算相关数据!$P$22:$U$30,5,0)*AC401)</f>
        <v>1426</v>
      </c>
      <c r="AN401" s="3">
        <f>VLOOKUP(U401,模板计算相关数据!A:N,10,0)*0.5*VLOOKUP(Y401,模板计算相关数据!$P$22:$U$30,6,0)+AD401</f>
        <v>250</v>
      </c>
      <c r="AO401" s="3">
        <f>VLOOKUP(INT(VLOOKUP(U401,模板计算相关数据!A:N,2,0)/30)+1,模板计算相关数据!$O$35:$U$40,3,0)+AE401</f>
        <v>0</v>
      </c>
      <c r="AP401" s="3">
        <f>VLOOKUP(INT(VLOOKUP(U401,模板计算相关数据!A:N,2,0)/30)+1,模板计算相关数据!$O$35:$U$40,4,0)+AF401</f>
        <v>5000</v>
      </c>
      <c r="AQ401" s="3">
        <f>VLOOKUP(INT(VLOOKUP(U401,模板计算相关数据!A:N,2,0)/30)+1,模板计算相关数据!$O$35:$U$40,5,0)+AG401</f>
        <v>0</v>
      </c>
      <c r="AR401" s="3">
        <f>VLOOKUP(INT(VLOOKUP(U401,模板计算相关数据!A:N,2,0)/30)+1,模板计算相关数据!$O$35:$U$40,6,0)+AH401</f>
        <v>0</v>
      </c>
      <c r="AS401" s="3">
        <f>VLOOKUP(INT(VLOOKUP(U401,模板计算相关数据!A:N,2,0)/30)+1,模板计算相关数据!$O$35:$U$40,7,0)+AI401</f>
        <v>0</v>
      </c>
      <c r="AT401" s="3">
        <f>VLOOKUP(INT(VLOOKUP(U401,模板计算相关数据!A:N,2,0)/30)+1,模板计算相关数据!$O$35:$V$40,8,0)</f>
        <v>0</v>
      </c>
      <c r="AU401" s="2"/>
    </row>
    <row r="402" spans="1:47" x14ac:dyDescent="0.2">
      <c r="A402" s="3">
        <v>304111</v>
      </c>
      <c r="B402" s="3"/>
      <c r="C402" s="69" t="s">
        <v>1732</v>
      </c>
      <c r="D402" s="69" t="s">
        <v>1065</v>
      </c>
      <c r="E402" s="2"/>
      <c r="F402" s="3">
        <v>3</v>
      </c>
      <c r="G402" s="3">
        <v>1001301</v>
      </c>
      <c r="H402" s="3">
        <v>1</v>
      </c>
      <c r="I402" s="3">
        <v>4</v>
      </c>
      <c r="J402" s="3">
        <v>3</v>
      </c>
      <c r="K402" s="3"/>
      <c r="L402" s="2" t="s">
        <v>269</v>
      </c>
      <c r="M402" s="2"/>
      <c r="N402" s="2">
        <v>1</v>
      </c>
      <c r="O402" s="2"/>
      <c r="P402" s="3" t="s">
        <v>1615</v>
      </c>
      <c r="Q402" s="95">
        <f t="shared" si="51"/>
        <v>4.417254901960785</v>
      </c>
      <c r="R402" s="133">
        <f>IF(P402=模板计算相关数据!$AB$24,VLOOKUP(X402,模板计算相关数据!$P$47:$T$50,2,0),VLOOKUP(X402,模板计算相关数据!$P$4:$U$7,3,0))*VLOOKUP(Y402,模板计算相关数据!$P$22:$X$30,8,0)</f>
        <v>4.417254901960785</v>
      </c>
      <c r="S402" s="62">
        <v>5</v>
      </c>
      <c r="T402" s="133">
        <f>IF(P402=模板计算相关数据!$AB$24,VLOOKUP(X402,模板计算相关数据!$P$47:$T$50,5,0),VLOOKUP(X402,模板计算相关数据!$P$4:$U$7,6,0))*VLOOKUP(Y402,模板计算相关数据!$P$22:$X$30,9,0)</f>
        <v>5.4285280003474252</v>
      </c>
      <c r="U402" s="98">
        <v>36</v>
      </c>
      <c r="V402" s="95">
        <f t="shared" si="52"/>
        <v>48</v>
      </c>
      <c r="W402" s="29">
        <f>VLOOKUP(U402,模板计算相关数据!A:N,2,0)</f>
        <v>45</v>
      </c>
      <c r="X402" s="3" t="s">
        <v>151</v>
      </c>
      <c r="Y402" s="3" t="s">
        <v>152</v>
      </c>
      <c r="Z402" s="99">
        <v>1</v>
      </c>
      <c r="AA402" s="95">
        <v>1</v>
      </c>
      <c r="AB402" s="95">
        <v>1</v>
      </c>
      <c r="AC402" s="95">
        <v>1</v>
      </c>
      <c r="AD402" s="95">
        <v>0</v>
      </c>
      <c r="AE402" s="95">
        <v>0</v>
      </c>
      <c r="AF402" s="95">
        <v>0</v>
      </c>
      <c r="AG402" s="95">
        <v>0</v>
      </c>
      <c r="AH402" s="95">
        <v>0</v>
      </c>
      <c r="AI402" s="95">
        <v>0</v>
      </c>
      <c r="AJ402" s="3">
        <f>INT(VLOOKUP(U402,模板计算相关数据!A:N,4,0)*VLOOKUP(U402,模板计算相关数据!A:N,14,0)*(1+MAX(0,(VLOOKUP(U402,模板计算相关数据!A:N,7,0)-AQ402))*VLOOKUP(U402,模板计算相关数据!A:N,8,0))*(1-(AL402+AM402)*0.5/((AL402+AM402)*0.5+(VLOOKUP(U402,模板计算相关数据!A:N,2,0)+模板计算相关数据!$AC$27)*模板计算相关数据!$AC$28))*Q402*Z402)</f>
        <v>5167</v>
      </c>
      <c r="AK402" s="3">
        <f>INT(VLOOKUP(U402,模板计算相关数据!A:N,3,0)/模板计算相关数据!$W$35/(1+MAX(0,(AO402/10000-VLOOKUP(U402,模板计算相关数据!A:N,9,0)))*AP402/10000)/(1-VLOOKUP(U402,模板计算相关数据!A:N,5,0)/(VLOOKUP(U402,模板计算相关数据!A:N,5,0)+(VLOOKUP(U402,模板计算相关数据!A:N,2,0)+模板计算相关数据!$AC$27)*模板计算相关数据!$AC$28))/S402*AA402)</f>
        <v>2114</v>
      </c>
      <c r="AL402" s="3">
        <f>INT(VLOOKUP(U402,模板计算相关数据!A:N,5,0)*VLOOKUP(X402,模板计算相关数据!$P$4:$T$7,4,0)*VLOOKUP(Y402,模板计算相关数据!$P$22:$U$30,4,0)*AB402)</f>
        <v>3790</v>
      </c>
      <c r="AM402" s="3">
        <f>INT(VLOOKUP(U402,模板计算相关数据!A:N,6,0)*VLOOKUP(X402,模板计算相关数据!$P$4:$T$7,4,0)*VLOOKUP(Y402,模板计算相关数据!$P$22:$U$30,5,0)*AC402)</f>
        <v>2241</v>
      </c>
      <c r="AN402" s="3">
        <f>VLOOKUP(U402,模板计算相关数据!A:N,10,0)*0.5*VLOOKUP(Y402,模板计算相关数据!$P$22:$U$30,6,0)+AD402</f>
        <v>250</v>
      </c>
      <c r="AO402" s="3">
        <f>VLOOKUP(INT(VLOOKUP(U402,模板计算相关数据!A:N,2,0)/30)+1,模板计算相关数据!$O$35:$U$40,3,0)+AE402</f>
        <v>0</v>
      </c>
      <c r="AP402" s="3">
        <f>VLOOKUP(INT(VLOOKUP(U402,模板计算相关数据!A:N,2,0)/30)+1,模板计算相关数据!$O$35:$U$40,4,0)+AF402</f>
        <v>5000</v>
      </c>
      <c r="AQ402" s="3">
        <f>VLOOKUP(INT(VLOOKUP(U402,模板计算相关数据!A:N,2,0)/30)+1,模板计算相关数据!$O$35:$U$40,5,0)+AG402</f>
        <v>0</v>
      </c>
      <c r="AR402" s="3">
        <f>VLOOKUP(INT(VLOOKUP(U402,模板计算相关数据!A:N,2,0)/30)+1,模板计算相关数据!$O$35:$U$40,6,0)+AH402</f>
        <v>0</v>
      </c>
      <c r="AS402" s="3">
        <f>VLOOKUP(INT(VLOOKUP(U402,模板计算相关数据!A:N,2,0)/30)+1,模板计算相关数据!$O$35:$U$40,7,0)+AI402</f>
        <v>0</v>
      </c>
      <c r="AT402" s="3">
        <f>VLOOKUP(INT(VLOOKUP(U402,模板计算相关数据!A:N,2,0)/30)+1,模板计算相关数据!$O$35:$V$40,8,0)</f>
        <v>0</v>
      </c>
      <c r="AU402" s="2"/>
    </row>
    <row r="403" spans="1:47" x14ac:dyDescent="0.2">
      <c r="A403" s="3">
        <v>304112</v>
      </c>
      <c r="B403" s="3"/>
      <c r="C403" s="69" t="s">
        <v>1732</v>
      </c>
      <c r="D403" s="69" t="s">
        <v>1066</v>
      </c>
      <c r="E403" s="2"/>
      <c r="F403" s="3">
        <v>3</v>
      </c>
      <c r="G403" s="3">
        <v>1001301</v>
      </c>
      <c r="H403" s="3">
        <v>1</v>
      </c>
      <c r="I403" s="3">
        <v>4</v>
      </c>
      <c r="J403" s="3">
        <v>3</v>
      </c>
      <c r="K403" s="3"/>
      <c r="L403" s="2" t="s">
        <v>270</v>
      </c>
      <c r="M403" s="2"/>
      <c r="N403" s="2">
        <v>1</v>
      </c>
      <c r="O403" s="2"/>
      <c r="P403" s="3" t="s">
        <v>1615</v>
      </c>
      <c r="Q403" s="95">
        <f t="shared" si="51"/>
        <v>4.417254901960785</v>
      </c>
      <c r="R403" s="133">
        <f>IF(P403=模板计算相关数据!$AB$24,VLOOKUP(X403,模板计算相关数据!$P$47:$T$50,2,0),VLOOKUP(X403,模板计算相关数据!$P$4:$U$7,3,0))*VLOOKUP(Y403,模板计算相关数据!$P$22:$X$30,8,0)</f>
        <v>4.417254901960785</v>
      </c>
      <c r="S403" s="62">
        <v>4.8</v>
      </c>
      <c r="T403" s="133">
        <f>IF(P403=模板计算相关数据!$AB$24,VLOOKUP(X403,模板计算相关数据!$P$47:$T$50,5,0),VLOOKUP(X403,模板计算相关数据!$P$4:$U$7,6,0))*VLOOKUP(Y403,模板计算相关数据!$P$22:$X$30,9,0)</f>
        <v>5.4285280003474252</v>
      </c>
      <c r="U403" s="98">
        <v>36</v>
      </c>
      <c r="V403" s="95">
        <f t="shared" si="52"/>
        <v>48</v>
      </c>
      <c r="W403" s="29">
        <f>VLOOKUP(U403,模板计算相关数据!A:N,2,0)</f>
        <v>45</v>
      </c>
      <c r="X403" s="3" t="s">
        <v>151</v>
      </c>
      <c r="Y403" s="3" t="s">
        <v>152</v>
      </c>
      <c r="Z403" s="99">
        <v>1</v>
      </c>
      <c r="AA403" s="95">
        <v>1</v>
      </c>
      <c r="AB403" s="95">
        <v>1</v>
      </c>
      <c r="AC403" s="95">
        <v>1</v>
      </c>
      <c r="AD403" s="95">
        <v>0</v>
      </c>
      <c r="AE403" s="95">
        <v>0</v>
      </c>
      <c r="AF403" s="95">
        <v>0</v>
      </c>
      <c r="AG403" s="95">
        <v>0</v>
      </c>
      <c r="AH403" s="95">
        <v>0</v>
      </c>
      <c r="AI403" s="95">
        <v>0</v>
      </c>
      <c r="AJ403" s="3">
        <f>INT(VLOOKUP(U403,模板计算相关数据!A:N,4,0)*VLOOKUP(U403,模板计算相关数据!A:N,14,0)*(1+MAX(0,(VLOOKUP(U403,模板计算相关数据!A:N,7,0)-AQ403))*VLOOKUP(U403,模板计算相关数据!A:N,8,0))*(1-(AL403+AM403)*0.5/((AL403+AM403)*0.5+(VLOOKUP(U403,模板计算相关数据!A:N,2,0)+模板计算相关数据!$AC$27)*模板计算相关数据!$AC$28))*Q403*Z403)</f>
        <v>5167</v>
      </c>
      <c r="AK403" s="3">
        <f>INT(VLOOKUP(U403,模板计算相关数据!A:N,3,0)/模板计算相关数据!$W$35/(1+MAX(0,(AO403/10000-VLOOKUP(U403,模板计算相关数据!A:N,9,0)))*AP403/10000)/(1-VLOOKUP(U403,模板计算相关数据!A:N,5,0)/(VLOOKUP(U403,模板计算相关数据!A:N,5,0)+(VLOOKUP(U403,模板计算相关数据!A:N,2,0)+模板计算相关数据!$AC$27)*模板计算相关数据!$AC$28))/S403*AA403)</f>
        <v>2203</v>
      </c>
      <c r="AL403" s="3">
        <f>INT(VLOOKUP(U403,模板计算相关数据!A:N,5,0)*VLOOKUP(X403,模板计算相关数据!$P$4:$T$7,4,0)*VLOOKUP(Y403,模板计算相关数据!$P$22:$U$30,4,0)*AB403)</f>
        <v>3790</v>
      </c>
      <c r="AM403" s="3">
        <f>INT(VLOOKUP(U403,模板计算相关数据!A:N,6,0)*VLOOKUP(X403,模板计算相关数据!$P$4:$T$7,4,0)*VLOOKUP(Y403,模板计算相关数据!$P$22:$U$30,5,0)*AC403)</f>
        <v>2241</v>
      </c>
      <c r="AN403" s="3">
        <f>VLOOKUP(U403,模板计算相关数据!A:N,10,0)*0.5*VLOOKUP(Y403,模板计算相关数据!$P$22:$U$30,6,0)+AD403</f>
        <v>250</v>
      </c>
      <c r="AO403" s="3">
        <f>VLOOKUP(INT(VLOOKUP(U403,模板计算相关数据!A:N,2,0)/30)+1,模板计算相关数据!$O$35:$U$40,3,0)+AE403</f>
        <v>0</v>
      </c>
      <c r="AP403" s="3">
        <f>VLOOKUP(INT(VLOOKUP(U403,模板计算相关数据!A:N,2,0)/30)+1,模板计算相关数据!$O$35:$U$40,4,0)+AF403</f>
        <v>5000</v>
      </c>
      <c r="AQ403" s="3">
        <f>VLOOKUP(INT(VLOOKUP(U403,模板计算相关数据!A:N,2,0)/30)+1,模板计算相关数据!$O$35:$U$40,5,0)+AG403</f>
        <v>0</v>
      </c>
      <c r="AR403" s="3">
        <f>VLOOKUP(INT(VLOOKUP(U403,模板计算相关数据!A:N,2,0)/30)+1,模板计算相关数据!$O$35:$U$40,6,0)+AH403</f>
        <v>0</v>
      </c>
      <c r="AS403" s="3">
        <f>VLOOKUP(INT(VLOOKUP(U403,模板计算相关数据!A:N,2,0)/30)+1,模板计算相关数据!$O$35:$U$40,7,0)+AI403</f>
        <v>0</v>
      </c>
      <c r="AT403" s="3">
        <f>VLOOKUP(INT(VLOOKUP(U403,模板计算相关数据!A:N,2,0)/30)+1,模板计算相关数据!$O$35:$V$40,8,0)</f>
        <v>0</v>
      </c>
      <c r="AU403" s="2"/>
    </row>
    <row r="404" spans="1:47" x14ac:dyDescent="0.2">
      <c r="A404" s="3">
        <v>304113</v>
      </c>
      <c r="B404" s="3"/>
      <c r="C404" s="69" t="s">
        <v>1728</v>
      </c>
      <c r="D404" s="69" t="s">
        <v>1069</v>
      </c>
      <c r="E404" s="2"/>
      <c r="F404" s="3">
        <v>3</v>
      </c>
      <c r="G404" s="3">
        <v>1002901</v>
      </c>
      <c r="H404" s="3">
        <v>3</v>
      </c>
      <c r="I404" s="3">
        <v>4</v>
      </c>
      <c r="J404" s="3">
        <v>3</v>
      </c>
      <c r="K404" s="3"/>
      <c r="L404" s="69" t="s">
        <v>959</v>
      </c>
      <c r="M404" s="2"/>
      <c r="N404" s="2">
        <v>1</v>
      </c>
      <c r="O404" s="2"/>
      <c r="P404" s="3" t="s">
        <v>1615</v>
      </c>
      <c r="Q404" s="95">
        <v>6.5</v>
      </c>
      <c r="R404" s="133">
        <f>IF(P404=模板计算相关数据!$AB$24,VLOOKUP(X404,模板计算相关数据!$P$47:$T$50,2,0),VLOOKUP(X404,模板计算相关数据!$P$4:$U$7,3,0))*VLOOKUP(Y404,模板计算相关数据!$P$22:$X$30,8,0)</f>
        <v>5.6000000000000014</v>
      </c>
      <c r="S404" s="62">
        <f t="shared" si="53"/>
        <v>6.6693344004268367</v>
      </c>
      <c r="T404" s="133">
        <f>IF(P404=模板计算相关数据!$AB$24,VLOOKUP(X404,模板计算相关数据!$P$47:$T$50,5,0),VLOOKUP(X404,模板计算相关数据!$P$4:$U$7,6,0))*VLOOKUP(Y404,模板计算相关数据!$P$22:$X$30,9,0)</f>
        <v>6.6693344004268367</v>
      </c>
      <c r="U404" s="98">
        <v>36</v>
      </c>
      <c r="V404" s="95">
        <f t="shared" si="52"/>
        <v>48</v>
      </c>
      <c r="W404" s="29">
        <f>VLOOKUP(U404,模板计算相关数据!A:N,2,0)</f>
        <v>45</v>
      </c>
      <c r="X404" s="3" t="s">
        <v>151</v>
      </c>
      <c r="Y404" s="3" t="s">
        <v>255</v>
      </c>
      <c r="Z404" s="99">
        <v>1</v>
      </c>
      <c r="AA404" s="95">
        <v>1</v>
      </c>
      <c r="AB404" s="95">
        <v>1</v>
      </c>
      <c r="AC404" s="95">
        <v>1</v>
      </c>
      <c r="AD404" s="95">
        <v>0</v>
      </c>
      <c r="AE404" s="95">
        <v>0</v>
      </c>
      <c r="AF404" s="95">
        <v>0</v>
      </c>
      <c r="AG404" s="95">
        <v>0</v>
      </c>
      <c r="AH404" s="95">
        <v>0</v>
      </c>
      <c r="AI404" s="95">
        <v>0</v>
      </c>
      <c r="AJ404" s="3">
        <f>INT(VLOOKUP(U404,模板计算相关数据!A:N,4,0)*VLOOKUP(U404,模板计算相关数据!A:N,14,0)*(1+MAX(0,(VLOOKUP(U404,模板计算相关数据!A:N,7,0)-AQ404))*VLOOKUP(U404,模板计算相关数据!A:N,8,0))*(1-(AL404+AM404)*0.5/((AL404+AM404)*0.5+(VLOOKUP(U404,模板计算相关数据!A:N,2,0)+模板计算相关数据!$AC$27)*模板计算相关数据!$AC$28))*Q404*Z404)</f>
        <v>7150</v>
      </c>
      <c r="AK404" s="3">
        <f>INT(VLOOKUP(U404,模板计算相关数据!A:N,3,0)/模板计算相关数据!$W$35/(1+MAX(0,(AO404/10000-VLOOKUP(U404,模板计算相关数据!A:N,9,0)))*AP404/10000)/(1-VLOOKUP(U404,模板计算相关数据!A:N,5,0)/(VLOOKUP(U404,模板计算相关数据!A:N,5,0)+(VLOOKUP(U404,模板计算相关数据!A:N,2,0)+模板计算相关数据!$AC$27)*模板计算相关数据!$AC$28))/S404*AA404)</f>
        <v>1585</v>
      </c>
      <c r="AL404" s="3">
        <f>INT(VLOOKUP(U404,模板计算相关数据!A:N,5,0)*VLOOKUP(X404,模板计算相关数据!$P$4:$T$7,4,0)*VLOOKUP(Y404,模板计算相关数据!$P$22:$U$30,4,0)*AB404)</f>
        <v>2456</v>
      </c>
      <c r="AM404" s="3">
        <f>INT(VLOOKUP(U404,模板计算相关数据!A:N,6,0)*VLOOKUP(X404,模板计算相关数据!$P$4:$T$7,4,0)*VLOOKUP(Y404,模板计算相关数据!$P$22:$U$30,5,0)*AC404)</f>
        <v>4552</v>
      </c>
      <c r="AN404" s="3">
        <f>VLOOKUP(U404,模板计算相关数据!A:N,10,0)*0.5*VLOOKUP(Y404,模板计算相关数据!$P$22:$U$30,6,0)+AD404</f>
        <v>225</v>
      </c>
      <c r="AO404" s="3">
        <f>VLOOKUP(INT(VLOOKUP(U404,模板计算相关数据!A:N,2,0)/30)+1,模板计算相关数据!$O$35:$U$40,3,0)+AE404</f>
        <v>0</v>
      </c>
      <c r="AP404" s="3">
        <f>VLOOKUP(INT(VLOOKUP(U404,模板计算相关数据!A:N,2,0)/30)+1,模板计算相关数据!$O$35:$U$40,4,0)+AF404</f>
        <v>5000</v>
      </c>
      <c r="AQ404" s="3">
        <f>VLOOKUP(INT(VLOOKUP(U404,模板计算相关数据!A:N,2,0)/30)+1,模板计算相关数据!$O$35:$U$40,5,0)+AG404</f>
        <v>0</v>
      </c>
      <c r="AR404" s="3">
        <f>VLOOKUP(INT(VLOOKUP(U404,模板计算相关数据!A:N,2,0)/30)+1,模板计算相关数据!$O$35:$U$40,6,0)+AH404</f>
        <v>0</v>
      </c>
      <c r="AS404" s="3">
        <f>VLOOKUP(INT(VLOOKUP(U404,模板计算相关数据!A:N,2,0)/30)+1,模板计算相关数据!$O$35:$U$40,7,0)+AI404</f>
        <v>0</v>
      </c>
      <c r="AT404" s="3">
        <f>VLOOKUP(INT(VLOOKUP(U404,模板计算相关数据!A:N,2,0)/30)+1,模板计算相关数据!$O$35:$V$40,8,0)</f>
        <v>0</v>
      </c>
      <c r="AU404" s="2"/>
    </row>
    <row r="405" spans="1:47" x14ac:dyDescent="0.2">
      <c r="A405" s="3">
        <v>304114</v>
      </c>
      <c r="B405" s="3"/>
      <c r="C405" s="69" t="s">
        <v>1730</v>
      </c>
      <c r="D405" s="69" t="s">
        <v>1069</v>
      </c>
      <c r="E405" s="2"/>
      <c r="F405" s="3">
        <v>3</v>
      </c>
      <c r="G405" s="3">
        <v>1003101</v>
      </c>
      <c r="H405" s="3">
        <v>5</v>
      </c>
      <c r="I405" s="3">
        <v>4</v>
      </c>
      <c r="J405" s="3">
        <v>3</v>
      </c>
      <c r="K405" s="3"/>
      <c r="L405" s="69" t="s">
        <v>960</v>
      </c>
      <c r="M405" s="2"/>
      <c r="N405" s="2">
        <v>1</v>
      </c>
      <c r="O405" s="2"/>
      <c r="P405" s="3" t="s">
        <v>1615</v>
      </c>
      <c r="Q405" s="95">
        <v>6.8</v>
      </c>
      <c r="R405" s="133">
        <f>IF(P405=模板计算相关数据!$AB$24,VLOOKUP(X405,模板计算相关数据!$P$47:$T$50,2,0),VLOOKUP(X405,模板计算相关数据!$P$4:$U$7,3,0))*VLOOKUP(Y405,模板计算相关数据!$P$22:$X$30,8,0)</f>
        <v>5.7709803921568623</v>
      </c>
      <c r="S405" s="62">
        <f t="shared" si="53"/>
        <v>6.4077918749198997</v>
      </c>
      <c r="T405" s="133">
        <f>IF(P405=模板计算相关数据!$AB$24,VLOOKUP(X405,模板计算相关数据!$P$47:$T$50,5,0),VLOOKUP(X405,模板计算相关数据!$P$4:$U$7,6,0))*VLOOKUP(Y405,模板计算相关数据!$P$22:$X$30,9,0)</f>
        <v>6.4077918749198997</v>
      </c>
      <c r="U405" s="98">
        <v>36</v>
      </c>
      <c r="V405" s="95">
        <f t="shared" si="52"/>
        <v>48</v>
      </c>
      <c r="W405" s="29">
        <f>VLOOKUP(U405,模板计算相关数据!A:N,2,0)</f>
        <v>45</v>
      </c>
      <c r="X405" s="3" t="s">
        <v>151</v>
      </c>
      <c r="Y405" s="3" t="s">
        <v>159</v>
      </c>
      <c r="Z405" s="99">
        <v>1</v>
      </c>
      <c r="AA405" s="95">
        <v>1</v>
      </c>
      <c r="AB405" s="95">
        <v>1</v>
      </c>
      <c r="AC405" s="95">
        <v>1</v>
      </c>
      <c r="AD405" s="95">
        <v>0</v>
      </c>
      <c r="AE405" s="95">
        <v>0</v>
      </c>
      <c r="AF405" s="95">
        <v>0</v>
      </c>
      <c r="AG405" s="95">
        <v>0</v>
      </c>
      <c r="AH405" s="95">
        <v>0</v>
      </c>
      <c r="AI405" s="95">
        <v>0</v>
      </c>
      <c r="AJ405" s="3">
        <f>INT(VLOOKUP(U405,模板计算相关数据!A:N,4,0)*VLOOKUP(U405,模板计算相关数据!A:N,14,0)*(1+MAX(0,(VLOOKUP(U405,模板计算相关数据!A:N,7,0)-AQ405))*VLOOKUP(U405,模板计算相关数据!A:N,8,0))*(1-(AL405+AM405)*0.5/((AL405+AM405)*0.5+(VLOOKUP(U405,模板计算相关数据!A:N,2,0)+模板计算相关数据!$AC$27)*模板计算相关数据!$AC$28))*Q405*Z405)</f>
        <v>7608</v>
      </c>
      <c r="AK405" s="3">
        <f>INT(VLOOKUP(U405,模板计算相关数据!A:N,3,0)/模板计算相关数据!$W$35/(1+MAX(0,(AO405/10000-VLOOKUP(U405,模板计算相关数据!A:N,9,0)))*AP405/10000)/(1-VLOOKUP(U405,模板计算相关数据!A:N,5,0)/(VLOOKUP(U405,模板计算相关数据!A:N,5,0)+(VLOOKUP(U405,模板计算相关数据!A:N,2,0)+模板计算相关数据!$AC$27)*模板计算相关数据!$AC$28))/S405*AA405)</f>
        <v>1650</v>
      </c>
      <c r="AL405" s="3">
        <f>INT(VLOOKUP(U405,模板计算相关数据!A:N,5,0)*VLOOKUP(X405,模板计算相关数据!$P$4:$T$7,4,0)*VLOOKUP(Y405,模板计算相关数据!$P$22:$U$30,4,0)*AB405)</f>
        <v>4351</v>
      </c>
      <c r="AM405" s="3">
        <f>INT(VLOOKUP(U405,模板计算相关数据!A:N,6,0)*VLOOKUP(X405,模板计算相关数据!$P$4:$T$7,4,0)*VLOOKUP(Y405,模板计算相关数据!$P$22:$U$30,5,0)*AC405)</f>
        <v>2381</v>
      </c>
      <c r="AN405" s="3">
        <f>VLOOKUP(U405,模板计算相关数据!A:N,10,0)*0.5*VLOOKUP(Y405,模板计算相关数据!$P$22:$U$30,6,0)+AD405</f>
        <v>275</v>
      </c>
      <c r="AO405" s="3">
        <f>VLOOKUP(INT(VLOOKUP(U405,模板计算相关数据!A:N,2,0)/30)+1,模板计算相关数据!$O$35:$U$40,3,0)+AE405</f>
        <v>0</v>
      </c>
      <c r="AP405" s="3">
        <f>VLOOKUP(INT(VLOOKUP(U405,模板计算相关数据!A:N,2,0)/30)+1,模板计算相关数据!$O$35:$U$40,4,0)+AF405</f>
        <v>5000</v>
      </c>
      <c r="AQ405" s="3">
        <f>VLOOKUP(INT(VLOOKUP(U405,模板计算相关数据!A:N,2,0)/30)+1,模板计算相关数据!$O$35:$U$40,5,0)+AG405</f>
        <v>0</v>
      </c>
      <c r="AR405" s="3">
        <f>VLOOKUP(INT(VLOOKUP(U405,模板计算相关数据!A:N,2,0)/30)+1,模板计算相关数据!$O$35:$U$40,6,0)+AH405</f>
        <v>0</v>
      </c>
      <c r="AS405" s="3">
        <f>VLOOKUP(INT(VLOOKUP(U405,模板计算相关数据!A:N,2,0)/30)+1,模板计算相关数据!$O$35:$U$40,7,0)+AI405</f>
        <v>0</v>
      </c>
      <c r="AT405" s="3">
        <f>VLOOKUP(INT(VLOOKUP(U405,模板计算相关数据!A:N,2,0)/30)+1,模板计算相关数据!$O$35:$V$40,8,0)</f>
        <v>0</v>
      </c>
      <c r="AU405" s="2"/>
    </row>
    <row r="406" spans="1:47" x14ac:dyDescent="0.2">
      <c r="A406" s="3">
        <v>304115</v>
      </c>
      <c r="B406" s="3"/>
      <c r="C406" s="69" t="s">
        <v>1732</v>
      </c>
      <c r="D406" s="69" t="s">
        <v>1069</v>
      </c>
      <c r="E406" s="2"/>
      <c r="F406" s="3">
        <v>3</v>
      </c>
      <c r="G406" s="3">
        <v>1001301</v>
      </c>
      <c r="H406" s="3">
        <v>1</v>
      </c>
      <c r="I406" s="3">
        <v>4</v>
      </c>
      <c r="J406" s="3">
        <v>3</v>
      </c>
      <c r="K406" s="3"/>
      <c r="L406" s="69" t="s">
        <v>961</v>
      </c>
      <c r="M406" s="2"/>
      <c r="N406" s="2">
        <v>1</v>
      </c>
      <c r="O406" s="2"/>
      <c r="P406" s="3" t="s">
        <v>1615</v>
      </c>
      <c r="Q406" s="95">
        <f t="shared" si="51"/>
        <v>4.417254901960785</v>
      </c>
      <c r="R406" s="133">
        <f>IF(P406=模板计算相关数据!$AB$24,VLOOKUP(X406,模板计算相关数据!$P$47:$T$50,2,0),VLOOKUP(X406,模板计算相关数据!$P$4:$U$7,3,0))*VLOOKUP(Y406,模板计算相关数据!$P$22:$X$30,8,0)</f>
        <v>4.417254901960785</v>
      </c>
      <c r="S406" s="62">
        <v>4.5</v>
      </c>
      <c r="T406" s="133">
        <f>IF(P406=模板计算相关数据!$AB$24,VLOOKUP(X406,模板计算相关数据!$P$47:$T$50,5,0),VLOOKUP(X406,模板计算相关数据!$P$4:$U$7,6,0))*VLOOKUP(Y406,模板计算相关数据!$P$22:$X$30,9,0)</f>
        <v>5.4285280003474252</v>
      </c>
      <c r="U406" s="98">
        <v>36</v>
      </c>
      <c r="V406" s="95">
        <f t="shared" si="52"/>
        <v>48</v>
      </c>
      <c r="W406" s="29">
        <f>VLOOKUP(U406,模板计算相关数据!A:N,2,0)</f>
        <v>45</v>
      </c>
      <c r="X406" s="3" t="s">
        <v>151</v>
      </c>
      <c r="Y406" s="3" t="s">
        <v>152</v>
      </c>
      <c r="Z406" s="99">
        <v>1</v>
      </c>
      <c r="AA406" s="95">
        <v>1</v>
      </c>
      <c r="AB406" s="95">
        <v>1</v>
      </c>
      <c r="AC406" s="95">
        <v>1</v>
      </c>
      <c r="AD406" s="95">
        <v>0</v>
      </c>
      <c r="AE406" s="95">
        <v>0</v>
      </c>
      <c r="AF406" s="95">
        <v>0</v>
      </c>
      <c r="AG406" s="95">
        <v>0</v>
      </c>
      <c r="AH406" s="95">
        <v>0</v>
      </c>
      <c r="AI406" s="95">
        <v>0</v>
      </c>
      <c r="AJ406" s="3">
        <f>INT(VLOOKUP(U406,模板计算相关数据!A:N,4,0)*VLOOKUP(U406,模板计算相关数据!A:N,14,0)*(1+MAX(0,(VLOOKUP(U406,模板计算相关数据!A:N,7,0)-AQ406))*VLOOKUP(U406,模板计算相关数据!A:N,8,0))*(1-(AL406+AM406)*0.5/((AL406+AM406)*0.5+(VLOOKUP(U406,模板计算相关数据!A:N,2,0)+模板计算相关数据!$AC$27)*模板计算相关数据!$AC$28))*Q406*Z406)</f>
        <v>5167</v>
      </c>
      <c r="AK406" s="3">
        <f>INT(VLOOKUP(U406,模板计算相关数据!A:N,3,0)/模板计算相关数据!$W$35/(1+MAX(0,(AO406/10000-VLOOKUP(U406,模板计算相关数据!A:N,9,0)))*AP406/10000)/(1-VLOOKUP(U406,模板计算相关数据!A:N,5,0)/(VLOOKUP(U406,模板计算相关数据!A:N,5,0)+(VLOOKUP(U406,模板计算相关数据!A:N,2,0)+模板计算相关数据!$AC$27)*模板计算相关数据!$AC$28))/S406*AA406)</f>
        <v>2349</v>
      </c>
      <c r="AL406" s="3">
        <f>INT(VLOOKUP(U406,模板计算相关数据!A:N,5,0)*VLOOKUP(X406,模板计算相关数据!$P$4:$T$7,4,0)*VLOOKUP(Y406,模板计算相关数据!$P$22:$U$30,4,0)*AB406)</f>
        <v>3790</v>
      </c>
      <c r="AM406" s="3">
        <f>INT(VLOOKUP(U406,模板计算相关数据!A:N,6,0)*VLOOKUP(X406,模板计算相关数据!$P$4:$T$7,4,0)*VLOOKUP(Y406,模板计算相关数据!$P$22:$U$30,5,0)*AC406)</f>
        <v>2241</v>
      </c>
      <c r="AN406" s="3">
        <f>VLOOKUP(U406,模板计算相关数据!A:N,10,0)*0.5*VLOOKUP(Y406,模板计算相关数据!$P$22:$U$30,6,0)+AD406</f>
        <v>250</v>
      </c>
      <c r="AO406" s="3">
        <f>VLOOKUP(INT(VLOOKUP(U406,模板计算相关数据!A:N,2,0)/30)+1,模板计算相关数据!$O$35:$U$40,3,0)+AE406</f>
        <v>0</v>
      </c>
      <c r="AP406" s="3">
        <f>VLOOKUP(INT(VLOOKUP(U406,模板计算相关数据!A:N,2,0)/30)+1,模板计算相关数据!$O$35:$U$40,4,0)+AF406</f>
        <v>5000</v>
      </c>
      <c r="AQ406" s="3">
        <f>VLOOKUP(INT(VLOOKUP(U406,模板计算相关数据!A:N,2,0)/30)+1,模板计算相关数据!$O$35:$U$40,5,0)+AG406</f>
        <v>0</v>
      </c>
      <c r="AR406" s="3">
        <f>VLOOKUP(INT(VLOOKUP(U406,模板计算相关数据!A:N,2,0)/30)+1,模板计算相关数据!$O$35:$U$40,6,0)+AH406</f>
        <v>0</v>
      </c>
      <c r="AS406" s="3">
        <f>VLOOKUP(INT(VLOOKUP(U406,模板计算相关数据!A:N,2,0)/30)+1,模板计算相关数据!$O$35:$U$40,7,0)+AI406</f>
        <v>0</v>
      </c>
      <c r="AT406" s="3">
        <f>VLOOKUP(INT(VLOOKUP(U406,模板计算相关数据!A:N,2,0)/30)+1,模板计算相关数据!$O$35:$V$40,8,0)</f>
        <v>0</v>
      </c>
      <c r="AU406" s="2"/>
    </row>
    <row r="407" spans="1:47" s="149" customFormat="1" x14ac:dyDescent="0.2">
      <c r="A407" s="43">
        <v>304201</v>
      </c>
      <c r="B407" s="43"/>
      <c r="C407" s="25" t="s">
        <v>1733</v>
      </c>
      <c r="D407" s="25" t="s">
        <v>1070</v>
      </c>
      <c r="E407" s="17"/>
      <c r="F407" s="43">
        <v>2</v>
      </c>
      <c r="G407" s="43">
        <v>1003001</v>
      </c>
      <c r="H407" s="43">
        <v>3</v>
      </c>
      <c r="I407" s="43">
        <v>4</v>
      </c>
      <c r="J407" s="43">
        <v>3</v>
      </c>
      <c r="K407" s="43"/>
      <c r="L407" s="17" t="s">
        <v>271</v>
      </c>
      <c r="M407" s="17"/>
      <c r="N407" s="17">
        <v>1</v>
      </c>
      <c r="O407" s="17"/>
      <c r="P407" s="43" t="s">
        <v>1615</v>
      </c>
      <c r="Q407" s="147">
        <v>5.6</v>
      </c>
      <c r="R407" s="133">
        <f>IF(P407=模板计算相关数据!$AB$24,VLOOKUP(X407,模板计算相关数据!$P$47:$T$50,2,0),VLOOKUP(X407,模板计算相关数据!$P$4:$U$7,3,0))*VLOOKUP(Y407,模板计算相关数据!$P$22:$X$30,8,0)</f>
        <v>5.6000000000000014</v>
      </c>
      <c r="S407" s="42">
        <f t="shared" ref="S407:S451" si="54">T407</f>
        <v>6.6693344004268367</v>
      </c>
      <c r="T407" s="133">
        <f>IF(P407=模板计算相关数据!$AB$24,VLOOKUP(X407,模板计算相关数据!$P$47:$T$50,5,0),VLOOKUP(X407,模板计算相关数据!$P$4:$U$7,6,0))*VLOOKUP(Y407,模板计算相关数据!$P$22:$X$30,9,0)</f>
        <v>6.6693344004268367</v>
      </c>
      <c r="U407" s="150">
        <v>34</v>
      </c>
      <c r="V407" s="95">
        <f t="shared" si="52"/>
        <v>19</v>
      </c>
      <c r="W407" s="29">
        <f>VLOOKUP(U407,模板计算相关数据!A:N,2,0)</f>
        <v>16</v>
      </c>
      <c r="X407" s="43" t="s">
        <v>151</v>
      </c>
      <c r="Y407" s="43" t="s">
        <v>255</v>
      </c>
      <c r="Z407" s="148">
        <v>1</v>
      </c>
      <c r="AA407" s="147">
        <v>1</v>
      </c>
      <c r="AB407" s="147">
        <v>1</v>
      </c>
      <c r="AC407" s="147">
        <v>1</v>
      </c>
      <c r="AD407" s="147">
        <v>0</v>
      </c>
      <c r="AE407" s="147">
        <v>0</v>
      </c>
      <c r="AF407" s="147">
        <v>0</v>
      </c>
      <c r="AG407" s="147">
        <v>0</v>
      </c>
      <c r="AH407" s="147">
        <v>0</v>
      </c>
      <c r="AI407" s="147">
        <v>2500</v>
      </c>
      <c r="AJ407" s="43">
        <f>INT(VLOOKUP(U407,模板计算相关数据!A:N,4,0)*VLOOKUP(U407,模板计算相关数据!A:N,14,0)*(1+MAX(0,(VLOOKUP(U407,模板计算相关数据!A:N,7,0)-AQ407))*VLOOKUP(U407,模板计算相关数据!A:N,8,0))*(1-(AL407+AM407)*0.5/((AL407+AM407)*0.5+(VLOOKUP(U407,模板计算相关数据!A:N,2,0)+模板计算相关数据!$AC$27)*模板计算相关数据!$AC$28))*Q407*Z407)</f>
        <v>1679</v>
      </c>
      <c r="AK407" s="43">
        <f>INT(VLOOKUP(U407,模板计算相关数据!A:N,3,0)/模板计算相关数据!$W$35/(1+MAX(0,(AO407/10000-VLOOKUP(U407,模板计算相关数据!A:N,9,0)))*AP407/10000)/(1-VLOOKUP(U407,模板计算相关数据!A:N,5,0)/(VLOOKUP(U407,模板计算相关数据!A:N,5,0)+(VLOOKUP(U407,模板计算相关数据!A:N,2,0)+模板计算相关数据!$AC$27)*模板计算相关数据!$AC$28))/S407*AA407)</f>
        <v>321</v>
      </c>
      <c r="AL407" s="43">
        <f>INT(VLOOKUP(U407,模板计算相关数据!A:N,5,0)*VLOOKUP(X407,模板计算相关数据!$P$4:$T$7,4,0)*VLOOKUP(Y407,模板计算相关数据!$P$22:$U$30,4,0)*AB407)</f>
        <v>580</v>
      </c>
      <c r="AM407" s="43">
        <f>INT(VLOOKUP(U407,模板计算相关数据!A:N,6,0)*VLOOKUP(X407,模板计算相关数据!$P$4:$T$7,4,0)*VLOOKUP(Y407,模板计算相关数据!$P$22:$U$30,5,0)*AC407)</f>
        <v>1077</v>
      </c>
      <c r="AN407" s="43">
        <f>VLOOKUP(U407,模板计算相关数据!A:N,10,0)*0.5*VLOOKUP(Y407,模板计算相关数据!$P$22:$U$30,6,0)+AD407</f>
        <v>225</v>
      </c>
      <c r="AO407" s="43">
        <f>VLOOKUP(INT(VLOOKUP(U407,模板计算相关数据!A:N,2,0)/30)+1,模板计算相关数据!$O$35:$U$40,3,0)+AE407</f>
        <v>0</v>
      </c>
      <c r="AP407" s="43">
        <f>VLOOKUP(INT(VLOOKUP(U407,模板计算相关数据!A:N,2,0)/30)+1,模板计算相关数据!$O$35:$U$40,4,0)+AF407</f>
        <v>5000</v>
      </c>
      <c r="AQ407" s="43">
        <f>VLOOKUP(INT(VLOOKUP(U407,模板计算相关数据!A:N,2,0)/30)+1,模板计算相关数据!$O$35:$U$40,5,0)+AG407</f>
        <v>0</v>
      </c>
      <c r="AR407" s="43">
        <f>VLOOKUP(INT(VLOOKUP(U407,模板计算相关数据!A:N,2,0)/30)+1,模板计算相关数据!$O$35:$U$40,6,0)+AH407</f>
        <v>0</v>
      </c>
      <c r="AS407" s="43">
        <f>VLOOKUP(INT(VLOOKUP(U407,模板计算相关数据!A:N,2,0)/30)+1,模板计算相关数据!$O$35:$U$40,7,0)+AI407</f>
        <v>2500</v>
      </c>
      <c r="AT407" s="43">
        <f>VLOOKUP(INT(VLOOKUP(U407,模板计算相关数据!A:N,2,0)/30)+1,模板计算相关数据!$O$35:$V$40,8,0)</f>
        <v>0</v>
      </c>
      <c r="AU407" s="17"/>
    </row>
    <row r="408" spans="1:47" x14ac:dyDescent="0.2">
      <c r="A408" s="3">
        <v>304202</v>
      </c>
      <c r="B408" s="3"/>
      <c r="C408" s="69" t="s">
        <v>1734</v>
      </c>
      <c r="D408" s="69" t="s">
        <v>1071</v>
      </c>
      <c r="E408" s="2"/>
      <c r="F408" s="3">
        <v>2</v>
      </c>
      <c r="G408" s="3">
        <v>1003001</v>
      </c>
      <c r="H408" s="3">
        <v>3</v>
      </c>
      <c r="I408" s="3">
        <v>4</v>
      </c>
      <c r="J408" s="3">
        <v>3</v>
      </c>
      <c r="K408" s="3"/>
      <c r="L408" s="2" t="s">
        <v>272</v>
      </c>
      <c r="M408" s="2"/>
      <c r="N408" s="2">
        <v>1</v>
      </c>
      <c r="O408" s="2"/>
      <c r="P408" s="3" t="s">
        <v>1615</v>
      </c>
      <c r="Q408" s="95">
        <v>5.8</v>
      </c>
      <c r="R408" s="133">
        <f>IF(P408=模板计算相关数据!$AB$24,VLOOKUP(X408,模板计算相关数据!$P$47:$T$50,2,0),VLOOKUP(X408,模板计算相关数据!$P$4:$U$7,3,0))*VLOOKUP(Y408,模板计算相关数据!$P$22:$X$30,8,0)</f>
        <v>5.6000000000000014</v>
      </c>
      <c r="S408" s="62">
        <f t="shared" si="54"/>
        <v>6.6693344004268367</v>
      </c>
      <c r="T408" s="133">
        <f>IF(P408=模板计算相关数据!$AB$24,VLOOKUP(X408,模板计算相关数据!$P$47:$T$50,5,0),VLOOKUP(X408,模板计算相关数据!$P$4:$U$7,6,0))*VLOOKUP(Y408,模板计算相关数据!$P$22:$X$30,9,0)</f>
        <v>6.6693344004268367</v>
      </c>
      <c r="U408" s="98">
        <v>35</v>
      </c>
      <c r="V408" s="95">
        <f t="shared" si="52"/>
        <v>33</v>
      </c>
      <c r="W408" s="29">
        <f>VLOOKUP(U408,模板计算相关数据!A:N,2,0)</f>
        <v>30</v>
      </c>
      <c r="X408" s="3" t="s">
        <v>151</v>
      </c>
      <c r="Y408" s="3" t="s">
        <v>255</v>
      </c>
      <c r="Z408" s="99">
        <v>1</v>
      </c>
      <c r="AA408" s="95">
        <v>1</v>
      </c>
      <c r="AB408" s="95">
        <v>1</v>
      </c>
      <c r="AC408" s="95">
        <v>1</v>
      </c>
      <c r="AD408" s="95">
        <v>0</v>
      </c>
      <c r="AE408" s="95">
        <v>0</v>
      </c>
      <c r="AF408" s="95">
        <v>0</v>
      </c>
      <c r="AG408" s="95">
        <v>0</v>
      </c>
      <c r="AH408" s="95">
        <v>0</v>
      </c>
      <c r="AI408" s="95">
        <v>2500</v>
      </c>
      <c r="AJ408" s="3">
        <f>INT(VLOOKUP(U408,模板计算相关数据!A:N,4,0)*VLOOKUP(U408,模板计算相关数据!A:N,14,0)*(1+MAX(0,(VLOOKUP(U408,模板计算相关数据!A:N,7,0)-AQ408))*VLOOKUP(U408,模板计算相关数据!A:N,8,0))*(1-(AL408+AM408)*0.5/((AL408+AM408)*0.5+(VLOOKUP(U408,模板计算相关数据!A:N,2,0)+模板计算相关数据!$AC$27)*模板计算相关数据!$AC$28))*Q408*Z408)</f>
        <v>4029</v>
      </c>
      <c r="AK408" s="3">
        <f>INT(VLOOKUP(U408,模板计算相关数据!A:N,3,0)/模板计算相关数据!$W$35/(1+MAX(0,(AO408/10000-VLOOKUP(U408,模板计算相关数据!A:N,9,0)))*AP408/10000)/(1-VLOOKUP(U408,模板计算相关数据!A:N,5,0)/(VLOOKUP(U408,模板计算相关数据!A:N,5,0)+(VLOOKUP(U408,模板计算相关数据!A:N,2,0)+模板计算相关数据!$AC$27)*模板计算相关数据!$AC$28))/S408*AA408)</f>
        <v>989</v>
      </c>
      <c r="AL408" s="3">
        <f>INT(VLOOKUP(U408,模板计算相关数据!A:N,5,0)*VLOOKUP(X408,模板计算相关数据!$P$4:$T$7,4,0)*VLOOKUP(Y408,模板计算相关数据!$P$22:$U$30,4,0)*AB408)</f>
        <v>1560</v>
      </c>
      <c r="AM408" s="3">
        <f>INT(VLOOKUP(U408,模板计算相关数据!A:N,6,0)*VLOOKUP(X408,模板计算相关数据!$P$4:$T$7,4,0)*VLOOKUP(Y408,模板计算相关数据!$P$22:$U$30,5,0)*AC408)</f>
        <v>2898</v>
      </c>
      <c r="AN408" s="3">
        <f>VLOOKUP(U408,模板计算相关数据!A:N,10,0)*0.5*VLOOKUP(Y408,模板计算相关数据!$P$22:$U$30,6,0)+AD408</f>
        <v>225</v>
      </c>
      <c r="AO408" s="3">
        <f>VLOOKUP(INT(VLOOKUP(U408,模板计算相关数据!A:N,2,0)/30)+1,模板计算相关数据!$O$35:$U$40,3,0)+AE408</f>
        <v>0</v>
      </c>
      <c r="AP408" s="3">
        <f>VLOOKUP(INT(VLOOKUP(U408,模板计算相关数据!A:N,2,0)/30)+1,模板计算相关数据!$O$35:$U$40,4,0)+AF408</f>
        <v>5000</v>
      </c>
      <c r="AQ408" s="3">
        <f>VLOOKUP(INT(VLOOKUP(U408,模板计算相关数据!A:N,2,0)/30)+1,模板计算相关数据!$O$35:$U$40,5,0)+AG408</f>
        <v>0</v>
      </c>
      <c r="AR408" s="3">
        <f>VLOOKUP(INT(VLOOKUP(U408,模板计算相关数据!A:N,2,0)/30)+1,模板计算相关数据!$O$35:$U$40,6,0)+AH408</f>
        <v>0</v>
      </c>
      <c r="AS408" s="3">
        <f>VLOOKUP(INT(VLOOKUP(U408,模板计算相关数据!A:N,2,0)/30)+1,模板计算相关数据!$O$35:$U$40,7,0)+AI408</f>
        <v>2500</v>
      </c>
      <c r="AT408" s="3">
        <f>VLOOKUP(INT(VLOOKUP(U408,模板计算相关数据!A:N,2,0)/30)+1,模板计算相关数据!$O$35:$V$40,8,0)</f>
        <v>0</v>
      </c>
      <c r="AU408" s="2"/>
    </row>
    <row r="409" spans="1:47" x14ac:dyDescent="0.2">
      <c r="A409" s="3">
        <v>304203</v>
      </c>
      <c r="B409" s="3"/>
      <c r="C409" s="69" t="s">
        <v>1734</v>
      </c>
      <c r="D409" s="69" t="s">
        <v>1072</v>
      </c>
      <c r="E409" s="2"/>
      <c r="F409" s="3">
        <v>2</v>
      </c>
      <c r="G409" s="3">
        <v>1003001</v>
      </c>
      <c r="H409" s="3">
        <v>3</v>
      </c>
      <c r="I409" s="3">
        <v>4</v>
      </c>
      <c r="J409" s="3">
        <v>3</v>
      </c>
      <c r="K409" s="3"/>
      <c r="L409" s="2" t="s">
        <v>273</v>
      </c>
      <c r="M409" s="2"/>
      <c r="N409" s="2">
        <v>1</v>
      </c>
      <c r="O409" s="2"/>
      <c r="P409" s="3" t="s">
        <v>1615</v>
      </c>
      <c r="Q409" s="95">
        <v>6</v>
      </c>
      <c r="R409" s="133">
        <f>IF(P409=模板计算相关数据!$AB$24,VLOOKUP(X409,模板计算相关数据!$P$47:$T$50,2,0),VLOOKUP(X409,模板计算相关数据!$P$4:$U$7,3,0))*VLOOKUP(Y409,模板计算相关数据!$P$22:$X$30,8,0)</f>
        <v>5.6000000000000014</v>
      </c>
      <c r="S409" s="62">
        <f t="shared" si="54"/>
        <v>6.6693344004268367</v>
      </c>
      <c r="T409" s="133">
        <f>IF(P409=模板计算相关数据!$AB$24,VLOOKUP(X409,模板计算相关数据!$P$47:$T$50,5,0),VLOOKUP(X409,模板计算相关数据!$P$4:$U$7,6,0))*VLOOKUP(Y409,模板计算相关数据!$P$22:$X$30,9,0)</f>
        <v>6.6693344004268367</v>
      </c>
      <c r="U409" s="98">
        <v>36</v>
      </c>
      <c r="V409" s="95">
        <f t="shared" si="52"/>
        <v>48</v>
      </c>
      <c r="W409" s="29">
        <f>VLOOKUP(U409,模板计算相关数据!A:N,2,0)</f>
        <v>45</v>
      </c>
      <c r="X409" s="3" t="s">
        <v>151</v>
      </c>
      <c r="Y409" s="3" t="s">
        <v>255</v>
      </c>
      <c r="Z409" s="99">
        <v>1</v>
      </c>
      <c r="AA409" s="95">
        <v>1</v>
      </c>
      <c r="AB409" s="95">
        <v>1</v>
      </c>
      <c r="AC409" s="95">
        <v>1</v>
      </c>
      <c r="AD409" s="95">
        <v>0</v>
      </c>
      <c r="AE409" s="95">
        <v>0</v>
      </c>
      <c r="AF409" s="95">
        <v>0</v>
      </c>
      <c r="AG409" s="95">
        <v>0</v>
      </c>
      <c r="AH409" s="95">
        <v>0</v>
      </c>
      <c r="AI409" s="95">
        <v>2500</v>
      </c>
      <c r="AJ409" s="3">
        <f>INT(VLOOKUP(U409,模板计算相关数据!A:N,4,0)*VLOOKUP(U409,模板计算相关数据!A:N,14,0)*(1+MAX(0,(VLOOKUP(U409,模板计算相关数据!A:N,7,0)-AQ409))*VLOOKUP(U409,模板计算相关数据!A:N,8,0))*(1-(AL409+AM409)*0.5/((AL409+AM409)*0.5+(VLOOKUP(U409,模板计算相关数据!A:N,2,0)+模板计算相关数据!$AC$27)*模板计算相关数据!$AC$28))*Q409*Z409)</f>
        <v>6600</v>
      </c>
      <c r="AK409" s="3">
        <f>INT(VLOOKUP(U409,模板计算相关数据!A:N,3,0)/模板计算相关数据!$W$35/(1+MAX(0,(AO409/10000-VLOOKUP(U409,模板计算相关数据!A:N,9,0)))*AP409/10000)/(1-VLOOKUP(U409,模板计算相关数据!A:N,5,0)/(VLOOKUP(U409,模板计算相关数据!A:N,5,0)+(VLOOKUP(U409,模板计算相关数据!A:N,2,0)+模板计算相关数据!$AC$27)*模板计算相关数据!$AC$28))/S409*AA409)</f>
        <v>1585</v>
      </c>
      <c r="AL409" s="3">
        <f>INT(VLOOKUP(U409,模板计算相关数据!A:N,5,0)*VLOOKUP(X409,模板计算相关数据!$P$4:$T$7,4,0)*VLOOKUP(Y409,模板计算相关数据!$P$22:$U$30,4,0)*AB409)</f>
        <v>2456</v>
      </c>
      <c r="AM409" s="3">
        <f>INT(VLOOKUP(U409,模板计算相关数据!A:N,6,0)*VLOOKUP(X409,模板计算相关数据!$P$4:$T$7,4,0)*VLOOKUP(Y409,模板计算相关数据!$P$22:$U$30,5,0)*AC409)</f>
        <v>4552</v>
      </c>
      <c r="AN409" s="3">
        <f>VLOOKUP(U409,模板计算相关数据!A:N,10,0)*0.5*VLOOKUP(Y409,模板计算相关数据!$P$22:$U$30,6,0)+AD409</f>
        <v>225</v>
      </c>
      <c r="AO409" s="3">
        <f>VLOOKUP(INT(VLOOKUP(U409,模板计算相关数据!A:N,2,0)/30)+1,模板计算相关数据!$O$35:$U$40,3,0)+AE409</f>
        <v>0</v>
      </c>
      <c r="AP409" s="3">
        <f>VLOOKUP(INT(VLOOKUP(U409,模板计算相关数据!A:N,2,0)/30)+1,模板计算相关数据!$O$35:$U$40,4,0)+AF409</f>
        <v>5000</v>
      </c>
      <c r="AQ409" s="3">
        <f>VLOOKUP(INT(VLOOKUP(U409,模板计算相关数据!A:N,2,0)/30)+1,模板计算相关数据!$O$35:$U$40,5,0)+AG409</f>
        <v>0</v>
      </c>
      <c r="AR409" s="3">
        <f>VLOOKUP(INT(VLOOKUP(U409,模板计算相关数据!A:N,2,0)/30)+1,模板计算相关数据!$O$35:$U$40,6,0)+AH409</f>
        <v>0</v>
      </c>
      <c r="AS409" s="3">
        <f>VLOOKUP(INT(VLOOKUP(U409,模板计算相关数据!A:N,2,0)/30)+1,模板计算相关数据!$O$35:$U$40,7,0)+AI409</f>
        <v>2500</v>
      </c>
      <c r="AT409" s="3">
        <f>VLOOKUP(INT(VLOOKUP(U409,模板计算相关数据!A:N,2,0)/30)+1,模板计算相关数据!$O$35:$V$40,8,0)</f>
        <v>0</v>
      </c>
      <c r="AU409" s="2"/>
    </row>
    <row r="410" spans="1:47" x14ac:dyDescent="0.2">
      <c r="A410" s="3">
        <v>304204</v>
      </c>
      <c r="B410" s="3"/>
      <c r="C410" s="69" t="s">
        <v>1734</v>
      </c>
      <c r="D410" s="69" t="s">
        <v>1073</v>
      </c>
      <c r="E410" s="2"/>
      <c r="F410" s="3">
        <v>2</v>
      </c>
      <c r="G410" s="3">
        <v>1003001</v>
      </c>
      <c r="H410" s="3">
        <v>3</v>
      </c>
      <c r="I410" s="3">
        <v>4</v>
      </c>
      <c r="J410" s="3">
        <v>3</v>
      </c>
      <c r="K410" s="3"/>
      <c r="L410" s="2" t="s">
        <v>274</v>
      </c>
      <c r="M410" s="2"/>
      <c r="N410" s="2">
        <v>1</v>
      </c>
      <c r="O410" s="2"/>
      <c r="P410" s="3" t="s">
        <v>1615</v>
      </c>
      <c r="Q410" s="95">
        <v>6.2</v>
      </c>
      <c r="R410" s="133">
        <f>IF(P410=模板计算相关数据!$AB$24,VLOOKUP(X410,模板计算相关数据!$P$47:$T$50,2,0),VLOOKUP(X410,模板计算相关数据!$P$4:$U$7,3,0))*VLOOKUP(Y410,模板计算相关数据!$P$22:$X$30,8,0)</f>
        <v>5.6000000000000014</v>
      </c>
      <c r="S410" s="62">
        <f t="shared" si="54"/>
        <v>6.6693344004268367</v>
      </c>
      <c r="T410" s="133">
        <f>IF(P410=模板计算相关数据!$AB$24,VLOOKUP(X410,模板计算相关数据!$P$47:$T$50,5,0),VLOOKUP(X410,模板计算相关数据!$P$4:$U$7,6,0))*VLOOKUP(Y410,模板计算相关数据!$P$22:$X$30,9,0)</f>
        <v>6.6693344004268367</v>
      </c>
      <c r="U410" s="98">
        <v>36</v>
      </c>
      <c r="V410" s="95">
        <f t="shared" si="52"/>
        <v>48</v>
      </c>
      <c r="W410" s="29">
        <f>VLOOKUP(U410,模板计算相关数据!A:N,2,0)</f>
        <v>45</v>
      </c>
      <c r="X410" s="3" t="s">
        <v>151</v>
      </c>
      <c r="Y410" s="3" t="s">
        <v>255</v>
      </c>
      <c r="Z410" s="99">
        <v>1</v>
      </c>
      <c r="AA410" s="95">
        <v>1</v>
      </c>
      <c r="AB410" s="95">
        <v>1</v>
      </c>
      <c r="AC410" s="95">
        <v>1</v>
      </c>
      <c r="AD410" s="95">
        <v>0</v>
      </c>
      <c r="AE410" s="95">
        <v>0</v>
      </c>
      <c r="AF410" s="95">
        <v>0</v>
      </c>
      <c r="AG410" s="95">
        <v>0</v>
      </c>
      <c r="AH410" s="95">
        <v>0</v>
      </c>
      <c r="AI410" s="95">
        <v>2500</v>
      </c>
      <c r="AJ410" s="3">
        <f>INT(VLOOKUP(U410,模板计算相关数据!A:N,4,0)*VLOOKUP(U410,模板计算相关数据!A:N,14,0)*(1+MAX(0,(VLOOKUP(U410,模板计算相关数据!A:N,7,0)-AQ410))*VLOOKUP(U410,模板计算相关数据!A:N,8,0))*(1-(AL410+AM410)*0.5/((AL410+AM410)*0.5+(VLOOKUP(U410,模板计算相关数据!A:N,2,0)+模板计算相关数据!$AC$27)*模板计算相关数据!$AC$28))*Q410*Z410)</f>
        <v>6820</v>
      </c>
      <c r="AK410" s="3">
        <f>INT(VLOOKUP(U410,模板计算相关数据!A:N,3,0)/模板计算相关数据!$W$35/(1+MAX(0,(AO410/10000-VLOOKUP(U410,模板计算相关数据!A:N,9,0)))*AP410/10000)/(1-VLOOKUP(U410,模板计算相关数据!A:N,5,0)/(VLOOKUP(U410,模板计算相关数据!A:N,5,0)+(VLOOKUP(U410,模板计算相关数据!A:N,2,0)+模板计算相关数据!$AC$27)*模板计算相关数据!$AC$28))/S410*AA410)</f>
        <v>1585</v>
      </c>
      <c r="AL410" s="3">
        <f>INT(VLOOKUP(U410,模板计算相关数据!A:N,5,0)*VLOOKUP(X410,模板计算相关数据!$P$4:$T$7,4,0)*VLOOKUP(Y410,模板计算相关数据!$P$22:$U$30,4,0)*AB410)</f>
        <v>2456</v>
      </c>
      <c r="AM410" s="3">
        <f>INT(VLOOKUP(U410,模板计算相关数据!A:N,6,0)*VLOOKUP(X410,模板计算相关数据!$P$4:$T$7,4,0)*VLOOKUP(Y410,模板计算相关数据!$P$22:$U$30,5,0)*AC410)</f>
        <v>4552</v>
      </c>
      <c r="AN410" s="3">
        <f>VLOOKUP(U410,模板计算相关数据!A:N,10,0)*0.5*VLOOKUP(Y410,模板计算相关数据!$P$22:$U$30,6,0)+AD410</f>
        <v>225</v>
      </c>
      <c r="AO410" s="3">
        <f>VLOOKUP(INT(VLOOKUP(U410,模板计算相关数据!A:N,2,0)/30)+1,模板计算相关数据!$O$35:$U$40,3,0)+AE410</f>
        <v>0</v>
      </c>
      <c r="AP410" s="3">
        <f>VLOOKUP(INT(VLOOKUP(U410,模板计算相关数据!A:N,2,0)/30)+1,模板计算相关数据!$O$35:$U$40,4,0)+AF410</f>
        <v>5000</v>
      </c>
      <c r="AQ410" s="3">
        <f>VLOOKUP(INT(VLOOKUP(U410,模板计算相关数据!A:N,2,0)/30)+1,模板计算相关数据!$O$35:$U$40,5,0)+AG410</f>
        <v>0</v>
      </c>
      <c r="AR410" s="3">
        <f>VLOOKUP(INT(VLOOKUP(U410,模板计算相关数据!A:N,2,0)/30)+1,模板计算相关数据!$O$35:$U$40,6,0)+AH410</f>
        <v>0</v>
      </c>
      <c r="AS410" s="3">
        <f>VLOOKUP(INT(VLOOKUP(U410,模板计算相关数据!A:N,2,0)/30)+1,模板计算相关数据!$O$35:$U$40,7,0)+AI410</f>
        <v>2500</v>
      </c>
      <c r="AT410" s="3">
        <f>VLOOKUP(INT(VLOOKUP(U410,模板计算相关数据!A:N,2,0)/30)+1,模板计算相关数据!$O$35:$V$40,8,0)</f>
        <v>0</v>
      </c>
      <c r="AU410" s="2"/>
    </row>
    <row r="411" spans="1:47" x14ac:dyDescent="0.2">
      <c r="A411" s="3">
        <v>304205</v>
      </c>
      <c r="B411" s="3"/>
      <c r="C411" s="69" t="s">
        <v>1735</v>
      </c>
      <c r="D411" s="69" t="s">
        <v>1074</v>
      </c>
      <c r="E411" s="2"/>
      <c r="F411" s="3">
        <v>2</v>
      </c>
      <c r="G411" s="3">
        <v>1003301</v>
      </c>
      <c r="H411" s="3">
        <v>2</v>
      </c>
      <c r="I411" s="3">
        <v>4</v>
      </c>
      <c r="J411" s="3">
        <v>3</v>
      </c>
      <c r="K411" s="3"/>
      <c r="L411" s="2" t="s">
        <v>275</v>
      </c>
      <c r="M411" s="2"/>
      <c r="N411" s="2">
        <v>1</v>
      </c>
      <c r="O411" s="2"/>
      <c r="P411" s="3" t="s">
        <v>1615</v>
      </c>
      <c r="Q411" s="95">
        <f t="shared" ref="Q411:Q450" si="55">R411</f>
        <v>6.9411764705882364</v>
      </c>
      <c r="R411" s="133">
        <f>IF(P411=模板计算相关数据!$AB$24,VLOOKUP(X411,模板计算相关数据!$P$47:$T$50,2,0),VLOOKUP(X411,模板计算相关数据!$P$4:$U$7,3,0))*VLOOKUP(Y411,模板计算相关数据!$P$22:$X$30,8,0)</f>
        <v>6.9411764705882364</v>
      </c>
      <c r="S411" s="62">
        <v>8.6</v>
      </c>
      <c r="T411" s="133">
        <f>IF(P411=模板计算相关数据!$AB$24,VLOOKUP(X411,模板计算相关数据!$P$47:$T$50,5,0),VLOOKUP(X411,模板计算相关数据!$P$4:$U$7,6,0))*VLOOKUP(Y411,模板计算相关数据!$P$22:$X$30,9,0)</f>
        <v>8.2943498888557112</v>
      </c>
      <c r="U411" s="98">
        <v>34</v>
      </c>
      <c r="V411" s="95">
        <f t="shared" si="52"/>
        <v>19</v>
      </c>
      <c r="W411" s="29">
        <f>VLOOKUP(U411,模板计算相关数据!A:N,2,0)</f>
        <v>16</v>
      </c>
      <c r="X411" s="3" t="s">
        <v>151</v>
      </c>
      <c r="Y411" s="3" t="s">
        <v>155</v>
      </c>
      <c r="Z411" s="99">
        <v>1</v>
      </c>
      <c r="AA411" s="95">
        <v>1</v>
      </c>
      <c r="AB411" s="95">
        <v>1</v>
      </c>
      <c r="AC411" s="95">
        <v>1</v>
      </c>
      <c r="AD411" s="95">
        <v>0</v>
      </c>
      <c r="AE411" s="95">
        <v>0</v>
      </c>
      <c r="AF411" s="95">
        <v>0</v>
      </c>
      <c r="AG411" s="95">
        <v>0</v>
      </c>
      <c r="AH411" s="95">
        <v>0</v>
      </c>
      <c r="AI411" s="95">
        <v>2000</v>
      </c>
      <c r="AJ411" s="3">
        <f>INT(VLOOKUP(U411,模板计算相关数据!A:N,4,0)*VLOOKUP(U411,模板计算相关数据!A:N,14,0)*(1+MAX(0,(VLOOKUP(U411,模板计算相关数据!A:N,7,0)-AQ411))*VLOOKUP(U411,模板计算相关数据!A:N,8,0))*(1-(AL411+AM411)*0.5/((AL411+AM411)*0.5+(VLOOKUP(U411,模板计算相关数据!A:N,2,0)+模板计算相关数据!$AC$27)*模板计算相关数据!$AC$28))*Q411*Z411)</f>
        <v>2075</v>
      </c>
      <c r="AK411" s="3">
        <f>INT(VLOOKUP(U411,模板计算相关数据!A:N,3,0)/模板计算相关数据!$W$35/(1+MAX(0,(AO411/10000-VLOOKUP(U411,模板计算相关数据!A:N,9,0)))*AP411/10000)/(1-VLOOKUP(U411,模板计算相关数据!A:N,5,0)/(VLOOKUP(U411,模板计算相关数据!A:N,5,0)+(VLOOKUP(U411,模板计算相关数据!A:N,2,0)+模板计算相关数据!$AC$27)*模板计算相关数据!$AC$28))/S411*AA411)</f>
        <v>249</v>
      </c>
      <c r="AL411" s="3">
        <f>INT(VLOOKUP(U411,模板计算相关数据!A:N,5,0)*VLOOKUP(X411,模板计算相关数据!$P$4:$T$7,4,0)*VLOOKUP(Y411,模板计算相关数据!$P$22:$U$30,4,0)*AB411)</f>
        <v>1077</v>
      </c>
      <c r="AM411" s="3">
        <f>INT(VLOOKUP(U411,模板计算相关数据!A:N,6,0)*VLOOKUP(X411,模板计算相关数据!$P$4:$T$7,4,0)*VLOOKUP(Y411,模板计算相关数据!$P$22:$U$30,5,0)*AC411)</f>
        <v>596</v>
      </c>
      <c r="AN411" s="3">
        <f>VLOOKUP(U411,模板计算相关数据!A:N,10,0)*0.5*VLOOKUP(Y411,模板计算相关数据!$P$22:$U$30,6,0)+AD411</f>
        <v>225</v>
      </c>
      <c r="AO411" s="3">
        <f>VLOOKUP(INT(VLOOKUP(U411,模板计算相关数据!A:N,2,0)/30)+1,模板计算相关数据!$O$35:$U$40,3,0)+AE411</f>
        <v>0</v>
      </c>
      <c r="AP411" s="3">
        <f>VLOOKUP(INT(VLOOKUP(U411,模板计算相关数据!A:N,2,0)/30)+1,模板计算相关数据!$O$35:$U$40,4,0)+AF411</f>
        <v>5000</v>
      </c>
      <c r="AQ411" s="3">
        <f>VLOOKUP(INT(VLOOKUP(U411,模板计算相关数据!A:N,2,0)/30)+1,模板计算相关数据!$O$35:$U$40,5,0)+AG411</f>
        <v>0</v>
      </c>
      <c r="AR411" s="3">
        <f>VLOOKUP(INT(VLOOKUP(U411,模板计算相关数据!A:N,2,0)/30)+1,模板计算相关数据!$O$35:$U$40,6,0)+AH411</f>
        <v>0</v>
      </c>
      <c r="AS411" s="3">
        <f>VLOOKUP(INT(VLOOKUP(U411,模板计算相关数据!A:N,2,0)/30)+1,模板计算相关数据!$O$35:$U$40,7,0)+AI411</f>
        <v>2000</v>
      </c>
      <c r="AT411" s="3">
        <f>VLOOKUP(INT(VLOOKUP(U411,模板计算相关数据!A:N,2,0)/30)+1,模板计算相关数据!$O$35:$V$40,8,0)</f>
        <v>0</v>
      </c>
      <c r="AU411" s="2"/>
    </row>
    <row r="412" spans="1:47" x14ac:dyDescent="0.2">
      <c r="A412" s="3">
        <v>304206</v>
      </c>
      <c r="B412" s="3"/>
      <c r="C412" s="69" t="s">
        <v>1735</v>
      </c>
      <c r="D412" s="69" t="s">
        <v>1075</v>
      </c>
      <c r="E412" s="2"/>
      <c r="F412" s="3">
        <v>2</v>
      </c>
      <c r="G412" s="3">
        <v>1003301</v>
      </c>
      <c r="H412" s="3">
        <v>2</v>
      </c>
      <c r="I412" s="3">
        <v>4</v>
      </c>
      <c r="J412" s="3">
        <v>3</v>
      </c>
      <c r="K412" s="3"/>
      <c r="L412" s="2" t="s">
        <v>276</v>
      </c>
      <c r="M412" s="2"/>
      <c r="N412" s="2">
        <v>1</v>
      </c>
      <c r="O412" s="2"/>
      <c r="P412" s="3" t="s">
        <v>1615</v>
      </c>
      <c r="Q412" s="95">
        <v>7.2</v>
      </c>
      <c r="R412" s="133">
        <f>IF(P412=模板计算相关数据!$AB$24,VLOOKUP(X412,模板计算相关数据!$P$47:$T$50,2,0),VLOOKUP(X412,模板计算相关数据!$P$4:$U$7,3,0))*VLOOKUP(Y412,模板计算相关数据!$P$22:$X$30,8,0)</f>
        <v>6.9411764705882364</v>
      </c>
      <c r="S412" s="62">
        <v>8.6</v>
      </c>
      <c r="T412" s="133">
        <f>IF(P412=模板计算相关数据!$AB$24,VLOOKUP(X412,模板计算相关数据!$P$47:$T$50,5,0),VLOOKUP(X412,模板计算相关数据!$P$4:$U$7,6,0))*VLOOKUP(Y412,模板计算相关数据!$P$22:$X$30,9,0)</f>
        <v>8.2943498888557112</v>
      </c>
      <c r="U412" s="98">
        <v>35</v>
      </c>
      <c r="V412" s="95">
        <f t="shared" si="52"/>
        <v>33</v>
      </c>
      <c r="W412" s="29">
        <f>VLOOKUP(U412,模板计算相关数据!A:N,2,0)</f>
        <v>30</v>
      </c>
      <c r="X412" s="3" t="s">
        <v>151</v>
      </c>
      <c r="Y412" s="3" t="s">
        <v>155</v>
      </c>
      <c r="Z412" s="99">
        <v>1</v>
      </c>
      <c r="AA412" s="95">
        <v>1</v>
      </c>
      <c r="AB412" s="95">
        <v>1</v>
      </c>
      <c r="AC412" s="95">
        <v>1</v>
      </c>
      <c r="AD412" s="95">
        <v>0</v>
      </c>
      <c r="AE412" s="95">
        <v>0</v>
      </c>
      <c r="AF412" s="95">
        <v>0</v>
      </c>
      <c r="AG412" s="95">
        <v>0</v>
      </c>
      <c r="AH412" s="95">
        <v>0</v>
      </c>
      <c r="AI412" s="95">
        <v>2000</v>
      </c>
      <c r="AJ412" s="3">
        <f>INT(VLOOKUP(U412,模板计算相关数据!A:N,4,0)*VLOOKUP(U412,模板计算相关数据!A:N,14,0)*(1+MAX(0,(VLOOKUP(U412,模板计算相关数据!A:N,7,0)-AQ412))*VLOOKUP(U412,模板计算相关数据!A:N,8,0))*(1-(AL412+AM412)*0.5/((AL412+AM412)*0.5+(VLOOKUP(U412,模板计算相关数据!A:N,2,0)+模板计算相关数据!$AC$27)*模板计算相关数据!$AC$28))*Q412*Z412)</f>
        <v>4981</v>
      </c>
      <c r="AK412" s="3">
        <f>INT(VLOOKUP(U412,模板计算相关数据!A:N,3,0)/模板计算相关数据!$W$35/(1+MAX(0,(AO412/10000-VLOOKUP(U412,模板计算相关数据!A:N,9,0)))*AP412/10000)/(1-VLOOKUP(U412,模板计算相关数据!A:N,5,0)/(VLOOKUP(U412,模板计算相关数据!A:N,5,0)+(VLOOKUP(U412,模板计算相关数据!A:N,2,0)+模板计算相关数据!$AC$27)*模板计算相关数据!$AC$28))/S412*AA412)</f>
        <v>767</v>
      </c>
      <c r="AL412" s="3">
        <f>INT(VLOOKUP(U412,模板计算相关数据!A:N,5,0)*VLOOKUP(X412,模板计算相关数据!$P$4:$T$7,4,0)*VLOOKUP(Y412,模板计算相关数据!$P$22:$U$30,4,0)*AB412)</f>
        <v>2898</v>
      </c>
      <c r="AM412" s="3">
        <f>INT(VLOOKUP(U412,模板计算相关数据!A:N,6,0)*VLOOKUP(X412,模板计算相关数据!$P$4:$T$7,4,0)*VLOOKUP(Y412,模板计算相关数据!$P$22:$U$30,5,0)*AC412)</f>
        <v>1605</v>
      </c>
      <c r="AN412" s="3">
        <f>VLOOKUP(U412,模板计算相关数据!A:N,10,0)*0.5*VLOOKUP(Y412,模板计算相关数据!$P$22:$U$30,6,0)+AD412</f>
        <v>225</v>
      </c>
      <c r="AO412" s="3">
        <f>VLOOKUP(INT(VLOOKUP(U412,模板计算相关数据!A:N,2,0)/30)+1,模板计算相关数据!$O$35:$U$40,3,0)+AE412</f>
        <v>0</v>
      </c>
      <c r="AP412" s="3">
        <f>VLOOKUP(INT(VLOOKUP(U412,模板计算相关数据!A:N,2,0)/30)+1,模板计算相关数据!$O$35:$U$40,4,0)+AF412</f>
        <v>5000</v>
      </c>
      <c r="AQ412" s="3">
        <f>VLOOKUP(INT(VLOOKUP(U412,模板计算相关数据!A:N,2,0)/30)+1,模板计算相关数据!$O$35:$U$40,5,0)+AG412</f>
        <v>0</v>
      </c>
      <c r="AR412" s="3">
        <f>VLOOKUP(INT(VLOOKUP(U412,模板计算相关数据!A:N,2,0)/30)+1,模板计算相关数据!$O$35:$U$40,6,0)+AH412</f>
        <v>0</v>
      </c>
      <c r="AS412" s="3">
        <f>VLOOKUP(INT(VLOOKUP(U412,模板计算相关数据!A:N,2,0)/30)+1,模板计算相关数据!$O$35:$U$40,7,0)+AI412</f>
        <v>2000</v>
      </c>
      <c r="AT412" s="3">
        <f>VLOOKUP(INT(VLOOKUP(U412,模板计算相关数据!A:N,2,0)/30)+1,模板计算相关数据!$O$35:$V$40,8,0)</f>
        <v>0</v>
      </c>
      <c r="AU412" s="2"/>
    </row>
    <row r="413" spans="1:47" x14ac:dyDescent="0.2">
      <c r="A413" s="3">
        <v>304207</v>
      </c>
      <c r="B413" s="3"/>
      <c r="C413" s="69" t="s">
        <v>1735</v>
      </c>
      <c r="D413" s="69" t="s">
        <v>1072</v>
      </c>
      <c r="E413" s="2"/>
      <c r="F413" s="3">
        <v>2</v>
      </c>
      <c r="G413" s="3">
        <v>1003301</v>
      </c>
      <c r="H413" s="3">
        <v>2</v>
      </c>
      <c r="I413" s="3">
        <v>4</v>
      </c>
      <c r="J413" s="3">
        <v>3</v>
      </c>
      <c r="K413" s="3"/>
      <c r="L413" s="2" t="s">
        <v>277</v>
      </c>
      <c r="M413" s="2"/>
      <c r="N413" s="2">
        <v>1</v>
      </c>
      <c r="O413" s="2"/>
      <c r="P413" s="3" t="s">
        <v>1615</v>
      </c>
      <c r="Q413" s="95">
        <v>7.5</v>
      </c>
      <c r="R413" s="133">
        <f>IF(P413=模板计算相关数据!$AB$24,VLOOKUP(X413,模板计算相关数据!$P$47:$T$50,2,0),VLOOKUP(X413,模板计算相关数据!$P$4:$U$7,3,0))*VLOOKUP(Y413,模板计算相关数据!$P$22:$X$30,8,0)</f>
        <v>6.9411764705882364</v>
      </c>
      <c r="S413" s="62">
        <v>8.6</v>
      </c>
      <c r="T413" s="133">
        <f>IF(P413=模板计算相关数据!$AB$24,VLOOKUP(X413,模板计算相关数据!$P$47:$T$50,5,0),VLOOKUP(X413,模板计算相关数据!$P$4:$U$7,6,0))*VLOOKUP(Y413,模板计算相关数据!$P$22:$X$30,9,0)</f>
        <v>8.2943498888557112</v>
      </c>
      <c r="U413" s="98">
        <v>36</v>
      </c>
      <c r="V413" s="95">
        <f t="shared" si="52"/>
        <v>48</v>
      </c>
      <c r="W413" s="29">
        <f>VLOOKUP(U413,模板计算相关数据!A:N,2,0)</f>
        <v>45</v>
      </c>
      <c r="X413" s="3" t="s">
        <v>151</v>
      </c>
      <c r="Y413" s="3" t="s">
        <v>155</v>
      </c>
      <c r="Z413" s="99">
        <v>1</v>
      </c>
      <c r="AA413" s="95">
        <v>1</v>
      </c>
      <c r="AB413" s="95">
        <v>1</v>
      </c>
      <c r="AC413" s="95">
        <v>1</v>
      </c>
      <c r="AD413" s="95">
        <v>0</v>
      </c>
      <c r="AE413" s="95">
        <v>0</v>
      </c>
      <c r="AF413" s="95">
        <v>0</v>
      </c>
      <c r="AG413" s="95">
        <v>0</v>
      </c>
      <c r="AH413" s="95">
        <v>0</v>
      </c>
      <c r="AI413" s="95">
        <v>2000</v>
      </c>
      <c r="AJ413" s="3">
        <f>INT(VLOOKUP(U413,模板计算相关数据!A:N,4,0)*VLOOKUP(U413,模板计算相关数据!A:N,14,0)*(1+MAX(0,(VLOOKUP(U413,模板计算相关数据!A:N,7,0)-AQ413))*VLOOKUP(U413,模板计算相关数据!A:N,8,0))*(1-(AL413+AM413)*0.5/((AL413+AM413)*0.5+(VLOOKUP(U413,模板计算相关数据!A:N,2,0)+模板计算相关数据!$AC$27)*模板计算相关数据!$AC$28))*Q413*Z413)</f>
        <v>8213</v>
      </c>
      <c r="AK413" s="3">
        <f>INT(VLOOKUP(U413,模板计算相关数据!A:N,3,0)/模板计算相关数据!$W$35/(1+MAX(0,(AO413/10000-VLOOKUP(U413,模板计算相关数据!A:N,9,0)))*AP413/10000)/(1-VLOOKUP(U413,模板计算相关数据!A:N,5,0)/(VLOOKUP(U413,模板计算相关数据!A:N,5,0)+(VLOOKUP(U413,模板计算相关数据!A:N,2,0)+模板计算相关数据!$AC$27)*模板计算相关数据!$AC$28))/S413*AA413)</f>
        <v>1229</v>
      </c>
      <c r="AL413" s="3">
        <f>INT(VLOOKUP(U413,模板计算相关数据!A:N,5,0)*VLOOKUP(X413,模板计算相关数据!$P$4:$T$7,4,0)*VLOOKUP(Y413,模板计算相关数据!$P$22:$U$30,4,0)*AB413)</f>
        <v>4562</v>
      </c>
      <c r="AM413" s="3">
        <f>INT(VLOOKUP(U413,模板计算相关数据!A:N,6,0)*VLOOKUP(X413,模板计算相关数据!$P$4:$T$7,4,0)*VLOOKUP(Y413,模板计算相关数据!$P$22:$U$30,5,0)*AC413)</f>
        <v>2521</v>
      </c>
      <c r="AN413" s="3">
        <f>VLOOKUP(U413,模板计算相关数据!A:N,10,0)*0.5*VLOOKUP(Y413,模板计算相关数据!$P$22:$U$30,6,0)+AD413</f>
        <v>225</v>
      </c>
      <c r="AO413" s="3">
        <f>VLOOKUP(INT(VLOOKUP(U413,模板计算相关数据!A:N,2,0)/30)+1,模板计算相关数据!$O$35:$U$40,3,0)+AE413</f>
        <v>0</v>
      </c>
      <c r="AP413" s="3">
        <f>VLOOKUP(INT(VLOOKUP(U413,模板计算相关数据!A:N,2,0)/30)+1,模板计算相关数据!$O$35:$U$40,4,0)+AF413</f>
        <v>5000</v>
      </c>
      <c r="AQ413" s="3">
        <f>VLOOKUP(INT(VLOOKUP(U413,模板计算相关数据!A:N,2,0)/30)+1,模板计算相关数据!$O$35:$U$40,5,0)+AG413</f>
        <v>0</v>
      </c>
      <c r="AR413" s="3">
        <f>VLOOKUP(INT(VLOOKUP(U413,模板计算相关数据!A:N,2,0)/30)+1,模板计算相关数据!$O$35:$U$40,6,0)+AH413</f>
        <v>0</v>
      </c>
      <c r="AS413" s="3">
        <f>VLOOKUP(INT(VLOOKUP(U413,模板计算相关数据!A:N,2,0)/30)+1,模板计算相关数据!$O$35:$U$40,7,0)+AI413</f>
        <v>2000</v>
      </c>
      <c r="AT413" s="3">
        <f>VLOOKUP(INT(VLOOKUP(U413,模板计算相关数据!A:N,2,0)/30)+1,模板计算相关数据!$O$35:$V$40,8,0)</f>
        <v>0</v>
      </c>
      <c r="AU413" s="2"/>
    </row>
    <row r="414" spans="1:47" x14ac:dyDescent="0.2">
      <c r="A414" s="3">
        <v>304208</v>
      </c>
      <c r="B414" s="3"/>
      <c r="C414" s="69" t="s">
        <v>1735</v>
      </c>
      <c r="D414" s="69" t="s">
        <v>1073</v>
      </c>
      <c r="E414" s="2"/>
      <c r="F414" s="3">
        <v>2</v>
      </c>
      <c r="G414" s="3">
        <v>1003301</v>
      </c>
      <c r="H414" s="3">
        <v>2</v>
      </c>
      <c r="I414" s="3">
        <v>4</v>
      </c>
      <c r="J414" s="3">
        <v>3</v>
      </c>
      <c r="K414" s="3"/>
      <c r="L414" s="2" t="s">
        <v>278</v>
      </c>
      <c r="M414" s="2"/>
      <c r="N414" s="2">
        <v>1</v>
      </c>
      <c r="O414" s="2"/>
      <c r="P414" s="3" t="s">
        <v>1615</v>
      </c>
      <c r="Q414" s="95">
        <v>7.8</v>
      </c>
      <c r="R414" s="133">
        <f>IF(P414=模板计算相关数据!$AB$24,VLOOKUP(X414,模板计算相关数据!$P$47:$T$50,2,0),VLOOKUP(X414,模板计算相关数据!$P$4:$U$7,3,0))*VLOOKUP(Y414,模板计算相关数据!$P$22:$X$30,8,0)</f>
        <v>6.9411764705882364</v>
      </c>
      <c r="S414" s="62">
        <v>8.6</v>
      </c>
      <c r="T414" s="133">
        <f>IF(P414=模板计算相关数据!$AB$24,VLOOKUP(X414,模板计算相关数据!$P$47:$T$50,5,0),VLOOKUP(X414,模板计算相关数据!$P$4:$U$7,6,0))*VLOOKUP(Y414,模板计算相关数据!$P$22:$X$30,9,0)</f>
        <v>8.2943498888557112</v>
      </c>
      <c r="U414" s="98">
        <v>36</v>
      </c>
      <c r="V414" s="95">
        <f t="shared" si="52"/>
        <v>48</v>
      </c>
      <c r="W414" s="29">
        <f>VLOOKUP(U414,模板计算相关数据!A:N,2,0)</f>
        <v>45</v>
      </c>
      <c r="X414" s="3" t="s">
        <v>151</v>
      </c>
      <c r="Y414" s="3" t="s">
        <v>155</v>
      </c>
      <c r="Z414" s="99">
        <v>1</v>
      </c>
      <c r="AA414" s="95">
        <v>1</v>
      </c>
      <c r="AB414" s="95">
        <v>1</v>
      </c>
      <c r="AC414" s="95">
        <v>1</v>
      </c>
      <c r="AD414" s="95">
        <v>0</v>
      </c>
      <c r="AE414" s="95">
        <v>0</v>
      </c>
      <c r="AF414" s="95">
        <v>0</v>
      </c>
      <c r="AG414" s="95">
        <v>0</v>
      </c>
      <c r="AH414" s="95">
        <v>0</v>
      </c>
      <c r="AI414" s="95">
        <v>2000</v>
      </c>
      <c r="AJ414" s="3">
        <f>INT(VLOOKUP(U414,模板计算相关数据!A:N,4,0)*VLOOKUP(U414,模板计算相关数据!A:N,14,0)*(1+MAX(0,(VLOOKUP(U414,模板计算相关数据!A:N,7,0)-AQ414))*VLOOKUP(U414,模板计算相关数据!A:N,8,0))*(1-(AL414+AM414)*0.5/((AL414+AM414)*0.5+(VLOOKUP(U414,模板计算相关数据!A:N,2,0)+模板计算相关数据!$AC$27)*模板计算相关数据!$AC$28))*Q414*Z414)</f>
        <v>8542</v>
      </c>
      <c r="AK414" s="3">
        <f>INT(VLOOKUP(U414,模板计算相关数据!A:N,3,0)/模板计算相关数据!$W$35/(1+MAX(0,(AO414/10000-VLOOKUP(U414,模板计算相关数据!A:N,9,0)))*AP414/10000)/(1-VLOOKUP(U414,模板计算相关数据!A:N,5,0)/(VLOOKUP(U414,模板计算相关数据!A:N,5,0)+(VLOOKUP(U414,模板计算相关数据!A:N,2,0)+模板计算相关数据!$AC$27)*模板计算相关数据!$AC$28))/S414*AA414)</f>
        <v>1229</v>
      </c>
      <c r="AL414" s="3">
        <f>INT(VLOOKUP(U414,模板计算相关数据!A:N,5,0)*VLOOKUP(X414,模板计算相关数据!$P$4:$T$7,4,0)*VLOOKUP(Y414,模板计算相关数据!$P$22:$U$30,4,0)*AB414)</f>
        <v>4562</v>
      </c>
      <c r="AM414" s="3">
        <f>INT(VLOOKUP(U414,模板计算相关数据!A:N,6,0)*VLOOKUP(X414,模板计算相关数据!$P$4:$T$7,4,0)*VLOOKUP(Y414,模板计算相关数据!$P$22:$U$30,5,0)*AC414)</f>
        <v>2521</v>
      </c>
      <c r="AN414" s="3">
        <f>VLOOKUP(U414,模板计算相关数据!A:N,10,0)*0.5*VLOOKUP(Y414,模板计算相关数据!$P$22:$U$30,6,0)+AD414</f>
        <v>225</v>
      </c>
      <c r="AO414" s="3">
        <f>VLOOKUP(INT(VLOOKUP(U414,模板计算相关数据!A:N,2,0)/30)+1,模板计算相关数据!$O$35:$U$40,3,0)+AE414</f>
        <v>0</v>
      </c>
      <c r="AP414" s="3">
        <f>VLOOKUP(INT(VLOOKUP(U414,模板计算相关数据!A:N,2,0)/30)+1,模板计算相关数据!$O$35:$U$40,4,0)+AF414</f>
        <v>5000</v>
      </c>
      <c r="AQ414" s="3">
        <f>VLOOKUP(INT(VLOOKUP(U414,模板计算相关数据!A:N,2,0)/30)+1,模板计算相关数据!$O$35:$U$40,5,0)+AG414</f>
        <v>0</v>
      </c>
      <c r="AR414" s="3">
        <f>VLOOKUP(INT(VLOOKUP(U414,模板计算相关数据!A:N,2,0)/30)+1,模板计算相关数据!$O$35:$U$40,6,0)+AH414</f>
        <v>0</v>
      </c>
      <c r="AS414" s="3">
        <f>VLOOKUP(INT(VLOOKUP(U414,模板计算相关数据!A:N,2,0)/30)+1,模板计算相关数据!$O$35:$U$40,7,0)+AI414</f>
        <v>2000</v>
      </c>
      <c r="AT414" s="3">
        <f>VLOOKUP(INT(VLOOKUP(U414,模板计算相关数据!A:N,2,0)/30)+1,模板计算相关数据!$O$35:$V$40,8,0)</f>
        <v>0</v>
      </c>
      <c r="AU414" s="2"/>
    </row>
    <row r="415" spans="1:47" x14ac:dyDescent="0.2">
      <c r="A415" s="3">
        <v>304209</v>
      </c>
      <c r="B415" s="3"/>
      <c r="C415" s="69" t="s">
        <v>1736</v>
      </c>
      <c r="D415" s="69" t="s">
        <v>1074</v>
      </c>
      <c r="E415" s="2"/>
      <c r="F415" s="3">
        <v>2</v>
      </c>
      <c r="G415" s="3">
        <v>1003501</v>
      </c>
      <c r="H415" s="3">
        <v>4</v>
      </c>
      <c r="I415" s="3">
        <v>4</v>
      </c>
      <c r="J415" s="3">
        <v>3</v>
      </c>
      <c r="K415" s="3"/>
      <c r="L415" s="2" t="s">
        <v>279</v>
      </c>
      <c r="M415" s="2"/>
      <c r="N415" s="2">
        <v>1</v>
      </c>
      <c r="O415" s="2"/>
      <c r="P415" s="3" t="s">
        <v>1615</v>
      </c>
      <c r="Q415" s="95">
        <f t="shared" si="55"/>
        <v>4.4674509803921572</v>
      </c>
      <c r="R415" s="133">
        <f>IF(P415=模板计算相关数据!$AB$24,VLOOKUP(X415,模板计算相关数据!$P$47:$T$50,2,0),VLOOKUP(X415,模板计算相关数据!$P$4:$U$7,3,0))*VLOOKUP(Y415,模板计算相关数据!$P$22:$X$30,8,0)</f>
        <v>4.4674509803921572</v>
      </c>
      <c r="S415" s="62">
        <v>5.4</v>
      </c>
      <c r="T415" s="133">
        <f>IF(P415=模板计算相关数据!$AB$24,VLOOKUP(X415,模板计算相关数据!$P$47:$T$50,5,0),VLOOKUP(X415,模板计算相关数据!$P$4:$U$7,6,0))*VLOOKUP(Y415,模板计算相关数据!$P$22:$X$30,9,0)</f>
        <v>5.4739930589768004</v>
      </c>
      <c r="U415" s="98">
        <v>34</v>
      </c>
      <c r="V415" s="95">
        <f t="shared" si="52"/>
        <v>19</v>
      </c>
      <c r="W415" s="29">
        <f>VLOOKUP(U415,模板计算相关数据!A:N,2,0)</f>
        <v>16</v>
      </c>
      <c r="X415" s="3" t="s">
        <v>151</v>
      </c>
      <c r="Y415" s="3" t="s">
        <v>162</v>
      </c>
      <c r="Z415" s="99">
        <v>1</v>
      </c>
      <c r="AA415" s="95">
        <v>1</v>
      </c>
      <c r="AB415" s="95">
        <v>1</v>
      </c>
      <c r="AC415" s="95">
        <v>1</v>
      </c>
      <c r="AD415" s="95">
        <v>0</v>
      </c>
      <c r="AE415" s="95">
        <v>0</v>
      </c>
      <c r="AF415" s="95">
        <v>0</v>
      </c>
      <c r="AG415" s="95">
        <v>0</v>
      </c>
      <c r="AH415" s="95">
        <v>0</v>
      </c>
      <c r="AI415" s="95">
        <v>2000</v>
      </c>
      <c r="AJ415" s="3">
        <f>INT(VLOOKUP(U415,模板计算相关数据!A:N,4,0)*VLOOKUP(U415,模板计算相关数据!A:N,14,0)*(1+MAX(0,(VLOOKUP(U415,模板计算相关数据!A:N,7,0)-AQ415))*VLOOKUP(U415,模板计算相关数据!A:N,8,0))*(1-(AL415+AM415)*0.5/((AL415+AM415)*0.5+(VLOOKUP(U415,模板计算相关数据!A:N,2,0)+模板计算相关数据!$AC$27)*模板计算相关数据!$AC$28))*Q415*Z415)</f>
        <v>1398</v>
      </c>
      <c r="AK415" s="3">
        <f>INT(VLOOKUP(U415,模板计算相关数据!A:N,3,0)/模板计算相关数据!$W$35/(1+MAX(0,(AO415/10000-VLOOKUP(U415,模板计算相关数据!A:N,9,0)))*AP415/10000)/(1-VLOOKUP(U415,模板计算相关数据!A:N,5,0)/(VLOOKUP(U415,模板计算相关数据!A:N,5,0)+(VLOOKUP(U415,模板计算相关数据!A:N,2,0)+模板计算相关数据!$AC$27)*模板计算相关数据!$AC$28))/S415*AA415)</f>
        <v>396</v>
      </c>
      <c r="AL415" s="3">
        <f>INT(VLOOKUP(U415,模板计算相关数据!A:N,5,0)*VLOOKUP(X415,模板计算相关数据!$P$4:$T$7,4,0)*VLOOKUP(Y415,模板计算相关数据!$P$22:$U$30,4,0)*AB415)</f>
        <v>530</v>
      </c>
      <c r="AM415" s="3">
        <f>INT(VLOOKUP(U415,模板计算相关数据!A:N,6,0)*VLOOKUP(X415,模板计算相关数据!$P$4:$T$7,4,0)*VLOOKUP(Y415,模板计算相关数据!$P$22:$U$30,5,0)*AC415)</f>
        <v>895</v>
      </c>
      <c r="AN415" s="3">
        <f>VLOOKUP(U415,模板计算相关数据!A:N,10,0)*0.5*VLOOKUP(Y415,模板计算相关数据!$P$22:$U$30,6,0)+AD415</f>
        <v>250</v>
      </c>
      <c r="AO415" s="3">
        <f>VLOOKUP(INT(VLOOKUP(U415,模板计算相关数据!A:N,2,0)/30)+1,模板计算相关数据!$O$35:$U$40,3,0)+AE415</f>
        <v>0</v>
      </c>
      <c r="AP415" s="3">
        <f>VLOOKUP(INT(VLOOKUP(U415,模板计算相关数据!A:N,2,0)/30)+1,模板计算相关数据!$O$35:$U$40,4,0)+AF415</f>
        <v>5000</v>
      </c>
      <c r="AQ415" s="3">
        <f>VLOOKUP(INT(VLOOKUP(U415,模板计算相关数据!A:N,2,0)/30)+1,模板计算相关数据!$O$35:$U$40,5,0)+AG415</f>
        <v>0</v>
      </c>
      <c r="AR415" s="3">
        <f>VLOOKUP(INT(VLOOKUP(U415,模板计算相关数据!A:N,2,0)/30)+1,模板计算相关数据!$O$35:$U$40,6,0)+AH415</f>
        <v>0</v>
      </c>
      <c r="AS415" s="3">
        <f>VLOOKUP(INT(VLOOKUP(U415,模板计算相关数据!A:N,2,0)/30)+1,模板计算相关数据!$O$35:$U$40,7,0)+AI415</f>
        <v>2000</v>
      </c>
      <c r="AT415" s="3">
        <f>VLOOKUP(INT(VLOOKUP(U415,模板计算相关数据!A:N,2,0)/30)+1,模板计算相关数据!$O$35:$V$40,8,0)</f>
        <v>0</v>
      </c>
      <c r="AU415" s="2"/>
    </row>
    <row r="416" spans="1:47" x14ac:dyDescent="0.2">
      <c r="A416" s="3">
        <v>304210</v>
      </c>
      <c r="B416" s="3"/>
      <c r="C416" s="69" t="s">
        <v>1736</v>
      </c>
      <c r="D416" s="69" t="s">
        <v>1075</v>
      </c>
      <c r="E416" s="2"/>
      <c r="F416" s="3">
        <v>2</v>
      </c>
      <c r="G416" s="3">
        <v>1003501</v>
      </c>
      <c r="H416" s="3">
        <v>4</v>
      </c>
      <c r="I416" s="3">
        <v>4</v>
      </c>
      <c r="J416" s="3">
        <v>3</v>
      </c>
      <c r="K416" s="3"/>
      <c r="L416" s="2" t="s">
        <v>280</v>
      </c>
      <c r="M416" s="2"/>
      <c r="N416" s="2">
        <v>1</v>
      </c>
      <c r="O416" s="2"/>
      <c r="P416" s="3" t="s">
        <v>1615</v>
      </c>
      <c r="Q416" s="95">
        <f t="shared" si="55"/>
        <v>4.4674509803921572</v>
      </c>
      <c r="R416" s="133">
        <f>IF(P416=模板计算相关数据!$AB$24,VLOOKUP(X416,模板计算相关数据!$P$47:$T$50,2,0),VLOOKUP(X416,模板计算相关数据!$P$4:$U$7,3,0))*VLOOKUP(Y416,模板计算相关数据!$P$22:$X$30,8,0)</f>
        <v>4.4674509803921572</v>
      </c>
      <c r="S416" s="62">
        <v>5.2</v>
      </c>
      <c r="T416" s="133">
        <f>IF(P416=模板计算相关数据!$AB$24,VLOOKUP(X416,模板计算相关数据!$P$47:$T$50,5,0),VLOOKUP(X416,模板计算相关数据!$P$4:$U$7,6,0))*VLOOKUP(Y416,模板计算相关数据!$P$22:$X$30,9,0)</f>
        <v>5.4739930589768004</v>
      </c>
      <c r="U416" s="98">
        <v>35</v>
      </c>
      <c r="V416" s="95">
        <f t="shared" si="52"/>
        <v>33</v>
      </c>
      <c r="W416" s="29">
        <f>VLOOKUP(U416,模板计算相关数据!A:N,2,0)</f>
        <v>30</v>
      </c>
      <c r="X416" s="3" t="s">
        <v>151</v>
      </c>
      <c r="Y416" s="3" t="s">
        <v>162</v>
      </c>
      <c r="Z416" s="99">
        <v>1</v>
      </c>
      <c r="AA416" s="95">
        <v>1</v>
      </c>
      <c r="AB416" s="95">
        <v>1</v>
      </c>
      <c r="AC416" s="95">
        <v>1</v>
      </c>
      <c r="AD416" s="95">
        <v>0</v>
      </c>
      <c r="AE416" s="95">
        <v>0</v>
      </c>
      <c r="AF416" s="95">
        <v>0</v>
      </c>
      <c r="AG416" s="95">
        <v>0</v>
      </c>
      <c r="AH416" s="95">
        <v>0</v>
      </c>
      <c r="AI416" s="95">
        <v>2000</v>
      </c>
      <c r="AJ416" s="3">
        <f>INT(VLOOKUP(U416,模板计算相关数据!A:N,4,0)*VLOOKUP(U416,模板计算相关数据!A:N,14,0)*(1+MAX(0,(VLOOKUP(U416,模板计算相关数据!A:N,7,0)-AQ416))*VLOOKUP(U416,模板计算相关数据!A:N,8,0))*(1-(AL416+AM416)*0.5/((AL416+AM416)*0.5+(VLOOKUP(U416,模板计算相关数据!A:N,2,0)+模板计算相关数据!$AC$27)*模板计算相关数据!$AC$28))*Q416*Z416)</f>
        <v>3291</v>
      </c>
      <c r="AK416" s="3">
        <f>INT(VLOOKUP(U416,模板计算相关数据!A:N,3,0)/模板计算相关数据!$W$35/(1+MAX(0,(AO416/10000-VLOOKUP(U416,模板计算相关数据!A:N,9,0)))*AP416/10000)/(1-VLOOKUP(U416,模板计算相关数据!A:N,5,0)/(VLOOKUP(U416,模板计算相关数据!A:N,5,0)+(VLOOKUP(U416,模板计算相关数据!A:N,2,0)+模板计算相关数据!$AC$27)*模板计算相关数据!$AC$28))/S416*AA416)</f>
        <v>1269</v>
      </c>
      <c r="AL416" s="3">
        <f>INT(VLOOKUP(U416,模板计算相关数据!A:N,5,0)*VLOOKUP(X416,模板计算相关数据!$P$4:$T$7,4,0)*VLOOKUP(Y416,模板计算相关数据!$P$22:$U$30,4,0)*AB416)</f>
        <v>1426</v>
      </c>
      <c r="AM416" s="3">
        <f>INT(VLOOKUP(U416,模板计算相关数据!A:N,6,0)*VLOOKUP(X416,模板计算相关数据!$P$4:$T$7,4,0)*VLOOKUP(Y416,模板计算相关数据!$P$22:$U$30,5,0)*AC416)</f>
        <v>2407</v>
      </c>
      <c r="AN416" s="3">
        <f>VLOOKUP(U416,模板计算相关数据!A:N,10,0)*0.5*VLOOKUP(Y416,模板计算相关数据!$P$22:$U$30,6,0)+AD416</f>
        <v>250</v>
      </c>
      <c r="AO416" s="3">
        <f>VLOOKUP(INT(VLOOKUP(U416,模板计算相关数据!A:N,2,0)/30)+1,模板计算相关数据!$O$35:$U$40,3,0)+AE416</f>
        <v>0</v>
      </c>
      <c r="AP416" s="3">
        <f>VLOOKUP(INT(VLOOKUP(U416,模板计算相关数据!A:N,2,0)/30)+1,模板计算相关数据!$O$35:$U$40,4,0)+AF416</f>
        <v>5000</v>
      </c>
      <c r="AQ416" s="3">
        <f>VLOOKUP(INT(VLOOKUP(U416,模板计算相关数据!A:N,2,0)/30)+1,模板计算相关数据!$O$35:$U$40,5,0)+AG416</f>
        <v>0</v>
      </c>
      <c r="AR416" s="3">
        <f>VLOOKUP(INT(VLOOKUP(U416,模板计算相关数据!A:N,2,0)/30)+1,模板计算相关数据!$O$35:$U$40,6,0)+AH416</f>
        <v>0</v>
      </c>
      <c r="AS416" s="3">
        <f>VLOOKUP(INT(VLOOKUP(U416,模板计算相关数据!A:N,2,0)/30)+1,模板计算相关数据!$O$35:$U$40,7,0)+AI416</f>
        <v>2000</v>
      </c>
      <c r="AT416" s="3">
        <f>VLOOKUP(INT(VLOOKUP(U416,模板计算相关数据!A:N,2,0)/30)+1,模板计算相关数据!$O$35:$V$40,8,0)</f>
        <v>0</v>
      </c>
      <c r="AU416" s="2"/>
    </row>
    <row r="417" spans="1:47" x14ac:dyDescent="0.2">
      <c r="A417" s="3">
        <v>304211</v>
      </c>
      <c r="B417" s="3"/>
      <c r="C417" s="69" t="s">
        <v>1736</v>
      </c>
      <c r="D417" s="69" t="s">
        <v>1072</v>
      </c>
      <c r="E417" s="2"/>
      <c r="F417" s="3">
        <v>2</v>
      </c>
      <c r="G417" s="3">
        <v>1003501</v>
      </c>
      <c r="H417" s="3">
        <v>4</v>
      </c>
      <c r="I417" s="3">
        <v>4</v>
      </c>
      <c r="J417" s="3">
        <v>3</v>
      </c>
      <c r="K417" s="3"/>
      <c r="L417" s="2" t="s">
        <v>281</v>
      </c>
      <c r="M417" s="2"/>
      <c r="N417" s="2">
        <v>1</v>
      </c>
      <c r="O417" s="2"/>
      <c r="P417" s="3" t="s">
        <v>1615</v>
      </c>
      <c r="Q417" s="95">
        <f t="shared" si="55"/>
        <v>4.4674509803921572</v>
      </c>
      <c r="R417" s="133">
        <f>IF(P417=模板计算相关数据!$AB$24,VLOOKUP(X417,模板计算相关数据!$P$47:$T$50,2,0),VLOOKUP(X417,模板计算相关数据!$P$4:$U$7,3,0))*VLOOKUP(Y417,模板计算相关数据!$P$22:$X$30,8,0)</f>
        <v>4.4674509803921572</v>
      </c>
      <c r="S417" s="62">
        <v>5</v>
      </c>
      <c r="T417" s="133">
        <f>IF(P417=模板计算相关数据!$AB$24,VLOOKUP(X417,模板计算相关数据!$P$47:$T$50,5,0),VLOOKUP(X417,模板计算相关数据!$P$4:$U$7,6,0))*VLOOKUP(Y417,模板计算相关数据!$P$22:$X$30,9,0)</f>
        <v>5.4739930589768004</v>
      </c>
      <c r="U417" s="98">
        <v>36</v>
      </c>
      <c r="V417" s="95">
        <f t="shared" si="52"/>
        <v>48</v>
      </c>
      <c r="W417" s="29">
        <f>VLOOKUP(U417,模板计算相关数据!A:N,2,0)</f>
        <v>45</v>
      </c>
      <c r="X417" s="3" t="s">
        <v>151</v>
      </c>
      <c r="Y417" s="3" t="s">
        <v>162</v>
      </c>
      <c r="Z417" s="99">
        <v>1</v>
      </c>
      <c r="AA417" s="95">
        <v>1</v>
      </c>
      <c r="AB417" s="95">
        <v>1</v>
      </c>
      <c r="AC417" s="95">
        <v>1</v>
      </c>
      <c r="AD417" s="95">
        <v>0</v>
      </c>
      <c r="AE417" s="95">
        <v>0</v>
      </c>
      <c r="AF417" s="95">
        <v>0</v>
      </c>
      <c r="AG417" s="95">
        <v>0</v>
      </c>
      <c r="AH417" s="95">
        <v>0</v>
      </c>
      <c r="AI417" s="95">
        <v>2000</v>
      </c>
      <c r="AJ417" s="3">
        <f>INT(VLOOKUP(U417,模板计算相关数据!A:N,4,0)*VLOOKUP(U417,模板计算相关数据!A:N,14,0)*(1+MAX(0,(VLOOKUP(U417,模板计算相关数据!A:N,7,0)-AQ417))*VLOOKUP(U417,模板计算相关数据!A:N,8,0))*(1-(AL417+AM417)*0.5/((AL417+AM417)*0.5+(VLOOKUP(U417,模板计算相关数据!A:N,2,0)+模板计算相关数据!$AC$27)*模板计算相关数据!$AC$28))*Q417*Z417)</f>
        <v>5227</v>
      </c>
      <c r="AK417" s="3">
        <f>INT(VLOOKUP(U417,模板计算相关数据!A:N,3,0)/模板计算相关数据!$W$35/(1+MAX(0,(AO417/10000-VLOOKUP(U417,模板计算相关数据!A:N,9,0)))*AP417/10000)/(1-VLOOKUP(U417,模板计算相关数据!A:N,5,0)/(VLOOKUP(U417,模板计算相关数据!A:N,5,0)+(VLOOKUP(U417,模板计算相关数据!A:N,2,0)+模板计算相关数据!$AC$27)*模板计算相关数据!$AC$28))/S417*AA417)</f>
        <v>2114</v>
      </c>
      <c r="AL417" s="3">
        <f>INT(VLOOKUP(U417,模板计算相关数据!A:N,5,0)*VLOOKUP(X417,模板计算相关数据!$P$4:$T$7,4,0)*VLOOKUP(Y417,模板计算相关数据!$P$22:$U$30,4,0)*AB417)</f>
        <v>2246</v>
      </c>
      <c r="AM417" s="3">
        <f>INT(VLOOKUP(U417,模板计算相关数据!A:N,6,0)*VLOOKUP(X417,模板计算相关数据!$P$4:$T$7,4,0)*VLOOKUP(Y417,模板计算相关数据!$P$22:$U$30,5,0)*AC417)</f>
        <v>3781</v>
      </c>
      <c r="AN417" s="3">
        <f>VLOOKUP(U417,模板计算相关数据!A:N,10,0)*0.5*VLOOKUP(Y417,模板计算相关数据!$P$22:$U$30,6,0)+AD417</f>
        <v>250</v>
      </c>
      <c r="AO417" s="3">
        <f>VLOOKUP(INT(VLOOKUP(U417,模板计算相关数据!A:N,2,0)/30)+1,模板计算相关数据!$O$35:$U$40,3,0)+AE417</f>
        <v>0</v>
      </c>
      <c r="AP417" s="3">
        <f>VLOOKUP(INT(VLOOKUP(U417,模板计算相关数据!A:N,2,0)/30)+1,模板计算相关数据!$O$35:$U$40,4,0)+AF417</f>
        <v>5000</v>
      </c>
      <c r="AQ417" s="3">
        <f>VLOOKUP(INT(VLOOKUP(U417,模板计算相关数据!A:N,2,0)/30)+1,模板计算相关数据!$O$35:$U$40,5,0)+AG417</f>
        <v>0</v>
      </c>
      <c r="AR417" s="3">
        <f>VLOOKUP(INT(VLOOKUP(U417,模板计算相关数据!A:N,2,0)/30)+1,模板计算相关数据!$O$35:$U$40,6,0)+AH417</f>
        <v>0</v>
      </c>
      <c r="AS417" s="3">
        <f>VLOOKUP(INT(VLOOKUP(U417,模板计算相关数据!A:N,2,0)/30)+1,模板计算相关数据!$O$35:$U$40,7,0)+AI417</f>
        <v>2000</v>
      </c>
      <c r="AT417" s="3">
        <f>VLOOKUP(INT(VLOOKUP(U417,模板计算相关数据!A:N,2,0)/30)+1,模板计算相关数据!$O$35:$V$40,8,0)</f>
        <v>0</v>
      </c>
      <c r="AU417" s="2"/>
    </row>
    <row r="418" spans="1:47" x14ac:dyDescent="0.2">
      <c r="A418" s="3">
        <v>304212</v>
      </c>
      <c r="B418" s="3"/>
      <c r="C418" s="69" t="s">
        <v>1736</v>
      </c>
      <c r="D418" s="69" t="s">
        <v>1073</v>
      </c>
      <c r="E418" s="2"/>
      <c r="F418" s="3">
        <v>2</v>
      </c>
      <c r="G418" s="3">
        <v>1003501</v>
      </c>
      <c r="H418" s="3">
        <v>4</v>
      </c>
      <c r="I418" s="3">
        <v>4</v>
      </c>
      <c r="J418" s="3">
        <v>3</v>
      </c>
      <c r="K418" s="3"/>
      <c r="L418" s="2" t="s">
        <v>282</v>
      </c>
      <c r="M418" s="2"/>
      <c r="N418" s="2">
        <v>1</v>
      </c>
      <c r="O418" s="2"/>
      <c r="P418" s="3" t="s">
        <v>1615</v>
      </c>
      <c r="Q418" s="95">
        <f t="shared" si="55"/>
        <v>4.4674509803921572</v>
      </c>
      <c r="R418" s="133">
        <f>IF(P418=模板计算相关数据!$AB$24,VLOOKUP(X418,模板计算相关数据!$P$47:$T$50,2,0),VLOOKUP(X418,模板计算相关数据!$P$4:$U$7,3,0))*VLOOKUP(Y418,模板计算相关数据!$P$22:$X$30,8,0)</f>
        <v>4.4674509803921572</v>
      </c>
      <c r="S418" s="62">
        <v>4.8</v>
      </c>
      <c r="T418" s="133">
        <f>IF(P418=模板计算相关数据!$AB$24,VLOOKUP(X418,模板计算相关数据!$P$47:$T$50,5,0),VLOOKUP(X418,模板计算相关数据!$P$4:$U$7,6,0))*VLOOKUP(Y418,模板计算相关数据!$P$22:$X$30,9,0)</f>
        <v>5.4739930589768004</v>
      </c>
      <c r="U418" s="98">
        <v>36</v>
      </c>
      <c r="V418" s="95">
        <f t="shared" si="52"/>
        <v>48</v>
      </c>
      <c r="W418" s="29">
        <f>VLOOKUP(U418,模板计算相关数据!A:N,2,0)</f>
        <v>45</v>
      </c>
      <c r="X418" s="3" t="s">
        <v>151</v>
      </c>
      <c r="Y418" s="3" t="s">
        <v>162</v>
      </c>
      <c r="Z418" s="99">
        <v>1</v>
      </c>
      <c r="AA418" s="95">
        <v>1</v>
      </c>
      <c r="AB418" s="95">
        <v>1</v>
      </c>
      <c r="AC418" s="95">
        <v>1</v>
      </c>
      <c r="AD418" s="95">
        <v>0</v>
      </c>
      <c r="AE418" s="95">
        <v>0</v>
      </c>
      <c r="AF418" s="95">
        <v>0</v>
      </c>
      <c r="AG418" s="95">
        <v>0</v>
      </c>
      <c r="AH418" s="95">
        <v>0</v>
      </c>
      <c r="AI418" s="95">
        <v>2000</v>
      </c>
      <c r="AJ418" s="3">
        <f>INT(VLOOKUP(U418,模板计算相关数据!A:N,4,0)*VLOOKUP(U418,模板计算相关数据!A:N,14,0)*(1+MAX(0,(VLOOKUP(U418,模板计算相关数据!A:N,7,0)-AQ418))*VLOOKUP(U418,模板计算相关数据!A:N,8,0))*(1-(AL418+AM418)*0.5/((AL418+AM418)*0.5+(VLOOKUP(U418,模板计算相关数据!A:N,2,0)+模板计算相关数据!$AC$27)*模板计算相关数据!$AC$28))*Q418*Z418)</f>
        <v>5227</v>
      </c>
      <c r="AK418" s="3">
        <f>INT(VLOOKUP(U418,模板计算相关数据!A:N,3,0)/模板计算相关数据!$W$35/(1+MAX(0,(AO418/10000-VLOOKUP(U418,模板计算相关数据!A:N,9,0)))*AP418/10000)/(1-VLOOKUP(U418,模板计算相关数据!A:N,5,0)/(VLOOKUP(U418,模板计算相关数据!A:N,5,0)+(VLOOKUP(U418,模板计算相关数据!A:N,2,0)+模板计算相关数据!$AC$27)*模板计算相关数据!$AC$28))/S418*AA418)</f>
        <v>2203</v>
      </c>
      <c r="AL418" s="3">
        <f>INT(VLOOKUP(U418,模板计算相关数据!A:N,5,0)*VLOOKUP(X418,模板计算相关数据!$P$4:$T$7,4,0)*VLOOKUP(Y418,模板计算相关数据!$P$22:$U$30,4,0)*AB418)</f>
        <v>2246</v>
      </c>
      <c r="AM418" s="3">
        <f>INT(VLOOKUP(U418,模板计算相关数据!A:N,6,0)*VLOOKUP(X418,模板计算相关数据!$P$4:$T$7,4,0)*VLOOKUP(Y418,模板计算相关数据!$P$22:$U$30,5,0)*AC418)</f>
        <v>3781</v>
      </c>
      <c r="AN418" s="3">
        <f>VLOOKUP(U418,模板计算相关数据!A:N,10,0)*0.5*VLOOKUP(Y418,模板计算相关数据!$P$22:$U$30,6,0)+AD418</f>
        <v>250</v>
      </c>
      <c r="AO418" s="3">
        <f>VLOOKUP(INT(VLOOKUP(U418,模板计算相关数据!A:N,2,0)/30)+1,模板计算相关数据!$O$35:$U$40,3,0)+AE418</f>
        <v>0</v>
      </c>
      <c r="AP418" s="3">
        <f>VLOOKUP(INT(VLOOKUP(U418,模板计算相关数据!A:N,2,0)/30)+1,模板计算相关数据!$O$35:$U$40,4,0)+AF418</f>
        <v>5000</v>
      </c>
      <c r="AQ418" s="3">
        <f>VLOOKUP(INT(VLOOKUP(U418,模板计算相关数据!A:N,2,0)/30)+1,模板计算相关数据!$O$35:$U$40,5,0)+AG418</f>
        <v>0</v>
      </c>
      <c r="AR418" s="3">
        <f>VLOOKUP(INT(VLOOKUP(U418,模板计算相关数据!A:N,2,0)/30)+1,模板计算相关数据!$O$35:$U$40,6,0)+AH418</f>
        <v>0</v>
      </c>
      <c r="AS418" s="3">
        <f>VLOOKUP(INT(VLOOKUP(U418,模板计算相关数据!A:N,2,0)/30)+1,模板计算相关数据!$O$35:$U$40,7,0)+AI418</f>
        <v>2000</v>
      </c>
      <c r="AT418" s="3">
        <f>VLOOKUP(INT(VLOOKUP(U418,模板计算相关数据!A:N,2,0)/30)+1,模板计算相关数据!$O$35:$V$40,8,0)</f>
        <v>0</v>
      </c>
      <c r="AU418" s="2"/>
    </row>
    <row r="419" spans="1:47" x14ac:dyDescent="0.2">
      <c r="A419" s="3">
        <v>304213</v>
      </c>
      <c r="B419" s="3"/>
      <c r="C419" s="69" t="s">
        <v>1734</v>
      </c>
      <c r="D419" s="69" t="s">
        <v>1076</v>
      </c>
      <c r="E419" s="2"/>
      <c r="F419" s="3">
        <v>2</v>
      </c>
      <c r="G419" s="3">
        <v>1003001</v>
      </c>
      <c r="H419" s="3">
        <v>3</v>
      </c>
      <c r="I419" s="3">
        <v>4</v>
      </c>
      <c r="J419" s="3">
        <v>3</v>
      </c>
      <c r="K419" s="3"/>
      <c r="L419" s="69" t="s">
        <v>962</v>
      </c>
      <c r="M419" s="2"/>
      <c r="N419" s="2">
        <v>1</v>
      </c>
      <c r="O419" s="2"/>
      <c r="P419" s="3" t="s">
        <v>1615</v>
      </c>
      <c r="Q419" s="95">
        <v>6.5</v>
      </c>
      <c r="R419" s="133">
        <f>IF(P419=模板计算相关数据!$AB$24,VLOOKUP(X419,模板计算相关数据!$P$47:$T$50,2,0),VLOOKUP(X419,模板计算相关数据!$P$4:$U$7,3,0))*VLOOKUP(Y419,模板计算相关数据!$P$22:$X$30,8,0)</f>
        <v>5.6000000000000014</v>
      </c>
      <c r="S419" s="62">
        <f t="shared" si="54"/>
        <v>6.6693344004268367</v>
      </c>
      <c r="T419" s="133">
        <f>IF(P419=模板计算相关数据!$AB$24,VLOOKUP(X419,模板计算相关数据!$P$47:$T$50,5,0),VLOOKUP(X419,模板计算相关数据!$P$4:$U$7,6,0))*VLOOKUP(Y419,模板计算相关数据!$P$22:$X$30,9,0)</f>
        <v>6.6693344004268367</v>
      </c>
      <c r="U419" s="98">
        <v>36</v>
      </c>
      <c r="V419" s="95">
        <f t="shared" si="52"/>
        <v>48</v>
      </c>
      <c r="W419" s="29">
        <f>VLOOKUP(U419,模板计算相关数据!A:N,2,0)</f>
        <v>45</v>
      </c>
      <c r="X419" s="3" t="s">
        <v>151</v>
      </c>
      <c r="Y419" s="3" t="s">
        <v>255</v>
      </c>
      <c r="Z419" s="99">
        <v>1</v>
      </c>
      <c r="AA419" s="95">
        <v>1</v>
      </c>
      <c r="AB419" s="95">
        <v>1</v>
      </c>
      <c r="AC419" s="95">
        <v>1</v>
      </c>
      <c r="AD419" s="95">
        <v>0</v>
      </c>
      <c r="AE419" s="95">
        <v>0</v>
      </c>
      <c r="AF419" s="95">
        <v>0</v>
      </c>
      <c r="AG419" s="95">
        <v>0</v>
      </c>
      <c r="AH419" s="95">
        <v>0</v>
      </c>
      <c r="AI419" s="95">
        <v>2500</v>
      </c>
      <c r="AJ419" s="3">
        <f>INT(VLOOKUP(U419,模板计算相关数据!A:N,4,0)*VLOOKUP(U419,模板计算相关数据!A:N,14,0)*(1+MAX(0,(VLOOKUP(U419,模板计算相关数据!A:N,7,0)-AQ419))*VLOOKUP(U419,模板计算相关数据!A:N,8,0))*(1-(AL419+AM419)*0.5/((AL419+AM419)*0.5+(VLOOKUP(U419,模板计算相关数据!A:N,2,0)+模板计算相关数据!$AC$27)*模板计算相关数据!$AC$28))*Q419*Z419)</f>
        <v>7150</v>
      </c>
      <c r="AK419" s="3">
        <f>INT(VLOOKUP(U419,模板计算相关数据!A:N,3,0)/模板计算相关数据!$W$35/(1+MAX(0,(AO419/10000-VLOOKUP(U419,模板计算相关数据!A:N,9,0)))*AP419/10000)/(1-VLOOKUP(U419,模板计算相关数据!A:N,5,0)/(VLOOKUP(U419,模板计算相关数据!A:N,5,0)+(VLOOKUP(U419,模板计算相关数据!A:N,2,0)+模板计算相关数据!$AC$27)*模板计算相关数据!$AC$28))/S419*AA419)</f>
        <v>1585</v>
      </c>
      <c r="AL419" s="3">
        <f>INT(VLOOKUP(U419,模板计算相关数据!A:N,5,0)*VLOOKUP(X419,模板计算相关数据!$P$4:$T$7,4,0)*VLOOKUP(Y419,模板计算相关数据!$P$22:$U$30,4,0)*AB419)</f>
        <v>2456</v>
      </c>
      <c r="AM419" s="3">
        <f>INT(VLOOKUP(U419,模板计算相关数据!A:N,6,0)*VLOOKUP(X419,模板计算相关数据!$P$4:$T$7,4,0)*VLOOKUP(Y419,模板计算相关数据!$P$22:$U$30,5,0)*AC419)</f>
        <v>4552</v>
      </c>
      <c r="AN419" s="3">
        <f>VLOOKUP(U419,模板计算相关数据!A:N,10,0)*0.5*VLOOKUP(Y419,模板计算相关数据!$P$22:$U$30,6,0)+AD419</f>
        <v>225</v>
      </c>
      <c r="AO419" s="3">
        <f>VLOOKUP(INT(VLOOKUP(U419,模板计算相关数据!A:N,2,0)/30)+1,模板计算相关数据!$O$35:$U$40,3,0)+AE419</f>
        <v>0</v>
      </c>
      <c r="AP419" s="3">
        <f>VLOOKUP(INT(VLOOKUP(U419,模板计算相关数据!A:N,2,0)/30)+1,模板计算相关数据!$O$35:$U$40,4,0)+AF419</f>
        <v>5000</v>
      </c>
      <c r="AQ419" s="3">
        <f>VLOOKUP(INT(VLOOKUP(U419,模板计算相关数据!A:N,2,0)/30)+1,模板计算相关数据!$O$35:$U$40,5,0)+AG419</f>
        <v>0</v>
      </c>
      <c r="AR419" s="3">
        <f>VLOOKUP(INT(VLOOKUP(U419,模板计算相关数据!A:N,2,0)/30)+1,模板计算相关数据!$O$35:$U$40,6,0)+AH419</f>
        <v>0</v>
      </c>
      <c r="AS419" s="3">
        <f>VLOOKUP(INT(VLOOKUP(U419,模板计算相关数据!A:N,2,0)/30)+1,模板计算相关数据!$O$35:$U$40,7,0)+AI419</f>
        <v>2500</v>
      </c>
      <c r="AT419" s="3">
        <f>VLOOKUP(INT(VLOOKUP(U419,模板计算相关数据!A:N,2,0)/30)+1,模板计算相关数据!$O$35:$V$40,8,0)</f>
        <v>0</v>
      </c>
      <c r="AU419" s="2"/>
    </row>
    <row r="420" spans="1:47" x14ac:dyDescent="0.2">
      <c r="A420" s="3">
        <v>304214</v>
      </c>
      <c r="B420" s="3"/>
      <c r="C420" s="69" t="s">
        <v>1735</v>
      </c>
      <c r="D420" s="69" t="s">
        <v>1076</v>
      </c>
      <c r="E420" s="2"/>
      <c r="F420" s="3">
        <v>2</v>
      </c>
      <c r="G420" s="3">
        <v>1003301</v>
      </c>
      <c r="H420" s="3">
        <v>2</v>
      </c>
      <c r="I420" s="3">
        <v>4</v>
      </c>
      <c r="J420" s="3">
        <v>3</v>
      </c>
      <c r="K420" s="3"/>
      <c r="L420" s="69" t="s">
        <v>963</v>
      </c>
      <c r="M420" s="2"/>
      <c r="N420" s="2">
        <v>1</v>
      </c>
      <c r="O420" s="2"/>
      <c r="P420" s="3" t="s">
        <v>1615</v>
      </c>
      <c r="Q420" s="95">
        <v>8.1</v>
      </c>
      <c r="R420" s="133">
        <f>IF(P420=模板计算相关数据!$AB$24,VLOOKUP(X420,模板计算相关数据!$P$47:$T$50,2,0),VLOOKUP(X420,模板计算相关数据!$P$4:$U$7,3,0))*VLOOKUP(Y420,模板计算相关数据!$P$22:$X$30,8,0)</f>
        <v>6.9411764705882364</v>
      </c>
      <c r="S420" s="62">
        <v>8.6</v>
      </c>
      <c r="T420" s="133">
        <f>IF(P420=模板计算相关数据!$AB$24,VLOOKUP(X420,模板计算相关数据!$P$47:$T$50,5,0),VLOOKUP(X420,模板计算相关数据!$P$4:$U$7,6,0))*VLOOKUP(Y420,模板计算相关数据!$P$22:$X$30,9,0)</f>
        <v>8.2943498888557112</v>
      </c>
      <c r="U420" s="98">
        <v>36</v>
      </c>
      <c r="V420" s="95">
        <f t="shared" si="52"/>
        <v>48</v>
      </c>
      <c r="W420" s="29">
        <f>VLOOKUP(U420,模板计算相关数据!A:N,2,0)</f>
        <v>45</v>
      </c>
      <c r="X420" s="3" t="s">
        <v>151</v>
      </c>
      <c r="Y420" s="3" t="s">
        <v>155</v>
      </c>
      <c r="Z420" s="99">
        <v>1</v>
      </c>
      <c r="AA420" s="95">
        <v>1</v>
      </c>
      <c r="AB420" s="95">
        <v>1</v>
      </c>
      <c r="AC420" s="95">
        <v>1</v>
      </c>
      <c r="AD420" s="95">
        <v>0</v>
      </c>
      <c r="AE420" s="95">
        <v>0</v>
      </c>
      <c r="AF420" s="95">
        <v>0</v>
      </c>
      <c r="AG420" s="95">
        <v>0</v>
      </c>
      <c r="AH420" s="95">
        <v>0</v>
      </c>
      <c r="AI420" s="95">
        <v>2000</v>
      </c>
      <c r="AJ420" s="3">
        <f>INT(VLOOKUP(U420,模板计算相关数据!A:N,4,0)*VLOOKUP(U420,模板计算相关数据!A:N,14,0)*(1+MAX(0,(VLOOKUP(U420,模板计算相关数据!A:N,7,0)-AQ420))*VLOOKUP(U420,模板计算相关数据!A:N,8,0))*(1-(AL420+AM420)*0.5/((AL420+AM420)*0.5+(VLOOKUP(U420,模板计算相关数据!A:N,2,0)+模板计算相关数据!$AC$27)*模板计算相关数据!$AC$28))*Q420*Z420)</f>
        <v>8870</v>
      </c>
      <c r="AK420" s="3">
        <f>INT(VLOOKUP(U420,模板计算相关数据!A:N,3,0)/模板计算相关数据!$W$35/(1+MAX(0,(AO420/10000-VLOOKUP(U420,模板计算相关数据!A:N,9,0)))*AP420/10000)/(1-VLOOKUP(U420,模板计算相关数据!A:N,5,0)/(VLOOKUP(U420,模板计算相关数据!A:N,5,0)+(VLOOKUP(U420,模板计算相关数据!A:N,2,0)+模板计算相关数据!$AC$27)*模板计算相关数据!$AC$28))/S420*AA420)</f>
        <v>1229</v>
      </c>
      <c r="AL420" s="3">
        <f>INT(VLOOKUP(U420,模板计算相关数据!A:N,5,0)*VLOOKUP(X420,模板计算相关数据!$P$4:$T$7,4,0)*VLOOKUP(Y420,模板计算相关数据!$P$22:$U$30,4,0)*AB420)</f>
        <v>4562</v>
      </c>
      <c r="AM420" s="3">
        <f>INT(VLOOKUP(U420,模板计算相关数据!A:N,6,0)*VLOOKUP(X420,模板计算相关数据!$P$4:$T$7,4,0)*VLOOKUP(Y420,模板计算相关数据!$P$22:$U$30,5,0)*AC420)</f>
        <v>2521</v>
      </c>
      <c r="AN420" s="3">
        <f>VLOOKUP(U420,模板计算相关数据!A:N,10,0)*0.5*VLOOKUP(Y420,模板计算相关数据!$P$22:$U$30,6,0)+AD420</f>
        <v>225</v>
      </c>
      <c r="AO420" s="3">
        <f>VLOOKUP(INT(VLOOKUP(U420,模板计算相关数据!A:N,2,0)/30)+1,模板计算相关数据!$O$35:$U$40,3,0)+AE420</f>
        <v>0</v>
      </c>
      <c r="AP420" s="3">
        <f>VLOOKUP(INT(VLOOKUP(U420,模板计算相关数据!A:N,2,0)/30)+1,模板计算相关数据!$O$35:$U$40,4,0)+AF420</f>
        <v>5000</v>
      </c>
      <c r="AQ420" s="3">
        <f>VLOOKUP(INT(VLOOKUP(U420,模板计算相关数据!A:N,2,0)/30)+1,模板计算相关数据!$O$35:$U$40,5,0)+AG420</f>
        <v>0</v>
      </c>
      <c r="AR420" s="3">
        <f>VLOOKUP(INT(VLOOKUP(U420,模板计算相关数据!A:N,2,0)/30)+1,模板计算相关数据!$O$35:$U$40,6,0)+AH420</f>
        <v>0</v>
      </c>
      <c r="AS420" s="3">
        <f>VLOOKUP(INT(VLOOKUP(U420,模板计算相关数据!A:N,2,0)/30)+1,模板计算相关数据!$O$35:$U$40,7,0)+AI420</f>
        <v>2000</v>
      </c>
      <c r="AT420" s="3">
        <f>VLOOKUP(INT(VLOOKUP(U420,模板计算相关数据!A:N,2,0)/30)+1,模板计算相关数据!$O$35:$V$40,8,0)</f>
        <v>0</v>
      </c>
      <c r="AU420" s="2"/>
    </row>
    <row r="421" spans="1:47" x14ac:dyDescent="0.2">
      <c r="A421" s="3">
        <v>304215</v>
      </c>
      <c r="B421" s="3"/>
      <c r="C421" s="69" t="s">
        <v>1736</v>
      </c>
      <c r="D421" s="69" t="s">
        <v>1076</v>
      </c>
      <c r="E421" s="2"/>
      <c r="F421" s="3">
        <v>2</v>
      </c>
      <c r="G421" s="3">
        <v>1003501</v>
      </c>
      <c r="H421" s="3">
        <v>4</v>
      </c>
      <c r="I421" s="3">
        <v>4</v>
      </c>
      <c r="J421" s="3">
        <v>3</v>
      </c>
      <c r="K421" s="3"/>
      <c r="L421" s="69" t="s">
        <v>964</v>
      </c>
      <c r="M421" s="2"/>
      <c r="N421" s="2">
        <v>1</v>
      </c>
      <c r="O421" s="2"/>
      <c r="P421" s="3" t="s">
        <v>1615</v>
      </c>
      <c r="Q421" s="95">
        <f t="shared" si="55"/>
        <v>4.4674509803921572</v>
      </c>
      <c r="R421" s="133">
        <f>IF(P421=模板计算相关数据!$AB$24,VLOOKUP(X421,模板计算相关数据!$P$47:$T$50,2,0),VLOOKUP(X421,模板计算相关数据!$P$4:$U$7,3,0))*VLOOKUP(Y421,模板计算相关数据!$P$22:$X$30,8,0)</f>
        <v>4.4674509803921572</v>
      </c>
      <c r="S421" s="62">
        <v>4.5</v>
      </c>
      <c r="T421" s="133">
        <f>IF(P421=模板计算相关数据!$AB$24,VLOOKUP(X421,模板计算相关数据!$P$47:$T$50,5,0),VLOOKUP(X421,模板计算相关数据!$P$4:$U$7,6,0))*VLOOKUP(Y421,模板计算相关数据!$P$22:$X$30,9,0)</f>
        <v>5.4739930589768004</v>
      </c>
      <c r="U421" s="98">
        <v>36</v>
      </c>
      <c r="V421" s="95">
        <f t="shared" si="52"/>
        <v>48</v>
      </c>
      <c r="W421" s="29">
        <f>VLOOKUP(U421,模板计算相关数据!A:N,2,0)</f>
        <v>45</v>
      </c>
      <c r="X421" s="3" t="s">
        <v>151</v>
      </c>
      <c r="Y421" s="3" t="s">
        <v>162</v>
      </c>
      <c r="Z421" s="99">
        <v>1</v>
      </c>
      <c r="AA421" s="95">
        <v>1</v>
      </c>
      <c r="AB421" s="95">
        <v>1</v>
      </c>
      <c r="AC421" s="95">
        <v>1</v>
      </c>
      <c r="AD421" s="95">
        <v>0</v>
      </c>
      <c r="AE421" s="95">
        <v>0</v>
      </c>
      <c r="AF421" s="95">
        <v>0</v>
      </c>
      <c r="AG421" s="95">
        <v>0</v>
      </c>
      <c r="AH421" s="95">
        <v>0</v>
      </c>
      <c r="AI421" s="95">
        <v>2000</v>
      </c>
      <c r="AJ421" s="3">
        <f>INT(VLOOKUP(U421,模板计算相关数据!A:N,4,0)*VLOOKUP(U421,模板计算相关数据!A:N,14,0)*(1+MAX(0,(VLOOKUP(U421,模板计算相关数据!A:N,7,0)-AQ421))*VLOOKUP(U421,模板计算相关数据!A:N,8,0))*(1-(AL421+AM421)*0.5/((AL421+AM421)*0.5+(VLOOKUP(U421,模板计算相关数据!A:N,2,0)+模板计算相关数据!$AC$27)*模板计算相关数据!$AC$28))*Q421*Z421)</f>
        <v>5227</v>
      </c>
      <c r="AK421" s="3">
        <f>INT(VLOOKUP(U421,模板计算相关数据!A:N,3,0)/模板计算相关数据!$W$35/(1+MAX(0,(AO421/10000-VLOOKUP(U421,模板计算相关数据!A:N,9,0)))*AP421/10000)/(1-VLOOKUP(U421,模板计算相关数据!A:N,5,0)/(VLOOKUP(U421,模板计算相关数据!A:N,5,0)+(VLOOKUP(U421,模板计算相关数据!A:N,2,0)+模板计算相关数据!$AC$27)*模板计算相关数据!$AC$28))/S421*AA421)</f>
        <v>2349</v>
      </c>
      <c r="AL421" s="3">
        <f>INT(VLOOKUP(U421,模板计算相关数据!A:N,5,0)*VLOOKUP(X421,模板计算相关数据!$P$4:$T$7,4,0)*VLOOKUP(Y421,模板计算相关数据!$P$22:$U$30,4,0)*AB421)</f>
        <v>2246</v>
      </c>
      <c r="AM421" s="3">
        <f>INT(VLOOKUP(U421,模板计算相关数据!A:N,6,0)*VLOOKUP(X421,模板计算相关数据!$P$4:$T$7,4,0)*VLOOKUP(Y421,模板计算相关数据!$P$22:$U$30,5,0)*AC421)</f>
        <v>3781</v>
      </c>
      <c r="AN421" s="3">
        <f>VLOOKUP(U421,模板计算相关数据!A:N,10,0)*0.5*VLOOKUP(Y421,模板计算相关数据!$P$22:$U$30,6,0)+AD421</f>
        <v>250</v>
      </c>
      <c r="AO421" s="3">
        <f>VLOOKUP(INT(VLOOKUP(U421,模板计算相关数据!A:N,2,0)/30)+1,模板计算相关数据!$O$35:$U$40,3,0)+AE421</f>
        <v>0</v>
      </c>
      <c r="AP421" s="3">
        <f>VLOOKUP(INT(VLOOKUP(U421,模板计算相关数据!A:N,2,0)/30)+1,模板计算相关数据!$O$35:$U$40,4,0)+AF421</f>
        <v>5000</v>
      </c>
      <c r="AQ421" s="3">
        <f>VLOOKUP(INT(VLOOKUP(U421,模板计算相关数据!A:N,2,0)/30)+1,模板计算相关数据!$O$35:$U$40,5,0)+AG421</f>
        <v>0</v>
      </c>
      <c r="AR421" s="3">
        <f>VLOOKUP(INT(VLOOKUP(U421,模板计算相关数据!A:N,2,0)/30)+1,模板计算相关数据!$O$35:$U$40,6,0)+AH421</f>
        <v>0</v>
      </c>
      <c r="AS421" s="3">
        <f>VLOOKUP(INT(VLOOKUP(U421,模板计算相关数据!A:N,2,0)/30)+1,模板计算相关数据!$O$35:$U$40,7,0)+AI421</f>
        <v>2000</v>
      </c>
      <c r="AT421" s="3">
        <f>VLOOKUP(INT(VLOOKUP(U421,模板计算相关数据!A:N,2,0)/30)+1,模板计算相关数据!$O$35:$V$40,8,0)</f>
        <v>0</v>
      </c>
      <c r="AU421" s="2"/>
    </row>
    <row r="422" spans="1:47" s="149" customFormat="1" x14ac:dyDescent="0.2">
      <c r="A422" s="43">
        <v>304301</v>
      </c>
      <c r="B422" s="43"/>
      <c r="C422" s="25" t="s">
        <v>1737</v>
      </c>
      <c r="D422" s="25" t="s">
        <v>1077</v>
      </c>
      <c r="E422" s="17"/>
      <c r="F422" s="43">
        <v>1</v>
      </c>
      <c r="G422" s="43">
        <v>1001401</v>
      </c>
      <c r="H422" s="43">
        <v>4</v>
      </c>
      <c r="I422" s="43">
        <v>4</v>
      </c>
      <c r="J422" s="43">
        <v>3</v>
      </c>
      <c r="K422" s="43"/>
      <c r="L422" s="17" t="s">
        <v>283</v>
      </c>
      <c r="M422" s="17"/>
      <c r="N422" s="17">
        <v>1</v>
      </c>
      <c r="O422" s="17"/>
      <c r="P422" s="43" t="s">
        <v>1615</v>
      </c>
      <c r="Q422" s="147">
        <f t="shared" si="55"/>
        <v>4.4674509803921572</v>
      </c>
      <c r="R422" s="133">
        <f>IF(P422=模板计算相关数据!$AB$24,VLOOKUP(X422,模板计算相关数据!$P$47:$T$50,2,0),VLOOKUP(X422,模板计算相关数据!$P$4:$U$7,3,0))*VLOOKUP(Y422,模板计算相关数据!$P$22:$X$30,8,0)</f>
        <v>4.4674509803921572</v>
      </c>
      <c r="S422" s="42">
        <f t="shared" si="54"/>
        <v>5.4739930589768004</v>
      </c>
      <c r="T422" s="133">
        <f>IF(P422=模板计算相关数据!$AB$24,VLOOKUP(X422,模板计算相关数据!$P$47:$T$50,5,0),VLOOKUP(X422,模板计算相关数据!$P$4:$U$7,6,0))*VLOOKUP(Y422,模板计算相关数据!$P$22:$X$30,9,0)</f>
        <v>5.4739930589768004</v>
      </c>
      <c r="U422" s="150">
        <v>34</v>
      </c>
      <c r="V422" s="95">
        <f t="shared" si="52"/>
        <v>19</v>
      </c>
      <c r="W422" s="29">
        <f>VLOOKUP(U422,模板计算相关数据!A:N,2,0)</f>
        <v>16</v>
      </c>
      <c r="X422" s="43" t="s">
        <v>151</v>
      </c>
      <c r="Y422" s="43" t="s">
        <v>162</v>
      </c>
      <c r="Z422" s="148">
        <v>1</v>
      </c>
      <c r="AA422" s="147">
        <v>1</v>
      </c>
      <c r="AB422" s="147">
        <v>1</v>
      </c>
      <c r="AC422" s="147">
        <v>1</v>
      </c>
      <c r="AD422" s="147">
        <v>0</v>
      </c>
      <c r="AE422" s="147">
        <v>0</v>
      </c>
      <c r="AF422" s="147">
        <v>0</v>
      </c>
      <c r="AG422" s="147">
        <v>0</v>
      </c>
      <c r="AH422" s="147">
        <v>0</v>
      </c>
      <c r="AI422" s="147">
        <v>0</v>
      </c>
      <c r="AJ422" s="43">
        <f>INT(VLOOKUP(U422,模板计算相关数据!A:N,4,0)*VLOOKUP(U422,模板计算相关数据!A:N,14,0)*(1+MAX(0,(VLOOKUP(U422,模板计算相关数据!A:N,7,0)-AQ422))*VLOOKUP(U422,模板计算相关数据!A:N,8,0))*(1-(AL422+AM422)*0.5/((AL422+AM422)*0.5+(VLOOKUP(U422,模板计算相关数据!A:N,2,0)+模板计算相关数据!$AC$27)*模板计算相关数据!$AC$28))*Q422*Z422)</f>
        <v>1398</v>
      </c>
      <c r="AK422" s="43">
        <f>INT(VLOOKUP(U422,模板计算相关数据!A:N,3,0)/模板计算相关数据!$W$35/(1+MAX(0,(AO422/10000-VLOOKUP(U422,模板计算相关数据!A:N,9,0)))*AP422/10000)/(1-VLOOKUP(U422,模板计算相关数据!A:N,5,0)/(VLOOKUP(U422,模板计算相关数据!A:N,5,0)+(VLOOKUP(U422,模板计算相关数据!A:N,2,0)+模板计算相关数据!$AC$27)*模板计算相关数据!$AC$28))/S422*AA422)</f>
        <v>391</v>
      </c>
      <c r="AL422" s="43">
        <f>INT(VLOOKUP(U422,模板计算相关数据!A:N,5,0)*VLOOKUP(X422,模板计算相关数据!$P$4:$T$7,4,0)*VLOOKUP(Y422,模板计算相关数据!$P$22:$U$30,4,0)*AB422)</f>
        <v>530</v>
      </c>
      <c r="AM422" s="43">
        <f>INT(VLOOKUP(U422,模板计算相关数据!A:N,6,0)*VLOOKUP(X422,模板计算相关数据!$P$4:$T$7,4,0)*VLOOKUP(Y422,模板计算相关数据!$P$22:$U$30,5,0)*AC422)</f>
        <v>895</v>
      </c>
      <c r="AN422" s="43">
        <f>VLOOKUP(U422,模板计算相关数据!A:N,10,0)*0.5*VLOOKUP(Y422,模板计算相关数据!$P$22:$U$30,6,0)+AD422</f>
        <v>250</v>
      </c>
      <c r="AO422" s="43">
        <f>VLOOKUP(INT(VLOOKUP(U422,模板计算相关数据!A:N,2,0)/30)+1,模板计算相关数据!$O$35:$U$40,3,0)+AE422</f>
        <v>0</v>
      </c>
      <c r="AP422" s="43">
        <f>VLOOKUP(INT(VLOOKUP(U422,模板计算相关数据!A:N,2,0)/30)+1,模板计算相关数据!$O$35:$U$40,4,0)+AF422</f>
        <v>5000</v>
      </c>
      <c r="AQ422" s="43">
        <f>VLOOKUP(INT(VLOOKUP(U422,模板计算相关数据!A:N,2,0)/30)+1,模板计算相关数据!$O$35:$U$40,5,0)+AG422</f>
        <v>0</v>
      </c>
      <c r="AR422" s="43">
        <f>VLOOKUP(INT(VLOOKUP(U422,模板计算相关数据!A:N,2,0)/30)+1,模板计算相关数据!$O$35:$U$40,6,0)+AH422</f>
        <v>0</v>
      </c>
      <c r="AS422" s="43">
        <f>VLOOKUP(INT(VLOOKUP(U422,模板计算相关数据!A:N,2,0)/30)+1,模板计算相关数据!$O$35:$U$40,7,0)+AI422</f>
        <v>0</v>
      </c>
      <c r="AT422" s="43">
        <f>VLOOKUP(INT(VLOOKUP(U422,模板计算相关数据!A:N,2,0)/30)+1,模板计算相关数据!$O$35:$V$40,8,0)</f>
        <v>0</v>
      </c>
      <c r="AU422" s="17"/>
    </row>
    <row r="423" spans="1:47" x14ac:dyDescent="0.2">
      <c r="A423" s="3">
        <v>304302</v>
      </c>
      <c r="B423" s="3"/>
      <c r="C423" s="69" t="s">
        <v>1737</v>
      </c>
      <c r="D423" s="69" t="s">
        <v>1078</v>
      </c>
      <c r="E423" s="2"/>
      <c r="F423" s="3">
        <v>1</v>
      </c>
      <c r="G423" s="3">
        <v>1001401</v>
      </c>
      <c r="H423" s="3">
        <v>4</v>
      </c>
      <c r="I423" s="3">
        <v>4</v>
      </c>
      <c r="J423" s="3">
        <v>3</v>
      </c>
      <c r="K423" s="3"/>
      <c r="L423" s="2" t="s">
        <v>284</v>
      </c>
      <c r="M423" s="2"/>
      <c r="N423" s="2">
        <v>1</v>
      </c>
      <c r="O423" s="2"/>
      <c r="P423" s="3" t="s">
        <v>1615</v>
      </c>
      <c r="Q423" s="95">
        <f t="shared" si="55"/>
        <v>4.4674509803921572</v>
      </c>
      <c r="R423" s="133">
        <f>IF(P423=模板计算相关数据!$AB$24,VLOOKUP(X423,模板计算相关数据!$P$47:$T$50,2,0),VLOOKUP(X423,模板计算相关数据!$P$4:$U$7,3,0))*VLOOKUP(Y423,模板计算相关数据!$P$22:$X$30,8,0)</f>
        <v>4.4674509803921572</v>
      </c>
      <c r="S423" s="62">
        <v>5.37</v>
      </c>
      <c r="T423" s="133">
        <f>IF(P423=模板计算相关数据!$AB$24,VLOOKUP(X423,模板计算相关数据!$P$47:$T$50,5,0),VLOOKUP(X423,模板计算相关数据!$P$4:$U$7,6,0))*VLOOKUP(Y423,模板计算相关数据!$P$22:$X$30,9,0)</f>
        <v>5.4739930589768004</v>
      </c>
      <c r="U423" s="98">
        <v>35</v>
      </c>
      <c r="V423" s="95">
        <f t="shared" si="52"/>
        <v>33</v>
      </c>
      <c r="W423" s="29">
        <f>VLOOKUP(U423,模板计算相关数据!A:N,2,0)</f>
        <v>30</v>
      </c>
      <c r="X423" s="3" t="s">
        <v>151</v>
      </c>
      <c r="Y423" s="3" t="s">
        <v>162</v>
      </c>
      <c r="Z423" s="99">
        <v>1</v>
      </c>
      <c r="AA423" s="95">
        <v>1</v>
      </c>
      <c r="AB423" s="95">
        <v>1</v>
      </c>
      <c r="AC423" s="95">
        <v>1</v>
      </c>
      <c r="AD423" s="95">
        <v>0</v>
      </c>
      <c r="AE423" s="95">
        <v>0</v>
      </c>
      <c r="AF423" s="95">
        <v>0</v>
      </c>
      <c r="AG423" s="95">
        <v>0</v>
      </c>
      <c r="AH423" s="95">
        <v>0</v>
      </c>
      <c r="AI423" s="95">
        <v>0</v>
      </c>
      <c r="AJ423" s="3">
        <f>INT(VLOOKUP(U423,模板计算相关数据!A:N,4,0)*VLOOKUP(U423,模板计算相关数据!A:N,14,0)*(1+MAX(0,(VLOOKUP(U423,模板计算相关数据!A:N,7,0)-AQ423))*VLOOKUP(U423,模板计算相关数据!A:N,8,0))*(1-(AL423+AM423)*0.5/((AL423+AM423)*0.5+(VLOOKUP(U423,模板计算相关数据!A:N,2,0)+模板计算相关数据!$AC$27)*模板计算相关数据!$AC$28))*Q423*Z423)</f>
        <v>3291</v>
      </c>
      <c r="AK423" s="3">
        <f>INT(VLOOKUP(U423,模板计算相关数据!A:N,3,0)/模板计算相关数据!$W$35/(1+MAX(0,(AO423/10000-VLOOKUP(U423,模板计算相关数据!A:N,9,0)))*AP423/10000)/(1-VLOOKUP(U423,模板计算相关数据!A:N,5,0)/(VLOOKUP(U423,模板计算相关数据!A:N,5,0)+(VLOOKUP(U423,模板计算相关数据!A:N,2,0)+模板计算相关数据!$AC$27)*模板计算相关数据!$AC$28))/S423*AA423)</f>
        <v>1228</v>
      </c>
      <c r="AL423" s="3">
        <f>INT(VLOOKUP(U423,模板计算相关数据!A:N,5,0)*VLOOKUP(X423,模板计算相关数据!$P$4:$T$7,4,0)*VLOOKUP(Y423,模板计算相关数据!$P$22:$U$30,4,0)*AB423)</f>
        <v>1426</v>
      </c>
      <c r="AM423" s="3">
        <f>INT(VLOOKUP(U423,模板计算相关数据!A:N,6,0)*VLOOKUP(X423,模板计算相关数据!$P$4:$T$7,4,0)*VLOOKUP(Y423,模板计算相关数据!$P$22:$U$30,5,0)*AC423)</f>
        <v>2407</v>
      </c>
      <c r="AN423" s="3">
        <f>VLOOKUP(U423,模板计算相关数据!A:N,10,0)*0.5*VLOOKUP(Y423,模板计算相关数据!$P$22:$U$30,6,0)+AD423</f>
        <v>250</v>
      </c>
      <c r="AO423" s="3">
        <f>VLOOKUP(INT(VLOOKUP(U423,模板计算相关数据!A:N,2,0)/30)+1,模板计算相关数据!$O$35:$U$40,3,0)+AE423</f>
        <v>0</v>
      </c>
      <c r="AP423" s="3">
        <f>VLOOKUP(INT(VLOOKUP(U423,模板计算相关数据!A:N,2,0)/30)+1,模板计算相关数据!$O$35:$U$40,4,0)+AF423</f>
        <v>5000</v>
      </c>
      <c r="AQ423" s="3">
        <f>VLOOKUP(INT(VLOOKUP(U423,模板计算相关数据!A:N,2,0)/30)+1,模板计算相关数据!$O$35:$U$40,5,0)+AG423</f>
        <v>0</v>
      </c>
      <c r="AR423" s="3">
        <f>VLOOKUP(INT(VLOOKUP(U423,模板计算相关数据!A:N,2,0)/30)+1,模板计算相关数据!$O$35:$U$40,6,0)+AH423</f>
        <v>0</v>
      </c>
      <c r="AS423" s="3">
        <f>VLOOKUP(INT(VLOOKUP(U423,模板计算相关数据!A:N,2,0)/30)+1,模板计算相关数据!$O$35:$U$40,7,0)+AI423</f>
        <v>0</v>
      </c>
      <c r="AT423" s="3">
        <f>VLOOKUP(INT(VLOOKUP(U423,模板计算相关数据!A:N,2,0)/30)+1,模板计算相关数据!$O$35:$V$40,8,0)</f>
        <v>0</v>
      </c>
      <c r="AU423" s="2"/>
    </row>
    <row r="424" spans="1:47" x14ac:dyDescent="0.2">
      <c r="A424" s="3">
        <v>304303</v>
      </c>
      <c r="B424" s="3"/>
      <c r="C424" s="69" t="s">
        <v>1737</v>
      </c>
      <c r="D424" s="69" t="s">
        <v>1079</v>
      </c>
      <c r="E424" s="2"/>
      <c r="F424" s="3">
        <v>1</v>
      </c>
      <c r="G424" s="3">
        <v>1001401</v>
      </c>
      <c r="H424" s="3">
        <v>4</v>
      </c>
      <c r="I424" s="3">
        <v>4</v>
      </c>
      <c r="J424" s="3">
        <v>3</v>
      </c>
      <c r="K424" s="3"/>
      <c r="L424" s="2" t="s">
        <v>285</v>
      </c>
      <c r="M424" s="2"/>
      <c r="N424" s="2">
        <v>1</v>
      </c>
      <c r="O424" s="2"/>
      <c r="P424" s="3" t="s">
        <v>1615</v>
      </c>
      <c r="Q424" s="95">
        <f t="shared" si="55"/>
        <v>4.4674509803921572</v>
      </c>
      <c r="R424" s="133">
        <f>IF(P424=模板计算相关数据!$AB$24,VLOOKUP(X424,模板计算相关数据!$P$47:$T$50,2,0),VLOOKUP(X424,模板计算相关数据!$P$4:$U$7,3,0))*VLOOKUP(Y424,模板计算相关数据!$P$22:$X$30,8,0)</f>
        <v>4.4674509803921572</v>
      </c>
      <c r="S424" s="62">
        <v>5.27</v>
      </c>
      <c r="T424" s="133">
        <f>IF(P424=模板计算相关数据!$AB$24,VLOOKUP(X424,模板计算相关数据!$P$47:$T$50,5,0),VLOOKUP(X424,模板计算相关数据!$P$4:$U$7,6,0))*VLOOKUP(Y424,模板计算相关数据!$P$22:$X$30,9,0)</f>
        <v>5.4739930589768004</v>
      </c>
      <c r="U424" s="98">
        <v>36</v>
      </c>
      <c r="V424" s="95">
        <f t="shared" si="52"/>
        <v>48</v>
      </c>
      <c r="W424" s="29">
        <f>VLOOKUP(U424,模板计算相关数据!A:N,2,0)</f>
        <v>45</v>
      </c>
      <c r="X424" s="3" t="s">
        <v>151</v>
      </c>
      <c r="Y424" s="3" t="s">
        <v>162</v>
      </c>
      <c r="Z424" s="99">
        <v>1</v>
      </c>
      <c r="AA424" s="95">
        <v>1</v>
      </c>
      <c r="AB424" s="95">
        <v>1</v>
      </c>
      <c r="AC424" s="95">
        <v>1</v>
      </c>
      <c r="AD424" s="95">
        <v>0</v>
      </c>
      <c r="AE424" s="95">
        <v>0</v>
      </c>
      <c r="AF424" s="95">
        <v>0</v>
      </c>
      <c r="AG424" s="95">
        <v>0</v>
      </c>
      <c r="AH424" s="95">
        <v>0</v>
      </c>
      <c r="AI424" s="95">
        <v>0</v>
      </c>
      <c r="AJ424" s="3">
        <f>INT(VLOOKUP(U424,模板计算相关数据!A:N,4,0)*VLOOKUP(U424,模板计算相关数据!A:N,14,0)*(1+MAX(0,(VLOOKUP(U424,模板计算相关数据!A:N,7,0)-AQ424))*VLOOKUP(U424,模板计算相关数据!A:N,8,0))*(1-(AL424+AM424)*0.5/((AL424+AM424)*0.5+(VLOOKUP(U424,模板计算相关数据!A:N,2,0)+模板计算相关数据!$AC$27)*模板计算相关数据!$AC$28))*Q424*Z424)</f>
        <v>5227</v>
      </c>
      <c r="AK424" s="3">
        <f>INT(VLOOKUP(U424,模板计算相关数据!A:N,3,0)/模板计算相关数据!$W$35/(1+MAX(0,(AO424/10000-VLOOKUP(U424,模板计算相关数据!A:N,9,0)))*AP424/10000)/(1-VLOOKUP(U424,模板计算相关数据!A:N,5,0)/(VLOOKUP(U424,模板计算相关数据!A:N,5,0)+(VLOOKUP(U424,模板计算相关数据!A:N,2,0)+模板计算相关数据!$AC$27)*模板计算相关数据!$AC$28))/S424*AA424)</f>
        <v>2006</v>
      </c>
      <c r="AL424" s="3">
        <f>INT(VLOOKUP(U424,模板计算相关数据!A:N,5,0)*VLOOKUP(X424,模板计算相关数据!$P$4:$T$7,4,0)*VLOOKUP(Y424,模板计算相关数据!$P$22:$U$30,4,0)*AB424)</f>
        <v>2246</v>
      </c>
      <c r="AM424" s="3">
        <f>INT(VLOOKUP(U424,模板计算相关数据!A:N,6,0)*VLOOKUP(X424,模板计算相关数据!$P$4:$T$7,4,0)*VLOOKUP(Y424,模板计算相关数据!$P$22:$U$30,5,0)*AC424)</f>
        <v>3781</v>
      </c>
      <c r="AN424" s="3">
        <f>VLOOKUP(U424,模板计算相关数据!A:N,10,0)*0.5*VLOOKUP(Y424,模板计算相关数据!$P$22:$U$30,6,0)+AD424</f>
        <v>250</v>
      </c>
      <c r="AO424" s="3">
        <f>VLOOKUP(INT(VLOOKUP(U424,模板计算相关数据!A:N,2,0)/30)+1,模板计算相关数据!$O$35:$U$40,3,0)+AE424</f>
        <v>0</v>
      </c>
      <c r="AP424" s="3">
        <f>VLOOKUP(INT(VLOOKUP(U424,模板计算相关数据!A:N,2,0)/30)+1,模板计算相关数据!$O$35:$U$40,4,0)+AF424</f>
        <v>5000</v>
      </c>
      <c r="AQ424" s="3">
        <f>VLOOKUP(INT(VLOOKUP(U424,模板计算相关数据!A:N,2,0)/30)+1,模板计算相关数据!$O$35:$U$40,5,0)+AG424</f>
        <v>0</v>
      </c>
      <c r="AR424" s="3">
        <f>VLOOKUP(INT(VLOOKUP(U424,模板计算相关数据!A:N,2,0)/30)+1,模板计算相关数据!$O$35:$U$40,6,0)+AH424</f>
        <v>0</v>
      </c>
      <c r="AS424" s="3">
        <f>VLOOKUP(INT(VLOOKUP(U424,模板计算相关数据!A:N,2,0)/30)+1,模板计算相关数据!$O$35:$U$40,7,0)+AI424</f>
        <v>0</v>
      </c>
      <c r="AT424" s="3">
        <f>VLOOKUP(INT(VLOOKUP(U424,模板计算相关数据!A:N,2,0)/30)+1,模板计算相关数据!$O$35:$V$40,8,0)</f>
        <v>0</v>
      </c>
      <c r="AU424" s="2"/>
    </row>
    <row r="425" spans="1:47" x14ac:dyDescent="0.2">
      <c r="A425" s="3">
        <v>304304</v>
      </c>
      <c r="B425" s="3"/>
      <c r="C425" s="69" t="s">
        <v>1737</v>
      </c>
      <c r="D425" s="69" t="s">
        <v>1080</v>
      </c>
      <c r="E425" s="2"/>
      <c r="F425" s="3">
        <v>1</v>
      </c>
      <c r="G425" s="3">
        <v>1001401</v>
      </c>
      <c r="H425" s="3">
        <v>4</v>
      </c>
      <c r="I425" s="3">
        <v>4</v>
      </c>
      <c r="J425" s="3">
        <v>3</v>
      </c>
      <c r="K425" s="3"/>
      <c r="L425" s="2" t="s">
        <v>286</v>
      </c>
      <c r="M425" s="2"/>
      <c r="N425" s="2">
        <v>1</v>
      </c>
      <c r="O425" s="2"/>
      <c r="P425" s="3" t="s">
        <v>1615</v>
      </c>
      <c r="Q425" s="95">
        <f t="shared" si="55"/>
        <v>4.4674509803921572</v>
      </c>
      <c r="R425" s="133">
        <f>IF(P425=模板计算相关数据!$AB$24,VLOOKUP(X425,模板计算相关数据!$P$47:$T$50,2,0),VLOOKUP(X425,模板计算相关数据!$P$4:$U$7,3,0))*VLOOKUP(Y425,模板计算相关数据!$P$22:$X$30,8,0)</f>
        <v>4.4674509803921572</v>
      </c>
      <c r="S425" s="62">
        <v>5.17</v>
      </c>
      <c r="T425" s="133">
        <f>IF(P425=模板计算相关数据!$AB$24,VLOOKUP(X425,模板计算相关数据!$P$47:$T$50,5,0),VLOOKUP(X425,模板计算相关数据!$P$4:$U$7,6,0))*VLOOKUP(Y425,模板计算相关数据!$P$22:$X$30,9,0)</f>
        <v>5.4739930589768004</v>
      </c>
      <c r="U425" s="98">
        <v>36</v>
      </c>
      <c r="V425" s="95">
        <f t="shared" si="52"/>
        <v>48</v>
      </c>
      <c r="W425" s="29">
        <f>VLOOKUP(U425,模板计算相关数据!A:N,2,0)</f>
        <v>45</v>
      </c>
      <c r="X425" s="3" t="s">
        <v>151</v>
      </c>
      <c r="Y425" s="3" t="s">
        <v>162</v>
      </c>
      <c r="Z425" s="99">
        <v>1</v>
      </c>
      <c r="AA425" s="95">
        <v>1</v>
      </c>
      <c r="AB425" s="95">
        <v>1</v>
      </c>
      <c r="AC425" s="95">
        <v>1</v>
      </c>
      <c r="AD425" s="95">
        <v>0</v>
      </c>
      <c r="AE425" s="95">
        <v>0</v>
      </c>
      <c r="AF425" s="95">
        <v>0</v>
      </c>
      <c r="AG425" s="95">
        <v>0</v>
      </c>
      <c r="AH425" s="95">
        <v>0</v>
      </c>
      <c r="AI425" s="95">
        <v>0</v>
      </c>
      <c r="AJ425" s="3">
        <f>INT(VLOOKUP(U425,模板计算相关数据!A:N,4,0)*VLOOKUP(U425,模板计算相关数据!A:N,14,0)*(1+MAX(0,(VLOOKUP(U425,模板计算相关数据!A:N,7,0)-AQ425))*VLOOKUP(U425,模板计算相关数据!A:N,8,0))*(1-(AL425+AM425)*0.5/((AL425+AM425)*0.5+(VLOOKUP(U425,模板计算相关数据!A:N,2,0)+模板计算相关数据!$AC$27)*模板计算相关数据!$AC$28))*Q425*Z425)</f>
        <v>5227</v>
      </c>
      <c r="AK425" s="3">
        <f>INT(VLOOKUP(U425,模板计算相关数据!A:N,3,0)/模板计算相关数据!$W$35/(1+MAX(0,(AO425/10000-VLOOKUP(U425,模板计算相关数据!A:N,9,0)))*AP425/10000)/(1-VLOOKUP(U425,模板计算相关数据!A:N,5,0)/(VLOOKUP(U425,模板计算相关数据!A:N,5,0)+(VLOOKUP(U425,模板计算相关数据!A:N,2,0)+模板计算相关数据!$AC$27)*模板计算相关数据!$AC$28))/S425*AA425)</f>
        <v>2045</v>
      </c>
      <c r="AL425" s="3">
        <f>INT(VLOOKUP(U425,模板计算相关数据!A:N,5,0)*VLOOKUP(X425,模板计算相关数据!$P$4:$T$7,4,0)*VLOOKUP(Y425,模板计算相关数据!$P$22:$U$30,4,0)*AB425)</f>
        <v>2246</v>
      </c>
      <c r="AM425" s="3">
        <f>INT(VLOOKUP(U425,模板计算相关数据!A:N,6,0)*VLOOKUP(X425,模板计算相关数据!$P$4:$T$7,4,0)*VLOOKUP(Y425,模板计算相关数据!$P$22:$U$30,5,0)*AC425)</f>
        <v>3781</v>
      </c>
      <c r="AN425" s="3">
        <f>VLOOKUP(U425,模板计算相关数据!A:N,10,0)*0.5*VLOOKUP(Y425,模板计算相关数据!$P$22:$U$30,6,0)+AD425</f>
        <v>250</v>
      </c>
      <c r="AO425" s="3">
        <f>VLOOKUP(INT(VLOOKUP(U425,模板计算相关数据!A:N,2,0)/30)+1,模板计算相关数据!$O$35:$U$40,3,0)+AE425</f>
        <v>0</v>
      </c>
      <c r="AP425" s="3">
        <f>VLOOKUP(INT(VLOOKUP(U425,模板计算相关数据!A:N,2,0)/30)+1,模板计算相关数据!$O$35:$U$40,4,0)+AF425</f>
        <v>5000</v>
      </c>
      <c r="AQ425" s="3">
        <f>VLOOKUP(INT(VLOOKUP(U425,模板计算相关数据!A:N,2,0)/30)+1,模板计算相关数据!$O$35:$U$40,5,0)+AG425</f>
        <v>0</v>
      </c>
      <c r="AR425" s="3">
        <f>VLOOKUP(INT(VLOOKUP(U425,模板计算相关数据!A:N,2,0)/30)+1,模板计算相关数据!$O$35:$U$40,6,0)+AH425</f>
        <v>0</v>
      </c>
      <c r="AS425" s="3">
        <f>VLOOKUP(INT(VLOOKUP(U425,模板计算相关数据!A:N,2,0)/30)+1,模板计算相关数据!$O$35:$U$40,7,0)+AI425</f>
        <v>0</v>
      </c>
      <c r="AT425" s="3">
        <f>VLOOKUP(INT(VLOOKUP(U425,模板计算相关数据!A:N,2,0)/30)+1,模板计算相关数据!$O$35:$V$40,8,0)</f>
        <v>0</v>
      </c>
      <c r="AU425" s="2"/>
    </row>
    <row r="426" spans="1:47" x14ac:dyDescent="0.2">
      <c r="A426" s="3">
        <v>304305</v>
      </c>
      <c r="B426" s="3"/>
      <c r="C426" s="69" t="s">
        <v>1732</v>
      </c>
      <c r="D426" s="69" t="s">
        <v>1081</v>
      </c>
      <c r="E426" s="2"/>
      <c r="F426" s="3">
        <v>1</v>
      </c>
      <c r="G426" s="3">
        <v>1001301</v>
      </c>
      <c r="H426" s="3">
        <v>1</v>
      </c>
      <c r="I426" s="3">
        <v>4</v>
      </c>
      <c r="J426" s="3">
        <v>3</v>
      </c>
      <c r="K426" s="3"/>
      <c r="L426" s="2" t="s">
        <v>287</v>
      </c>
      <c r="M426" s="2"/>
      <c r="N426" s="2">
        <v>1</v>
      </c>
      <c r="O426" s="2"/>
      <c r="P426" s="3" t="s">
        <v>1615</v>
      </c>
      <c r="Q426" s="95">
        <f t="shared" si="55"/>
        <v>4.417254901960785</v>
      </c>
      <c r="R426" s="133">
        <f>IF(P426=模板计算相关数据!$AB$24,VLOOKUP(X426,模板计算相关数据!$P$47:$T$50,2,0),VLOOKUP(X426,模板计算相关数据!$P$4:$U$7,3,0))*VLOOKUP(Y426,模板计算相关数据!$P$22:$X$30,8,0)</f>
        <v>4.417254901960785</v>
      </c>
      <c r="S426" s="62">
        <f t="shared" si="54"/>
        <v>5.4285280003474252</v>
      </c>
      <c r="T426" s="133">
        <f>IF(P426=模板计算相关数据!$AB$24,VLOOKUP(X426,模板计算相关数据!$P$47:$T$50,5,0),VLOOKUP(X426,模板计算相关数据!$P$4:$U$7,6,0))*VLOOKUP(Y426,模板计算相关数据!$P$22:$X$30,9,0)</f>
        <v>5.4285280003474252</v>
      </c>
      <c r="U426" s="98">
        <v>34</v>
      </c>
      <c r="V426" s="95">
        <f t="shared" si="52"/>
        <v>19</v>
      </c>
      <c r="W426" s="29">
        <f>VLOOKUP(U426,模板计算相关数据!A:N,2,0)</f>
        <v>16</v>
      </c>
      <c r="X426" s="3" t="s">
        <v>151</v>
      </c>
      <c r="Y426" s="3" t="s">
        <v>152</v>
      </c>
      <c r="Z426" s="99">
        <v>1</v>
      </c>
      <c r="AA426" s="95">
        <v>1</v>
      </c>
      <c r="AB426" s="95">
        <v>1</v>
      </c>
      <c r="AC426" s="95">
        <v>1</v>
      </c>
      <c r="AD426" s="95">
        <v>0</v>
      </c>
      <c r="AE426" s="95">
        <v>0</v>
      </c>
      <c r="AF426" s="95">
        <v>0</v>
      </c>
      <c r="AG426" s="95">
        <v>0</v>
      </c>
      <c r="AH426" s="95">
        <v>0</v>
      </c>
      <c r="AI426" s="95">
        <v>0</v>
      </c>
      <c r="AJ426" s="3">
        <f>INT(VLOOKUP(U426,模板计算相关数据!A:N,4,0)*VLOOKUP(U426,模板计算相关数据!A:N,14,0)*(1+MAX(0,(VLOOKUP(U426,模板计算相关数据!A:N,7,0)-AQ426))*VLOOKUP(U426,模板计算相关数据!A:N,8,0))*(1-(AL426+AM426)*0.5/((AL426+AM426)*0.5+(VLOOKUP(U426,模板计算相关数据!A:N,2,0)+模板计算相关数据!$AC$27)*模板计算相关数据!$AC$28))*Q426*Z426)</f>
        <v>1383</v>
      </c>
      <c r="AK426" s="3">
        <f>INT(VLOOKUP(U426,模板计算相关数据!A:N,3,0)/模板计算相关数据!$W$35/(1+MAX(0,(AO426/10000-VLOOKUP(U426,模板计算相关数据!A:N,9,0)))*AP426/10000)/(1-VLOOKUP(U426,模板计算相关数据!A:N,5,0)/(VLOOKUP(U426,模板计算相关数据!A:N,5,0)+(VLOOKUP(U426,模板计算相关数据!A:N,2,0)+模板计算相关数据!$AC$27)*模板计算相关数据!$AC$28))/S426*AA426)</f>
        <v>394</v>
      </c>
      <c r="AL426" s="3">
        <f>INT(VLOOKUP(U426,模板计算相关数据!A:N,5,0)*VLOOKUP(X426,模板计算相关数据!$P$4:$T$7,4,0)*VLOOKUP(Y426,模板计算相关数据!$P$22:$U$30,4,0)*AB426)</f>
        <v>895</v>
      </c>
      <c r="AM426" s="3">
        <f>INT(VLOOKUP(U426,模板计算相关数据!A:N,6,0)*VLOOKUP(X426,模板计算相关数据!$P$4:$T$7,4,0)*VLOOKUP(Y426,模板计算相关数据!$P$22:$U$30,5,0)*AC426)</f>
        <v>530</v>
      </c>
      <c r="AN426" s="3">
        <f>VLOOKUP(U426,模板计算相关数据!A:N,10,0)*0.5*VLOOKUP(Y426,模板计算相关数据!$P$22:$U$30,6,0)+AD426</f>
        <v>250</v>
      </c>
      <c r="AO426" s="3">
        <f>VLOOKUP(INT(VLOOKUP(U426,模板计算相关数据!A:N,2,0)/30)+1,模板计算相关数据!$O$35:$U$40,3,0)+AE426</f>
        <v>0</v>
      </c>
      <c r="AP426" s="3">
        <f>VLOOKUP(INT(VLOOKUP(U426,模板计算相关数据!A:N,2,0)/30)+1,模板计算相关数据!$O$35:$U$40,4,0)+AF426</f>
        <v>5000</v>
      </c>
      <c r="AQ426" s="3">
        <f>VLOOKUP(INT(VLOOKUP(U426,模板计算相关数据!A:N,2,0)/30)+1,模板计算相关数据!$O$35:$U$40,5,0)+AG426</f>
        <v>0</v>
      </c>
      <c r="AR426" s="3">
        <f>VLOOKUP(INT(VLOOKUP(U426,模板计算相关数据!A:N,2,0)/30)+1,模板计算相关数据!$O$35:$U$40,6,0)+AH426</f>
        <v>0</v>
      </c>
      <c r="AS426" s="3">
        <f>VLOOKUP(INT(VLOOKUP(U426,模板计算相关数据!A:N,2,0)/30)+1,模板计算相关数据!$O$35:$U$40,7,0)+AI426</f>
        <v>0</v>
      </c>
      <c r="AT426" s="3">
        <f>VLOOKUP(INT(VLOOKUP(U426,模板计算相关数据!A:N,2,0)/30)+1,模板计算相关数据!$O$35:$V$40,8,0)</f>
        <v>0</v>
      </c>
      <c r="AU426" s="2"/>
    </row>
    <row r="427" spans="1:47" x14ac:dyDescent="0.2">
      <c r="A427" s="3">
        <v>304306</v>
      </c>
      <c r="B427" s="3"/>
      <c r="C427" s="69" t="s">
        <v>1732</v>
      </c>
      <c r="D427" s="69" t="s">
        <v>1082</v>
      </c>
      <c r="E427" s="2"/>
      <c r="F427" s="3">
        <v>1</v>
      </c>
      <c r="G427" s="3">
        <v>1001301</v>
      </c>
      <c r="H427" s="3">
        <v>1</v>
      </c>
      <c r="I427" s="3">
        <v>4</v>
      </c>
      <c r="J427" s="3">
        <v>3</v>
      </c>
      <c r="K427" s="3"/>
      <c r="L427" s="2" t="s">
        <v>288</v>
      </c>
      <c r="M427" s="2"/>
      <c r="N427" s="2">
        <v>1</v>
      </c>
      <c r="O427" s="2"/>
      <c r="P427" s="3" t="s">
        <v>1615</v>
      </c>
      <c r="Q427" s="95">
        <f t="shared" si="55"/>
        <v>4.417254901960785</v>
      </c>
      <c r="R427" s="133">
        <f>IF(P427=模板计算相关数据!$AB$24,VLOOKUP(X427,模板计算相关数据!$P$47:$T$50,2,0),VLOOKUP(X427,模板计算相关数据!$P$4:$U$7,3,0))*VLOOKUP(Y427,模板计算相关数据!$P$22:$X$30,8,0)</f>
        <v>4.417254901960785</v>
      </c>
      <c r="S427" s="62">
        <v>5.33</v>
      </c>
      <c r="T427" s="133">
        <f>IF(P427=模板计算相关数据!$AB$24,VLOOKUP(X427,模板计算相关数据!$P$47:$T$50,5,0),VLOOKUP(X427,模板计算相关数据!$P$4:$U$7,6,0))*VLOOKUP(Y427,模板计算相关数据!$P$22:$X$30,9,0)</f>
        <v>5.4285280003474252</v>
      </c>
      <c r="U427" s="98">
        <v>35</v>
      </c>
      <c r="V427" s="95">
        <f t="shared" si="52"/>
        <v>33</v>
      </c>
      <c r="W427" s="29">
        <f>VLOOKUP(U427,模板计算相关数据!A:N,2,0)</f>
        <v>30</v>
      </c>
      <c r="X427" s="3" t="s">
        <v>151</v>
      </c>
      <c r="Y427" s="3" t="s">
        <v>152</v>
      </c>
      <c r="Z427" s="99">
        <v>1</v>
      </c>
      <c r="AA427" s="95">
        <v>1</v>
      </c>
      <c r="AB427" s="95">
        <v>1</v>
      </c>
      <c r="AC427" s="95">
        <v>1</v>
      </c>
      <c r="AD427" s="95">
        <v>0</v>
      </c>
      <c r="AE427" s="95">
        <v>0</v>
      </c>
      <c r="AF427" s="95">
        <v>0</v>
      </c>
      <c r="AG427" s="95">
        <v>0</v>
      </c>
      <c r="AH427" s="95">
        <v>0</v>
      </c>
      <c r="AI427" s="95">
        <v>0</v>
      </c>
      <c r="AJ427" s="3">
        <f>INT(VLOOKUP(U427,模板计算相关数据!A:N,4,0)*VLOOKUP(U427,模板计算相关数据!A:N,14,0)*(1+MAX(0,(VLOOKUP(U427,模板计算相关数据!A:N,7,0)-AQ427))*VLOOKUP(U427,模板计算相关数据!A:N,8,0))*(1-(AL427+AM427)*0.5/((AL427+AM427)*0.5+(VLOOKUP(U427,模板计算相关数据!A:N,2,0)+模板计算相关数据!$AC$27)*模板计算相关数据!$AC$28))*Q427*Z427)</f>
        <v>3254</v>
      </c>
      <c r="AK427" s="3">
        <f>INT(VLOOKUP(U427,模板计算相关数据!A:N,3,0)/模板计算相关数据!$W$35/(1+MAX(0,(AO427/10000-VLOOKUP(U427,模板计算相关数据!A:N,9,0)))*AP427/10000)/(1-VLOOKUP(U427,模板计算相关数据!A:N,5,0)/(VLOOKUP(U427,模板计算相关数据!A:N,5,0)+(VLOOKUP(U427,模板计算相关数据!A:N,2,0)+模板计算相关数据!$AC$27)*模板计算相关数据!$AC$28))/S427*AA427)</f>
        <v>1238</v>
      </c>
      <c r="AL427" s="3">
        <f>INT(VLOOKUP(U427,模板计算相关数据!A:N,5,0)*VLOOKUP(X427,模板计算相关数据!$P$4:$T$7,4,0)*VLOOKUP(Y427,模板计算相关数据!$P$22:$U$30,4,0)*AB427)</f>
        <v>2407</v>
      </c>
      <c r="AM427" s="3">
        <f>INT(VLOOKUP(U427,模板计算相关数据!A:N,6,0)*VLOOKUP(X427,模板计算相关数据!$P$4:$T$7,4,0)*VLOOKUP(Y427,模板计算相关数据!$P$22:$U$30,5,0)*AC427)</f>
        <v>1426</v>
      </c>
      <c r="AN427" s="3">
        <f>VLOOKUP(U427,模板计算相关数据!A:N,10,0)*0.5*VLOOKUP(Y427,模板计算相关数据!$P$22:$U$30,6,0)+AD427</f>
        <v>250</v>
      </c>
      <c r="AO427" s="3">
        <f>VLOOKUP(INT(VLOOKUP(U427,模板计算相关数据!A:N,2,0)/30)+1,模板计算相关数据!$O$35:$U$40,3,0)+AE427</f>
        <v>0</v>
      </c>
      <c r="AP427" s="3">
        <f>VLOOKUP(INT(VLOOKUP(U427,模板计算相关数据!A:N,2,0)/30)+1,模板计算相关数据!$O$35:$U$40,4,0)+AF427</f>
        <v>5000</v>
      </c>
      <c r="AQ427" s="3">
        <f>VLOOKUP(INT(VLOOKUP(U427,模板计算相关数据!A:N,2,0)/30)+1,模板计算相关数据!$O$35:$U$40,5,0)+AG427</f>
        <v>0</v>
      </c>
      <c r="AR427" s="3">
        <f>VLOOKUP(INT(VLOOKUP(U427,模板计算相关数据!A:N,2,0)/30)+1,模板计算相关数据!$O$35:$U$40,6,0)+AH427</f>
        <v>0</v>
      </c>
      <c r="AS427" s="3">
        <f>VLOOKUP(INT(VLOOKUP(U427,模板计算相关数据!A:N,2,0)/30)+1,模板计算相关数据!$O$35:$U$40,7,0)+AI427</f>
        <v>0</v>
      </c>
      <c r="AT427" s="3">
        <f>VLOOKUP(INT(VLOOKUP(U427,模板计算相关数据!A:N,2,0)/30)+1,模板计算相关数据!$O$35:$V$40,8,0)</f>
        <v>0</v>
      </c>
      <c r="AU427" s="2"/>
    </row>
    <row r="428" spans="1:47" x14ac:dyDescent="0.2">
      <c r="A428" s="3">
        <v>304307</v>
      </c>
      <c r="B428" s="3"/>
      <c r="C428" s="69" t="s">
        <v>1732</v>
      </c>
      <c r="D428" s="69" t="s">
        <v>1079</v>
      </c>
      <c r="E428" s="2"/>
      <c r="F428" s="3">
        <v>1</v>
      </c>
      <c r="G428" s="3">
        <v>1001301</v>
      </c>
      <c r="H428" s="3">
        <v>1</v>
      </c>
      <c r="I428" s="3">
        <v>4</v>
      </c>
      <c r="J428" s="3">
        <v>3</v>
      </c>
      <c r="K428" s="3"/>
      <c r="L428" s="2" t="s">
        <v>289</v>
      </c>
      <c r="M428" s="2"/>
      <c r="N428" s="2">
        <v>1</v>
      </c>
      <c r="O428" s="2"/>
      <c r="P428" s="3" t="s">
        <v>1615</v>
      </c>
      <c r="Q428" s="95">
        <f t="shared" si="55"/>
        <v>4.417254901960785</v>
      </c>
      <c r="R428" s="133">
        <f>IF(P428=模板计算相关数据!$AB$24,VLOOKUP(X428,模板计算相关数据!$P$47:$T$50,2,0),VLOOKUP(X428,模板计算相关数据!$P$4:$U$7,3,0))*VLOOKUP(Y428,模板计算相关数据!$P$22:$X$30,8,0)</f>
        <v>4.417254901960785</v>
      </c>
      <c r="S428" s="62">
        <v>5.23</v>
      </c>
      <c r="T428" s="133">
        <f>IF(P428=模板计算相关数据!$AB$24,VLOOKUP(X428,模板计算相关数据!$P$47:$T$50,5,0),VLOOKUP(X428,模板计算相关数据!$P$4:$U$7,6,0))*VLOOKUP(Y428,模板计算相关数据!$P$22:$X$30,9,0)</f>
        <v>5.4285280003474252</v>
      </c>
      <c r="U428" s="98">
        <v>36</v>
      </c>
      <c r="V428" s="95">
        <f t="shared" si="52"/>
        <v>48</v>
      </c>
      <c r="W428" s="29">
        <f>VLOOKUP(U428,模板计算相关数据!A:N,2,0)</f>
        <v>45</v>
      </c>
      <c r="X428" s="3" t="s">
        <v>151</v>
      </c>
      <c r="Y428" s="3" t="s">
        <v>152</v>
      </c>
      <c r="Z428" s="99">
        <v>1</v>
      </c>
      <c r="AA428" s="95">
        <v>1</v>
      </c>
      <c r="AB428" s="95">
        <v>1</v>
      </c>
      <c r="AC428" s="95">
        <v>1</v>
      </c>
      <c r="AD428" s="95">
        <v>0</v>
      </c>
      <c r="AE428" s="95">
        <v>0</v>
      </c>
      <c r="AF428" s="95">
        <v>0</v>
      </c>
      <c r="AG428" s="95">
        <v>0</v>
      </c>
      <c r="AH428" s="95">
        <v>0</v>
      </c>
      <c r="AI428" s="95">
        <v>0</v>
      </c>
      <c r="AJ428" s="3">
        <f>INT(VLOOKUP(U428,模板计算相关数据!A:N,4,0)*VLOOKUP(U428,模板计算相关数据!A:N,14,0)*(1+MAX(0,(VLOOKUP(U428,模板计算相关数据!A:N,7,0)-AQ428))*VLOOKUP(U428,模板计算相关数据!A:N,8,0))*(1-(AL428+AM428)*0.5/((AL428+AM428)*0.5+(VLOOKUP(U428,模板计算相关数据!A:N,2,0)+模板计算相关数据!$AC$27)*模板计算相关数据!$AC$28))*Q428*Z428)</f>
        <v>5167</v>
      </c>
      <c r="AK428" s="3">
        <f>INT(VLOOKUP(U428,模板计算相关数据!A:N,3,0)/模板计算相关数据!$W$35/(1+MAX(0,(AO428/10000-VLOOKUP(U428,模板计算相关数据!A:N,9,0)))*AP428/10000)/(1-VLOOKUP(U428,模板计算相关数据!A:N,5,0)/(VLOOKUP(U428,模板计算相关数据!A:N,5,0)+(VLOOKUP(U428,模板计算相关数据!A:N,2,0)+模板计算相关数据!$AC$27)*模板计算相关数据!$AC$28))/S428*AA428)</f>
        <v>2021</v>
      </c>
      <c r="AL428" s="3">
        <f>INT(VLOOKUP(U428,模板计算相关数据!A:N,5,0)*VLOOKUP(X428,模板计算相关数据!$P$4:$T$7,4,0)*VLOOKUP(Y428,模板计算相关数据!$P$22:$U$30,4,0)*AB428)</f>
        <v>3790</v>
      </c>
      <c r="AM428" s="3">
        <f>INT(VLOOKUP(U428,模板计算相关数据!A:N,6,0)*VLOOKUP(X428,模板计算相关数据!$P$4:$T$7,4,0)*VLOOKUP(Y428,模板计算相关数据!$P$22:$U$30,5,0)*AC428)</f>
        <v>2241</v>
      </c>
      <c r="AN428" s="3">
        <f>VLOOKUP(U428,模板计算相关数据!A:N,10,0)*0.5*VLOOKUP(Y428,模板计算相关数据!$P$22:$U$30,6,0)+AD428</f>
        <v>250</v>
      </c>
      <c r="AO428" s="3">
        <f>VLOOKUP(INT(VLOOKUP(U428,模板计算相关数据!A:N,2,0)/30)+1,模板计算相关数据!$O$35:$U$40,3,0)+AE428</f>
        <v>0</v>
      </c>
      <c r="AP428" s="3">
        <f>VLOOKUP(INT(VLOOKUP(U428,模板计算相关数据!A:N,2,0)/30)+1,模板计算相关数据!$O$35:$U$40,4,0)+AF428</f>
        <v>5000</v>
      </c>
      <c r="AQ428" s="3">
        <f>VLOOKUP(INT(VLOOKUP(U428,模板计算相关数据!A:N,2,0)/30)+1,模板计算相关数据!$O$35:$U$40,5,0)+AG428</f>
        <v>0</v>
      </c>
      <c r="AR428" s="3">
        <f>VLOOKUP(INT(VLOOKUP(U428,模板计算相关数据!A:N,2,0)/30)+1,模板计算相关数据!$O$35:$U$40,6,0)+AH428</f>
        <v>0</v>
      </c>
      <c r="AS428" s="3">
        <f>VLOOKUP(INT(VLOOKUP(U428,模板计算相关数据!A:N,2,0)/30)+1,模板计算相关数据!$O$35:$U$40,7,0)+AI428</f>
        <v>0</v>
      </c>
      <c r="AT428" s="3">
        <f>VLOOKUP(INT(VLOOKUP(U428,模板计算相关数据!A:N,2,0)/30)+1,模板计算相关数据!$O$35:$V$40,8,0)</f>
        <v>0</v>
      </c>
      <c r="AU428" s="2"/>
    </row>
    <row r="429" spans="1:47" x14ac:dyDescent="0.2">
      <c r="A429" s="3">
        <v>304308</v>
      </c>
      <c r="B429" s="3"/>
      <c r="C429" s="69" t="s">
        <v>1732</v>
      </c>
      <c r="D429" s="69" t="s">
        <v>1080</v>
      </c>
      <c r="E429" s="2"/>
      <c r="F429" s="3">
        <v>1</v>
      </c>
      <c r="G429" s="3">
        <v>1001301</v>
      </c>
      <c r="H429" s="3">
        <v>1</v>
      </c>
      <c r="I429" s="3">
        <v>4</v>
      </c>
      <c r="J429" s="3">
        <v>3</v>
      </c>
      <c r="K429" s="3"/>
      <c r="L429" s="2" t="s">
        <v>290</v>
      </c>
      <c r="M429" s="2"/>
      <c r="N429" s="2">
        <v>1</v>
      </c>
      <c r="O429" s="2"/>
      <c r="P429" s="3" t="s">
        <v>1615</v>
      </c>
      <c r="Q429" s="95">
        <f t="shared" si="55"/>
        <v>4.417254901960785</v>
      </c>
      <c r="R429" s="133">
        <f>IF(P429=模板计算相关数据!$AB$24,VLOOKUP(X429,模板计算相关数据!$P$47:$T$50,2,0),VLOOKUP(X429,模板计算相关数据!$P$4:$U$7,3,0))*VLOOKUP(Y429,模板计算相关数据!$P$22:$X$30,8,0)</f>
        <v>4.417254901960785</v>
      </c>
      <c r="S429" s="62">
        <v>5.13</v>
      </c>
      <c r="T429" s="133">
        <f>IF(P429=模板计算相关数据!$AB$24,VLOOKUP(X429,模板计算相关数据!$P$47:$T$50,5,0),VLOOKUP(X429,模板计算相关数据!$P$4:$U$7,6,0))*VLOOKUP(Y429,模板计算相关数据!$P$22:$X$30,9,0)</f>
        <v>5.4285280003474252</v>
      </c>
      <c r="U429" s="98">
        <v>36</v>
      </c>
      <c r="V429" s="95">
        <f t="shared" si="52"/>
        <v>48</v>
      </c>
      <c r="W429" s="29">
        <f>VLOOKUP(U429,模板计算相关数据!A:N,2,0)</f>
        <v>45</v>
      </c>
      <c r="X429" s="3" t="s">
        <v>151</v>
      </c>
      <c r="Y429" s="3" t="s">
        <v>152</v>
      </c>
      <c r="Z429" s="99">
        <v>1</v>
      </c>
      <c r="AA429" s="95">
        <v>1</v>
      </c>
      <c r="AB429" s="95">
        <v>1</v>
      </c>
      <c r="AC429" s="95">
        <v>1</v>
      </c>
      <c r="AD429" s="95">
        <v>0</v>
      </c>
      <c r="AE429" s="95">
        <v>0</v>
      </c>
      <c r="AF429" s="95">
        <v>0</v>
      </c>
      <c r="AG429" s="95">
        <v>0</v>
      </c>
      <c r="AH429" s="95">
        <v>0</v>
      </c>
      <c r="AI429" s="95">
        <v>0</v>
      </c>
      <c r="AJ429" s="3">
        <f>INT(VLOOKUP(U429,模板计算相关数据!A:N,4,0)*VLOOKUP(U429,模板计算相关数据!A:N,14,0)*(1+MAX(0,(VLOOKUP(U429,模板计算相关数据!A:N,7,0)-AQ429))*VLOOKUP(U429,模板计算相关数据!A:N,8,0))*(1-(AL429+AM429)*0.5/((AL429+AM429)*0.5+(VLOOKUP(U429,模板计算相关数据!A:N,2,0)+模板计算相关数据!$AC$27)*模板计算相关数据!$AC$28))*Q429*Z429)</f>
        <v>5167</v>
      </c>
      <c r="AK429" s="3">
        <f>INT(VLOOKUP(U429,模板计算相关数据!A:N,3,0)/模板计算相关数据!$W$35/(1+MAX(0,(AO429/10000-VLOOKUP(U429,模板计算相关数据!A:N,9,0)))*AP429/10000)/(1-VLOOKUP(U429,模板计算相关数据!A:N,5,0)/(VLOOKUP(U429,模板计算相关数据!A:N,5,0)+(VLOOKUP(U429,模板计算相关数据!A:N,2,0)+模板计算相关数据!$AC$27)*模板计算相关数据!$AC$28))/S429*AA429)</f>
        <v>2061</v>
      </c>
      <c r="AL429" s="3">
        <f>INT(VLOOKUP(U429,模板计算相关数据!A:N,5,0)*VLOOKUP(X429,模板计算相关数据!$P$4:$T$7,4,0)*VLOOKUP(Y429,模板计算相关数据!$P$22:$U$30,4,0)*AB429)</f>
        <v>3790</v>
      </c>
      <c r="AM429" s="3">
        <f>INT(VLOOKUP(U429,模板计算相关数据!A:N,6,0)*VLOOKUP(X429,模板计算相关数据!$P$4:$T$7,4,0)*VLOOKUP(Y429,模板计算相关数据!$P$22:$U$30,5,0)*AC429)</f>
        <v>2241</v>
      </c>
      <c r="AN429" s="3">
        <f>VLOOKUP(U429,模板计算相关数据!A:N,10,0)*0.5*VLOOKUP(Y429,模板计算相关数据!$P$22:$U$30,6,0)+AD429</f>
        <v>250</v>
      </c>
      <c r="AO429" s="3">
        <f>VLOOKUP(INT(VLOOKUP(U429,模板计算相关数据!A:N,2,0)/30)+1,模板计算相关数据!$O$35:$U$40,3,0)+AE429</f>
        <v>0</v>
      </c>
      <c r="AP429" s="3">
        <f>VLOOKUP(INT(VLOOKUP(U429,模板计算相关数据!A:N,2,0)/30)+1,模板计算相关数据!$O$35:$U$40,4,0)+AF429</f>
        <v>5000</v>
      </c>
      <c r="AQ429" s="3">
        <f>VLOOKUP(INT(VLOOKUP(U429,模板计算相关数据!A:N,2,0)/30)+1,模板计算相关数据!$O$35:$U$40,5,0)+AG429</f>
        <v>0</v>
      </c>
      <c r="AR429" s="3">
        <f>VLOOKUP(INT(VLOOKUP(U429,模板计算相关数据!A:N,2,0)/30)+1,模板计算相关数据!$O$35:$U$40,6,0)+AH429</f>
        <v>0</v>
      </c>
      <c r="AS429" s="3">
        <f>VLOOKUP(INT(VLOOKUP(U429,模板计算相关数据!A:N,2,0)/30)+1,模板计算相关数据!$O$35:$U$40,7,0)+AI429</f>
        <v>0</v>
      </c>
      <c r="AT429" s="3">
        <f>VLOOKUP(INT(VLOOKUP(U429,模板计算相关数据!A:N,2,0)/30)+1,模板计算相关数据!$O$35:$V$40,8,0)</f>
        <v>0</v>
      </c>
      <c r="AU429" s="2"/>
    </row>
    <row r="430" spans="1:47" x14ac:dyDescent="0.2">
      <c r="A430" s="3">
        <v>304309</v>
      </c>
      <c r="B430" s="3"/>
      <c r="C430" s="69" t="s">
        <v>1738</v>
      </c>
      <c r="D430" s="69" t="s">
        <v>1081</v>
      </c>
      <c r="E430" s="2"/>
      <c r="F430" s="3">
        <v>1</v>
      </c>
      <c r="G430" s="3">
        <v>1003201</v>
      </c>
      <c r="H430" s="3">
        <v>5</v>
      </c>
      <c r="I430" s="3">
        <v>4</v>
      </c>
      <c r="J430" s="3">
        <v>3</v>
      </c>
      <c r="K430" s="3"/>
      <c r="L430" s="2" t="s">
        <v>291</v>
      </c>
      <c r="M430" s="2"/>
      <c r="N430" s="2">
        <v>1</v>
      </c>
      <c r="O430" s="2"/>
      <c r="P430" s="3" t="s">
        <v>1615</v>
      </c>
      <c r="Q430" s="95">
        <f t="shared" si="55"/>
        <v>5.7709803921568623</v>
      </c>
      <c r="R430" s="133">
        <f>IF(P430=模板计算相关数据!$AB$24,VLOOKUP(X430,模板计算相关数据!$P$47:$T$50,2,0),VLOOKUP(X430,模板计算相关数据!$P$4:$U$7,3,0))*VLOOKUP(Y430,模板计算相关数据!$P$22:$X$30,8,0)</f>
        <v>5.7709803921568623</v>
      </c>
      <c r="S430" s="62">
        <f t="shared" si="54"/>
        <v>6.4077918749199023</v>
      </c>
      <c r="T430" s="133">
        <f>IF(P430=模板计算相关数据!$AB$24,VLOOKUP(X430,模板计算相关数据!$P$47:$T$50,5,0),VLOOKUP(X430,模板计算相关数据!$P$4:$U$7,6,0))*VLOOKUP(Y430,模板计算相关数据!$P$22:$X$30,9,0)</f>
        <v>6.4077918749199023</v>
      </c>
      <c r="U430" s="98">
        <v>34</v>
      </c>
      <c r="V430" s="95">
        <f t="shared" si="52"/>
        <v>19</v>
      </c>
      <c r="W430" s="29">
        <f>VLOOKUP(U430,模板计算相关数据!A:N,2,0)</f>
        <v>16</v>
      </c>
      <c r="X430" s="3" t="s">
        <v>151</v>
      </c>
      <c r="Y430" s="3" t="s">
        <v>243</v>
      </c>
      <c r="Z430" s="99">
        <v>1</v>
      </c>
      <c r="AA430" s="95">
        <v>1</v>
      </c>
      <c r="AB430" s="95">
        <v>1</v>
      </c>
      <c r="AC430" s="95">
        <v>1</v>
      </c>
      <c r="AD430" s="95">
        <v>-50</v>
      </c>
      <c r="AE430" s="95">
        <v>0</v>
      </c>
      <c r="AF430" s="95">
        <v>0</v>
      </c>
      <c r="AG430" s="95">
        <v>0</v>
      </c>
      <c r="AH430" s="95">
        <v>0</v>
      </c>
      <c r="AI430" s="95">
        <v>0</v>
      </c>
      <c r="AJ430" s="3">
        <f>INT(VLOOKUP(U430,模板计算相关数据!A:N,4,0)*VLOOKUP(U430,模板计算相关数据!A:N,14,0)*(1+MAX(0,(VLOOKUP(U430,模板计算相关数据!A:N,7,0)-AQ430))*VLOOKUP(U430,模板计算相关数据!A:N,8,0))*(1-(AL430+AM430)*0.5/((AL430+AM430)*0.5+(VLOOKUP(U430,模板计算相关数据!A:N,2,0)+模板计算相关数据!$AC$27)*模板计算相关数据!$AC$28))*Q430*Z430)</f>
        <v>1752</v>
      </c>
      <c r="AK430" s="3">
        <f>INT(VLOOKUP(U430,模板计算相关数据!A:N,3,0)/模板计算相关数据!$W$35/(1+MAX(0,(AO430/10000-VLOOKUP(U430,模板计算相关数据!A:N,9,0)))*AP430/10000)/(1-VLOOKUP(U430,模板计算相关数据!A:N,5,0)/(VLOOKUP(U430,模板计算相关数据!A:N,5,0)+(VLOOKUP(U430,模板计算相关数据!A:N,2,0)+模板计算相关数据!$AC$27)*模板计算相关数据!$AC$28))/S430*AA430)</f>
        <v>334</v>
      </c>
      <c r="AL430" s="3">
        <f>INT(VLOOKUP(U430,模板计算相关数据!A:N,5,0)*VLOOKUP(X430,模板计算相关数据!$P$4:$T$7,4,0)*VLOOKUP(Y430,模板计算相关数据!$P$22:$U$30,4,0)*AB430)</f>
        <v>563</v>
      </c>
      <c r="AM430" s="3">
        <f>INT(VLOOKUP(U430,模板计算相关数据!A:N,6,0)*VLOOKUP(X430,模板计算相关数据!$P$4:$T$7,4,0)*VLOOKUP(Y430,模板计算相关数据!$P$22:$U$30,5,0)*AC430)</f>
        <v>1027</v>
      </c>
      <c r="AN430" s="3">
        <f>VLOOKUP(U430,模板计算相关数据!A:N,10,0)*0.5*VLOOKUP(Y430,模板计算相关数据!$P$22:$U$30,6,0)+AD430</f>
        <v>225</v>
      </c>
      <c r="AO430" s="3">
        <f>VLOOKUP(INT(VLOOKUP(U430,模板计算相关数据!A:N,2,0)/30)+1,模板计算相关数据!$O$35:$U$40,3,0)+AE430</f>
        <v>0</v>
      </c>
      <c r="AP430" s="3">
        <f>VLOOKUP(INT(VLOOKUP(U430,模板计算相关数据!A:N,2,0)/30)+1,模板计算相关数据!$O$35:$U$40,4,0)+AF430</f>
        <v>5000</v>
      </c>
      <c r="AQ430" s="3">
        <f>VLOOKUP(INT(VLOOKUP(U430,模板计算相关数据!A:N,2,0)/30)+1,模板计算相关数据!$O$35:$U$40,5,0)+AG430</f>
        <v>0</v>
      </c>
      <c r="AR430" s="3">
        <f>VLOOKUP(INT(VLOOKUP(U430,模板计算相关数据!A:N,2,0)/30)+1,模板计算相关数据!$O$35:$U$40,6,0)+AH430</f>
        <v>0</v>
      </c>
      <c r="AS430" s="3">
        <f>VLOOKUP(INT(VLOOKUP(U430,模板计算相关数据!A:N,2,0)/30)+1,模板计算相关数据!$O$35:$U$40,7,0)+AI430</f>
        <v>0</v>
      </c>
      <c r="AT430" s="3">
        <f>VLOOKUP(INT(VLOOKUP(U430,模板计算相关数据!A:N,2,0)/30)+1,模板计算相关数据!$O$35:$V$40,8,0)</f>
        <v>0</v>
      </c>
      <c r="AU430" s="2"/>
    </row>
    <row r="431" spans="1:47" x14ac:dyDescent="0.2">
      <c r="A431" s="3">
        <v>304310</v>
      </c>
      <c r="B431" s="3"/>
      <c r="C431" s="69" t="s">
        <v>1738</v>
      </c>
      <c r="D431" s="69" t="s">
        <v>1082</v>
      </c>
      <c r="E431" s="2"/>
      <c r="F431" s="3">
        <v>1</v>
      </c>
      <c r="G431" s="3">
        <v>1003201</v>
      </c>
      <c r="H431" s="3">
        <v>5</v>
      </c>
      <c r="I431" s="3">
        <v>4</v>
      </c>
      <c r="J431" s="3">
        <v>3</v>
      </c>
      <c r="K431" s="3"/>
      <c r="L431" s="2" t="s">
        <v>292</v>
      </c>
      <c r="M431" s="2"/>
      <c r="N431" s="2">
        <v>1</v>
      </c>
      <c r="O431" s="2"/>
      <c r="P431" s="3" t="s">
        <v>1615</v>
      </c>
      <c r="Q431" s="95">
        <v>6</v>
      </c>
      <c r="R431" s="133">
        <f>IF(P431=模板计算相关数据!$AB$24,VLOOKUP(X431,模板计算相关数据!$P$47:$T$50,2,0),VLOOKUP(X431,模板计算相关数据!$P$4:$U$7,3,0))*VLOOKUP(Y431,模板计算相关数据!$P$22:$X$30,8,0)</f>
        <v>5.7709803921568623</v>
      </c>
      <c r="S431" s="62">
        <f t="shared" si="54"/>
        <v>6.4077918749199023</v>
      </c>
      <c r="T431" s="133">
        <f>IF(P431=模板计算相关数据!$AB$24,VLOOKUP(X431,模板计算相关数据!$P$47:$T$50,5,0),VLOOKUP(X431,模板计算相关数据!$P$4:$U$7,6,0))*VLOOKUP(Y431,模板计算相关数据!$P$22:$X$30,9,0)</f>
        <v>6.4077918749199023</v>
      </c>
      <c r="U431" s="98">
        <v>35</v>
      </c>
      <c r="V431" s="95">
        <f t="shared" si="52"/>
        <v>33</v>
      </c>
      <c r="W431" s="29">
        <f>VLOOKUP(U431,模板计算相关数据!A:N,2,0)</f>
        <v>30</v>
      </c>
      <c r="X431" s="3" t="s">
        <v>151</v>
      </c>
      <c r="Y431" s="3" t="s">
        <v>243</v>
      </c>
      <c r="Z431" s="99">
        <v>1</v>
      </c>
      <c r="AA431" s="95">
        <v>1</v>
      </c>
      <c r="AB431" s="95">
        <v>1</v>
      </c>
      <c r="AC431" s="95">
        <v>1</v>
      </c>
      <c r="AD431" s="95">
        <v>-50</v>
      </c>
      <c r="AE431" s="95">
        <v>0</v>
      </c>
      <c r="AF431" s="95">
        <v>0</v>
      </c>
      <c r="AG431" s="95">
        <v>0</v>
      </c>
      <c r="AH431" s="95">
        <v>0</v>
      </c>
      <c r="AI431" s="95">
        <v>0</v>
      </c>
      <c r="AJ431" s="3">
        <f>INT(VLOOKUP(U431,模板计算相关数据!A:N,4,0)*VLOOKUP(U431,模板计算相关数据!A:N,14,0)*(1+MAX(0,(VLOOKUP(U431,模板计算相关数据!A:N,7,0)-AQ431))*VLOOKUP(U431,模板计算相关数据!A:N,8,0))*(1-(AL431+AM431)*0.5/((AL431+AM431)*0.5+(VLOOKUP(U431,模板计算相关数据!A:N,2,0)+模板计算相关数据!$AC$27)*模板计算相关数据!$AC$28))*Q431*Z431)</f>
        <v>4237</v>
      </c>
      <c r="AK431" s="3">
        <f>INT(VLOOKUP(U431,模板计算相关数据!A:N,3,0)/模板计算相关数据!$W$35/(1+MAX(0,(AO431/10000-VLOOKUP(U431,模板计算相关数据!A:N,9,0)))*AP431/10000)/(1-VLOOKUP(U431,模板计算相关数据!A:N,5,0)/(VLOOKUP(U431,模板计算相关数据!A:N,5,0)+(VLOOKUP(U431,模板计算相关数据!A:N,2,0)+模板计算相关数据!$AC$27)*模板计算相关数据!$AC$28))/S431*AA431)</f>
        <v>1029</v>
      </c>
      <c r="AL431" s="3">
        <f>INT(VLOOKUP(U431,模板计算相关数据!A:N,5,0)*VLOOKUP(X431,模板计算相关数据!$P$4:$T$7,4,0)*VLOOKUP(Y431,模板计算相关数据!$P$22:$U$30,4,0)*AB431)</f>
        <v>1516</v>
      </c>
      <c r="AM431" s="3">
        <f>INT(VLOOKUP(U431,模板计算相关数据!A:N,6,0)*VLOOKUP(X431,模板计算相关数据!$P$4:$T$7,4,0)*VLOOKUP(Y431,模板计算相关数据!$P$22:$U$30,5,0)*AC431)</f>
        <v>2764</v>
      </c>
      <c r="AN431" s="3">
        <f>VLOOKUP(U431,模板计算相关数据!A:N,10,0)*0.5*VLOOKUP(Y431,模板计算相关数据!$P$22:$U$30,6,0)+AD431</f>
        <v>225</v>
      </c>
      <c r="AO431" s="3">
        <f>VLOOKUP(INT(VLOOKUP(U431,模板计算相关数据!A:N,2,0)/30)+1,模板计算相关数据!$O$35:$U$40,3,0)+AE431</f>
        <v>0</v>
      </c>
      <c r="AP431" s="3">
        <f>VLOOKUP(INT(VLOOKUP(U431,模板计算相关数据!A:N,2,0)/30)+1,模板计算相关数据!$O$35:$U$40,4,0)+AF431</f>
        <v>5000</v>
      </c>
      <c r="AQ431" s="3">
        <f>VLOOKUP(INT(VLOOKUP(U431,模板计算相关数据!A:N,2,0)/30)+1,模板计算相关数据!$O$35:$U$40,5,0)+AG431</f>
        <v>0</v>
      </c>
      <c r="AR431" s="3">
        <f>VLOOKUP(INT(VLOOKUP(U431,模板计算相关数据!A:N,2,0)/30)+1,模板计算相关数据!$O$35:$U$40,6,0)+AH431</f>
        <v>0</v>
      </c>
      <c r="AS431" s="3">
        <f>VLOOKUP(INT(VLOOKUP(U431,模板计算相关数据!A:N,2,0)/30)+1,模板计算相关数据!$O$35:$U$40,7,0)+AI431</f>
        <v>0</v>
      </c>
      <c r="AT431" s="3">
        <f>VLOOKUP(INT(VLOOKUP(U431,模板计算相关数据!A:N,2,0)/30)+1,模板计算相关数据!$O$35:$V$40,8,0)</f>
        <v>0</v>
      </c>
      <c r="AU431" s="2"/>
    </row>
    <row r="432" spans="1:47" x14ac:dyDescent="0.2">
      <c r="A432" s="3">
        <v>304311</v>
      </c>
      <c r="B432" s="3"/>
      <c r="C432" s="69" t="s">
        <v>1738</v>
      </c>
      <c r="D432" s="69" t="s">
        <v>1079</v>
      </c>
      <c r="E432" s="2"/>
      <c r="F432" s="3">
        <v>1</v>
      </c>
      <c r="G432" s="3">
        <v>1003201</v>
      </c>
      <c r="H432" s="3">
        <v>5</v>
      </c>
      <c r="I432" s="3">
        <v>4</v>
      </c>
      <c r="J432" s="3">
        <v>3</v>
      </c>
      <c r="K432" s="3"/>
      <c r="L432" s="2" t="s">
        <v>293</v>
      </c>
      <c r="M432" s="2"/>
      <c r="N432" s="2">
        <v>1</v>
      </c>
      <c r="O432" s="2"/>
      <c r="P432" s="3" t="s">
        <v>1615</v>
      </c>
      <c r="Q432" s="95">
        <v>6.2</v>
      </c>
      <c r="R432" s="133">
        <f>IF(P432=模板计算相关数据!$AB$24,VLOOKUP(X432,模板计算相关数据!$P$47:$T$50,2,0),VLOOKUP(X432,模板计算相关数据!$P$4:$U$7,3,0))*VLOOKUP(Y432,模板计算相关数据!$P$22:$X$30,8,0)</f>
        <v>5.7709803921568623</v>
      </c>
      <c r="S432" s="62">
        <f t="shared" si="54"/>
        <v>6.4077918749199023</v>
      </c>
      <c r="T432" s="133">
        <f>IF(P432=模板计算相关数据!$AB$24,VLOOKUP(X432,模板计算相关数据!$P$47:$T$50,5,0),VLOOKUP(X432,模板计算相关数据!$P$4:$U$7,6,0))*VLOOKUP(Y432,模板计算相关数据!$P$22:$X$30,9,0)</f>
        <v>6.4077918749199023</v>
      </c>
      <c r="U432" s="98">
        <v>36</v>
      </c>
      <c r="V432" s="95">
        <f t="shared" ref="V432:V495" si="56">W432+3</f>
        <v>48</v>
      </c>
      <c r="W432" s="29">
        <f>VLOOKUP(U432,模板计算相关数据!A:N,2,0)</f>
        <v>45</v>
      </c>
      <c r="X432" s="3" t="s">
        <v>151</v>
      </c>
      <c r="Y432" s="3" t="s">
        <v>243</v>
      </c>
      <c r="Z432" s="99">
        <v>1</v>
      </c>
      <c r="AA432" s="95">
        <v>1</v>
      </c>
      <c r="AB432" s="95">
        <v>1</v>
      </c>
      <c r="AC432" s="95">
        <v>1</v>
      </c>
      <c r="AD432" s="95">
        <v>-50</v>
      </c>
      <c r="AE432" s="95">
        <v>0</v>
      </c>
      <c r="AF432" s="95">
        <v>0</v>
      </c>
      <c r="AG432" s="95">
        <v>0</v>
      </c>
      <c r="AH432" s="95">
        <v>0</v>
      </c>
      <c r="AI432" s="95">
        <v>0</v>
      </c>
      <c r="AJ432" s="3">
        <f>INT(VLOOKUP(U432,模板计算相关数据!A:N,4,0)*VLOOKUP(U432,模板计算相关数据!A:N,14,0)*(1+MAX(0,(VLOOKUP(U432,模板计算相关数据!A:N,7,0)-AQ432))*VLOOKUP(U432,模板计算相关数据!A:N,8,0))*(1-(AL432+AM432)*0.5/((AL432+AM432)*0.5+(VLOOKUP(U432,模板计算相关数据!A:N,2,0)+模板计算相关数据!$AC$27)*模板计算相关数据!$AC$28))*Q432*Z432)</f>
        <v>6939</v>
      </c>
      <c r="AK432" s="3">
        <f>INT(VLOOKUP(U432,模板计算相关数据!A:N,3,0)/模板计算相关数据!$W$35/(1+MAX(0,(AO432/10000-VLOOKUP(U432,模板计算相关数据!A:N,9,0)))*AP432/10000)/(1-VLOOKUP(U432,模板计算相关数据!A:N,5,0)/(VLOOKUP(U432,模板计算相关数据!A:N,5,0)+(VLOOKUP(U432,模板计算相关数据!A:N,2,0)+模板计算相关数据!$AC$27)*模板计算相关数据!$AC$28))/S432*AA432)</f>
        <v>1650</v>
      </c>
      <c r="AL432" s="3">
        <f>INT(VLOOKUP(U432,模板计算相关数据!A:N,5,0)*VLOOKUP(X432,模板计算相关数据!$P$4:$T$7,4,0)*VLOOKUP(Y432,模板计算相关数据!$P$22:$U$30,4,0)*AB432)</f>
        <v>2386</v>
      </c>
      <c r="AM432" s="3">
        <f>INT(VLOOKUP(U432,模板计算相关数据!A:N,6,0)*VLOOKUP(X432,模板计算相关数据!$P$4:$T$7,4,0)*VLOOKUP(Y432,模板计算相关数据!$P$22:$U$30,5,0)*AC432)</f>
        <v>4341</v>
      </c>
      <c r="AN432" s="3">
        <f>VLOOKUP(U432,模板计算相关数据!A:N,10,0)*0.5*VLOOKUP(Y432,模板计算相关数据!$P$22:$U$30,6,0)+AD432</f>
        <v>225</v>
      </c>
      <c r="AO432" s="3">
        <f>VLOOKUP(INT(VLOOKUP(U432,模板计算相关数据!A:N,2,0)/30)+1,模板计算相关数据!$O$35:$U$40,3,0)+AE432</f>
        <v>0</v>
      </c>
      <c r="AP432" s="3">
        <f>VLOOKUP(INT(VLOOKUP(U432,模板计算相关数据!A:N,2,0)/30)+1,模板计算相关数据!$O$35:$U$40,4,0)+AF432</f>
        <v>5000</v>
      </c>
      <c r="AQ432" s="3">
        <f>VLOOKUP(INT(VLOOKUP(U432,模板计算相关数据!A:N,2,0)/30)+1,模板计算相关数据!$O$35:$U$40,5,0)+AG432</f>
        <v>0</v>
      </c>
      <c r="AR432" s="3">
        <f>VLOOKUP(INT(VLOOKUP(U432,模板计算相关数据!A:N,2,0)/30)+1,模板计算相关数据!$O$35:$U$40,6,0)+AH432</f>
        <v>0</v>
      </c>
      <c r="AS432" s="3">
        <f>VLOOKUP(INT(VLOOKUP(U432,模板计算相关数据!A:N,2,0)/30)+1,模板计算相关数据!$O$35:$U$40,7,0)+AI432</f>
        <v>0</v>
      </c>
      <c r="AT432" s="3">
        <f>VLOOKUP(INT(VLOOKUP(U432,模板计算相关数据!A:N,2,0)/30)+1,模板计算相关数据!$O$35:$V$40,8,0)</f>
        <v>0</v>
      </c>
      <c r="AU432" s="2"/>
    </row>
    <row r="433" spans="1:47" x14ac:dyDescent="0.2">
      <c r="A433" s="3">
        <v>304312</v>
      </c>
      <c r="B433" s="3"/>
      <c r="C433" s="69" t="s">
        <v>1738</v>
      </c>
      <c r="D433" s="69" t="s">
        <v>1080</v>
      </c>
      <c r="E433" s="2"/>
      <c r="F433" s="3">
        <v>1</v>
      </c>
      <c r="G433" s="3">
        <v>1003201</v>
      </c>
      <c r="H433" s="3">
        <v>5</v>
      </c>
      <c r="I433" s="3">
        <v>4</v>
      </c>
      <c r="J433" s="3">
        <v>3</v>
      </c>
      <c r="K433" s="3"/>
      <c r="L433" s="2" t="s">
        <v>294</v>
      </c>
      <c r="M433" s="2"/>
      <c r="N433" s="2">
        <v>1</v>
      </c>
      <c r="O433" s="2"/>
      <c r="P433" s="3" t="s">
        <v>1615</v>
      </c>
      <c r="Q433" s="95">
        <v>6.4</v>
      </c>
      <c r="R433" s="133">
        <f>IF(P433=模板计算相关数据!$AB$24,VLOOKUP(X433,模板计算相关数据!$P$47:$T$50,2,0),VLOOKUP(X433,模板计算相关数据!$P$4:$U$7,3,0))*VLOOKUP(Y433,模板计算相关数据!$P$22:$X$30,8,0)</f>
        <v>5.7709803921568623</v>
      </c>
      <c r="S433" s="62">
        <f t="shared" si="54"/>
        <v>6.4077918749199023</v>
      </c>
      <c r="T433" s="133">
        <f>IF(P433=模板计算相关数据!$AB$24,VLOOKUP(X433,模板计算相关数据!$P$47:$T$50,5,0),VLOOKUP(X433,模板计算相关数据!$P$4:$U$7,6,0))*VLOOKUP(Y433,模板计算相关数据!$P$22:$X$30,9,0)</f>
        <v>6.4077918749199023</v>
      </c>
      <c r="U433" s="98">
        <v>36</v>
      </c>
      <c r="V433" s="95">
        <f t="shared" si="56"/>
        <v>48</v>
      </c>
      <c r="W433" s="29">
        <f>VLOOKUP(U433,模板计算相关数据!A:N,2,0)</f>
        <v>45</v>
      </c>
      <c r="X433" s="3" t="s">
        <v>151</v>
      </c>
      <c r="Y433" s="3" t="s">
        <v>243</v>
      </c>
      <c r="Z433" s="99">
        <v>1</v>
      </c>
      <c r="AA433" s="95">
        <v>1</v>
      </c>
      <c r="AB433" s="95">
        <v>1</v>
      </c>
      <c r="AC433" s="95">
        <v>1</v>
      </c>
      <c r="AD433" s="95">
        <v>-50</v>
      </c>
      <c r="AE433" s="95">
        <v>0</v>
      </c>
      <c r="AF433" s="95">
        <v>0</v>
      </c>
      <c r="AG433" s="95">
        <v>0</v>
      </c>
      <c r="AH433" s="95">
        <v>0</v>
      </c>
      <c r="AI433" s="95">
        <v>0</v>
      </c>
      <c r="AJ433" s="3">
        <f>INT(VLOOKUP(U433,模板计算相关数据!A:N,4,0)*VLOOKUP(U433,模板计算相关数据!A:N,14,0)*(1+MAX(0,(VLOOKUP(U433,模板计算相关数据!A:N,7,0)-AQ433))*VLOOKUP(U433,模板计算相关数据!A:N,8,0))*(1-(AL433+AM433)*0.5/((AL433+AM433)*0.5+(VLOOKUP(U433,模板计算相关数据!A:N,2,0)+模板计算相关数据!$AC$27)*模板计算相关数据!$AC$28))*Q433*Z433)</f>
        <v>7163</v>
      </c>
      <c r="AK433" s="3">
        <f>INT(VLOOKUP(U433,模板计算相关数据!A:N,3,0)/模板计算相关数据!$W$35/(1+MAX(0,(AO433/10000-VLOOKUP(U433,模板计算相关数据!A:N,9,0)))*AP433/10000)/(1-VLOOKUP(U433,模板计算相关数据!A:N,5,0)/(VLOOKUP(U433,模板计算相关数据!A:N,5,0)+(VLOOKUP(U433,模板计算相关数据!A:N,2,0)+模板计算相关数据!$AC$27)*模板计算相关数据!$AC$28))/S433*AA433)</f>
        <v>1650</v>
      </c>
      <c r="AL433" s="3">
        <f>INT(VLOOKUP(U433,模板计算相关数据!A:N,5,0)*VLOOKUP(X433,模板计算相关数据!$P$4:$T$7,4,0)*VLOOKUP(Y433,模板计算相关数据!$P$22:$U$30,4,0)*AB433)</f>
        <v>2386</v>
      </c>
      <c r="AM433" s="3">
        <f>INT(VLOOKUP(U433,模板计算相关数据!A:N,6,0)*VLOOKUP(X433,模板计算相关数据!$P$4:$T$7,4,0)*VLOOKUP(Y433,模板计算相关数据!$P$22:$U$30,5,0)*AC433)</f>
        <v>4341</v>
      </c>
      <c r="AN433" s="3">
        <f>VLOOKUP(U433,模板计算相关数据!A:N,10,0)*0.5*VLOOKUP(Y433,模板计算相关数据!$P$22:$U$30,6,0)+AD433</f>
        <v>225</v>
      </c>
      <c r="AO433" s="3">
        <f>VLOOKUP(INT(VLOOKUP(U433,模板计算相关数据!A:N,2,0)/30)+1,模板计算相关数据!$O$35:$U$40,3,0)+AE433</f>
        <v>0</v>
      </c>
      <c r="AP433" s="3">
        <f>VLOOKUP(INT(VLOOKUP(U433,模板计算相关数据!A:N,2,0)/30)+1,模板计算相关数据!$O$35:$U$40,4,0)+AF433</f>
        <v>5000</v>
      </c>
      <c r="AQ433" s="3">
        <f>VLOOKUP(INT(VLOOKUP(U433,模板计算相关数据!A:N,2,0)/30)+1,模板计算相关数据!$O$35:$U$40,5,0)+AG433</f>
        <v>0</v>
      </c>
      <c r="AR433" s="3">
        <f>VLOOKUP(INT(VLOOKUP(U433,模板计算相关数据!A:N,2,0)/30)+1,模板计算相关数据!$O$35:$U$40,6,0)+AH433</f>
        <v>0</v>
      </c>
      <c r="AS433" s="3">
        <f>VLOOKUP(INT(VLOOKUP(U433,模板计算相关数据!A:N,2,0)/30)+1,模板计算相关数据!$O$35:$U$40,7,0)+AI433</f>
        <v>0</v>
      </c>
      <c r="AT433" s="3">
        <f>VLOOKUP(INT(VLOOKUP(U433,模板计算相关数据!A:N,2,0)/30)+1,模板计算相关数据!$O$35:$V$40,8,0)</f>
        <v>0</v>
      </c>
      <c r="AU433" s="2"/>
    </row>
    <row r="434" spans="1:47" x14ac:dyDescent="0.2">
      <c r="A434" s="3">
        <v>304313</v>
      </c>
      <c r="B434" s="3"/>
      <c r="C434" s="69" t="s">
        <v>1737</v>
      </c>
      <c r="D434" s="69" t="s">
        <v>1083</v>
      </c>
      <c r="E434" s="2"/>
      <c r="F434" s="3">
        <v>1</v>
      </c>
      <c r="G434" s="3">
        <v>1001401</v>
      </c>
      <c r="H434" s="3">
        <v>4</v>
      </c>
      <c r="I434" s="3">
        <v>4</v>
      </c>
      <c r="J434" s="3">
        <v>3</v>
      </c>
      <c r="K434" s="3"/>
      <c r="L434" s="69" t="s">
        <v>965</v>
      </c>
      <c r="M434" s="2"/>
      <c r="N434" s="2">
        <v>1</v>
      </c>
      <c r="O434" s="2"/>
      <c r="P434" s="3" t="s">
        <v>1615</v>
      </c>
      <c r="Q434" s="95">
        <f t="shared" si="55"/>
        <v>4.4674509803921572</v>
      </c>
      <c r="R434" s="133">
        <f>IF(P434=模板计算相关数据!$AB$24,VLOOKUP(X434,模板计算相关数据!$P$47:$T$50,2,0),VLOOKUP(X434,模板计算相关数据!$P$4:$U$7,3,0))*VLOOKUP(Y434,模板计算相关数据!$P$22:$X$30,8,0)</f>
        <v>4.4674509803921572</v>
      </c>
      <c r="S434" s="62">
        <v>5.07</v>
      </c>
      <c r="T434" s="133">
        <f>IF(P434=模板计算相关数据!$AB$24,VLOOKUP(X434,模板计算相关数据!$P$47:$T$50,5,0),VLOOKUP(X434,模板计算相关数据!$P$4:$U$7,6,0))*VLOOKUP(Y434,模板计算相关数据!$P$22:$X$30,9,0)</f>
        <v>5.4739930589768004</v>
      </c>
      <c r="U434" s="98">
        <v>36</v>
      </c>
      <c r="V434" s="95">
        <f t="shared" si="56"/>
        <v>48</v>
      </c>
      <c r="W434" s="29">
        <f>VLOOKUP(U434,模板计算相关数据!A:N,2,0)</f>
        <v>45</v>
      </c>
      <c r="X434" s="3" t="s">
        <v>151</v>
      </c>
      <c r="Y434" s="3" t="s">
        <v>162</v>
      </c>
      <c r="Z434" s="99">
        <v>1</v>
      </c>
      <c r="AA434" s="95">
        <v>1</v>
      </c>
      <c r="AB434" s="95">
        <v>1</v>
      </c>
      <c r="AC434" s="95">
        <v>1</v>
      </c>
      <c r="AD434" s="95">
        <v>0</v>
      </c>
      <c r="AE434" s="95">
        <v>0</v>
      </c>
      <c r="AF434" s="95">
        <v>0</v>
      </c>
      <c r="AG434" s="95">
        <v>0</v>
      </c>
      <c r="AH434" s="95">
        <v>0</v>
      </c>
      <c r="AI434" s="95">
        <v>0</v>
      </c>
      <c r="AJ434" s="3">
        <f>INT(VLOOKUP(U434,模板计算相关数据!A:N,4,0)*VLOOKUP(U434,模板计算相关数据!A:N,14,0)*(1+MAX(0,(VLOOKUP(U434,模板计算相关数据!A:N,7,0)-AQ434))*VLOOKUP(U434,模板计算相关数据!A:N,8,0))*(1-(AL434+AM434)*0.5/((AL434+AM434)*0.5+(VLOOKUP(U434,模板计算相关数据!A:N,2,0)+模板计算相关数据!$AC$27)*模板计算相关数据!$AC$28))*Q434*Z434)</f>
        <v>5227</v>
      </c>
      <c r="AK434" s="3">
        <f>INT(VLOOKUP(U434,模板计算相关数据!A:N,3,0)/模板计算相关数据!$W$35/(1+MAX(0,(AO434/10000-VLOOKUP(U434,模板计算相关数据!A:N,9,0)))*AP434/10000)/(1-VLOOKUP(U434,模板计算相关数据!A:N,5,0)/(VLOOKUP(U434,模板计算相关数据!A:N,5,0)+(VLOOKUP(U434,模板计算相关数据!A:N,2,0)+模板计算相关数据!$AC$27)*模板计算相关数据!$AC$28))/S434*AA434)</f>
        <v>2085</v>
      </c>
      <c r="AL434" s="3">
        <f>INT(VLOOKUP(U434,模板计算相关数据!A:N,5,0)*VLOOKUP(X434,模板计算相关数据!$P$4:$T$7,4,0)*VLOOKUP(Y434,模板计算相关数据!$P$22:$U$30,4,0)*AB434)</f>
        <v>2246</v>
      </c>
      <c r="AM434" s="3">
        <f>INT(VLOOKUP(U434,模板计算相关数据!A:N,6,0)*VLOOKUP(X434,模板计算相关数据!$P$4:$T$7,4,0)*VLOOKUP(Y434,模板计算相关数据!$P$22:$U$30,5,0)*AC434)</f>
        <v>3781</v>
      </c>
      <c r="AN434" s="3">
        <f>VLOOKUP(U434,模板计算相关数据!A:N,10,0)*0.5*VLOOKUP(Y434,模板计算相关数据!$P$22:$U$30,6,0)+AD434</f>
        <v>250</v>
      </c>
      <c r="AO434" s="3">
        <f>VLOOKUP(INT(VLOOKUP(U434,模板计算相关数据!A:N,2,0)/30)+1,模板计算相关数据!$O$35:$U$40,3,0)+AE434</f>
        <v>0</v>
      </c>
      <c r="AP434" s="3">
        <f>VLOOKUP(INT(VLOOKUP(U434,模板计算相关数据!A:N,2,0)/30)+1,模板计算相关数据!$O$35:$U$40,4,0)+AF434</f>
        <v>5000</v>
      </c>
      <c r="AQ434" s="3">
        <f>VLOOKUP(INT(VLOOKUP(U434,模板计算相关数据!A:N,2,0)/30)+1,模板计算相关数据!$O$35:$U$40,5,0)+AG434</f>
        <v>0</v>
      </c>
      <c r="AR434" s="3">
        <f>VLOOKUP(INT(VLOOKUP(U434,模板计算相关数据!A:N,2,0)/30)+1,模板计算相关数据!$O$35:$U$40,6,0)+AH434</f>
        <v>0</v>
      </c>
      <c r="AS434" s="3">
        <f>VLOOKUP(INT(VLOOKUP(U434,模板计算相关数据!A:N,2,0)/30)+1,模板计算相关数据!$O$35:$U$40,7,0)+AI434</f>
        <v>0</v>
      </c>
      <c r="AT434" s="3">
        <f>VLOOKUP(INT(VLOOKUP(U434,模板计算相关数据!A:N,2,0)/30)+1,模板计算相关数据!$O$35:$V$40,8,0)</f>
        <v>0</v>
      </c>
      <c r="AU434" s="2"/>
    </row>
    <row r="435" spans="1:47" x14ac:dyDescent="0.2">
      <c r="A435" s="3">
        <v>304314</v>
      </c>
      <c r="B435" s="3"/>
      <c r="C435" s="69" t="s">
        <v>1732</v>
      </c>
      <c r="D435" s="69" t="s">
        <v>1083</v>
      </c>
      <c r="E435" s="2"/>
      <c r="F435" s="3">
        <v>1</v>
      </c>
      <c r="G435" s="3">
        <v>1001301</v>
      </c>
      <c r="H435" s="3">
        <v>1</v>
      </c>
      <c r="I435" s="3">
        <v>4</v>
      </c>
      <c r="J435" s="3">
        <v>3</v>
      </c>
      <c r="K435" s="3"/>
      <c r="L435" s="69" t="s">
        <v>966</v>
      </c>
      <c r="M435" s="2"/>
      <c r="N435" s="2">
        <v>1</v>
      </c>
      <c r="O435" s="2"/>
      <c r="P435" s="3" t="s">
        <v>1615</v>
      </c>
      <c r="Q435" s="95">
        <f t="shared" si="55"/>
        <v>4.417254901960785</v>
      </c>
      <c r="R435" s="133">
        <f>IF(P435=模板计算相关数据!$AB$24,VLOOKUP(X435,模板计算相关数据!$P$47:$T$50,2,0),VLOOKUP(X435,模板计算相关数据!$P$4:$U$7,3,0))*VLOOKUP(Y435,模板计算相关数据!$P$22:$X$30,8,0)</f>
        <v>4.417254901960785</v>
      </c>
      <c r="S435" s="62">
        <v>5.03</v>
      </c>
      <c r="T435" s="133">
        <f>IF(P435=模板计算相关数据!$AB$24,VLOOKUP(X435,模板计算相关数据!$P$47:$T$50,5,0),VLOOKUP(X435,模板计算相关数据!$P$4:$U$7,6,0))*VLOOKUP(Y435,模板计算相关数据!$P$22:$X$30,9,0)</f>
        <v>5.4285280003474252</v>
      </c>
      <c r="U435" s="98">
        <v>36</v>
      </c>
      <c r="V435" s="95">
        <f t="shared" si="56"/>
        <v>48</v>
      </c>
      <c r="W435" s="29">
        <f>VLOOKUP(U435,模板计算相关数据!A:N,2,0)</f>
        <v>45</v>
      </c>
      <c r="X435" s="3" t="s">
        <v>151</v>
      </c>
      <c r="Y435" s="3" t="s">
        <v>152</v>
      </c>
      <c r="Z435" s="99">
        <v>1</v>
      </c>
      <c r="AA435" s="95">
        <v>1</v>
      </c>
      <c r="AB435" s="95">
        <v>1</v>
      </c>
      <c r="AC435" s="95">
        <v>1</v>
      </c>
      <c r="AD435" s="95">
        <v>0</v>
      </c>
      <c r="AE435" s="95">
        <v>0</v>
      </c>
      <c r="AF435" s="95">
        <v>0</v>
      </c>
      <c r="AG435" s="95">
        <v>0</v>
      </c>
      <c r="AH435" s="95">
        <v>0</v>
      </c>
      <c r="AI435" s="95">
        <v>0</v>
      </c>
      <c r="AJ435" s="3">
        <f>INT(VLOOKUP(U435,模板计算相关数据!A:N,4,0)*VLOOKUP(U435,模板计算相关数据!A:N,14,0)*(1+MAX(0,(VLOOKUP(U435,模板计算相关数据!A:N,7,0)-AQ435))*VLOOKUP(U435,模板计算相关数据!A:N,8,0))*(1-(AL435+AM435)*0.5/((AL435+AM435)*0.5+(VLOOKUP(U435,模板计算相关数据!A:N,2,0)+模板计算相关数据!$AC$27)*模板计算相关数据!$AC$28))*Q435*Z435)</f>
        <v>5167</v>
      </c>
      <c r="AK435" s="3">
        <f>INT(VLOOKUP(U435,模板计算相关数据!A:N,3,0)/模板计算相关数据!$W$35/(1+MAX(0,(AO435/10000-VLOOKUP(U435,模板计算相关数据!A:N,9,0)))*AP435/10000)/(1-VLOOKUP(U435,模板计算相关数据!A:N,5,0)/(VLOOKUP(U435,模板计算相关数据!A:N,5,0)+(VLOOKUP(U435,模板计算相关数据!A:N,2,0)+模板计算相关数据!$AC$27)*模板计算相关数据!$AC$28))/S435*AA435)</f>
        <v>2102</v>
      </c>
      <c r="AL435" s="3">
        <f>INT(VLOOKUP(U435,模板计算相关数据!A:N,5,0)*VLOOKUP(X435,模板计算相关数据!$P$4:$T$7,4,0)*VLOOKUP(Y435,模板计算相关数据!$P$22:$U$30,4,0)*AB435)</f>
        <v>3790</v>
      </c>
      <c r="AM435" s="3">
        <f>INT(VLOOKUP(U435,模板计算相关数据!A:N,6,0)*VLOOKUP(X435,模板计算相关数据!$P$4:$T$7,4,0)*VLOOKUP(Y435,模板计算相关数据!$P$22:$U$30,5,0)*AC435)</f>
        <v>2241</v>
      </c>
      <c r="AN435" s="3">
        <f>VLOOKUP(U435,模板计算相关数据!A:N,10,0)*0.5*VLOOKUP(Y435,模板计算相关数据!$P$22:$U$30,6,0)+AD435</f>
        <v>250</v>
      </c>
      <c r="AO435" s="3">
        <f>VLOOKUP(INT(VLOOKUP(U435,模板计算相关数据!A:N,2,0)/30)+1,模板计算相关数据!$O$35:$U$40,3,0)+AE435</f>
        <v>0</v>
      </c>
      <c r="AP435" s="3">
        <f>VLOOKUP(INT(VLOOKUP(U435,模板计算相关数据!A:N,2,0)/30)+1,模板计算相关数据!$O$35:$U$40,4,0)+AF435</f>
        <v>5000</v>
      </c>
      <c r="AQ435" s="3">
        <f>VLOOKUP(INT(VLOOKUP(U435,模板计算相关数据!A:N,2,0)/30)+1,模板计算相关数据!$O$35:$U$40,5,0)+AG435</f>
        <v>0</v>
      </c>
      <c r="AR435" s="3">
        <f>VLOOKUP(INT(VLOOKUP(U435,模板计算相关数据!A:N,2,0)/30)+1,模板计算相关数据!$O$35:$U$40,6,0)+AH435</f>
        <v>0</v>
      </c>
      <c r="AS435" s="3">
        <f>VLOOKUP(INT(VLOOKUP(U435,模板计算相关数据!A:N,2,0)/30)+1,模板计算相关数据!$O$35:$U$40,7,0)+AI435</f>
        <v>0</v>
      </c>
      <c r="AT435" s="3">
        <f>VLOOKUP(INT(VLOOKUP(U435,模板计算相关数据!A:N,2,0)/30)+1,模板计算相关数据!$O$35:$V$40,8,0)</f>
        <v>0</v>
      </c>
      <c r="AU435" s="2"/>
    </row>
    <row r="436" spans="1:47" x14ac:dyDescent="0.2">
      <c r="A436" s="3">
        <v>304315</v>
      </c>
      <c r="B436" s="3"/>
      <c r="C436" s="69" t="s">
        <v>1738</v>
      </c>
      <c r="D436" s="69" t="s">
        <v>1083</v>
      </c>
      <c r="E436" s="2"/>
      <c r="F436" s="3">
        <v>1</v>
      </c>
      <c r="G436" s="3">
        <v>1003201</v>
      </c>
      <c r="H436" s="3">
        <v>5</v>
      </c>
      <c r="I436" s="3">
        <v>4</v>
      </c>
      <c r="J436" s="3">
        <v>3</v>
      </c>
      <c r="K436" s="3"/>
      <c r="L436" s="69" t="s">
        <v>967</v>
      </c>
      <c r="M436" s="2"/>
      <c r="N436" s="2">
        <v>1</v>
      </c>
      <c r="O436" s="2"/>
      <c r="P436" s="3" t="s">
        <v>1615</v>
      </c>
      <c r="Q436" s="95">
        <v>6.6</v>
      </c>
      <c r="R436" s="133">
        <f>IF(P436=模板计算相关数据!$AB$24,VLOOKUP(X436,模板计算相关数据!$P$47:$T$50,2,0),VLOOKUP(X436,模板计算相关数据!$P$4:$U$7,3,0))*VLOOKUP(Y436,模板计算相关数据!$P$22:$X$30,8,0)</f>
        <v>5.7709803921568623</v>
      </c>
      <c r="S436" s="62">
        <f t="shared" si="54"/>
        <v>6.4077918749199023</v>
      </c>
      <c r="T436" s="133">
        <f>IF(P436=模板计算相关数据!$AB$24,VLOOKUP(X436,模板计算相关数据!$P$47:$T$50,5,0),VLOOKUP(X436,模板计算相关数据!$P$4:$U$7,6,0))*VLOOKUP(Y436,模板计算相关数据!$P$22:$X$30,9,0)</f>
        <v>6.4077918749199023</v>
      </c>
      <c r="U436" s="98">
        <v>36</v>
      </c>
      <c r="V436" s="95">
        <f t="shared" si="56"/>
        <v>48</v>
      </c>
      <c r="W436" s="29">
        <f>VLOOKUP(U436,模板计算相关数据!A:N,2,0)</f>
        <v>45</v>
      </c>
      <c r="X436" s="3" t="s">
        <v>151</v>
      </c>
      <c r="Y436" s="3" t="s">
        <v>243</v>
      </c>
      <c r="Z436" s="99">
        <v>1</v>
      </c>
      <c r="AA436" s="95">
        <v>1</v>
      </c>
      <c r="AB436" s="95">
        <v>1</v>
      </c>
      <c r="AC436" s="95">
        <v>1</v>
      </c>
      <c r="AD436" s="95">
        <v>-50</v>
      </c>
      <c r="AE436" s="95">
        <v>0</v>
      </c>
      <c r="AF436" s="95">
        <v>0</v>
      </c>
      <c r="AG436" s="95">
        <v>0</v>
      </c>
      <c r="AH436" s="95">
        <v>0</v>
      </c>
      <c r="AI436" s="95">
        <v>0</v>
      </c>
      <c r="AJ436" s="3">
        <f>INT(VLOOKUP(U436,模板计算相关数据!A:N,4,0)*VLOOKUP(U436,模板计算相关数据!A:N,14,0)*(1+MAX(0,(VLOOKUP(U436,模板计算相关数据!A:N,7,0)-AQ436))*VLOOKUP(U436,模板计算相关数据!A:N,8,0))*(1-(AL436+AM436)*0.5/((AL436+AM436)*0.5+(VLOOKUP(U436,模板计算相关数据!A:N,2,0)+模板计算相关数据!$AC$27)*模板计算相关数据!$AC$28))*Q436*Z436)</f>
        <v>7387</v>
      </c>
      <c r="AK436" s="3">
        <f>INT(VLOOKUP(U436,模板计算相关数据!A:N,3,0)/模板计算相关数据!$W$35/(1+MAX(0,(AO436/10000-VLOOKUP(U436,模板计算相关数据!A:N,9,0)))*AP436/10000)/(1-VLOOKUP(U436,模板计算相关数据!A:N,5,0)/(VLOOKUP(U436,模板计算相关数据!A:N,5,0)+(VLOOKUP(U436,模板计算相关数据!A:N,2,0)+模板计算相关数据!$AC$27)*模板计算相关数据!$AC$28))/S436*AA436)</f>
        <v>1650</v>
      </c>
      <c r="AL436" s="3">
        <f>INT(VLOOKUP(U436,模板计算相关数据!A:N,5,0)*VLOOKUP(X436,模板计算相关数据!$P$4:$T$7,4,0)*VLOOKUP(Y436,模板计算相关数据!$P$22:$U$30,4,0)*AB436)</f>
        <v>2386</v>
      </c>
      <c r="AM436" s="3">
        <f>INT(VLOOKUP(U436,模板计算相关数据!A:N,6,0)*VLOOKUP(X436,模板计算相关数据!$P$4:$T$7,4,0)*VLOOKUP(Y436,模板计算相关数据!$P$22:$U$30,5,0)*AC436)</f>
        <v>4341</v>
      </c>
      <c r="AN436" s="3">
        <f>VLOOKUP(U436,模板计算相关数据!A:N,10,0)*0.5*VLOOKUP(Y436,模板计算相关数据!$P$22:$U$30,6,0)+AD436</f>
        <v>225</v>
      </c>
      <c r="AO436" s="3">
        <f>VLOOKUP(INT(VLOOKUP(U436,模板计算相关数据!A:N,2,0)/30)+1,模板计算相关数据!$O$35:$U$40,3,0)+AE436</f>
        <v>0</v>
      </c>
      <c r="AP436" s="3">
        <f>VLOOKUP(INT(VLOOKUP(U436,模板计算相关数据!A:N,2,0)/30)+1,模板计算相关数据!$O$35:$U$40,4,0)+AF436</f>
        <v>5000</v>
      </c>
      <c r="AQ436" s="3">
        <f>VLOOKUP(INT(VLOOKUP(U436,模板计算相关数据!A:N,2,0)/30)+1,模板计算相关数据!$O$35:$U$40,5,0)+AG436</f>
        <v>0</v>
      </c>
      <c r="AR436" s="3">
        <f>VLOOKUP(INT(VLOOKUP(U436,模板计算相关数据!A:N,2,0)/30)+1,模板计算相关数据!$O$35:$U$40,6,0)+AH436</f>
        <v>0</v>
      </c>
      <c r="AS436" s="3">
        <f>VLOOKUP(INT(VLOOKUP(U436,模板计算相关数据!A:N,2,0)/30)+1,模板计算相关数据!$O$35:$U$40,7,0)+AI436</f>
        <v>0</v>
      </c>
      <c r="AT436" s="3">
        <f>VLOOKUP(INT(VLOOKUP(U436,模板计算相关数据!A:N,2,0)/30)+1,模板计算相关数据!$O$35:$V$40,8,0)</f>
        <v>0</v>
      </c>
      <c r="AU436" s="2"/>
    </row>
    <row r="437" spans="1:47" s="149" customFormat="1" x14ac:dyDescent="0.2">
      <c r="A437" s="43">
        <v>304401</v>
      </c>
      <c r="B437" s="43"/>
      <c r="C437" s="25" t="s">
        <v>1740</v>
      </c>
      <c r="D437" s="25" t="s">
        <v>1084</v>
      </c>
      <c r="E437" s="17"/>
      <c r="F437" s="43">
        <v>5</v>
      </c>
      <c r="G437" s="43">
        <v>1003601</v>
      </c>
      <c r="H437" s="43">
        <v>4</v>
      </c>
      <c r="I437" s="43">
        <v>4</v>
      </c>
      <c r="J437" s="43">
        <v>3</v>
      </c>
      <c r="K437" s="43"/>
      <c r="L437" s="17" t="s">
        <v>295</v>
      </c>
      <c r="M437" s="17"/>
      <c r="N437" s="17">
        <v>1</v>
      </c>
      <c r="O437" s="17"/>
      <c r="P437" s="43" t="s">
        <v>1615</v>
      </c>
      <c r="Q437" s="147">
        <f t="shared" si="55"/>
        <v>4.4674509803921572</v>
      </c>
      <c r="R437" s="133">
        <f>IF(P437=模板计算相关数据!$AB$24,VLOOKUP(X437,模板计算相关数据!$P$47:$T$50,2,0),VLOOKUP(X437,模板计算相关数据!$P$4:$U$7,3,0))*VLOOKUP(Y437,模板计算相关数据!$P$22:$X$30,8,0)</f>
        <v>4.4674509803921572</v>
      </c>
      <c r="S437" s="42">
        <f t="shared" si="54"/>
        <v>5.4739930589768004</v>
      </c>
      <c r="T437" s="133">
        <f>IF(P437=模板计算相关数据!$AB$24,VLOOKUP(X437,模板计算相关数据!$P$47:$T$50,5,0),VLOOKUP(X437,模板计算相关数据!$P$4:$U$7,6,0))*VLOOKUP(Y437,模板计算相关数据!$P$22:$X$30,9,0)</f>
        <v>5.4739930589768004</v>
      </c>
      <c r="U437" s="150">
        <v>34</v>
      </c>
      <c r="V437" s="95">
        <f t="shared" si="56"/>
        <v>19</v>
      </c>
      <c r="W437" s="29">
        <f>VLOOKUP(U437,模板计算相关数据!A:N,2,0)</f>
        <v>16</v>
      </c>
      <c r="X437" s="43" t="s">
        <v>151</v>
      </c>
      <c r="Y437" s="43" t="s">
        <v>162</v>
      </c>
      <c r="Z437" s="148">
        <v>1</v>
      </c>
      <c r="AA437" s="147">
        <v>1</v>
      </c>
      <c r="AB437" s="147">
        <v>1</v>
      </c>
      <c r="AC437" s="147">
        <v>1</v>
      </c>
      <c r="AD437" s="147">
        <v>0</v>
      </c>
      <c r="AE437" s="147">
        <v>0</v>
      </c>
      <c r="AF437" s="147">
        <v>0</v>
      </c>
      <c r="AG437" s="147">
        <v>0</v>
      </c>
      <c r="AH437" s="147">
        <v>0</v>
      </c>
      <c r="AI437" s="147">
        <v>0</v>
      </c>
      <c r="AJ437" s="43">
        <f>INT(VLOOKUP(U437,模板计算相关数据!A:N,4,0)*VLOOKUP(U437,模板计算相关数据!A:N,14,0)*(1+MAX(0,(VLOOKUP(U437,模板计算相关数据!A:N,7,0)-AQ437))*VLOOKUP(U437,模板计算相关数据!A:N,8,0))*(1-(AL437+AM437)*0.5/((AL437+AM437)*0.5+(VLOOKUP(U437,模板计算相关数据!A:N,2,0)+模板计算相关数据!$AC$27)*模板计算相关数据!$AC$28))*Q437*Z437)</f>
        <v>1398</v>
      </c>
      <c r="AK437" s="43">
        <f>INT(VLOOKUP(U437,模板计算相关数据!A:N,3,0)/模板计算相关数据!$W$35/(1+MAX(0,(AO437/10000-VLOOKUP(U437,模板计算相关数据!A:N,9,0)))*AP437/10000)/(1-VLOOKUP(U437,模板计算相关数据!A:N,5,0)/(VLOOKUP(U437,模板计算相关数据!A:N,5,0)+(VLOOKUP(U437,模板计算相关数据!A:N,2,0)+模板计算相关数据!$AC$27)*模板计算相关数据!$AC$28))/S437*AA437)</f>
        <v>391</v>
      </c>
      <c r="AL437" s="43">
        <f>INT(VLOOKUP(U437,模板计算相关数据!A:N,5,0)*VLOOKUP(X437,模板计算相关数据!$P$4:$T$7,4,0)*VLOOKUP(Y437,模板计算相关数据!$P$22:$U$30,4,0)*AB437)</f>
        <v>530</v>
      </c>
      <c r="AM437" s="43">
        <f>INT(VLOOKUP(U437,模板计算相关数据!A:N,6,0)*VLOOKUP(X437,模板计算相关数据!$P$4:$T$7,4,0)*VLOOKUP(Y437,模板计算相关数据!$P$22:$U$30,5,0)*AC437)</f>
        <v>895</v>
      </c>
      <c r="AN437" s="43">
        <f>VLOOKUP(U437,模板计算相关数据!A:N,10,0)*0.5*VLOOKUP(Y437,模板计算相关数据!$P$22:$U$30,6,0)+AD437</f>
        <v>250</v>
      </c>
      <c r="AO437" s="43">
        <f>VLOOKUP(INT(VLOOKUP(U437,模板计算相关数据!A:N,2,0)/30)+1,模板计算相关数据!$O$35:$U$40,3,0)+AE437</f>
        <v>0</v>
      </c>
      <c r="AP437" s="43">
        <f>VLOOKUP(INT(VLOOKUP(U437,模板计算相关数据!A:N,2,0)/30)+1,模板计算相关数据!$O$35:$U$40,4,0)+AF437</f>
        <v>5000</v>
      </c>
      <c r="AQ437" s="43">
        <f>VLOOKUP(INT(VLOOKUP(U437,模板计算相关数据!A:N,2,0)/30)+1,模板计算相关数据!$O$35:$U$40,5,0)+AG437</f>
        <v>0</v>
      </c>
      <c r="AR437" s="43">
        <f>VLOOKUP(INT(VLOOKUP(U437,模板计算相关数据!A:N,2,0)/30)+1,模板计算相关数据!$O$35:$U$40,6,0)+AH437</f>
        <v>0</v>
      </c>
      <c r="AS437" s="43">
        <f>VLOOKUP(INT(VLOOKUP(U437,模板计算相关数据!A:N,2,0)/30)+1,模板计算相关数据!$O$35:$U$40,7,0)+AI437</f>
        <v>0</v>
      </c>
      <c r="AT437" s="43">
        <f>VLOOKUP(INT(VLOOKUP(U437,模板计算相关数据!A:N,2,0)/30)+1,模板计算相关数据!$O$35:$V$40,8,0)</f>
        <v>0</v>
      </c>
      <c r="AU437" s="17"/>
    </row>
    <row r="438" spans="1:47" x14ac:dyDescent="0.2">
      <c r="A438" s="3">
        <v>304402</v>
      </c>
      <c r="B438" s="3"/>
      <c r="C438" s="69" t="s">
        <v>1739</v>
      </c>
      <c r="D438" s="69" t="s">
        <v>1085</v>
      </c>
      <c r="E438" s="2"/>
      <c r="F438" s="3">
        <v>5</v>
      </c>
      <c r="G438" s="3">
        <v>1003601</v>
      </c>
      <c r="H438" s="3">
        <v>4</v>
      </c>
      <c r="I438" s="3">
        <v>4</v>
      </c>
      <c r="J438" s="3">
        <v>3</v>
      </c>
      <c r="K438" s="3"/>
      <c r="L438" s="2" t="s">
        <v>296</v>
      </c>
      <c r="M438" s="2"/>
      <c r="N438" s="2">
        <v>1</v>
      </c>
      <c r="O438" s="2"/>
      <c r="P438" s="3" t="s">
        <v>1615</v>
      </c>
      <c r="Q438" s="95">
        <f t="shared" si="55"/>
        <v>4.4674509803921572</v>
      </c>
      <c r="R438" s="133">
        <f>IF(P438=模板计算相关数据!$AB$24,VLOOKUP(X438,模板计算相关数据!$P$47:$T$50,2,0),VLOOKUP(X438,模板计算相关数据!$P$4:$U$7,3,0))*VLOOKUP(Y438,模板计算相关数据!$P$22:$X$30,8,0)</f>
        <v>4.4674509803921572</v>
      </c>
      <c r="S438" s="62">
        <v>5.37</v>
      </c>
      <c r="T438" s="133">
        <f>IF(P438=模板计算相关数据!$AB$24,VLOOKUP(X438,模板计算相关数据!$P$47:$T$50,5,0),VLOOKUP(X438,模板计算相关数据!$P$4:$U$7,6,0))*VLOOKUP(Y438,模板计算相关数据!$P$22:$X$30,9,0)</f>
        <v>5.4739930589768004</v>
      </c>
      <c r="U438" s="98">
        <v>35</v>
      </c>
      <c r="V438" s="95">
        <f t="shared" si="56"/>
        <v>33</v>
      </c>
      <c r="W438" s="29">
        <f>VLOOKUP(U438,模板计算相关数据!A:N,2,0)</f>
        <v>30</v>
      </c>
      <c r="X438" s="3" t="s">
        <v>151</v>
      </c>
      <c r="Y438" s="3" t="s">
        <v>162</v>
      </c>
      <c r="Z438" s="99">
        <v>1</v>
      </c>
      <c r="AA438" s="95">
        <v>1</v>
      </c>
      <c r="AB438" s="95">
        <v>1</v>
      </c>
      <c r="AC438" s="95">
        <v>1</v>
      </c>
      <c r="AD438" s="95">
        <v>0</v>
      </c>
      <c r="AE438" s="95">
        <v>0</v>
      </c>
      <c r="AF438" s="95">
        <v>0</v>
      </c>
      <c r="AG438" s="95">
        <v>0</v>
      </c>
      <c r="AH438" s="95">
        <v>0</v>
      </c>
      <c r="AI438" s="95">
        <v>0</v>
      </c>
      <c r="AJ438" s="3">
        <f>INT(VLOOKUP(U438,模板计算相关数据!A:N,4,0)*VLOOKUP(U438,模板计算相关数据!A:N,14,0)*(1+MAX(0,(VLOOKUP(U438,模板计算相关数据!A:N,7,0)-AQ438))*VLOOKUP(U438,模板计算相关数据!A:N,8,0))*(1-(AL438+AM438)*0.5/((AL438+AM438)*0.5+(VLOOKUP(U438,模板计算相关数据!A:N,2,0)+模板计算相关数据!$AC$27)*模板计算相关数据!$AC$28))*Q438*Z438)</f>
        <v>3291</v>
      </c>
      <c r="AK438" s="3">
        <f>INT(VLOOKUP(U438,模板计算相关数据!A:N,3,0)/模板计算相关数据!$W$35/(1+MAX(0,(AO438/10000-VLOOKUP(U438,模板计算相关数据!A:N,9,0)))*AP438/10000)/(1-VLOOKUP(U438,模板计算相关数据!A:N,5,0)/(VLOOKUP(U438,模板计算相关数据!A:N,5,0)+(VLOOKUP(U438,模板计算相关数据!A:N,2,0)+模板计算相关数据!$AC$27)*模板计算相关数据!$AC$28))/S438*AA438)</f>
        <v>1228</v>
      </c>
      <c r="AL438" s="3">
        <f>INT(VLOOKUP(U438,模板计算相关数据!A:N,5,0)*VLOOKUP(X438,模板计算相关数据!$P$4:$T$7,4,0)*VLOOKUP(Y438,模板计算相关数据!$P$22:$U$30,4,0)*AB438)</f>
        <v>1426</v>
      </c>
      <c r="AM438" s="3">
        <f>INT(VLOOKUP(U438,模板计算相关数据!A:N,6,0)*VLOOKUP(X438,模板计算相关数据!$P$4:$T$7,4,0)*VLOOKUP(Y438,模板计算相关数据!$P$22:$U$30,5,0)*AC438)</f>
        <v>2407</v>
      </c>
      <c r="AN438" s="3">
        <f>VLOOKUP(U438,模板计算相关数据!A:N,10,0)*0.5*VLOOKUP(Y438,模板计算相关数据!$P$22:$U$30,6,0)+AD438</f>
        <v>250</v>
      </c>
      <c r="AO438" s="3">
        <f>VLOOKUP(INT(VLOOKUP(U438,模板计算相关数据!A:N,2,0)/30)+1,模板计算相关数据!$O$35:$U$40,3,0)+AE438</f>
        <v>0</v>
      </c>
      <c r="AP438" s="3">
        <f>VLOOKUP(INT(VLOOKUP(U438,模板计算相关数据!A:N,2,0)/30)+1,模板计算相关数据!$O$35:$U$40,4,0)+AF438</f>
        <v>5000</v>
      </c>
      <c r="AQ438" s="3">
        <f>VLOOKUP(INT(VLOOKUP(U438,模板计算相关数据!A:N,2,0)/30)+1,模板计算相关数据!$O$35:$U$40,5,0)+AG438</f>
        <v>0</v>
      </c>
      <c r="AR438" s="3">
        <f>VLOOKUP(INT(VLOOKUP(U438,模板计算相关数据!A:N,2,0)/30)+1,模板计算相关数据!$O$35:$U$40,6,0)+AH438</f>
        <v>0</v>
      </c>
      <c r="AS438" s="3">
        <f>VLOOKUP(INT(VLOOKUP(U438,模板计算相关数据!A:N,2,0)/30)+1,模板计算相关数据!$O$35:$U$40,7,0)+AI438</f>
        <v>0</v>
      </c>
      <c r="AT438" s="3">
        <f>VLOOKUP(INT(VLOOKUP(U438,模板计算相关数据!A:N,2,0)/30)+1,模板计算相关数据!$O$35:$V$40,8,0)</f>
        <v>0</v>
      </c>
      <c r="AU438" s="2"/>
    </row>
    <row r="439" spans="1:47" x14ac:dyDescent="0.2">
      <c r="A439" s="3">
        <v>304403</v>
      </c>
      <c r="B439" s="3"/>
      <c r="C439" s="69" t="s">
        <v>1739</v>
      </c>
      <c r="D439" s="69" t="s">
        <v>1086</v>
      </c>
      <c r="E439" s="2"/>
      <c r="F439" s="3">
        <v>5</v>
      </c>
      <c r="G439" s="3">
        <v>1003601</v>
      </c>
      <c r="H439" s="3">
        <v>4</v>
      </c>
      <c r="I439" s="3">
        <v>4</v>
      </c>
      <c r="J439" s="3">
        <v>3</v>
      </c>
      <c r="K439" s="3"/>
      <c r="L439" s="2" t="s">
        <v>297</v>
      </c>
      <c r="M439" s="2"/>
      <c r="N439" s="2">
        <v>1</v>
      </c>
      <c r="O439" s="2"/>
      <c r="P439" s="3" t="s">
        <v>1615</v>
      </c>
      <c r="Q439" s="95">
        <f t="shared" si="55"/>
        <v>4.4674509803921572</v>
      </c>
      <c r="R439" s="133">
        <f>IF(P439=模板计算相关数据!$AB$24,VLOOKUP(X439,模板计算相关数据!$P$47:$T$50,2,0),VLOOKUP(X439,模板计算相关数据!$P$4:$U$7,3,0))*VLOOKUP(Y439,模板计算相关数据!$P$22:$X$30,8,0)</f>
        <v>4.4674509803921572</v>
      </c>
      <c r="S439" s="62">
        <v>5.27</v>
      </c>
      <c r="T439" s="133">
        <f>IF(P439=模板计算相关数据!$AB$24,VLOOKUP(X439,模板计算相关数据!$P$47:$T$50,5,0),VLOOKUP(X439,模板计算相关数据!$P$4:$U$7,6,0))*VLOOKUP(Y439,模板计算相关数据!$P$22:$X$30,9,0)</f>
        <v>5.4739930589768004</v>
      </c>
      <c r="U439" s="98">
        <v>36</v>
      </c>
      <c r="V439" s="95">
        <f t="shared" si="56"/>
        <v>48</v>
      </c>
      <c r="W439" s="29">
        <f>VLOOKUP(U439,模板计算相关数据!A:N,2,0)</f>
        <v>45</v>
      </c>
      <c r="X439" s="3" t="s">
        <v>151</v>
      </c>
      <c r="Y439" s="3" t="s">
        <v>162</v>
      </c>
      <c r="Z439" s="99">
        <v>1</v>
      </c>
      <c r="AA439" s="95">
        <v>1</v>
      </c>
      <c r="AB439" s="95">
        <v>1</v>
      </c>
      <c r="AC439" s="95">
        <v>1</v>
      </c>
      <c r="AD439" s="95">
        <v>0</v>
      </c>
      <c r="AE439" s="95">
        <v>0</v>
      </c>
      <c r="AF439" s="95">
        <v>0</v>
      </c>
      <c r="AG439" s="95">
        <v>0</v>
      </c>
      <c r="AH439" s="95">
        <v>0</v>
      </c>
      <c r="AI439" s="95">
        <v>0</v>
      </c>
      <c r="AJ439" s="3">
        <f>INT(VLOOKUP(U439,模板计算相关数据!A:N,4,0)*VLOOKUP(U439,模板计算相关数据!A:N,14,0)*(1+MAX(0,(VLOOKUP(U439,模板计算相关数据!A:N,7,0)-AQ439))*VLOOKUP(U439,模板计算相关数据!A:N,8,0))*(1-(AL439+AM439)*0.5/((AL439+AM439)*0.5+(VLOOKUP(U439,模板计算相关数据!A:N,2,0)+模板计算相关数据!$AC$27)*模板计算相关数据!$AC$28))*Q439*Z439)</f>
        <v>5227</v>
      </c>
      <c r="AK439" s="3">
        <f>INT(VLOOKUP(U439,模板计算相关数据!A:N,3,0)/模板计算相关数据!$W$35/(1+MAX(0,(AO439/10000-VLOOKUP(U439,模板计算相关数据!A:N,9,0)))*AP439/10000)/(1-VLOOKUP(U439,模板计算相关数据!A:N,5,0)/(VLOOKUP(U439,模板计算相关数据!A:N,5,0)+(VLOOKUP(U439,模板计算相关数据!A:N,2,0)+模板计算相关数据!$AC$27)*模板计算相关数据!$AC$28))/S439*AA439)</f>
        <v>2006</v>
      </c>
      <c r="AL439" s="3">
        <f>INT(VLOOKUP(U439,模板计算相关数据!A:N,5,0)*VLOOKUP(X439,模板计算相关数据!$P$4:$T$7,4,0)*VLOOKUP(Y439,模板计算相关数据!$P$22:$U$30,4,0)*AB439)</f>
        <v>2246</v>
      </c>
      <c r="AM439" s="3">
        <f>INT(VLOOKUP(U439,模板计算相关数据!A:N,6,0)*VLOOKUP(X439,模板计算相关数据!$P$4:$T$7,4,0)*VLOOKUP(Y439,模板计算相关数据!$P$22:$U$30,5,0)*AC439)</f>
        <v>3781</v>
      </c>
      <c r="AN439" s="3">
        <f>VLOOKUP(U439,模板计算相关数据!A:N,10,0)*0.5*VLOOKUP(Y439,模板计算相关数据!$P$22:$U$30,6,0)+AD439</f>
        <v>250</v>
      </c>
      <c r="AO439" s="3">
        <f>VLOOKUP(INT(VLOOKUP(U439,模板计算相关数据!A:N,2,0)/30)+1,模板计算相关数据!$O$35:$U$40,3,0)+AE439</f>
        <v>0</v>
      </c>
      <c r="AP439" s="3">
        <f>VLOOKUP(INT(VLOOKUP(U439,模板计算相关数据!A:N,2,0)/30)+1,模板计算相关数据!$O$35:$U$40,4,0)+AF439</f>
        <v>5000</v>
      </c>
      <c r="AQ439" s="3">
        <f>VLOOKUP(INT(VLOOKUP(U439,模板计算相关数据!A:N,2,0)/30)+1,模板计算相关数据!$O$35:$U$40,5,0)+AG439</f>
        <v>0</v>
      </c>
      <c r="AR439" s="3">
        <f>VLOOKUP(INT(VLOOKUP(U439,模板计算相关数据!A:N,2,0)/30)+1,模板计算相关数据!$O$35:$U$40,6,0)+AH439</f>
        <v>0</v>
      </c>
      <c r="AS439" s="3">
        <f>VLOOKUP(INT(VLOOKUP(U439,模板计算相关数据!A:N,2,0)/30)+1,模板计算相关数据!$O$35:$U$40,7,0)+AI439</f>
        <v>0</v>
      </c>
      <c r="AT439" s="3">
        <f>VLOOKUP(INT(VLOOKUP(U439,模板计算相关数据!A:N,2,0)/30)+1,模板计算相关数据!$O$35:$V$40,8,0)</f>
        <v>0</v>
      </c>
      <c r="AU439" s="2"/>
    </row>
    <row r="440" spans="1:47" x14ac:dyDescent="0.2">
      <c r="A440" s="3">
        <v>304404</v>
      </c>
      <c r="B440" s="3"/>
      <c r="C440" s="69" t="s">
        <v>1739</v>
      </c>
      <c r="D440" s="69" t="s">
        <v>1087</v>
      </c>
      <c r="E440" s="2"/>
      <c r="F440" s="3">
        <v>5</v>
      </c>
      <c r="G440" s="3">
        <v>1003601</v>
      </c>
      <c r="H440" s="3">
        <v>4</v>
      </c>
      <c r="I440" s="3">
        <v>4</v>
      </c>
      <c r="J440" s="3">
        <v>3</v>
      </c>
      <c r="K440" s="3"/>
      <c r="L440" s="2" t="s">
        <v>298</v>
      </c>
      <c r="M440" s="2"/>
      <c r="N440" s="2">
        <v>1</v>
      </c>
      <c r="O440" s="2"/>
      <c r="P440" s="3" t="s">
        <v>1615</v>
      </c>
      <c r="Q440" s="95">
        <f t="shared" si="55"/>
        <v>4.4674509803921572</v>
      </c>
      <c r="R440" s="133">
        <f>IF(P440=模板计算相关数据!$AB$24,VLOOKUP(X440,模板计算相关数据!$P$47:$T$50,2,0),VLOOKUP(X440,模板计算相关数据!$P$4:$U$7,3,0))*VLOOKUP(Y440,模板计算相关数据!$P$22:$X$30,8,0)</f>
        <v>4.4674509803921572</v>
      </c>
      <c r="S440" s="62">
        <v>5.17</v>
      </c>
      <c r="T440" s="133">
        <f>IF(P440=模板计算相关数据!$AB$24,VLOOKUP(X440,模板计算相关数据!$P$47:$T$50,5,0),VLOOKUP(X440,模板计算相关数据!$P$4:$U$7,6,0))*VLOOKUP(Y440,模板计算相关数据!$P$22:$X$30,9,0)</f>
        <v>5.4739930589768004</v>
      </c>
      <c r="U440" s="98">
        <v>36</v>
      </c>
      <c r="V440" s="95">
        <f t="shared" si="56"/>
        <v>48</v>
      </c>
      <c r="W440" s="29">
        <f>VLOOKUP(U440,模板计算相关数据!A:N,2,0)</f>
        <v>45</v>
      </c>
      <c r="X440" s="3" t="s">
        <v>151</v>
      </c>
      <c r="Y440" s="3" t="s">
        <v>162</v>
      </c>
      <c r="Z440" s="99">
        <v>1</v>
      </c>
      <c r="AA440" s="95">
        <v>1</v>
      </c>
      <c r="AB440" s="95">
        <v>1</v>
      </c>
      <c r="AC440" s="95">
        <v>1</v>
      </c>
      <c r="AD440" s="95">
        <v>0</v>
      </c>
      <c r="AE440" s="95">
        <v>0</v>
      </c>
      <c r="AF440" s="95">
        <v>0</v>
      </c>
      <c r="AG440" s="95">
        <v>0</v>
      </c>
      <c r="AH440" s="95">
        <v>0</v>
      </c>
      <c r="AI440" s="95">
        <v>0</v>
      </c>
      <c r="AJ440" s="3">
        <f>INT(VLOOKUP(U440,模板计算相关数据!A:N,4,0)*VLOOKUP(U440,模板计算相关数据!A:N,14,0)*(1+MAX(0,(VLOOKUP(U440,模板计算相关数据!A:N,7,0)-AQ440))*VLOOKUP(U440,模板计算相关数据!A:N,8,0))*(1-(AL440+AM440)*0.5/((AL440+AM440)*0.5+(VLOOKUP(U440,模板计算相关数据!A:N,2,0)+模板计算相关数据!$AC$27)*模板计算相关数据!$AC$28))*Q440*Z440)</f>
        <v>5227</v>
      </c>
      <c r="AK440" s="3">
        <f>INT(VLOOKUP(U440,模板计算相关数据!A:N,3,0)/模板计算相关数据!$W$35/(1+MAX(0,(AO440/10000-VLOOKUP(U440,模板计算相关数据!A:N,9,0)))*AP440/10000)/(1-VLOOKUP(U440,模板计算相关数据!A:N,5,0)/(VLOOKUP(U440,模板计算相关数据!A:N,5,0)+(VLOOKUP(U440,模板计算相关数据!A:N,2,0)+模板计算相关数据!$AC$27)*模板计算相关数据!$AC$28))/S440*AA440)</f>
        <v>2045</v>
      </c>
      <c r="AL440" s="3">
        <f>INT(VLOOKUP(U440,模板计算相关数据!A:N,5,0)*VLOOKUP(X440,模板计算相关数据!$P$4:$T$7,4,0)*VLOOKUP(Y440,模板计算相关数据!$P$22:$U$30,4,0)*AB440)</f>
        <v>2246</v>
      </c>
      <c r="AM440" s="3">
        <f>INT(VLOOKUP(U440,模板计算相关数据!A:N,6,0)*VLOOKUP(X440,模板计算相关数据!$P$4:$T$7,4,0)*VLOOKUP(Y440,模板计算相关数据!$P$22:$U$30,5,0)*AC440)</f>
        <v>3781</v>
      </c>
      <c r="AN440" s="3">
        <f>VLOOKUP(U440,模板计算相关数据!A:N,10,0)*0.5*VLOOKUP(Y440,模板计算相关数据!$P$22:$U$30,6,0)+AD440</f>
        <v>250</v>
      </c>
      <c r="AO440" s="3">
        <f>VLOOKUP(INT(VLOOKUP(U440,模板计算相关数据!A:N,2,0)/30)+1,模板计算相关数据!$O$35:$U$40,3,0)+AE440</f>
        <v>0</v>
      </c>
      <c r="AP440" s="3">
        <f>VLOOKUP(INT(VLOOKUP(U440,模板计算相关数据!A:N,2,0)/30)+1,模板计算相关数据!$O$35:$U$40,4,0)+AF440</f>
        <v>5000</v>
      </c>
      <c r="AQ440" s="3">
        <f>VLOOKUP(INT(VLOOKUP(U440,模板计算相关数据!A:N,2,0)/30)+1,模板计算相关数据!$O$35:$U$40,5,0)+AG440</f>
        <v>0</v>
      </c>
      <c r="AR440" s="3">
        <f>VLOOKUP(INT(VLOOKUP(U440,模板计算相关数据!A:N,2,0)/30)+1,模板计算相关数据!$O$35:$U$40,6,0)+AH440</f>
        <v>0</v>
      </c>
      <c r="AS440" s="3">
        <f>VLOOKUP(INT(VLOOKUP(U440,模板计算相关数据!A:N,2,0)/30)+1,模板计算相关数据!$O$35:$U$40,7,0)+AI440</f>
        <v>0</v>
      </c>
      <c r="AT440" s="3">
        <f>VLOOKUP(INT(VLOOKUP(U440,模板计算相关数据!A:N,2,0)/30)+1,模板计算相关数据!$O$35:$V$40,8,0)</f>
        <v>0</v>
      </c>
      <c r="AU440" s="2"/>
    </row>
    <row r="441" spans="1:47" x14ac:dyDescent="0.2">
      <c r="A441" s="3">
        <v>304405</v>
      </c>
      <c r="B441" s="3"/>
      <c r="C441" s="69" t="s">
        <v>1741</v>
      </c>
      <c r="D441" s="69" t="s">
        <v>1088</v>
      </c>
      <c r="E441" s="2"/>
      <c r="F441" s="3">
        <v>4</v>
      </c>
      <c r="G441" s="3">
        <v>1002801</v>
      </c>
      <c r="H441" s="3">
        <v>1</v>
      </c>
      <c r="I441" s="3">
        <v>4</v>
      </c>
      <c r="J441" s="3">
        <v>3</v>
      </c>
      <c r="K441" s="3"/>
      <c r="L441" s="2" t="s">
        <v>299</v>
      </c>
      <c r="M441" s="2"/>
      <c r="N441" s="2">
        <v>1</v>
      </c>
      <c r="O441" s="2"/>
      <c r="P441" s="3" t="s">
        <v>1615</v>
      </c>
      <c r="Q441" s="95">
        <f t="shared" si="55"/>
        <v>4.417254901960785</v>
      </c>
      <c r="R441" s="133">
        <f>IF(P441=模板计算相关数据!$AB$24,VLOOKUP(X441,模板计算相关数据!$P$47:$T$50,2,0),VLOOKUP(X441,模板计算相关数据!$P$4:$U$7,3,0))*VLOOKUP(Y441,模板计算相关数据!$P$22:$X$30,8,0)</f>
        <v>4.417254901960785</v>
      </c>
      <c r="S441" s="62">
        <f t="shared" si="54"/>
        <v>5.4285280003474252</v>
      </c>
      <c r="T441" s="133">
        <f>IF(P441=模板计算相关数据!$AB$24,VLOOKUP(X441,模板计算相关数据!$P$47:$T$50,5,0),VLOOKUP(X441,模板计算相关数据!$P$4:$U$7,6,0))*VLOOKUP(Y441,模板计算相关数据!$P$22:$X$30,9,0)</f>
        <v>5.4285280003474252</v>
      </c>
      <c r="U441" s="98">
        <v>34</v>
      </c>
      <c r="V441" s="95">
        <f t="shared" si="56"/>
        <v>19</v>
      </c>
      <c r="W441" s="29">
        <f>VLOOKUP(U441,模板计算相关数据!A:N,2,0)</f>
        <v>16</v>
      </c>
      <c r="X441" s="3" t="s">
        <v>151</v>
      </c>
      <c r="Y441" s="3" t="s">
        <v>152</v>
      </c>
      <c r="Z441" s="99">
        <v>1</v>
      </c>
      <c r="AA441" s="95">
        <v>1</v>
      </c>
      <c r="AB441" s="95">
        <v>1</v>
      </c>
      <c r="AC441" s="95">
        <v>1</v>
      </c>
      <c r="AD441" s="95">
        <v>0</v>
      </c>
      <c r="AE441" s="95">
        <v>0</v>
      </c>
      <c r="AF441" s="95">
        <v>0</v>
      </c>
      <c r="AG441" s="95">
        <v>0</v>
      </c>
      <c r="AH441" s="95">
        <v>0</v>
      </c>
      <c r="AI441" s="95">
        <v>0</v>
      </c>
      <c r="AJ441" s="3">
        <f>INT(VLOOKUP(U441,模板计算相关数据!A:N,4,0)*VLOOKUP(U441,模板计算相关数据!A:N,14,0)*(1+MAX(0,(VLOOKUP(U441,模板计算相关数据!A:N,7,0)-AQ441))*VLOOKUP(U441,模板计算相关数据!A:N,8,0))*(1-(AL441+AM441)*0.5/((AL441+AM441)*0.5+(VLOOKUP(U441,模板计算相关数据!A:N,2,0)+模板计算相关数据!$AC$27)*模板计算相关数据!$AC$28))*Q441*Z441)</f>
        <v>1383</v>
      </c>
      <c r="AK441" s="3">
        <f>INT(VLOOKUP(U441,模板计算相关数据!A:N,3,0)/模板计算相关数据!$W$35/(1+MAX(0,(AO441/10000-VLOOKUP(U441,模板计算相关数据!A:N,9,0)))*AP441/10000)/(1-VLOOKUP(U441,模板计算相关数据!A:N,5,0)/(VLOOKUP(U441,模板计算相关数据!A:N,5,0)+(VLOOKUP(U441,模板计算相关数据!A:N,2,0)+模板计算相关数据!$AC$27)*模板计算相关数据!$AC$28))/S441*AA441)</f>
        <v>394</v>
      </c>
      <c r="AL441" s="3">
        <f>INT(VLOOKUP(U441,模板计算相关数据!A:N,5,0)*VLOOKUP(X441,模板计算相关数据!$P$4:$T$7,4,0)*VLOOKUP(Y441,模板计算相关数据!$P$22:$U$30,4,0)*AB441)</f>
        <v>895</v>
      </c>
      <c r="AM441" s="3">
        <f>INT(VLOOKUP(U441,模板计算相关数据!A:N,6,0)*VLOOKUP(X441,模板计算相关数据!$P$4:$T$7,4,0)*VLOOKUP(Y441,模板计算相关数据!$P$22:$U$30,5,0)*AC441)</f>
        <v>530</v>
      </c>
      <c r="AN441" s="3">
        <f>VLOOKUP(U441,模板计算相关数据!A:N,10,0)*0.5*VLOOKUP(Y441,模板计算相关数据!$P$22:$U$30,6,0)+AD441</f>
        <v>250</v>
      </c>
      <c r="AO441" s="3">
        <f>VLOOKUP(INT(VLOOKUP(U441,模板计算相关数据!A:N,2,0)/30)+1,模板计算相关数据!$O$35:$U$40,3,0)+AE441</f>
        <v>0</v>
      </c>
      <c r="AP441" s="3">
        <f>VLOOKUP(INT(VLOOKUP(U441,模板计算相关数据!A:N,2,0)/30)+1,模板计算相关数据!$O$35:$U$40,4,0)+AF441</f>
        <v>5000</v>
      </c>
      <c r="AQ441" s="3">
        <f>VLOOKUP(INT(VLOOKUP(U441,模板计算相关数据!A:N,2,0)/30)+1,模板计算相关数据!$O$35:$U$40,5,0)+AG441</f>
        <v>0</v>
      </c>
      <c r="AR441" s="3">
        <f>VLOOKUP(INT(VLOOKUP(U441,模板计算相关数据!A:N,2,0)/30)+1,模板计算相关数据!$O$35:$U$40,6,0)+AH441</f>
        <v>0</v>
      </c>
      <c r="AS441" s="3">
        <f>VLOOKUP(INT(VLOOKUP(U441,模板计算相关数据!A:N,2,0)/30)+1,模板计算相关数据!$O$35:$U$40,7,0)+AI441</f>
        <v>0</v>
      </c>
      <c r="AT441" s="3">
        <f>VLOOKUP(INT(VLOOKUP(U441,模板计算相关数据!A:N,2,0)/30)+1,模板计算相关数据!$O$35:$V$40,8,0)</f>
        <v>0</v>
      </c>
      <c r="AU441" s="2"/>
    </row>
    <row r="442" spans="1:47" x14ac:dyDescent="0.2">
      <c r="A442" s="3">
        <v>304406</v>
      </c>
      <c r="B442" s="3"/>
      <c r="C442" s="69" t="s">
        <v>1741</v>
      </c>
      <c r="D442" s="69" t="s">
        <v>1089</v>
      </c>
      <c r="E442" s="2"/>
      <c r="F442" s="3">
        <v>4</v>
      </c>
      <c r="G442" s="3">
        <v>1002801</v>
      </c>
      <c r="H442" s="3">
        <v>1</v>
      </c>
      <c r="I442" s="3">
        <v>4</v>
      </c>
      <c r="J442" s="3">
        <v>3</v>
      </c>
      <c r="K442" s="3"/>
      <c r="L442" s="2" t="s">
        <v>300</v>
      </c>
      <c r="M442" s="2"/>
      <c r="N442" s="2">
        <v>1</v>
      </c>
      <c r="O442" s="2"/>
      <c r="P442" s="3" t="s">
        <v>1615</v>
      </c>
      <c r="Q442" s="95">
        <f t="shared" si="55"/>
        <v>4.417254901960785</v>
      </c>
      <c r="R442" s="133">
        <f>IF(P442=模板计算相关数据!$AB$24,VLOOKUP(X442,模板计算相关数据!$P$47:$T$50,2,0),VLOOKUP(X442,模板计算相关数据!$P$4:$U$7,3,0))*VLOOKUP(Y442,模板计算相关数据!$P$22:$X$30,8,0)</f>
        <v>4.417254901960785</v>
      </c>
      <c r="S442" s="62">
        <v>5.33</v>
      </c>
      <c r="T442" s="133">
        <f>IF(P442=模板计算相关数据!$AB$24,VLOOKUP(X442,模板计算相关数据!$P$47:$T$50,5,0),VLOOKUP(X442,模板计算相关数据!$P$4:$U$7,6,0))*VLOOKUP(Y442,模板计算相关数据!$P$22:$X$30,9,0)</f>
        <v>5.4285280003474252</v>
      </c>
      <c r="U442" s="98">
        <v>35</v>
      </c>
      <c r="V442" s="95">
        <f t="shared" si="56"/>
        <v>33</v>
      </c>
      <c r="W442" s="29">
        <f>VLOOKUP(U442,模板计算相关数据!A:N,2,0)</f>
        <v>30</v>
      </c>
      <c r="X442" s="3" t="s">
        <v>151</v>
      </c>
      <c r="Y442" s="3" t="s">
        <v>152</v>
      </c>
      <c r="Z442" s="99">
        <v>1</v>
      </c>
      <c r="AA442" s="95">
        <v>1</v>
      </c>
      <c r="AB442" s="95">
        <v>1</v>
      </c>
      <c r="AC442" s="95">
        <v>1</v>
      </c>
      <c r="AD442" s="95">
        <v>0</v>
      </c>
      <c r="AE442" s="95">
        <v>0</v>
      </c>
      <c r="AF442" s="95">
        <v>0</v>
      </c>
      <c r="AG442" s="95">
        <v>0</v>
      </c>
      <c r="AH442" s="95">
        <v>0</v>
      </c>
      <c r="AI442" s="95">
        <v>0</v>
      </c>
      <c r="AJ442" s="3">
        <f>INT(VLOOKUP(U442,模板计算相关数据!A:N,4,0)*VLOOKUP(U442,模板计算相关数据!A:N,14,0)*(1+MAX(0,(VLOOKUP(U442,模板计算相关数据!A:N,7,0)-AQ442))*VLOOKUP(U442,模板计算相关数据!A:N,8,0))*(1-(AL442+AM442)*0.5/((AL442+AM442)*0.5+(VLOOKUP(U442,模板计算相关数据!A:N,2,0)+模板计算相关数据!$AC$27)*模板计算相关数据!$AC$28))*Q442*Z442)</f>
        <v>3254</v>
      </c>
      <c r="AK442" s="3">
        <f>INT(VLOOKUP(U442,模板计算相关数据!A:N,3,0)/模板计算相关数据!$W$35/(1+MAX(0,(AO442/10000-VLOOKUP(U442,模板计算相关数据!A:N,9,0)))*AP442/10000)/(1-VLOOKUP(U442,模板计算相关数据!A:N,5,0)/(VLOOKUP(U442,模板计算相关数据!A:N,5,0)+(VLOOKUP(U442,模板计算相关数据!A:N,2,0)+模板计算相关数据!$AC$27)*模板计算相关数据!$AC$28))/S442*AA442)</f>
        <v>1238</v>
      </c>
      <c r="AL442" s="3">
        <f>INT(VLOOKUP(U442,模板计算相关数据!A:N,5,0)*VLOOKUP(X442,模板计算相关数据!$P$4:$T$7,4,0)*VLOOKUP(Y442,模板计算相关数据!$P$22:$U$30,4,0)*AB442)</f>
        <v>2407</v>
      </c>
      <c r="AM442" s="3">
        <f>INT(VLOOKUP(U442,模板计算相关数据!A:N,6,0)*VLOOKUP(X442,模板计算相关数据!$P$4:$T$7,4,0)*VLOOKUP(Y442,模板计算相关数据!$P$22:$U$30,5,0)*AC442)</f>
        <v>1426</v>
      </c>
      <c r="AN442" s="3">
        <f>VLOOKUP(U442,模板计算相关数据!A:N,10,0)*0.5*VLOOKUP(Y442,模板计算相关数据!$P$22:$U$30,6,0)+AD442</f>
        <v>250</v>
      </c>
      <c r="AO442" s="3">
        <f>VLOOKUP(INT(VLOOKUP(U442,模板计算相关数据!A:N,2,0)/30)+1,模板计算相关数据!$O$35:$U$40,3,0)+AE442</f>
        <v>0</v>
      </c>
      <c r="AP442" s="3">
        <f>VLOOKUP(INT(VLOOKUP(U442,模板计算相关数据!A:N,2,0)/30)+1,模板计算相关数据!$O$35:$U$40,4,0)+AF442</f>
        <v>5000</v>
      </c>
      <c r="AQ442" s="3">
        <f>VLOOKUP(INT(VLOOKUP(U442,模板计算相关数据!A:N,2,0)/30)+1,模板计算相关数据!$O$35:$U$40,5,0)+AG442</f>
        <v>0</v>
      </c>
      <c r="AR442" s="3">
        <f>VLOOKUP(INT(VLOOKUP(U442,模板计算相关数据!A:N,2,0)/30)+1,模板计算相关数据!$O$35:$U$40,6,0)+AH442</f>
        <v>0</v>
      </c>
      <c r="AS442" s="3">
        <f>VLOOKUP(INT(VLOOKUP(U442,模板计算相关数据!A:N,2,0)/30)+1,模板计算相关数据!$O$35:$U$40,7,0)+AI442</f>
        <v>0</v>
      </c>
      <c r="AT442" s="3">
        <f>VLOOKUP(INT(VLOOKUP(U442,模板计算相关数据!A:N,2,0)/30)+1,模板计算相关数据!$O$35:$V$40,8,0)</f>
        <v>0</v>
      </c>
      <c r="AU442" s="2"/>
    </row>
    <row r="443" spans="1:47" x14ac:dyDescent="0.2">
      <c r="A443" s="3">
        <v>304407</v>
      </c>
      <c r="B443" s="3"/>
      <c r="C443" s="69" t="s">
        <v>1741</v>
      </c>
      <c r="D443" s="69" t="s">
        <v>1086</v>
      </c>
      <c r="E443" s="2"/>
      <c r="F443" s="3">
        <v>4</v>
      </c>
      <c r="G443" s="3">
        <v>1002801</v>
      </c>
      <c r="H443" s="3">
        <v>1</v>
      </c>
      <c r="I443" s="3">
        <v>4</v>
      </c>
      <c r="J443" s="3">
        <v>3</v>
      </c>
      <c r="K443" s="3"/>
      <c r="L443" s="2" t="s">
        <v>301</v>
      </c>
      <c r="M443" s="2"/>
      <c r="N443" s="2">
        <v>1</v>
      </c>
      <c r="O443" s="2"/>
      <c r="P443" s="3" t="s">
        <v>1615</v>
      </c>
      <c r="Q443" s="95">
        <f t="shared" si="55"/>
        <v>4.417254901960785</v>
      </c>
      <c r="R443" s="133">
        <f>IF(P443=模板计算相关数据!$AB$24,VLOOKUP(X443,模板计算相关数据!$P$47:$T$50,2,0),VLOOKUP(X443,模板计算相关数据!$P$4:$U$7,3,0))*VLOOKUP(Y443,模板计算相关数据!$P$22:$X$30,8,0)</f>
        <v>4.417254901960785</v>
      </c>
      <c r="S443" s="62">
        <v>5.23</v>
      </c>
      <c r="T443" s="133">
        <f>IF(P443=模板计算相关数据!$AB$24,VLOOKUP(X443,模板计算相关数据!$P$47:$T$50,5,0),VLOOKUP(X443,模板计算相关数据!$P$4:$U$7,6,0))*VLOOKUP(Y443,模板计算相关数据!$P$22:$X$30,9,0)</f>
        <v>5.4285280003474252</v>
      </c>
      <c r="U443" s="98">
        <v>36</v>
      </c>
      <c r="V443" s="95">
        <f t="shared" si="56"/>
        <v>48</v>
      </c>
      <c r="W443" s="29">
        <f>VLOOKUP(U443,模板计算相关数据!A:N,2,0)</f>
        <v>45</v>
      </c>
      <c r="X443" s="3" t="s">
        <v>151</v>
      </c>
      <c r="Y443" s="3" t="s">
        <v>152</v>
      </c>
      <c r="Z443" s="99">
        <v>1</v>
      </c>
      <c r="AA443" s="95">
        <v>1</v>
      </c>
      <c r="AB443" s="95">
        <v>1</v>
      </c>
      <c r="AC443" s="95">
        <v>1</v>
      </c>
      <c r="AD443" s="95">
        <v>0</v>
      </c>
      <c r="AE443" s="95">
        <v>0</v>
      </c>
      <c r="AF443" s="95">
        <v>0</v>
      </c>
      <c r="AG443" s="95">
        <v>0</v>
      </c>
      <c r="AH443" s="95">
        <v>0</v>
      </c>
      <c r="AI443" s="95">
        <v>0</v>
      </c>
      <c r="AJ443" s="3">
        <f>INT(VLOOKUP(U443,模板计算相关数据!A:N,4,0)*VLOOKUP(U443,模板计算相关数据!A:N,14,0)*(1+MAX(0,(VLOOKUP(U443,模板计算相关数据!A:N,7,0)-AQ443))*VLOOKUP(U443,模板计算相关数据!A:N,8,0))*(1-(AL443+AM443)*0.5/((AL443+AM443)*0.5+(VLOOKUP(U443,模板计算相关数据!A:N,2,0)+模板计算相关数据!$AC$27)*模板计算相关数据!$AC$28))*Q443*Z443)</f>
        <v>5167</v>
      </c>
      <c r="AK443" s="3">
        <f>INT(VLOOKUP(U443,模板计算相关数据!A:N,3,0)/模板计算相关数据!$W$35/(1+MAX(0,(AO443/10000-VLOOKUP(U443,模板计算相关数据!A:N,9,0)))*AP443/10000)/(1-VLOOKUP(U443,模板计算相关数据!A:N,5,0)/(VLOOKUP(U443,模板计算相关数据!A:N,5,0)+(VLOOKUP(U443,模板计算相关数据!A:N,2,0)+模板计算相关数据!$AC$27)*模板计算相关数据!$AC$28))/S443*AA443)</f>
        <v>2021</v>
      </c>
      <c r="AL443" s="3">
        <f>INT(VLOOKUP(U443,模板计算相关数据!A:N,5,0)*VLOOKUP(X443,模板计算相关数据!$P$4:$T$7,4,0)*VLOOKUP(Y443,模板计算相关数据!$P$22:$U$30,4,0)*AB443)</f>
        <v>3790</v>
      </c>
      <c r="AM443" s="3">
        <f>INT(VLOOKUP(U443,模板计算相关数据!A:N,6,0)*VLOOKUP(X443,模板计算相关数据!$P$4:$T$7,4,0)*VLOOKUP(Y443,模板计算相关数据!$P$22:$U$30,5,0)*AC443)</f>
        <v>2241</v>
      </c>
      <c r="AN443" s="3">
        <f>VLOOKUP(U443,模板计算相关数据!A:N,10,0)*0.5*VLOOKUP(Y443,模板计算相关数据!$P$22:$U$30,6,0)+AD443</f>
        <v>250</v>
      </c>
      <c r="AO443" s="3">
        <f>VLOOKUP(INT(VLOOKUP(U443,模板计算相关数据!A:N,2,0)/30)+1,模板计算相关数据!$O$35:$U$40,3,0)+AE443</f>
        <v>0</v>
      </c>
      <c r="AP443" s="3">
        <f>VLOOKUP(INT(VLOOKUP(U443,模板计算相关数据!A:N,2,0)/30)+1,模板计算相关数据!$O$35:$U$40,4,0)+AF443</f>
        <v>5000</v>
      </c>
      <c r="AQ443" s="3">
        <f>VLOOKUP(INT(VLOOKUP(U443,模板计算相关数据!A:N,2,0)/30)+1,模板计算相关数据!$O$35:$U$40,5,0)+AG443</f>
        <v>0</v>
      </c>
      <c r="AR443" s="3">
        <f>VLOOKUP(INT(VLOOKUP(U443,模板计算相关数据!A:N,2,0)/30)+1,模板计算相关数据!$O$35:$U$40,6,0)+AH443</f>
        <v>0</v>
      </c>
      <c r="AS443" s="3">
        <f>VLOOKUP(INT(VLOOKUP(U443,模板计算相关数据!A:N,2,0)/30)+1,模板计算相关数据!$O$35:$U$40,7,0)+AI443</f>
        <v>0</v>
      </c>
      <c r="AT443" s="3">
        <f>VLOOKUP(INT(VLOOKUP(U443,模板计算相关数据!A:N,2,0)/30)+1,模板计算相关数据!$O$35:$V$40,8,0)</f>
        <v>0</v>
      </c>
      <c r="AU443" s="2"/>
    </row>
    <row r="444" spans="1:47" x14ac:dyDescent="0.2">
      <c r="A444" s="3">
        <v>304408</v>
      </c>
      <c r="B444" s="3"/>
      <c r="C444" s="69" t="s">
        <v>1741</v>
      </c>
      <c r="D444" s="69" t="s">
        <v>1087</v>
      </c>
      <c r="E444" s="2"/>
      <c r="F444" s="3">
        <v>4</v>
      </c>
      <c r="G444" s="3">
        <v>1002801</v>
      </c>
      <c r="H444" s="3">
        <v>1</v>
      </c>
      <c r="I444" s="3">
        <v>4</v>
      </c>
      <c r="J444" s="3">
        <v>3</v>
      </c>
      <c r="K444" s="3"/>
      <c r="L444" s="2" t="s">
        <v>302</v>
      </c>
      <c r="M444" s="2"/>
      <c r="N444" s="2">
        <v>1</v>
      </c>
      <c r="O444" s="2"/>
      <c r="P444" s="3" t="s">
        <v>1615</v>
      </c>
      <c r="Q444" s="95">
        <f t="shared" si="55"/>
        <v>4.417254901960785</v>
      </c>
      <c r="R444" s="133">
        <f>IF(P444=模板计算相关数据!$AB$24,VLOOKUP(X444,模板计算相关数据!$P$47:$T$50,2,0),VLOOKUP(X444,模板计算相关数据!$P$4:$U$7,3,0))*VLOOKUP(Y444,模板计算相关数据!$P$22:$X$30,8,0)</f>
        <v>4.417254901960785</v>
      </c>
      <c r="S444" s="62">
        <v>2.13</v>
      </c>
      <c r="T444" s="133">
        <f>IF(P444=模板计算相关数据!$AB$24,VLOOKUP(X444,模板计算相关数据!$P$47:$T$50,5,0),VLOOKUP(X444,模板计算相关数据!$P$4:$U$7,6,0))*VLOOKUP(Y444,模板计算相关数据!$P$22:$X$30,9,0)</f>
        <v>5.4285280003474252</v>
      </c>
      <c r="U444" s="98">
        <v>36</v>
      </c>
      <c r="V444" s="95">
        <f t="shared" si="56"/>
        <v>48</v>
      </c>
      <c r="W444" s="29">
        <f>VLOOKUP(U444,模板计算相关数据!A:N,2,0)</f>
        <v>45</v>
      </c>
      <c r="X444" s="3" t="s">
        <v>151</v>
      </c>
      <c r="Y444" s="3" t="s">
        <v>152</v>
      </c>
      <c r="Z444" s="99">
        <v>1</v>
      </c>
      <c r="AA444" s="95">
        <v>1</v>
      </c>
      <c r="AB444" s="95">
        <v>1</v>
      </c>
      <c r="AC444" s="95">
        <v>1</v>
      </c>
      <c r="AD444" s="95">
        <v>0</v>
      </c>
      <c r="AE444" s="95">
        <v>0</v>
      </c>
      <c r="AF444" s="95">
        <v>0</v>
      </c>
      <c r="AG444" s="95">
        <v>0</v>
      </c>
      <c r="AH444" s="95">
        <v>0</v>
      </c>
      <c r="AI444" s="95">
        <v>0</v>
      </c>
      <c r="AJ444" s="3">
        <f>INT(VLOOKUP(U444,模板计算相关数据!A:N,4,0)*VLOOKUP(U444,模板计算相关数据!A:N,14,0)*(1+MAX(0,(VLOOKUP(U444,模板计算相关数据!A:N,7,0)-AQ444))*VLOOKUP(U444,模板计算相关数据!A:N,8,0))*(1-(AL444+AM444)*0.5/((AL444+AM444)*0.5+(VLOOKUP(U444,模板计算相关数据!A:N,2,0)+模板计算相关数据!$AC$27)*模板计算相关数据!$AC$28))*Q444*Z444)</f>
        <v>5167</v>
      </c>
      <c r="AK444" s="3">
        <f>INT(VLOOKUP(U444,模板计算相关数据!A:N,3,0)/模板计算相关数据!$W$35/(1+MAX(0,(AO444/10000-VLOOKUP(U444,模板计算相关数据!A:N,9,0)))*AP444/10000)/(1-VLOOKUP(U444,模板计算相关数据!A:N,5,0)/(VLOOKUP(U444,模板计算相关数据!A:N,5,0)+(VLOOKUP(U444,模板计算相关数据!A:N,2,0)+模板计算相关数据!$AC$27)*模板计算相关数据!$AC$28))/S444*AA444)</f>
        <v>4964</v>
      </c>
      <c r="AL444" s="3">
        <f>INT(VLOOKUP(U444,模板计算相关数据!A:N,5,0)*VLOOKUP(X444,模板计算相关数据!$P$4:$T$7,4,0)*VLOOKUP(Y444,模板计算相关数据!$P$22:$U$30,4,0)*AB444)</f>
        <v>3790</v>
      </c>
      <c r="AM444" s="3">
        <f>INT(VLOOKUP(U444,模板计算相关数据!A:N,6,0)*VLOOKUP(X444,模板计算相关数据!$P$4:$T$7,4,0)*VLOOKUP(Y444,模板计算相关数据!$P$22:$U$30,5,0)*AC444)</f>
        <v>2241</v>
      </c>
      <c r="AN444" s="3">
        <f>VLOOKUP(U444,模板计算相关数据!A:N,10,0)*0.5*VLOOKUP(Y444,模板计算相关数据!$P$22:$U$30,6,0)+AD444</f>
        <v>250</v>
      </c>
      <c r="AO444" s="3">
        <f>VLOOKUP(INT(VLOOKUP(U444,模板计算相关数据!A:N,2,0)/30)+1,模板计算相关数据!$O$35:$U$40,3,0)+AE444</f>
        <v>0</v>
      </c>
      <c r="AP444" s="3">
        <f>VLOOKUP(INT(VLOOKUP(U444,模板计算相关数据!A:N,2,0)/30)+1,模板计算相关数据!$O$35:$U$40,4,0)+AF444</f>
        <v>5000</v>
      </c>
      <c r="AQ444" s="3">
        <f>VLOOKUP(INT(VLOOKUP(U444,模板计算相关数据!A:N,2,0)/30)+1,模板计算相关数据!$O$35:$U$40,5,0)+AG444</f>
        <v>0</v>
      </c>
      <c r="AR444" s="3">
        <f>VLOOKUP(INT(VLOOKUP(U444,模板计算相关数据!A:N,2,0)/30)+1,模板计算相关数据!$O$35:$U$40,6,0)+AH444</f>
        <v>0</v>
      </c>
      <c r="AS444" s="3">
        <f>VLOOKUP(INT(VLOOKUP(U444,模板计算相关数据!A:N,2,0)/30)+1,模板计算相关数据!$O$35:$U$40,7,0)+AI444</f>
        <v>0</v>
      </c>
      <c r="AT444" s="3">
        <f>VLOOKUP(INT(VLOOKUP(U444,模板计算相关数据!A:N,2,0)/30)+1,模板计算相关数据!$O$35:$V$40,8,0)</f>
        <v>0</v>
      </c>
      <c r="AU444" s="2"/>
    </row>
    <row r="445" spans="1:47" x14ac:dyDescent="0.2">
      <c r="A445" s="3">
        <v>304409</v>
      </c>
      <c r="B445" s="3"/>
      <c r="C445" s="69" t="s">
        <v>1742</v>
      </c>
      <c r="D445" s="69" t="s">
        <v>1088</v>
      </c>
      <c r="E445" s="2"/>
      <c r="F445" s="3">
        <v>4</v>
      </c>
      <c r="G445" s="3">
        <v>1001501</v>
      </c>
      <c r="H445" s="3">
        <v>2</v>
      </c>
      <c r="I445" s="3">
        <v>4</v>
      </c>
      <c r="J445" s="3">
        <v>3</v>
      </c>
      <c r="K445" s="3"/>
      <c r="L445" s="2" t="s">
        <v>303</v>
      </c>
      <c r="M445" s="2"/>
      <c r="N445" s="2">
        <v>1</v>
      </c>
      <c r="O445" s="2"/>
      <c r="P445" s="3" t="s">
        <v>1615</v>
      </c>
      <c r="Q445" s="95">
        <f t="shared" si="55"/>
        <v>6.9411764705882364</v>
      </c>
      <c r="R445" s="133">
        <f>IF(P445=模板计算相关数据!$AB$24,VLOOKUP(X445,模板计算相关数据!$P$47:$T$50,2,0),VLOOKUP(X445,模板计算相关数据!$P$4:$U$7,3,0))*VLOOKUP(Y445,模板计算相关数据!$P$22:$X$30,8,0)</f>
        <v>6.9411764705882364</v>
      </c>
      <c r="S445" s="62">
        <f t="shared" si="54"/>
        <v>8.2943498888557112</v>
      </c>
      <c r="T445" s="133">
        <f>IF(P445=模板计算相关数据!$AB$24,VLOOKUP(X445,模板计算相关数据!$P$47:$T$50,5,0),VLOOKUP(X445,模板计算相关数据!$P$4:$U$7,6,0))*VLOOKUP(Y445,模板计算相关数据!$P$22:$X$30,9,0)</f>
        <v>8.2943498888557112</v>
      </c>
      <c r="U445" s="98">
        <v>34</v>
      </c>
      <c r="V445" s="95">
        <f t="shared" si="56"/>
        <v>19</v>
      </c>
      <c r="W445" s="29">
        <f>VLOOKUP(U445,模板计算相关数据!A:N,2,0)</f>
        <v>16</v>
      </c>
      <c r="X445" s="3" t="s">
        <v>151</v>
      </c>
      <c r="Y445" s="3" t="s">
        <v>155</v>
      </c>
      <c r="Z445" s="99">
        <v>1</v>
      </c>
      <c r="AA445" s="95">
        <v>1</v>
      </c>
      <c r="AB445" s="95">
        <v>1</v>
      </c>
      <c r="AC445" s="95">
        <v>1</v>
      </c>
      <c r="AD445" s="95">
        <v>0</v>
      </c>
      <c r="AE445" s="95">
        <v>0</v>
      </c>
      <c r="AF445" s="95">
        <v>0</v>
      </c>
      <c r="AG445" s="95">
        <v>0</v>
      </c>
      <c r="AH445" s="95">
        <v>0</v>
      </c>
      <c r="AI445" s="95">
        <v>0</v>
      </c>
      <c r="AJ445" s="3">
        <f>INT(VLOOKUP(U445,模板计算相关数据!A:N,4,0)*VLOOKUP(U445,模板计算相关数据!A:N,14,0)*(1+MAX(0,(VLOOKUP(U445,模板计算相关数据!A:N,7,0)-AQ445))*VLOOKUP(U445,模板计算相关数据!A:N,8,0))*(1-(AL445+AM445)*0.5/((AL445+AM445)*0.5+(VLOOKUP(U445,模板计算相关数据!A:N,2,0)+模板计算相关数据!$AC$27)*模板计算相关数据!$AC$28))*Q445*Z445)</f>
        <v>2075</v>
      </c>
      <c r="AK445" s="3">
        <f>INT(VLOOKUP(U445,模板计算相关数据!A:N,3,0)/模板计算相关数据!$W$35/(1+MAX(0,(AO445/10000-VLOOKUP(U445,模板计算相关数据!A:N,9,0)))*AP445/10000)/(1-VLOOKUP(U445,模板计算相关数据!A:N,5,0)/(VLOOKUP(U445,模板计算相关数据!A:N,5,0)+(VLOOKUP(U445,模板计算相关数据!A:N,2,0)+模板计算相关数据!$AC$27)*模板计算相关数据!$AC$28))/S445*AA445)</f>
        <v>258</v>
      </c>
      <c r="AL445" s="3">
        <f>INT(VLOOKUP(U445,模板计算相关数据!A:N,5,0)*VLOOKUP(X445,模板计算相关数据!$P$4:$T$7,4,0)*VLOOKUP(Y445,模板计算相关数据!$P$22:$U$30,4,0)*AB445)</f>
        <v>1077</v>
      </c>
      <c r="AM445" s="3">
        <f>INT(VLOOKUP(U445,模板计算相关数据!A:N,6,0)*VLOOKUP(X445,模板计算相关数据!$P$4:$T$7,4,0)*VLOOKUP(Y445,模板计算相关数据!$P$22:$U$30,5,0)*AC445)</f>
        <v>596</v>
      </c>
      <c r="AN445" s="3">
        <f>VLOOKUP(U445,模板计算相关数据!A:N,10,0)*0.5*VLOOKUP(Y445,模板计算相关数据!$P$22:$U$30,6,0)+AD445</f>
        <v>225</v>
      </c>
      <c r="AO445" s="3">
        <f>VLOOKUP(INT(VLOOKUP(U445,模板计算相关数据!A:N,2,0)/30)+1,模板计算相关数据!$O$35:$U$40,3,0)+AE445</f>
        <v>0</v>
      </c>
      <c r="AP445" s="3">
        <f>VLOOKUP(INT(VLOOKUP(U445,模板计算相关数据!A:N,2,0)/30)+1,模板计算相关数据!$O$35:$U$40,4,0)+AF445</f>
        <v>5000</v>
      </c>
      <c r="AQ445" s="3">
        <f>VLOOKUP(INT(VLOOKUP(U445,模板计算相关数据!A:N,2,0)/30)+1,模板计算相关数据!$O$35:$U$40,5,0)+AG445</f>
        <v>0</v>
      </c>
      <c r="AR445" s="3">
        <f>VLOOKUP(INT(VLOOKUP(U445,模板计算相关数据!A:N,2,0)/30)+1,模板计算相关数据!$O$35:$U$40,6,0)+AH445</f>
        <v>0</v>
      </c>
      <c r="AS445" s="3">
        <f>VLOOKUP(INT(VLOOKUP(U445,模板计算相关数据!A:N,2,0)/30)+1,模板计算相关数据!$O$35:$U$40,7,0)+AI445</f>
        <v>0</v>
      </c>
      <c r="AT445" s="3">
        <f>VLOOKUP(INT(VLOOKUP(U445,模板计算相关数据!A:N,2,0)/30)+1,模板计算相关数据!$O$35:$V$40,8,0)</f>
        <v>0</v>
      </c>
      <c r="AU445" s="2"/>
    </row>
    <row r="446" spans="1:47" x14ac:dyDescent="0.2">
      <c r="A446" s="3">
        <v>304410</v>
      </c>
      <c r="B446" s="3"/>
      <c r="C446" s="69" t="s">
        <v>1742</v>
      </c>
      <c r="D446" s="69" t="s">
        <v>1089</v>
      </c>
      <c r="E446" s="2"/>
      <c r="F446" s="3">
        <v>4</v>
      </c>
      <c r="G446" s="3">
        <v>1001501</v>
      </c>
      <c r="H446" s="3">
        <v>2</v>
      </c>
      <c r="I446" s="3">
        <v>4</v>
      </c>
      <c r="J446" s="3">
        <v>3</v>
      </c>
      <c r="K446" s="3"/>
      <c r="L446" s="2" t="s">
        <v>304</v>
      </c>
      <c r="M446" s="2"/>
      <c r="N446" s="2">
        <v>1</v>
      </c>
      <c r="O446" s="2"/>
      <c r="P446" s="3" t="s">
        <v>1615</v>
      </c>
      <c r="Q446" s="95">
        <v>7.2</v>
      </c>
      <c r="R446" s="133">
        <f>IF(P446=模板计算相关数据!$AB$24,VLOOKUP(X446,模板计算相关数据!$P$47:$T$50,2,0),VLOOKUP(X446,模板计算相关数据!$P$4:$U$7,3,0))*VLOOKUP(Y446,模板计算相关数据!$P$22:$X$30,8,0)</f>
        <v>6.9411764705882364</v>
      </c>
      <c r="S446" s="62">
        <f t="shared" si="54"/>
        <v>8.2943498888557112</v>
      </c>
      <c r="T446" s="133">
        <f>IF(P446=模板计算相关数据!$AB$24,VLOOKUP(X446,模板计算相关数据!$P$47:$T$50,5,0),VLOOKUP(X446,模板计算相关数据!$P$4:$U$7,6,0))*VLOOKUP(Y446,模板计算相关数据!$P$22:$X$30,9,0)</f>
        <v>8.2943498888557112</v>
      </c>
      <c r="U446" s="98">
        <v>35</v>
      </c>
      <c r="V446" s="95">
        <f t="shared" si="56"/>
        <v>33</v>
      </c>
      <c r="W446" s="29">
        <f>VLOOKUP(U446,模板计算相关数据!A:N,2,0)</f>
        <v>30</v>
      </c>
      <c r="X446" s="3" t="s">
        <v>151</v>
      </c>
      <c r="Y446" s="3" t="s">
        <v>155</v>
      </c>
      <c r="Z446" s="99">
        <v>1</v>
      </c>
      <c r="AA446" s="95">
        <v>1</v>
      </c>
      <c r="AB446" s="95">
        <v>1</v>
      </c>
      <c r="AC446" s="95">
        <v>1</v>
      </c>
      <c r="AD446" s="95">
        <v>0</v>
      </c>
      <c r="AE446" s="95">
        <v>0</v>
      </c>
      <c r="AF446" s="95">
        <v>0</v>
      </c>
      <c r="AG446" s="95">
        <v>0</v>
      </c>
      <c r="AH446" s="95">
        <v>0</v>
      </c>
      <c r="AI446" s="95">
        <v>0</v>
      </c>
      <c r="AJ446" s="3">
        <f>INT(VLOOKUP(U446,模板计算相关数据!A:N,4,0)*VLOOKUP(U446,模板计算相关数据!A:N,14,0)*(1+MAX(0,(VLOOKUP(U446,模板计算相关数据!A:N,7,0)-AQ446))*VLOOKUP(U446,模板计算相关数据!A:N,8,0))*(1-(AL446+AM446)*0.5/((AL446+AM446)*0.5+(VLOOKUP(U446,模板计算相关数据!A:N,2,0)+模板计算相关数据!$AC$27)*模板计算相关数据!$AC$28))*Q446*Z446)</f>
        <v>4981</v>
      </c>
      <c r="AK446" s="3">
        <f>INT(VLOOKUP(U446,模板计算相关数据!A:N,3,0)/模板计算相关数据!$W$35/(1+MAX(0,(AO446/10000-VLOOKUP(U446,模板计算相关数据!A:N,9,0)))*AP446/10000)/(1-VLOOKUP(U446,模板计算相关数据!A:N,5,0)/(VLOOKUP(U446,模板计算相关数据!A:N,5,0)+(VLOOKUP(U446,模板计算相关数据!A:N,2,0)+模板计算相关数据!$AC$27)*模板计算相关数据!$AC$28))/S446*AA446)</f>
        <v>795</v>
      </c>
      <c r="AL446" s="3">
        <f>INT(VLOOKUP(U446,模板计算相关数据!A:N,5,0)*VLOOKUP(X446,模板计算相关数据!$P$4:$T$7,4,0)*VLOOKUP(Y446,模板计算相关数据!$P$22:$U$30,4,0)*AB446)</f>
        <v>2898</v>
      </c>
      <c r="AM446" s="3">
        <f>INT(VLOOKUP(U446,模板计算相关数据!A:N,6,0)*VLOOKUP(X446,模板计算相关数据!$P$4:$T$7,4,0)*VLOOKUP(Y446,模板计算相关数据!$P$22:$U$30,5,0)*AC446)</f>
        <v>1605</v>
      </c>
      <c r="AN446" s="3">
        <f>VLOOKUP(U446,模板计算相关数据!A:N,10,0)*0.5*VLOOKUP(Y446,模板计算相关数据!$P$22:$U$30,6,0)+AD446</f>
        <v>225</v>
      </c>
      <c r="AO446" s="3">
        <f>VLOOKUP(INT(VLOOKUP(U446,模板计算相关数据!A:N,2,0)/30)+1,模板计算相关数据!$O$35:$U$40,3,0)+AE446</f>
        <v>0</v>
      </c>
      <c r="AP446" s="3">
        <f>VLOOKUP(INT(VLOOKUP(U446,模板计算相关数据!A:N,2,0)/30)+1,模板计算相关数据!$O$35:$U$40,4,0)+AF446</f>
        <v>5000</v>
      </c>
      <c r="AQ446" s="3">
        <f>VLOOKUP(INT(VLOOKUP(U446,模板计算相关数据!A:N,2,0)/30)+1,模板计算相关数据!$O$35:$U$40,5,0)+AG446</f>
        <v>0</v>
      </c>
      <c r="AR446" s="3">
        <f>VLOOKUP(INT(VLOOKUP(U446,模板计算相关数据!A:N,2,0)/30)+1,模板计算相关数据!$O$35:$U$40,6,0)+AH446</f>
        <v>0</v>
      </c>
      <c r="AS446" s="3">
        <f>VLOOKUP(INT(VLOOKUP(U446,模板计算相关数据!A:N,2,0)/30)+1,模板计算相关数据!$O$35:$U$40,7,0)+AI446</f>
        <v>0</v>
      </c>
      <c r="AT446" s="3">
        <f>VLOOKUP(INT(VLOOKUP(U446,模板计算相关数据!A:N,2,0)/30)+1,模板计算相关数据!$O$35:$V$40,8,0)</f>
        <v>0</v>
      </c>
      <c r="AU446" s="2"/>
    </row>
    <row r="447" spans="1:47" x14ac:dyDescent="0.2">
      <c r="A447" s="3">
        <v>304411</v>
      </c>
      <c r="B447" s="3"/>
      <c r="C447" s="69" t="s">
        <v>1742</v>
      </c>
      <c r="D447" s="69" t="s">
        <v>1086</v>
      </c>
      <c r="E447" s="2"/>
      <c r="F447" s="3">
        <v>4</v>
      </c>
      <c r="G447" s="3">
        <v>1001501</v>
      </c>
      <c r="H447" s="3">
        <v>2</v>
      </c>
      <c r="I447" s="3">
        <v>4</v>
      </c>
      <c r="J447" s="3">
        <v>3</v>
      </c>
      <c r="K447" s="3"/>
      <c r="L447" s="2" t="s">
        <v>305</v>
      </c>
      <c r="M447" s="2"/>
      <c r="N447" s="2">
        <v>1</v>
      </c>
      <c r="O447" s="2"/>
      <c r="P447" s="3" t="s">
        <v>1615</v>
      </c>
      <c r="Q447" s="95">
        <v>7.5</v>
      </c>
      <c r="R447" s="133">
        <f>IF(P447=模板计算相关数据!$AB$24,VLOOKUP(X447,模板计算相关数据!$P$47:$T$50,2,0),VLOOKUP(X447,模板计算相关数据!$P$4:$U$7,3,0))*VLOOKUP(Y447,模板计算相关数据!$P$22:$X$30,8,0)</f>
        <v>6.9411764705882364</v>
      </c>
      <c r="S447" s="62">
        <f t="shared" si="54"/>
        <v>8.2943498888557112</v>
      </c>
      <c r="T447" s="133">
        <f>IF(P447=模板计算相关数据!$AB$24,VLOOKUP(X447,模板计算相关数据!$P$47:$T$50,5,0),VLOOKUP(X447,模板计算相关数据!$P$4:$U$7,6,0))*VLOOKUP(Y447,模板计算相关数据!$P$22:$X$30,9,0)</f>
        <v>8.2943498888557112</v>
      </c>
      <c r="U447" s="98">
        <v>36</v>
      </c>
      <c r="V447" s="95">
        <f t="shared" si="56"/>
        <v>48</v>
      </c>
      <c r="W447" s="29">
        <f>VLOOKUP(U447,模板计算相关数据!A:N,2,0)</f>
        <v>45</v>
      </c>
      <c r="X447" s="3" t="s">
        <v>151</v>
      </c>
      <c r="Y447" s="3" t="s">
        <v>155</v>
      </c>
      <c r="Z447" s="99">
        <v>1</v>
      </c>
      <c r="AA447" s="95">
        <v>1</v>
      </c>
      <c r="AB447" s="95">
        <v>1</v>
      </c>
      <c r="AC447" s="95">
        <v>1</v>
      </c>
      <c r="AD447" s="95">
        <v>0</v>
      </c>
      <c r="AE447" s="95">
        <v>0</v>
      </c>
      <c r="AF447" s="95">
        <v>0</v>
      </c>
      <c r="AG447" s="95">
        <v>0</v>
      </c>
      <c r="AH447" s="95">
        <v>0</v>
      </c>
      <c r="AI447" s="95">
        <v>0</v>
      </c>
      <c r="AJ447" s="3">
        <f>INT(VLOOKUP(U447,模板计算相关数据!A:N,4,0)*VLOOKUP(U447,模板计算相关数据!A:N,14,0)*(1+MAX(0,(VLOOKUP(U447,模板计算相关数据!A:N,7,0)-AQ447))*VLOOKUP(U447,模板计算相关数据!A:N,8,0))*(1-(AL447+AM447)*0.5/((AL447+AM447)*0.5+(VLOOKUP(U447,模板计算相关数据!A:N,2,0)+模板计算相关数据!$AC$27)*模板计算相关数据!$AC$28))*Q447*Z447)</f>
        <v>8213</v>
      </c>
      <c r="AK447" s="3">
        <f>INT(VLOOKUP(U447,模板计算相关数据!A:N,3,0)/模板计算相关数据!$W$35/(1+MAX(0,(AO447/10000-VLOOKUP(U447,模板计算相关数据!A:N,9,0)))*AP447/10000)/(1-VLOOKUP(U447,模板计算相关数据!A:N,5,0)/(VLOOKUP(U447,模板计算相关数据!A:N,5,0)+(VLOOKUP(U447,模板计算相关数据!A:N,2,0)+模板计算相关数据!$AC$27)*模板计算相关数据!$AC$28))/S447*AA447)</f>
        <v>1274</v>
      </c>
      <c r="AL447" s="3">
        <f>INT(VLOOKUP(U447,模板计算相关数据!A:N,5,0)*VLOOKUP(X447,模板计算相关数据!$P$4:$T$7,4,0)*VLOOKUP(Y447,模板计算相关数据!$P$22:$U$30,4,0)*AB447)</f>
        <v>4562</v>
      </c>
      <c r="AM447" s="3">
        <f>INT(VLOOKUP(U447,模板计算相关数据!A:N,6,0)*VLOOKUP(X447,模板计算相关数据!$P$4:$T$7,4,0)*VLOOKUP(Y447,模板计算相关数据!$P$22:$U$30,5,0)*AC447)</f>
        <v>2521</v>
      </c>
      <c r="AN447" s="3">
        <f>VLOOKUP(U447,模板计算相关数据!A:N,10,0)*0.5*VLOOKUP(Y447,模板计算相关数据!$P$22:$U$30,6,0)+AD447</f>
        <v>225</v>
      </c>
      <c r="AO447" s="3">
        <f>VLOOKUP(INT(VLOOKUP(U447,模板计算相关数据!A:N,2,0)/30)+1,模板计算相关数据!$O$35:$U$40,3,0)+AE447</f>
        <v>0</v>
      </c>
      <c r="AP447" s="3">
        <f>VLOOKUP(INT(VLOOKUP(U447,模板计算相关数据!A:N,2,0)/30)+1,模板计算相关数据!$O$35:$U$40,4,0)+AF447</f>
        <v>5000</v>
      </c>
      <c r="AQ447" s="3">
        <f>VLOOKUP(INT(VLOOKUP(U447,模板计算相关数据!A:N,2,0)/30)+1,模板计算相关数据!$O$35:$U$40,5,0)+AG447</f>
        <v>0</v>
      </c>
      <c r="AR447" s="3">
        <f>VLOOKUP(INT(VLOOKUP(U447,模板计算相关数据!A:N,2,0)/30)+1,模板计算相关数据!$O$35:$U$40,6,0)+AH447</f>
        <v>0</v>
      </c>
      <c r="AS447" s="3">
        <f>VLOOKUP(INT(VLOOKUP(U447,模板计算相关数据!A:N,2,0)/30)+1,模板计算相关数据!$O$35:$U$40,7,0)+AI447</f>
        <v>0</v>
      </c>
      <c r="AT447" s="3">
        <f>VLOOKUP(INT(VLOOKUP(U447,模板计算相关数据!A:N,2,0)/30)+1,模板计算相关数据!$O$35:$V$40,8,0)</f>
        <v>0</v>
      </c>
      <c r="AU447" s="2"/>
    </row>
    <row r="448" spans="1:47" ht="15" customHeight="1" x14ac:dyDescent="0.2">
      <c r="A448" s="3">
        <v>304412</v>
      </c>
      <c r="B448" s="3"/>
      <c r="C448" s="69" t="s">
        <v>1742</v>
      </c>
      <c r="D448" s="69" t="s">
        <v>1087</v>
      </c>
      <c r="E448" s="2"/>
      <c r="F448" s="3">
        <v>4</v>
      </c>
      <c r="G448" s="3">
        <v>1001501</v>
      </c>
      <c r="H448" s="3">
        <v>2</v>
      </c>
      <c r="I448" s="3">
        <v>4</v>
      </c>
      <c r="J448" s="3">
        <v>3</v>
      </c>
      <c r="K448" s="3"/>
      <c r="L448" s="2" t="s">
        <v>306</v>
      </c>
      <c r="M448" s="2"/>
      <c r="N448" s="2">
        <v>1</v>
      </c>
      <c r="O448" s="2"/>
      <c r="P448" s="3" t="s">
        <v>1615</v>
      </c>
      <c r="Q448" s="95">
        <v>7.8</v>
      </c>
      <c r="R448" s="133">
        <f>IF(P448=模板计算相关数据!$AB$24,VLOOKUP(X448,模板计算相关数据!$P$47:$T$50,2,0),VLOOKUP(X448,模板计算相关数据!$P$4:$U$7,3,0))*VLOOKUP(Y448,模板计算相关数据!$P$22:$X$30,8,0)</f>
        <v>6.9411764705882364</v>
      </c>
      <c r="S448" s="62">
        <f t="shared" si="54"/>
        <v>8.2943498888557112</v>
      </c>
      <c r="T448" s="133">
        <f>IF(P448=模板计算相关数据!$AB$24,VLOOKUP(X448,模板计算相关数据!$P$47:$T$50,5,0),VLOOKUP(X448,模板计算相关数据!$P$4:$U$7,6,0))*VLOOKUP(Y448,模板计算相关数据!$P$22:$X$30,9,0)</f>
        <v>8.2943498888557112</v>
      </c>
      <c r="U448" s="98">
        <v>36</v>
      </c>
      <c r="V448" s="95">
        <f t="shared" si="56"/>
        <v>48</v>
      </c>
      <c r="W448" s="29">
        <f>VLOOKUP(U448,模板计算相关数据!A:N,2,0)</f>
        <v>45</v>
      </c>
      <c r="X448" s="3" t="s">
        <v>151</v>
      </c>
      <c r="Y448" s="3" t="s">
        <v>155</v>
      </c>
      <c r="Z448" s="99">
        <v>1</v>
      </c>
      <c r="AA448" s="95">
        <v>1</v>
      </c>
      <c r="AB448" s="95">
        <v>1</v>
      </c>
      <c r="AC448" s="95">
        <v>1</v>
      </c>
      <c r="AD448" s="95">
        <v>0</v>
      </c>
      <c r="AE448" s="95">
        <v>0</v>
      </c>
      <c r="AF448" s="95">
        <v>0</v>
      </c>
      <c r="AG448" s="95">
        <v>0</v>
      </c>
      <c r="AH448" s="95">
        <v>0</v>
      </c>
      <c r="AI448" s="95">
        <v>0</v>
      </c>
      <c r="AJ448" s="3">
        <f>INT(VLOOKUP(U448,模板计算相关数据!A:N,4,0)*VLOOKUP(U448,模板计算相关数据!A:N,14,0)*(1+MAX(0,(VLOOKUP(U448,模板计算相关数据!A:N,7,0)-AQ448))*VLOOKUP(U448,模板计算相关数据!A:N,8,0))*(1-(AL448+AM448)*0.5/((AL448+AM448)*0.5+(VLOOKUP(U448,模板计算相关数据!A:N,2,0)+模板计算相关数据!$AC$27)*模板计算相关数据!$AC$28))*Q448*Z448)</f>
        <v>8542</v>
      </c>
      <c r="AK448" s="3">
        <f>INT(VLOOKUP(U448,模板计算相关数据!A:N,3,0)/模板计算相关数据!$W$35/(1+MAX(0,(AO448/10000-VLOOKUP(U448,模板计算相关数据!A:N,9,0)))*AP448/10000)/(1-VLOOKUP(U448,模板计算相关数据!A:N,5,0)/(VLOOKUP(U448,模板计算相关数据!A:N,5,0)+(VLOOKUP(U448,模板计算相关数据!A:N,2,0)+模板计算相关数据!$AC$27)*模板计算相关数据!$AC$28))/S448*AA448)</f>
        <v>1274</v>
      </c>
      <c r="AL448" s="3">
        <f>INT(VLOOKUP(U448,模板计算相关数据!A:N,5,0)*VLOOKUP(X448,模板计算相关数据!$P$4:$T$7,4,0)*VLOOKUP(Y448,模板计算相关数据!$P$22:$U$30,4,0)*AB448)</f>
        <v>4562</v>
      </c>
      <c r="AM448" s="3">
        <f>INT(VLOOKUP(U448,模板计算相关数据!A:N,6,0)*VLOOKUP(X448,模板计算相关数据!$P$4:$T$7,4,0)*VLOOKUP(Y448,模板计算相关数据!$P$22:$U$30,5,0)*AC448)</f>
        <v>2521</v>
      </c>
      <c r="AN448" s="3">
        <f>VLOOKUP(U448,模板计算相关数据!A:N,10,0)*0.5*VLOOKUP(Y448,模板计算相关数据!$P$22:$U$30,6,0)+AD448</f>
        <v>225</v>
      </c>
      <c r="AO448" s="3">
        <f>VLOOKUP(INT(VLOOKUP(U448,模板计算相关数据!A:N,2,0)/30)+1,模板计算相关数据!$O$35:$U$40,3,0)+AE448</f>
        <v>0</v>
      </c>
      <c r="AP448" s="3">
        <f>VLOOKUP(INT(VLOOKUP(U448,模板计算相关数据!A:N,2,0)/30)+1,模板计算相关数据!$O$35:$U$40,4,0)+AF448</f>
        <v>5000</v>
      </c>
      <c r="AQ448" s="3">
        <f>VLOOKUP(INT(VLOOKUP(U448,模板计算相关数据!A:N,2,0)/30)+1,模板计算相关数据!$O$35:$U$40,5,0)+AG448</f>
        <v>0</v>
      </c>
      <c r="AR448" s="3">
        <f>VLOOKUP(INT(VLOOKUP(U448,模板计算相关数据!A:N,2,0)/30)+1,模板计算相关数据!$O$35:$U$40,6,0)+AH448</f>
        <v>0</v>
      </c>
      <c r="AS448" s="3">
        <f>VLOOKUP(INT(VLOOKUP(U448,模板计算相关数据!A:N,2,0)/30)+1,模板计算相关数据!$O$35:$U$40,7,0)+AI448</f>
        <v>0</v>
      </c>
      <c r="AT448" s="3">
        <f>VLOOKUP(INT(VLOOKUP(U448,模板计算相关数据!A:N,2,0)/30)+1,模板计算相关数据!$O$35:$V$40,8,0)</f>
        <v>0</v>
      </c>
      <c r="AU448" s="2"/>
    </row>
    <row r="449" spans="1:47" x14ac:dyDescent="0.2">
      <c r="A449" s="3">
        <v>304413</v>
      </c>
      <c r="B449" s="3"/>
      <c r="C449" s="69" t="s">
        <v>1739</v>
      </c>
      <c r="D449" s="69" t="s">
        <v>1090</v>
      </c>
      <c r="E449" s="2"/>
      <c r="F449" s="3">
        <v>5</v>
      </c>
      <c r="G449" s="3">
        <v>1003601</v>
      </c>
      <c r="H449" s="3">
        <v>4</v>
      </c>
      <c r="I449" s="3">
        <v>4</v>
      </c>
      <c r="J449" s="3">
        <v>3</v>
      </c>
      <c r="K449" s="3"/>
      <c r="L449" s="69" t="s">
        <v>968</v>
      </c>
      <c r="M449" s="2"/>
      <c r="N449" s="2">
        <v>1</v>
      </c>
      <c r="O449" s="2"/>
      <c r="P449" s="3" t="s">
        <v>1615</v>
      </c>
      <c r="Q449" s="95">
        <f t="shared" si="55"/>
        <v>4.4674509803921572</v>
      </c>
      <c r="R449" s="133">
        <f>IF(P449=模板计算相关数据!$AB$24,VLOOKUP(X449,模板计算相关数据!$P$47:$T$50,2,0),VLOOKUP(X449,模板计算相关数据!$P$4:$U$7,3,0))*VLOOKUP(Y449,模板计算相关数据!$P$22:$X$30,8,0)</f>
        <v>4.4674509803921572</v>
      </c>
      <c r="S449" s="62">
        <v>5.07</v>
      </c>
      <c r="T449" s="133">
        <f>IF(P449=模板计算相关数据!$AB$24,VLOOKUP(X449,模板计算相关数据!$P$47:$T$50,5,0),VLOOKUP(X449,模板计算相关数据!$P$4:$U$7,6,0))*VLOOKUP(Y449,模板计算相关数据!$P$22:$X$30,9,0)</f>
        <v>5.4739930589768004</v>
      </c>
      <c r="U449" s="98">
        <v>36</v>
      </c>
      <c r="V449" s="95">
        <f t="shared" si="56"/>
        <v>48</v>
      </c>
      <c r="W449" s="29">
        <f>VLOOKUP(U449,模板计算相关数据!A:N,2,0)</f>
        <v>45</v>
      </c>
      <c r="X449" s="3" t="s">
        <v>151</v>
      </c>
      <c r="Y449" s="3" t="s">
        <v>162</v>
      </c>
      <c r="Z449" s="99">
        <v>1</v>
      </c>
      <c r="AA449" s="95">
        <v>1</v>
      </c>
      <c r="AB449" s="95">
        <v>1</v>
      </c>
      <c r="AC449" s="95">
        <v>1</v>
      </c>
      <c r="AD449" s="95">
        <v>0</v>
      </c>
      <c r="AE449" s="95">
        <v>0</v>
      </c>
      <c r="AF449" s="95">
        <v>0</v>
      </c>
      <c r="AG449" s="95">
        <v>0</v>
      </c>
      <c r="AH449" s="95">
        <v>0</v>
      </c>
      <c r="AI449" s="95">
        <v>0</v>
      </c>
      <c r="AJ449" s="3">
        <f>INT(VLOOKUP(U449,模板计算相关数据!A:N,4,0)*VLOOKUP(U449,模板计算相关数据!A:N,14,0)*(1+MAX(0,(VLOOKUP(U449,模板计算相关数据!A:N,7,0)-AQ449))*VLOOKUP(U449,模板计算相关数据!A:N,8,0))*(1-(AL449+AM449)*0.5/((AL449+AM449)*0.5+(VLOOKUP(U449,模板计算相关数据!A:N,2,0)+模板计算相关数据!$AC$27)*模板计算相关数据!$AC$28))*Q449*Z449)</f>
        <v>5227</v>
      </c>
      <c r="AK449" s="3">
        <f>INT(VLOOKUP(U449,模板计算相关数据!A:N,3,0)/模板计算相关数据!$W$35/(1+MAX(0,(AO449/10000-VLOOKUP(U449,模板计算相关数据!A:N,9,0)))*AP449/10000)/(1-VLOOKUP(U449,模板计算相关数据!A:N,5,0)/(VLOOKUP(U449,模板计算相关数据!A:N,5,0)+(VLOOKUP(U449,模板计算相关数据!A:N,2,0)+模板计算相关数据!$AC$27)*模板计算相关数据!$AC$28))/S449*AA449)</f>
        <v>2085</v>
      </c>
      <c r="AL449" s="3">
        <f>INT(VLOOKUP(U449,模板计算相关数据!A:N,5,0)*VLOOKUP(X449,模板计算相关数据!$P$4:$T$7,4,0)*VLOOKUP(Y449,模板计算相关数据!$P$22:$U$30,4,0)*AB449)</f>
        <v>2246</v>
      </c>
      <c r="AM449" s="3">
        <f>INT(VLOOKUP(U449,模板计算相关数据!A:N,6,0)*VLOOKUP(X449,模板计算相关数据!$P$4:$T$7,4,0)*VLOOKUP(Y449,模板计算相关数据!$P$22:$U$30,5,0)*AC449)</f>
        <v>3781</v>
      </c>
      <c r="AN449" s="3">
        <f>VLOOKUP(U449,模板计算相关数据!A:N,10,0)*0.5*VLOOKUP(Y449,模板计算相关数据!$P$22:$U$30,6,0)+AD449</f>
        <v>250</v>
      </c>
      <c r="AO449" s="3">
        <f>VLOOKUP(INT(VLOOKUP(U449,模板计算相关数据!A:N,2,0)/30)+1,模板计算相关数据!$O$35:$U$40,3,0)+AE449</f>
        <v>0</v>
      </c>
      <c r="AP449" s="3">
        <f>VLOOKUP(INT(VLOOKUP(U449,模板计算相关数据!A:N,2,0)/30)+1,模板计算相关数据!$O$35:$U$40,4,0)+AF449</f>
        <v>5000</v>
      </c>
      <c r="AQ449" s="3">
        <f>VLOOKUP(INT(VLOOKUP(U449,模板计算相关数据!A:N,2,0)/30)+1,模板计算相关数据!$O$35:$U$40,5,0)+AG449</f>
        <v>0</v>
      </c>
      <c r="AR449" s="3">
        <f>VLOOKUP(INT(VLOOKUP(U449,模板计算相关数据!A:N,2,0)/30)+1,模板计算相关数据!$O$35:$U$40,6,0)+AH449</f>
        <v>0</v>
      </c>
      <c r="AS449" s="3">
        <f>VLOOKUP(INT(VLOOKUP(U449,模板计算相关数据!A:N,2,0)/30)+1,模板计算相关数据!$O$35:$U$40,7,0)+AI449</f>
        <v>0</v>
      </c>
      <c r="AT449" s="3">
        <f>VLOOKUP(INT(VLOOKUP(U449,模板计算相关数据!A:N,2,0)/30)+1,模板计算相关数据!$O$35:$V$40,8,0)</f>
        <v>0</v>
      </c>
      <c r="AU449" s="2"/>
    </row>
    <row r="450" spans="1:47" x14ac:dyDescent="0.2">
      <c r="A450" s="3">
        <v>304414</v>
      </c>
      <c r="B450" s="3"/>
      <c r="C450" s="69" t="s">
        <v>1741</v>
      </c>
      <c r="D450" s="69" t="s">
        <v>1090</v>
      </c>
      <c r="E450" s="2"/>
      <c r="F450" s="3">
        <v>4</v>
      </c>
      <c r="G450" s="3">
        <v>1002801</v>
      </c>
      <c r="H450" s="3">
        <v>1</v>
      </c>
      <c r="I450" s="3">
        <v>4</v>
      </c>
      <c r="J450" s="3">
        <v>3</v>
      </c>
      <c r="K450" s="3"/>
      <c r="L450" s="69" t="s">
        <v>969</v>
      </c>
      <c r="M450" s="2"/>
      <c r="N450" s="2">
        <v>1</v>
      </c>
      <c r="O450" s="2"/>
      <c r="P450" s="3" t="s">
        <v>1615</v>
      </c>
      <c r="Q450" s="95">
        <f t="shared" si="55"/>
        <v>4.417254901960785</v>
      </c>
      <c r="R450" s="133">
        <f>IF(P450=模板计算相关数据!$AB$24,VLOOKUP(X450,模板计算相关数据!$P$47:$T$50,2,0),VLOOKUP(X450,模板计算相关数据!$P$4:$U$7,3,0))*VLOOKUP(Y450,模板计算相关数据!$P$22:$X$30,8,0)</f>
        <v>4.417254901960785</v>
      </c>
      <c r="S450" s="62">
        <v>5.03</v>
      </c>
      <c r="T450" s="133">
        <f>IF(P450=模板计算相关数据!$AB$24,VLOOKUP(X450,模板计算相关数据!$P$47:$T$50,5,0),VLOOKUP(X450,模板计算相关数据!$P$4:$U$7,6,0))*VLOOKUP(Y450,模板计算相关数据!$P$22:$X$30,9,0)</f>
        <v>5.4285280003474252</v>
      </c>
      <c r="U450" s="98">
        <v>36</v>
      </c>
      <c r="V450" s="95">
        <f t="shared" si="56"/>
        <v>48</v>
      </c>
      <c r="W450" s="29">
        <f>VLOOKUP(U450,模板计算相关数据!A:N,2,0)</f>
        <v>45</v>
      </c>
      <c r="X450" s="3" t="s">
        <v>151</v>
      </c>
      <c r="Y450" s="3" t="s">
        <v>152</v>
      </c>
      <c r="Z450" s="99">
        <v>1</v>
      </c>
      <c r="AA450" s="95">
        <v>1</v>
      </c>
      <c r="AB450" s="95">
        <v>1</v>
      </c>
      <c r="AC450" s="95">
        <v>1</v>
      </c>
      <c r="AD450" s="95">
        <v>0</v>
      </c>
      <c r="AE450" s="95">
        <v>0</v>
      </c>
      <c r="AF450" s="95">
        <v>0</v>
      </c>
      <c r="AG450" s="95">
        <v>0</v>
      </c>
      <c r="AH450" s="95">
        <v>0</v>
      </c>
      <c r="AI450" s="95">
        <v>0</v>
      </c>
      <c r="AJ450" s="3">
        <f>INT(VLOOKUP(U450,模板计算相关数据!A:N,4,0)*VLOOKUP(U450,模板计算相关数据!A:N,14,0)*(1+MAX(0,(VLOOKUP(U450,模板计算相关数据!A:N,7,0)-AQ450))*VLOOKUP(U450,模板计算相关数据!A:N,8,0))*(1-(AL450+AM450)*0.5/((AL450+AM450)*0.5+(VLOOKUP(U450,模板计算相关数据!A:N,2,0)+模板计算相关数据!$AC$27)*模板计算相关数据!$AC$28))*Q450*Z450)</f>
        <v>5167</v>
      </c>
      <c r="AK450" s="3">
        <f>INT(VLOOKUP(U450,模板计算相关数据!A:N,3,0)/模板计算相关数据!$W$35/(1+MAX(0,(AO450/10000-VLOOKUP(U450,模板计算相关数据!A:N,9,0)))*AP450/10000)/(1-VLOOKUP(U450,模板计算相关数据!A:N,5,0)/(VLOOKUP(U450,模板计算相关数据!A:N,5,0)+(VLOOKUP(U450,模板计算相关数据!A:N,2,0)+模板计算相关数据!$AC$27)*模板计算相关数据!$AC$28))/S450*AA450)</f>
        <v>2102</v>
      </c>
      <c r="AL450" s="3">
        <f>INT(VLOOKUP(U450,模板计算相关数据!A:N,5,0)*VLOOKUP(X450,模板计算相关数据!$P$4:$T$7,4,0)*VLOOKUP(Y450,模板计算相关数据!$P$22:$U$30,4,0)*AB450)</f>
        <v>3790</v>
      </c>
      <c r="AM450" s="3">
        <f>INT(VLOOKUP(U450,模板计算相关数据!A:N,6,0)*VLOOKUP(X450,模板计算相关数据!$P$4:$T$7,4,0)*VLOOKUP(Y450,模板计算相关数据!$P$22:$U$30,5,0)*AC450)</f>
        <v>2241</v>
      </c>
      <c r="AN450" s="3">
        <f>VLOOKUP(U450,模板计算相关数据!A:N,10,0)*0.5*VLOOKUP(Y450,模板计算相关数据!$P$22:$U$30,6,0)+AD450</f>
        <v>250</v>
      </c>
      <c r="AO450" s="3">
        <f>VLOOKUP(INT(VLOOKUP(U450,模板计算相关数据!A:N,2,0)/30)+1,模板计算相关数据!$O$35:$U$40,3,0)+AE450</f>
        <v>0</v>
      </c>
      <c r="AP450" s="3">
        <f>VLOOKUP(INT(VLOOKUP(U450,模板计算相关数据!A:N,2,0)/30)+1,模板计算相关数据!$O$35:$U$40,4,0)+AF450</f>
        <v>5000</v>
      </c>
      <c r="AQ450" s="3">
        <f>VLOOKUP(INT(VLOOKUP(U450,模板计算相关数据!A:N,2,0)/30)+1,模板计算相关数据!$O$35:$U$40,5,0)+AG450</f>
        <v>0</v>
      </c>
      <c r="AR450" s="3">
        <f>VLOOKUP(INT(VLOOKUP(U450,模板计算相关数据!A:N,2,0)/30)+1,模板计算相关数据!$O$35:$U$40,6,0)+AH450</f>
        <v>0</v>
      </c>
      <c r="AS450" s="3">
        <f>VLOOKUP(INT(VLOOKUP(U450,模板计算相关数据!A:N,2,0)/30)+1,模板计算相关数据!$O$35:$U$40,7,0)+AI450</f>
        <v>0</v>
      </c>
      <c r="AT450" s="3">
        <f>VLOOKUP(INT(VLOOKUP(U450,模板计算相关数据!A:N,2,0)/30)+1,模板计算相关数据!$O$35:$V$40,8,0)</f>
        <v>0</v>
      </c>
      <c r="AU450" s="2"/>
    </row>
    <row r="451" spans="1:47" x14ac:dyDescent="0.2">
      <c r="A451" s="3">
        <v>304415</v>
      </c>
      <c r="B451" s="3"/>
      <c r="C451" s="69" t="s">
        <v>1742</v>
      </c>
      <c r="D451" s="69" t="s">
        <v>1090</v>
      </c>
      <c r="E451" s="2"/>
      <c r="F451" s="3">
        <v>4</v>
      </c>
      <c r="G451" s="3">
        <v>1001501</v>
      </c>
      <c r="H451" s="3">
        <v>2</v>
      </c>
      <c r="I451" s="3">
        <v>4</v>
      </c>
      <c r="J451" s="3">
        <v>3</v>
      </c>
      <c r="K451" s="3"/>
      <c r="L451" s="69" t="s">
        <v>970</v>
      </c>
      <c r="M451" s="2"/>
      <c r="N451" s="2">
        <v>1</v>
      </c>
      <c r="O451" s="2"/>
      <c r="P451" s="3" t="s">
        <v>1615</v>
      </c>
      <c r="Q451" s="95">
        <v>8.1</v>
      </c>
      <c r="R451" s="133">
        <f>IF(P451=模板计算相关数据!$AB$24,VLOOKUP(X451,模板计算相关数据!$P$47:$T$50,2,0),VLOOKUP(X451,模板计算相关数据!$P$4:$U$7,3,0))*VLOOKUP(Y451,模板计算相关数据!$P$22:$X$30,8,0)</f>
        <v>6.9411764705882364</v>
      </c>
      <c r="S451" s="62">
        <f t="shared" si="54"/>
        <v>8.2943498888557112</v>
      </c>
      <c r="T451" s="133">
        <f>IF(P451=模板计算相关数据!$AB$24,VLOOKUP(X451,模板计算相关数据!$P$47:$T$50,5,0),VLOOKUP(X451,模板计算相关数据!$P$4:$U$7,6,0))*VLOOKUP(Y451,模板计算相关数据!$P$22:$X$30,9,0)</f>
        <v>8.2943498888557112</v>
      </c>
      <c r="U451" s="98">
        <v>36</v>
      </c>
      <c r="V451" s="95">
        <f t="shared" si="56"/>
        <v>48</v>
      </c>
      <c r="W451" s="29">
        <f>VLOOKUP(U451,模板计算相关数据!A:N,2,0)</f>
        <v>45</v>
      </c>
      <c r="X451" s="3" t="s">
        <v>151</v>
      </c>
      <c r="Y451" s="3" t="s">
        <v>155</v>
      </c>
      <c r="Z451" s="99">
        <v>1</v>
      </c>
      <c r="AA451" s="95">
        <v>1</v>
      </c>
      <c r="AB451" s="95">
        <v>1</v>
      </c>
      <c r="AC451" s="95">
        <v>1</v>
      </c>
      <c r="AD451" s="95">
        <v>0</v>
      </c>
      <c r="AE451" s="95">
        <v>0</v>
      </c>
      <c r="AF451" s="95">
        <v>0</v>
      </c>
      <c r="AG451" s="95">
        <v>0</v>
      </c>
      <c r="AH451" s="95">
        <v>0</v>
      </c>
      <c r="AI451" s="95">
        <v>0</v>
      </c>
      <c r="AJ451" s="3">
        <f>INT(VLOOKUP(U451,模板计算相关数据!A:N,4,0)*VLOOKUP(U451,模板计算相关数据!A:N,14,0)*(1+MAX(0,(VLOOKUP(U451,模板计算相关数据!A:N,7,0)-AQ451))*VLOOKUP(U451,模板计算相关数据!A:N,8,0))*(1-(AL451+AM451)*0.5/((AL451+AM451)*0.5+(VLOOKUP(U451,模板计算相关数据!A:N,2,0)+模板计算相关数据!$AC$27)*模板计算相关数据!$AC$28))*Q451*Z451)</f>
        <v>8870</v>
      </c>
      <c r="AK451" s="3">
        <f>INT(VLOOKUP(U451,模板计算相关数据!A:N,3,0)/模板计算相关数据!$W$35/(1+MAX(0,(AO451/10000-VLOOKUP(U451,模板计算相关数据!A:N,9,0)))*AP451/10000)/(1-VLOOKUP(U451,模板计算相关数据!A:N,5,0)/(VLOOKUP(U451,模板计算相关数据!A:N,5,0)+(VLOOKUP(U451,模板计算相关数据!A:N,2,0)+模板计算相关数据!$AC$27)*模板计算相关数据!$AC$28))/S451*AA451)</f>
        <v>1274</v>
      </c>
      <c r="AL451" s="3">
        <f>INT(VLOOKUP(U451,模板计算相关数据!A:N,5,0)*VLOOKUP(X451,模板计算相关数据!$P$4:$T$7,4,0)*VLOOKUP(Y451,模板计算相关数据!$P$22:$U$30,4,0)*AB451)</f>
        <v>4562</v>
      </c>
      <c r="AM451" s="3">
        <f>INT(VLOOKUP(U451,模板计算相关数据!A:N,6,0)*VLOOKUP(X451,模板计算相关数据!$P$4:$T$7,4,0)*VLOOKUP(Y451,模板计算相关数据!$P$22:$U$30,5,0)*AC451)</f>
        <v>2521</v>
      </c>
      <c r="AN451" s="3">
        <f>VLOOKUP(U451,模板计算相关数据!A:N,10,0)*0.5*VLOOKUP(Y451,模板计算相关数据!$P$22:$U$30,6,0)+AD451</f>
        <v>225</v>
      </c>
      <c r="AO451" s="3">
        <f>VLOOKUP(INT(VLOOKUP(U451,模板计算相关数据!A:N,2,0)/30)+1,模板计算相关数据!$O$35:$U$40,3,0)+AE451</f>
        <v>0</v>
      </c>
      <c r="AP451" s="3">
        <f>VLOOKUP(INT(VLOOKUP(U451,模板计算相关数据!A:N,2,0)/30)+1,模板计算相关数据!$O$35:$U$40,4,0)+AF451</f>
        <v>5000</v>
      </c>
      <c r="AQ451" s="3">
        <f>VLOOKUP(INT(VLOOKUP(U451,模板计算相关数据!A:N,2,0)/30)+1,模板计算相关数据!$O$35:$U$40,5,0)+AG451</f>
        <v>0</v>
      </c>
      <c r="AR451" s="3">
        <f>VLOOKUP(INT(VLOOKUP(U451,模板计算相关数据!A:N,2,0)/30)+1,模板计算相关数据!$O$35:$U$40,6,0)+AH451</f>
        <v>0</v>
      </c>
      <c r="AS451" s="3">
        <f>VLOOKUP(INT(VLOOKUP(U451,模板计算相关数据!A:N,2,0)/30)+1,模板计算相关数据!$O$35:$U$40,7,0)+AI451</f>
        <v>0</v>
      </c>
      <c r="AT451" s="3">
        <f>VLOOKUP(INT(VLOOKUP(U451,模板计算相关数据!A:N,2,0)/30)+1,模板计算相关数据!$O$35:$V$40,8,0)</f>
        <v>0</v>
      </c>
      <c r="AU451" s="2"/>
    </row>
    <row r="452" spans="1:47" s="149" customFormat="1" x14ac:dyDescent="0.2">
      <c r="A452" s="43">
        <v>305001</v>
      </c>
      <c r="B452" s="43"/>
      <c r="C452" s="25" t="s">
        <v>1732</v>
      </c>
      <c r="D452" s="25" t="s">
        <v>1091</v>
      </c>
      <c r="E452" s="17"/>
      <c r="F452" s="43">
        <v>3</v>
      </c>
      <c r="G452" s="43">
        <v>1001301</v>
      </c>
      <c r="H452" s="43">
        <v>1</v>
      </c>
      <c r="I452" s="43">
        <v>4</v>
      </c>
      <c r="J452" s="43">
        <v>3</v>
      </c>
      <c r="K452" s="43"/>
      <c r="L452" s="25" t="s">
        <v>733</v>
      </c>
      <c r="M452" s="17"/>
      <c r="N452" s="17">
        <v>1</v>
      </c>
      <c r="O452" s="17"/>
      <c r="P452" s="43" t="s">
        <v>1615</v>
      </c>
      <c r="Q452" s="147">
        <v>3.6999999999999997</v>
      </c>
      <c r="R452" s="133">
        <f>IF(P452=模板计算相关数据!$AB$24,VLOOKUP(X452,模板计算相关数据!$P$47:$T$50,2,0),VLOOKUP(X452,模板计算相关数据!$P$4:$U$7,3,0))*VLOOKUP(Y452,模板计算相关数据!$P$22:$X$30,8,0)</f>
        <v>4.417254901960785</v>
      </c>
      <c r="S452" s="42">
        <v>5.63</v>
      </c>
      <c r="T452" s="133">
        <f>IF(P452=模板计算相关数据!$AB$24,VLOOKUP(X452,模板计算相关数据!$P$47:$T$50,5,0),VLOOKUP(X452,模板计算相关数据!$P$4:$U$7,6,0))*VLOOKUP(Y452,模板计算相关数据!$P$22:$X$30,9,0)</f>
        <v>5.4285280003474252</v>
      </c>
      <c r="U452" s="150">
        <v>44</v>
      </c>
      <c r="V452" s="95">
        <f t="shared" si="56"/>
        <v>19</v>
      </c>
      <c r="W452" s="29">
        <f>VLOOKUP(U452,模板计算相关数据!A:N,2,0)</f>
        <v>16</v>
      </c>
      <c r="X452" s="43" t="s">
        <v>151</v>
      </c>
      <c r="Y452" s="43" t="s">
        <v>152</v>
      </c>
      <c r="Z452" s="148">
        <v>1</v>
      </c>
      <c r="AA452" s="147">
        <v>1</v>
      </c>
      <c r="AB452" s="147">
        <v>1</v>
      </c>
      <c r="AC452" s="147">
        <v>1</v>
      </c>
      <c r="AD452" s="147">
        <v>0</v>
      </c>
      <c r="AE452" s="147">
        <v>0</v>
      </c>
      <c r="AF452" s="147">
        <v>0</v>
      </c>
      <c r="AG452" s="147">
        <v>0</v>
      </c>
      <c r="AH452" s="147">
        <v>0</v>
      </c>
      <c r="AI452" s="147">
        <v>0</v>
      </c>
      <c r="AJ452" s="43">
        <f>INT(VLOOKUP(U452,模板计算相关数据!A:N,4,0)*VLOOKUP(U452,模板计算相关数据!A:N,14,0)*(1+MAX(0,(VLOOKUP(U452,模板计算相关数据!A:N,7,0)-AQ452))*VLOOKUP(U452,模板计算相关数据!A:N,8,0))*(1-(AL452+AM452)*0.5/((AL452+AM452)*0.5+(VLOOKUP(U452,模板计算相关数据!A:N,2,0)+模板计算相关数据!$AC$27)*模板计算相关数据!$AC$28))*Q452*Z452)</f>
        <v>1158</v>
      </c>
      <c r="AK452" s="43">
        <f>INT(VLOOKUP(U452,模板计算相关数据!A:N,3,0)/模板计算相关数据!$W$35/(1+MAX(0,(AO452/10000-VLOOKUP(U452,模板计算相关数据!A:N,9,0)))*AP452/10000)/(1-VLOOKUP(U452,模板计算相关数据!A:N,5,0)/(VLOOKUP(U452,模板计算相关数据!A:N,5,0)+(VLOOKUP(U452,模板计算相关数据!A:N,2,0)+模板计算相关数据!$AC$27)*模板计算相关数据!$AC$28))/S452*AA452)</f>
        <v>380</v>
      </c>
      <c r="AL452" s="43">
        <f>INT(VLOOKUP(U452,模板计算相关数据!A:N,5,0)*VLOOKUP(X452,模板计算相关数据!$P$4:$T$7,4,0)*VLOOKUP(Y452,模板计算相关数据!$P$22:$U$30,4,0)*AB452)</f>
        <v>895</v>
      </c>
      <c r="AM452" s="43">
        <f>INT(VLOOKUP(U452,模板计算相关数据!A:N,6,0)*VLOOKUP(X452,模板计算相关数据!$P$4:$T$7,4,0)*VLOOKUP(Y452,模板计算相关数据!$P$22:$U$30,5,0)*AC452)</f>
        <v>530</v>
      </c>
      <c r="AN452" s="43">
        <f>VLOOKUP(U452,模板计算相关数据!A:N,10,0)*0.5*VLOOKUP(Y452,模板计算相关数据!$P$22:$U$30,6,0)+AD452</f>
        <v>250</v>
      </c>
      <c r="AO452" s="43">
        <f>VLOOKUP(INT(VLOOKUP(U452,模板计算相关数据!A:N,2,0)/30)+1,模板计算相关数据!$O$35:$U$40,3,0)+AE452</f>
        <v>0</v>
      </c>
      <c r="AP452" s="43">
        <f>VLOOKUP(INT(VLOOKUP(U452,模板计算相关数据!A:N,2,0)/30)+1,模板计算相关数据!$O$35:$U$40,4,0)+AF452</f>
        <v>5000</v>
      </c>
      <c r="AQ452" s="43">
        <f>VLOOKUP(INT(VLOOKUP(U452,模板计算相关数据!A:N,2,0)/30)+1,模板计算相关数据!$O$35:$U$40,5,0)+AG452</f>
        <v>0</v>
      </c>
      <c r="AR452" s="43">
        <f>VLOOKUP(INT(VLOOKUP(U452,模板计算相关数据!A:N,2,0)/30)+1,模板计算相关数据!$O$35:$U$40,6,0)+AH452</f>
        <v>0</v>
      </c>
      <c r="AS452" s="43">
        <f>VLOOKUP(INT(VLOOKUP(U452,模板计算相关数据!A:N,2,0)/30)+1,模板计算相关数据!$O$35:$U$40,7,0)+AI452</f>
        <v>0</v>
      </c>
      <c r="AT452" s="43">
        <f>VLOOKUP(INT(VLOOKUP(U452,模板计算相关数据!A:N,2,0)/30)+1,模板计算相关数据!$O$35:$V$40,8,0)</f>
        <v>0</v>
      </c>
      <c r="AU452" s="17"/>
    </row>
    <row r="453" spans="1:47" x14ac:dyDescent="0.2">
      <c r="A453" s="3">
        <v>305002</v>
      </c>
      <c r="B453" s="3"/>
      <c r="C453" s="69" t="s">
        <v>1731</v>
      </c>
      <c r="D453" s="69" t="s">
        <v>1092</v>
      </c>
      <c r="E453" s="2"/>
      <c r="F453" s="3">
        <v>3</v>
      </c>
      <c r="G453" s="3">
        <v>1001301</v>
      </c>
      <c r="H453" s="3">
        <v>1</v>
      </c>
      <c r="I453" s="3">
        <v>4</v>
      </c>
      <c r="J453" s="3">
        <v>3</v>
      </c>
      <c r="K453" s="3"/>
      <c r="L453" s="69" t="s">
        <v>734</v>
      </c>
      <c r="M453" s="2"/>
      <c r="N453" s="2">
        <v>1</v>
      </c>
      <c r="O453" s="2"/>
      <c r="P453" s="3" t="s">
        <v>1615</v>
      </c>
      <c r="Q453" s="95">
        <v>3.7999999999999994</v>
      </c>
      <c r="R453" s="133">
        <f>IF(P453=模板计算相关数据!$AB$24,VLOOKUP(X453,模板计算相关数据!$P$47:$T$50,2,0),VLOOKUP(X453,模板计算相关数据!$P$4:$U$7,3,0))*VLOOKUP(Y453,模板计算相关数据!$P$22:$X$30,8,0)</f>
        <v>4.417254901960785</v>
      </c>
      <c r="S453" s="62">
        <v>5.5299999999999994</v>
      </c>
      <c r="T453" s="133">
        <f>IF(P453=模板计算相关数据!$AB$24,VLOOKUP(X453,模板计算相关数据!$P$47:$T$50,5,0),VLOOKUP(X453,模板计算相关数据!$P$4:$U$7,6,0))*VLOOKUP(Y453,模板计算相关数据!$P$22:$X$30,9,0)</f>
        <v>5.4285280003474252</v>
      </c>
      <c r="U453" s="98">
        <v>45</v>
      </c>
      <c r="V453" s="95">
        <f t="shared" si="56"/>
        <v>31</v>
      </c>
      <c r="W453" s="29">
        <f>VLOOKUP(U453,模板计算相关数据!A:N,2,0)</f>
        <v>28</v>
      </c>
      <c r="X453" s="3" t="s">
        <v>151</v>
      </c>
      <c r="Y453" s="3" t="s">
        <v>152</v>
      </c>
      <c r="Z453" s="99">
        <v>1</v>
      </c>
      <c r="AA453" s="95">
        <v>1</v>
      </c>
      <c r="AB453" s="95">
        <v>1</v>
      </c>
      <c r="AC453" s="95">
        <v>1</v>
      </c>
      <c r="AD453" s="95">
        <v>0</v>
      </c>
      <c r="AE453" s="95">
        <v>0</v>
      </c>
      <c r="AF453" s="95">
        <v>0</v>
      </c>
      <c r="AG453" s="95">
        <v>0</v>
      </c>
      <c r="AH453" s="95">
        <v>0</v>
      </c>
      <c r="AI453" s="95">
        <v>0</v>
      </c>
      <c r="AJ453" s="3">
        <f>INT(VLOOKUP(U453,模板计算相关数据!A:N,4,0)*VLOOKUP(U453,模板计算相关数据!A:N,14,0)*(1+MAX(0,(VLOOKUP(U453,模板计算相关数据!A:N,7,0)-AQ453))*VLOOKUP(U453,模板计算相关数据!A:N,8,0))*(1-(AL453+AM453)*0.5/((AL453+AM453)*0.5+(VLOOKUP(U453,模板计算相关数据!A:N,2,0)+模板计算相关数据!$AC$27)*模板计算相关数据!$AC$28))*Q453*Z453)</f>
        <v>2470</v>
      </c>
      <c r="AK453" s="3">
        <f>INT(VLOOKUP(U453,模板计算相关数据!A:N,3,0)/模板计算相关数据!$W$35/(1+MAX(0,(AO453/10000-VLOOKUP(U453,模板计算相关数据!A:N,9,0)))*AP453/10000)/(1-VLOOKUP(U453,模板计算相关数据!A:N,5,0)/(VLOOKUP(U453,模板计算相关数据!A:N,5,0)+(VLOOKUP(U453,模板计算相关数据!A:N,2,0)+模板计算相关数据!$AC$27)*模板计算相关数据!$AC$28))/S453*AA453)</f>
        <v>1025</v>
      </c>
      <c r="AL453" s="3">
        <f>INT(VLOOKUP(U453,模板计算相关数据!A:N,5,0)*VLOOKUP(X453,模板计算相关数据!$P$4:$T$7,4,0)*VLOOKUP(Y453,模板计算相关数据!$P$22:$U$30,4,0)*AB453)</f>
        <v>2128</v>
      </c>
      <c r="AM453" s="3">
        <f>INT(VLOOKUP(U453,模板计算相关数据!A:N,6,0)*VLOOKUP(X453,模板计算相关数据!$P$4:$T$7,4,0)*VLOOKUP(Y453,模板计算相关数据!$P$22:$U$30,5,0)*AC453)</f>
        <v>1261</v>
      </c>
      <c r="AN453" s="3">
        <f>VLOOKUP(U453,模板计算相关数据!A:N,10,0)*0.5*VLOOKUP(Y453,模板计算相关数据!$P$22:$U$30,6,0)+AD453</f>
        <v>250</v>
      </c>
      <c r="AO453" s="3">
        <f>VLOOKUP(INT(VLOOKUP(U453,模板计算相关数据!A:N,2,0)/30)+1,模板计算相关数据!$O$35:$U$40,3,0)+AE453</f>
        <v>0</v>
      </c>
      <c r="AP453" s="3">
        <f>VLOOKUP(INT(VLOOKUP(U453,模板计算相关数据!A:N,2,0)/30)+1,模板计算相关数据!$O$35:$U$40,4,0)+AF453</f>
        <v>5000</v>
      </c>
      <c r="AQ453" s="3">
        <f>VLOOKUP(INT(VLOOKUP(U453,模板计算相关数据!A:N,2,0)/30)+1,模板计算相关数据!$O$35:$U$40,5,0)+AG453</f>
        <v>0</v>
      </c>
      <c r="AR453" s="3">
        <f>VLOOKUP(INT(VLOOKUP(U453,模板计算相关数据!A:N,2,0)/30)+1,模板计算相关数据!$O$35:$U$40,6,0)+AH453</f>
        <v>0</v>
      </c>
      <c r="AS453" s="3">
        <f>VLOOKUP(INT(VLOOKUP(U453,模板计算相关数据!A:N,2,0)/30)+1,模板计算相关数据!$O$35:$U$40,7,0)+AI453</f>
        <v>0</v>
      </c>
      <c r="AT453" s="3">
        <f>VLOOKUP(INT(VLOOKUP(U453,模板计算相关数据!A:N,2,0)/30)+1,模板计算相关数据!$O$35:$V$40,8,0)</f>
        <v>0</v>
      </c>
      <c r="AU453" s="2"/>
    </row>
    <row r="454" spans="1:47" x14ac:dyDescent="0.2">
      <c r="A454" s="3">
        <v>305003</v>
      </c>
      <c r="B454" s="3"/>
      <c r="C454" s="69" t="s">
        <v>1731</v>
      </c>
      <c r="D454" s="69" t="s">
        <v>1093</v>
      </c>
      <c r="E454" s="2"/>
      <c r="F454" s="3">
        <v>3</v>
      </c>
      <c r="G454" s="3">
        <v>1001301</v>
      </c>
      <c r="H454" s="3">
        <v>1</v>
      </c>
      <c r="I454" s="3">
        <v>4</v>
      </c>
      <c r="J454" s="3">
        <v>3</v>
      </c>
      <c r="K454" s="3"/>
      <c r="L454" s="69" t="s">
        <v>735</v>
      </c>
      <c r="M454" s="2"/>
      <c r="N454" s="2">
        <v>1</v>
      </c>
      <c r="O454" s="2"/>
      <c r="P454" s="3" t="s">
        <v>1615</v>
      </c>
      <c r="Q454" s="95">
        <v>3.9</v>
      </c>
      <c r="R454" s="133">
        <f>IF(P454=模板计算相关数据!$AB$24,VLOOKUP(X454,模板计算相关数据!$P$47:$T$50,2,0),VLOOKUP(X454,模板计算相关数据!$P$4:$U$7,3,0))*VLOOKUP(Y454,模板计算相关数据!$P$22:$X$30,8,0)</f>
        <v>4.417254901960785</v>
      </c>
      <c r="S454" s="62">
        <v>5.43</v>
      </c>
      <c r="T454" s="133">
        <f>IF(P454=模板计算相关数据!$AB$24,VLOOKUP(X454,模板计算相关数据!$P$47:$T$50,5,0),VLOOKUP(X454,模板计算相关数据!$P$4:$U$7,6,0))*VLOOKUP(Y454,模板计算相关数据!$P$22:$X$30,9,0)</f>
        <v>5.4285280003474252</v>
      </c>
      <c r="U454" s="98">
        <v>46</v>
      </c>
      <c r="V454" s="95">
        <f t="shared" si="56"/>
        <v>43</v>
      </c>
      <c r="W454" s="29">
        <f>VLOOKUP(U454,模板计算相关数据!A:N,2,0)</f>
        <v>40</v>
      </c>
      <c r="X454" s="3" t="s">
        <v>151</v>
      </c>
      <c r="Y454" s="3" t="s">
        <v>152</v>
      </c>
      <c r="Z454" s="99">
        <v>1</v>
      </c>
      <c r="AA454" s="95">
        <v>1</v>
      </c>
      <c r="AB454" s="95">
        <v>1</v>
      </c>
      <c r="AC454" s="95">
        <v>1</v>
      </c>
      <c r="AD454" s="95">
        <v>0</v>
      </c>
      <c r="AE454" s="95">
        <v>0</v>
      </c>
      <c r="AF454" s="95">
        <v>0</v>
      </c>
      <c r="AG454" s="95">
        <v>0</v>
      </c>
      <c r="AH454" s="95">
        <v>0</v>
      </c>
      <c r="AI454" s="95">
        <v>0</v>
      </c>
      <c r="AJ454" s="3">
        <f>INT(VLOOKUP(U454,模板计算相关数据!A:N,4,0)*VLOOKUP(U454,模板计算相关数据!A:N,14,0)*(1+MAX(0,(VLOOKUP(U454,模板计算相关数据!A:N,7,0)-AQ454))*VLOOKUP(U454,模板计算相关数据!A:N,8,0))*(1-(AL454+AM454)*0.5/((AL454+AM454)*0.5+(VLOOKUP(U454,模板计算相关数据!A:N,2,0)+模板计算相关数据!$AC$27)*模板计算相关数据!$AC$28))*Q454*Z454)</f>
        <v>3982</v>
      </c>
      <c r="AK454" s="3">
        <f>INT(VLOOKUP(U454,模板计算相关数据!A:N,3,0)/模板计算相关数据!$W$35/(1+MAX(0,(AO454/10000-VLOOKUP(U454,模板计算相关数据!A:N,9,0)))*AP454/10000)/(1-VLOOKUP(U454,模板计算相关数据!A:N,5,0)/(VLOOKUP(U454,模板计算相关数据!A:N,5,0)+(VLOOKUP(U454,模板计算相关数据!A:N,2,0)+模板计算相关数据!$AC$27)*模板计算相关数据!$AC$28))/S454*AA454)</f>
        <v>1821</v>
      </c>
      <c r="AL454" s="3">
        <f>INT(VLOOKUP(U454,模板计算相关数据!A:N,5,0)*VLOOKUP(X454,模板计算相关数据!$P$4:$T$7,4,0)*VLOOKUP(Y454,模板计算相关数据!$P$22:$U$30,4,0)*AB454)</f>
        <v>3484</v>
      </c>
      <c r="AM454" s="3">
        <f>INT(VLOOKUP(U454,模板计算相关数据!A:N,6,0)*VLOOKUP(X454,模板计算相关数据!$P$4:$T$7,4,0)*VLOOKUP(Y454,模板计算相关数据!$P$22:$U$30,5,0)*AC454)</f>
        <v>2064</v>
      </c>
      <c r="AN454" s="3">
        <f>VLOOKUP(U454,模板计算相关数据!A:N,10,0)*0.5*VLOOKUP(Y454,模板计算相关数据!$P$22:$U$30,6,0)+AD454</f>
        <v>250</v>
      </c>
      <c r="AO454" s="3">
        <f>VLOOKUP(INT(VLOOKUP(U454,模板计算相关数据!A:N,2,0)/30)+1,模板计算相关数据!$O$35:$U$40,3,0)+AE454</f>
        <v>0</v>
      </c>
      <c r="AP454" s="3">
        <f>VLOOKUP(INT(VLOOKUP(U454,模板计算相关数据!A:N,2,0)/30)+1,模板计算相关数据!$O$35:$U$40,4,0)+AF454</f>
        <v>5000</v>
      </c>
      <c r="AQ454" s="3">
        <f>VLOOKUP(INT(VLOOKUP(U454,模板计算相关数据!A:N,2,0)/30)+1,模板计算相关数据!$O$35:$U$40,5,0)+AG454</f>
        <v>0</v>
      </c>
      <c r="AR454" s="3">
        <f>VLOOKUP(INT(VLOOKUP(U454,模板计算相关数据!A:N,2,0)/30)+1,模板计算相关数据!$O$35:$U$40,6,0)+AH454</f>
        <v>0</v>
      </c>
      <c r="AS454" s="3">
        <f>VLOOKUP(INT(VLOOKUP(U454,模板计算相关数据!A:N,2,0)/30)+1,模板计算相关数据!$O$35:$U$40,7,0)+AI454</f>
        <v>0</v>
      </c>
      <c r="AT454" s="3">
        <f>VLOOKUP(INT(VLOOKUP(U454,模板计算相关数据!A:N,2,0)/30)+1,模板计算相关数据!$O$35:$V$40,8,0)</f>
        <v>0</v>
      </c>
      <c r="AU454" s="2"/>
    </row>
    <row r="455" spans="1:47" x14ac:dyDescent="0.2">
      <c r="A455" s="3">
        <v>305004</v>
      </c>
      <c r="B455" s="3"/>
      <c r="C455" s="69" t="s">
        <v>1731</v>
      </c>
      <c r="D455" s="69" t="s">
        <v>1094</v>
      </c>
      <c r="E455" s="2"/>
      <c r="F455" s="3">
        <v>3</v>
      </c>
      <c r="G455" s="3">
        <v>1001301</v>
      </c>
      <c r="H455" s="3">
        <v>1</v>
      </c>
      <c r="I455" s="3">
        <v>4</v>
      </c>
      <c r="J455" s="3">
        <v>3</v>
      </c>
      <c r="K455" s="3"/>
      <c r="L455" s="69" t="s">
        <v>736</v>
      </c>
      <c r="M455" s="2"/>
      <c r="N455" s="2">
        <v>1</v>
      </c>
      <c r="O455" s="2"/>
      <c r="P455" s="3" t="s">
        <v>1615</v>
      </c>
      <c r="Q455" s="95">
        <v>3.9999999999999996</v>
      </c>
      <c r="R455" s="133">
        <f>IF(P455=模板计算相关数据!$AB$24,VLOOKUP(X455,模板计算相关数据!$P$47:$T$50,2,0),VLOOKUP(X455,模板计算相关数据!$P$4:$U$7,3,0))*VLOOKUP(Y455,模板计算相关数据!$P$22:$X$30,8,0)</f>
        <v>4.417254901960785</v>
      </c>
      <c r="S455" s="62">
        <v>5.33</v>
      </c>
      <c r="T455" s="133">
        <f>IF(P455=模板计算相关数据!$AB$24,VLOOKUP(X455,模板计算相关数据!$P$47:$T$50,5,0),VLOOKUP(X455,模板计算相关数据!$P$4:$U$7,6,0))*VLOOKUP(Y455,模板计算相关数据!$P$22:$X$30,9,0)</f>
        <v>5.4285280003474252</v>
      </c>
      <c r="U455" s="98">
        <v>46</v>
      </c>
      <c r="V455" s="95">
        <f t="shared" si="56"/>
        <v>43</v>
      </c>
      <c r="W455" s="29">
        <f>VLOOKUP(U455,模板计算相关数据!A:N,2,0)</f>
        <v>40</v>
      </c>
      <c r="X455" s="3" t="s">
        <v>151</v>
      </c>
      <c r="Y455" s="3" t="s">
        <v>152</v>
      </c>
      <c r="Z455" s="99">
        <v>1</v>
      </c>
      <c r="AA455" s="95">
        <v>1</v>
      </c>
      <c r="AB455" s="95">
        <v>1</v>
      </c>
      <c r="AC455" s="95">
        <v>1</v>
      </c>
      <c r="AD455" s="95">
        <v>0</v>
      </c>
      <c r="AE455" s="95">
        <v>0</v>
      </c>
      <c r="AF455" s="95">
        <v>0</v>
      </c>
      <c r="AG455" s="95">
        <v>0</v>
      </c>
      <c r="AH455" s="95">
        <v>0</v>
      </c>
      <c r="AI455" s="95">
        <v>0</v>
      </c>
      <c r="AJ455" s="3">
        <f>INT(VLOOKUP(U455,模板计算相关数据!A:N,4,0)*VLOOKUP(U455,模板计算相关数据!A:N,14,0)*(1+MAX(0,(VLOOKUP(U455,模板计算相关数据!A:N,7,0)-AQ455))*VLOOKUP(U455,模板计算相关数据!A:N,8,0))*(1-(AL455+AM455)*0.5/((AL455+AM455)*0.5+(VLOOKUP(U455,模板计算相关数据!A:N,2,0)+模板计算相关数据!$AC$27)*模板计算相关数据!$AC$28))*Q455*Z455)</f>
        <v>4084</v>
      </c>
      <c r="AK455" s="3">
        <f>INT(VLOOKUP(U455,模板计算相关数据!A:N,3,0)/模板计算相关数据!$W$35/(1+MAX(0,(AO455/10000-VLOOKUP(U455,模板计算相关数据!A:N,9,0)))*AP455/10000)/(1-VLOOKUP(U455,模板计算相关数据!A:N,5,0)/(VLOOKUP(U455,模板计算相关数据!A:N,5,0)+(VLOOKUP(U455,模板计算相关数据!A:N,2,0)+模板计算相关数据!$AC$27)*模板计算相关数据!$AC$28))/S455*AA455)</f>
        <v>1855</v>
      </c>
      <c r="AL455" s="3">
        <f>INT(VLOOKUP(U455,模板计算相关数据!A:N,5,0)*VLOOKUP(X455,模板计算相关数据!$P$4:$T$7,4,0)*VLOOKUP(Y455,模板计算相关数据!$P$22:$U$30,4,0)*AB455)</f>
        <v>3484</v>
      </c>
      <c r="AM455" s="3">
        <f>INT(VLOOKUP(U455,模板计算相关数据!A:N,6,0)*VLOOKUP(X455,模板计算相关数据!$P$4:$T$7,4,0)*VLOOKUP(Y455,模板计算相关数据!$P$22:$U$30,5,0)*AC455)</f>
        <v>2064</v>
      </c>
      <c r="AN455" s="3">
        <f>VLOOKUP(U455,模板计算相关数据!A:N,10,0)*0.5*VLOOKUP(Y455,模板计算相关数据!$P$22:$U$30,6,0)+AD455</f>
        <v>250</v>
      </c>
      <c r="AO455" s="3">
        <f>VLOOKUP(INT(VLOOKUP(U455,模板计算相关数据!A:N,2,0)/30)+1,模板计算相关数据!$O$35:$U$40,3,0)+AE455</f>
        <v>0</v>
      </c>
      <c r="AP455" s="3">
        <f>VLOOKUP(INT(VLOOKUP(U455,模板计算相关数据!A:N,2,0)/30)+1,模板计算相关数据!$O$35:$U$40,4,0)+AF455</f>
        <v>5000</v>
      </c>
      <c r="AQ455" s="3">
        <f>VLOOKUP(INT(VLOOKUP(U455,模板计算相关数据!A:N,2,0)/30)+1,模板计算相关数据!$O$35:$U$40,5,0)+AG455</f>
        <v>0</v>
      </c>
      <c r="AR455" s="3">
        <f>VLOOKUP(INT(VLOOKUP(U455,模板计算相关数据!A:N,2,0)/30)+1,模板计算相关数据!$O$35:$U$40,6,0)+AH455</f>
        <v>0</v>
      </c>
      <c r="AS455" s="3">
        <f>VLOOKUP(INT(VLOOKUP(U455,模板计算相关数据!A:N,2,0)/30)+1,模板计算相关数据!$O$35:$U$40,7,0)+AI455</f>
        <v>0</v>
      </c>
      <c r="AT455" s="3">
        <f>VLOOKUP(INT(VLOOKUP(U455,模板计算相关数据!A:N,2,0)/30)+1,模板计算相关数据!$O$35:$V$40,8,0)</f>
        <v>0</v>
      </c>
      <c r="AU455" s="2"/>
    </row>
    <row r="456" spans="1:47" x14ac:dyDescent="0.2">
      <c r="A456" s="3">
        <v>305005</v>
      </c>
      <c r="B456" s="3"/>
      <c r="C456" s="69" t="s">
        <v>1731</v>
      </c>
      <c r="D456" s="69" t="s">
        <v>1095</v>
      </c>
      <c r="E456" s="2"/>
      <c r="F456" s="3">
        <v>3</v>
      </c>
      <c r="G456" s="3">
        <v>1001301</v>
      </c>
      <c r="H456" s="3">
        <v>1</v>
      </c>
      <c r="I456" s="3">
        <v>4</v>
      </c>
      <c r="J456" s="3">
        <v>3</v>
      </c>
      <c r="K456" s="3"/>
      <c r="L456" s="69" t="s">
        <v>737</v>
      </c>
      <c r="M456" s="2"/>
      <c r="N456" s="2">
        <v>1</v>
      </c>
      <c r="O456" s="2"/>
      <c r="P456" s="3" t="s">
        <v>1615</v>
      </c>
      <c r="Q456" s="95">
        <v>4.1172549019607851</v>
      </c>
      <c r="R456" s="133">
        <f>IF(P456=模板计算相关数据!$AB$24,VLOOKUP(X456,模板计算相关数据!$P$47:$T$50,2,0),VLOOKUP(X456,模板计算相关数据!$P$4:$U$7,3,0))*VLOOKUP(Y456,模板计算相关数据!$P$22:$X$30,8,0)</f>
        <v>4.417254901960785</v>
      </c>
      <c r="S456" s="62">
        <v>5.2299999999999995</v>
      </c>
      <c r="T456" s="133">
        <f>IF(P456=模板计算相关数据!$AB$24,VLOOKUP(X456,模板计算相关数据!$P$47:$T$50,5,0),VLOOKUP(X456,模板计算相关数据!$P$4:$U$7,6,0))*VLOOKUP(Y456,模板计算相关数据!$P$22:$X$30,9,0)</f>
        <v>5.4285280003474252</v>
      </c>
      <c r="U456" s="98">
        <v>46</v>
      </c>
      <c r="V456" s="95">
        <f t="shared" si="56"/>
        <v>43</v>
      </c>
      <c r="W456" s="29">
        <f>VLOOKUP(U456,模板计算相关数据!A:N,2,0)</f>
        <v>40</v>
      </c>
      <c r="X456" s="3" t="s">
        <v>151</v>
      </c>
      <c r="Y456" s="3" t="s">
        <v>152</v>
      </c>
      <c r="Z456" s="99">
        <v>1</v>
      </c>
      <c r="AA456" s="95">
        <v>1</v>
      </c>
      <c r="AB456" s="95">
        <v>1</v>
      </c>
      <c r="AC456" s="95">
        <v>1</v>
      </c>
      <c r="AD456" s="95">
        <v>0</v>
      </c>
      <c r="AE456" s="95">
        <v>0</v>
      </c>
      <c r="AF456" s="95">
        <v>0</v>
      </c>
      <c r="AG456" s="95">
        <v>0</v>
      </c>
      <c r="AH456" s="95">
        <v>0</v>
      </c>
      <c r="AI456" s="95">
        <v>0</v>
      </c>
      <c r="AJ456" s="3">
        <f>INT(VLOOKUP(U456,模板计算相关数据!A:N,4,0)*VLOOKUP(U456,模板计算相关数据!A:N,14,0)*(1+MAX(0,(VLOOKUP(U456,模板计算相关数据!A:N,7,0)-AQ456))*VLOOKUP(U456,模板计算相关数据!A:N,8,0))*(1-(AL456+AM456)*0.5/((AL456+AM456)*0.5+(VLOOKUP(U456,模板计算相关数据!A:N,2,0)+模板计算相关数据!$AC$27)*模板计算相关数据!$AC$28))*Q456*Z456)</f>
        <v>4204</v>
      </c>
      <c r="AK456" s="3">
        <f>INT(VLOOKUP(U456,模板计算相关数据!A:N,3,0)/模板计算相关数据!$W$35/(1+MAX(0,(AO456/10000-VLOOKUP(U456,模板计算相关数据!A:N,9,0)))*AP456/10000)/(1-VLOOKUP(U456,模板计算相关数据!A:N,5,0)/(VLOOKUP(U456,模板计算相关数据!A:N,5,0)+(VLOOKUP(U456,模板计算相关数据!A:N,2,0)+模板计算相关数据!$AC$27)*模板计算相关数据!$AC$28))/S456*AA456)</f>
        <v>1891</v>
      </c>
      <c r="AL456" s="3">
        <f>INT(VLOOKUP(U456,模板计算相关数据!A:N,5,0)*VLOOKUP(X456,模板计算相关数据!$P$4:$T$7,4,0)*VLOOKUP(Y456,模板计算相关数据!$P$22:$U$30,4,0)*AB456)</f>
        <v>3484</v>
      </c>
      <c r="AM456" s="3">
        <f>INT(VLOOKUP(U456,模板计算相关数据!A:N,6,0)*VLOOKUP(X456,模板计算相关数据!$P$4:$T$7,4,0)*VLOOKUP(Y456,模板计算相关数据!$P$22:$U$30,5,0)*AC456)</f>
        <v>2064</v>
      </c>
      <c r="AN456" s="3">
        <f>VLOOKUP(U456,模板计算相关数据!A:N,10,0)*0.5*VLOOKUP(Y456,模板计算相关数据!$P$22:$U$30,6,0)+AD456</f>
        <v>250</v>
      </c>
      <c r="AO456" s="3">
        <f>VLOOKUP(INT(VLOOKUP(U456,模板计算相关数据!A:N,2,0)/30)+1,模板计算相关数据!$O$35:$U$40,3,0)+AE456</f>
        <v>0</v>
      </c>
      <c r="AP456" s="3">
        <f>VLOOKUP(INT(VLOOKUP(U456,模板计算相关数据!A:N,2,0)/30)+1,模板计算相关数据!$O$35:$U$40,4,0)+AF456</f>
        <v>5000</v>
      </c>
      <c r="AQ456" s="3">
        <f>VLOOKUP(INT(VLOOKUP(U456,模板计算相关数据!A:N,2,0)/30)+1,模板计算相关数据!$O$35:$U$40,5,0)+AG456</f>
        <v>0</v>
      </c>
      <c r="AR456" s="3">
        <f>VLOOKUP(INT(VLOOKUP(U456,模板计算相关数据!A:N,2,0)/30)+1,模板计算相关数据!$O$35:$U$40,6,0)+AH456</f>
        <v>0</v>
      </c>
      <c r="AS456" s="3">
        <f>VLOOKUP(INT(VLOOKUP(U456,模板计算相关数据!A:N,2,0)/30)+1,模板计算相关数据!$O$35:$U$40,7,0)+AI456</f>
        <v>0</v>
      </c>
      <c r="AT456" s="3">
        <f>VLOOKUP(INT(VLOOKUP(U456,模板计算相关数据!A:N,2,0)/30)+1,模板计算相关数据!$O$35:$V$40,8,0)</f>
        <v>0</v>
      </c>
      <c r="AU456" s="2"/>
    </row>
    <row r="457" spans="1:47" x14ac:dyDescent="0.2">
      <c r="A457" s="3">
        <v>305006</v>
      </c>
      <c r="B457" s="3"/>
      <c r="C457" s="69" t="s">
        <v>1737</v>
      </c>
      <c r="D457" s="69" t="s">
        <v>1096</v>
      </c>
      <c r="E457" s="2"/>
      <c r="F457" s="3">
        <v>1</v>
      </c>
      <c r="G457" s="3">
        <v>1001401</v>
      </c>
      <c r="H457" s="3">
        <v>4</v>
      </c>
      <c r="I457" s="3">
        <v>4</v>
      </c>
      <c r="J457" s="3">
        <v>3</v>
      </c>
      <c r="K457" s="3"/>
      <c r="L457" s="69" t="s">
        <v>738</v>
      </c>
      <c r="M457" s="2"/>
      <c r="N457" s="2">
        <v>1</v>
      </c>
      <c r="O457" s="2"/>
      <c r="P457" s="3" t="s">
        <v>1615</v>
      </c>
      <c r="Q457" s="95">
        <v>3.85</v>
      </c>
      <c r="R457" s="133">
        <f>IF(P457=模板计算相关数据!$AB$24,VLOOKUP(X457,模板计算相关数据!$P$47:$T$50,2,0),VLOOKUP(X457,模板计算相关数据!$P$4:$U$7,3,0))*VLOOKUP(Y457,模板计算相关数据!$P$22:$X$30,8,0)</f>
        <v>4.4674509803921572</v>
      </c>
      <c r="S457" s="62">
        <v>5.67</v>
      </c>
      <c r="T457" s="133">
        <f>IF(P457=模板计算相关数据!$AB$24,VLOOKUP(X457,模板计算相关数据!$P$47:$T$50,5,0),VLOOKUP(X457,模板计算相关数据!$P$4:$U$7,6,0))*VLOOKUP(Y457,模板计算相关数据!$P$22:$X$30,9,0)</f>
        <v>5.4739930589768004</v>
      </c>
      <c r="U457" s="98">
        <v>44</v>
      </c>
      <c r="V457" s="95">
        <f t="shared" si="56"/>
        <v>19</v>
      </c>
      <c r="W457" s="29">
        <f>VLOOKUP(U457,模板计算相关数据!A:N,2,0)</f>
        <v>16</v>
      </c>
      <c r="X457" s="3" t="s">
        <v>151</v>
      </c>
      <c r="Y457" s="3" t="s">
        <v>162</v>
      </c>
      <c r="Z457" s="99">
        <v>1</v>
      </c>
      <c r="AA457" s="95">
        <v>1</v>
      </c>
      <c r="AB457" s="95">
        <v>1</v>
      </c>
      <c r="AC457" s="95">
        <v>1</v>
      </c>
      <c r="AD457" s="95">
        <v>0</v>
      </c>
      <c r="AE457" s="95">
        <v>0</v>
      </c>
      <c r="AF457" s="95">
        <v>0</v>
      </c>
      <c r="AG457" s="95">
        <v>0</v>
      </c>
      <c r="AH457" s="95">
        <v>0</v>
      </c>
      <c r="AI457" s="95">
        <v>0</v>
      </c>
      <c r="AJ457" s="3">
        <f>INT(VLOOKUP(U457,模板计算相关数据!A:N,4,0)*VLOOKUP(U457,模板计算相关数据!A:N,14,0)*(1+MAX(0,(VLOOKUP(U457,模板计算相关数据!A:N,7,0)-AQ457))*VLOOKUP(U457,模板计算相关数据!A:N,8,0))*(1-(AL457+AM457)*0.5/((AL457+AM457)*0.5+(VLOOKUP(U457,模板计算相关数据!A:N,2,0)+模板计算相关数据!$AC$27)*模板计算相关数据!$AC$28))*Q457*Z457)</f>
        <v>1205</v>
      </c>
      <c r="AK457" s="3">
        <f>INT(VLOOKUP(U457,模板计算相关数据!A:N,3,0)/模板计算相关数据!$W$35/(1+MAX(0,(AO457/10000-VLOOKUP(U457,模板计算相关数据!A:N,9,0)))*AP457/10000)/(1-VLOOKUP(U457,模板计算相关数据!A:N,5,0)/(VLOOKUP(U457,模板计算相关数据!A:N,5,0)+(VLOOKUP(U457,模板计算相关数据!A:N,2,0)+模板计算相关数据!$AC$27)*模板计算相关数据!$AC$28))/S457*AA457)</f>
        <v>377</v>
      </c>
      <c r="AL457" s="3">
        <f>INT(VLOOKUP(U457,模板计算相关数据!A:N,5,0)*VLOOKUP(X457,模板计算相关数据!$P$4:$T$7,4,0)*VLOOKUP(Y457,模板计算相关数据!$P$22:$U$30,4,0)*AB457)</f>
        <v>530</v>
      </c>
      <c r="AM457" s="3">
        <f>INT(VLOOKUP(U457,模板计算相关数据!A:N,6,0)*VLOOKUP(X457,模板计算相关数据!$P$4:$T$7,4,0)*VLOOKUP(Y457,模板计算相关数据!$P$22:$U$30,5,0)*AC457)</f>
        <v>895</v>
      </c>
      <c r="AN457" s="3">
        <f>VLOOKUP(U457,模板计算相关数据!A:N,10,0)*0.5*VLOOKUP(Y457,模板计算相关数据!$P$22:$U$30,6,0)+AD457</f>
        <v>250</v>
      </c>
      <c r="AO457" s="3">
        <f>VLOOKUP(INT(VLOOKUP(U457,模板计算相关数据!A:N,2,0)/30)+1,模板计算相关数据!$O$35:$U$40,3,0)+AE457</f>
        <v>0</v>
      </c>
      <c r="AP457" s="3">
        <f>VLOOKUP(INT(VLOOKUP(U457,模板计算相关数据!A:N,2,0)/30)+1,模板计算相关数据!$O$35:$U$40,4,0)+AF457</f>
        <v>5000</v>
      </c>
      <c r="AQ457" s="3">
        <f>VLOOKUP(INT(VLOOKUP(U457,模板计算相关数据!A:N,2,0)/30)+1,模板计算相关数据!$O$35:$U$40,5,0)+AG457</f>
        <v>0</v>
      </c>
      <c r="AR457" s="3">
        <f>VLOOKUP(INT(VLOOKUP(U457,模板计算相关数据!A:N,2,0)/30)+1,模板计算相关数据!$O$35:$U$40,6,0)+AH457</f>
        <v>0</v>
      </c>
      <c r="AS457" s="3">
        <f>VLOOKUP(INT(VLOOKUP(U457,模板计算相关数据!A:N,2,0)/30)+1,模板计算相关数据!$O$35:$U$40,7,0)+AI457</f>
        <v>0</v>
      </c>
      <c r="AT457" s="3">
        <f>VLOOKUP(INT(VLOOKUP(U457,模板计算相关数据!A:N,2,0)/30)+1,模板计算相关数据!$O$35:$V$40,8,0)</f>
        <v>0</v>
      </c>
      <c r="AU457" s="2"/>
    </row>
    <row r="458" spans="1:47" x14ac:dyDescent="0.2">
      <c r="A458" s="3">
        <v>305007</v>
      </c>
      <c r="B458" s="3"/>
      <c r="C458" s="69" t="s">
        <v>1737</v>
      </c>
      <c r="D458" s="69" t="s">
        <v>1097</v>
      </c>
      <c r="E458" s="2"/>
      <c r="F458" s="3">
        <v>1</v>
      </c>
      <c r="G458" s="3">
        <v>1001401</v>
      </c>
      <c r="H458" s="3">
        <v>4</v>
      </c>
      <c r="I458" s="3">
        <v>4</v>
      </c>
      <c r="J458" s="3">
        <v>3</v>
      </c>
      <c r="K458" s="3"/>
      <c r="L458" s="69" t="s">
        <v>739</v>
      </c>
      <c r="M458" s="2"/>
      <c r="N458" s="2">
        <v>1</v>
      </c>
      <c r="O458" s="2"/>
      <c r="P458" s="3" t="s">
        <v>1615</v>
      </c>
      <c r="Q458" s="95">
        <v>3.9499999999999997</v>
      </c>
      <c r="R458" s="133">
        <f>IF(P458=模板计算相关数据!$AB$24,VLOOKUP(X458,模板计算相关数据!$P$47:$T$50,2,0),VLOOKUP(X458,模板计算相关数据!$P$4:$U$7,3,0))*VLOOKUP(Y458,模板计算相关数据!$P$22:$X$30,8,0)</f>
        <v>4.4674509803921572</v>
      </c>
      <c r="S458" s="62">
        <v>5.5699999999999994</v>
      </c>
      <c r="T458" s="133">
        <f>IF(P458=模板计算相关数据!$AB$24,VLOOKUP(X458,模板计算相关数据!$P$47:$T$50,5,0),VLOOKUP(X458,模板计算相关数据!$P$4:$U$7,6,0))*VLOOKUP(Y458,模板计算相关数据!$P$22:$X$30,9,0)</f>
        <v>5.4739930589768004</v>
      </c>
      <c r="U458" s="98">
        <v>45</v>
      </c>
      <c r="V458" s="95">
        <f t="shared" si="56"/>
        <v>31</v>
      </c>
      <c r="W458" s="29">
        <f>VLOOKUP(U458,模板计算相关数据!A:N,2,0)</f>
        <v>28</v>
      </c>
      <c r="X458" s="3" t="s">
        <v>151</v>
      </c>
      <c r="Y458" s="3" t="s">
        <v>162</v>
      </c>
      <c r="Z458" s="99">
        <v>1</v>
      </c>
      <c r="AA458" s="95">
        <v>1</v>
      </c>
      <c r="AB458" s="95">
        <v>1</v>
      </c>
      <c r="AC458" s="95">
        <v>1</v>
      </c>
      <c r="AD458" s="95">
        <v>0</v>
      </c>
      <c r="AE458" s="95">
        <v>0</v>
      </c>
      <c r="AF458" s="95">
        <v>0</v>
      </c>
      <c r="AG458" s="95">
        <v>0</v>
      </c>
      <c r="AH458" s="95">
        <v>0</v>
      </c>
      <c r="AI458" s="95">
        <v>0</v>
      </c>
      <c r="AJ458" s="3">
        <f>INT(VLOOKUP(U458,模板计算相关数据!A:N,4,0)*VLOOKUP(U458,模板计算相关数据!A:N,14,0)*(1+MAX(0,(VLOOKUP(U458,模板计算相关数据!A:N,7,0)-AQ458))*VLOOKUP(U458,模板计算相关数据!A:N,8,0))*(1-(AL458+AM458)*0.5/((AL458+AM458)*0.5+(VLOOKUP(U458,模板计算相关数据!A:N,2,0)+模板计算相关数据!$AC$27)*模板计算相关数据!$AC$28))*Q458*Z458)</f>
        <v>2568</v>
      </c>
      <c r="AK458" s="3">
        <f>INT(VLOOKUP(U458,模板计算相关数据!A:N,3,0)/模板计算相关数据!$W$35/(1+MAX(0,(AO458/10000-VLOOKUP(U458,模板计算相关数据!A:N,9,0)))*AP458/10000)/(1-VLOOKUP(U458,模板计算相关数据!A:N,5,0)/(VLOOKUP(U458,模板计算相关数据!A:N,5,0)+(VLOOKUP(U458,模板计算相关数据!A:N,2,0)+模板计算相关数据!$AC$27)*模板计算相关数据!$AC$28))/S458*AA458)</f>
        <v>1018</v>
      </c>
      <c r="AL458" s="3">
        <f>INT(VLOOKUP(U458,模板计算相关数据!A:N,5,0)*VLOOKUP(X458,模板计算相关数据!$P$4:$T$7,4,0)*VLOOKUP(Y458,模板计算相关数据!$P$22:$U$30,4,0)*AB458)</f>
        <v>1261</v>
      </c>
      <c r="AM458" s="3">
        <f>INT(VLOOKUP(U458,模板计算相关数据!A:N,6,0)*VLOOKUP(X458,模板计算相关数据!$P$4:$T$7,4,0)*VLOOKUP(Y458,模板计算相关数据!$P$22:$U$30,5,0)*AC458)</f>
        <v>2128</v>
      </c>
      <c r="AN458" s="3">
        <f>VLOOKUP(U458,模板计算相关数据!A:N,10,0)*0.5*VLOOKUP(Y458,模板计算相关数据!$P$22:$U$30,6,0)+AD458</f>
        <v>250</v>
      </c>
      <c r="AO458" s="3">
        <f>VLOOKUP(INT(VLOOKUP(U458,模板计算相关数据!A:N,2,0)/30)+1,模板计算相关数据!$O$35:$U$40,3,0)+AE458</f>
        <v>0</v>
      </c>
      <c r="AP458" s="3">
        <f>VLOOKUP(INT(VLOOKUP(U458,模板计算相关数据!A:N,2,0)/30)+1,模板计算相关数据!$O$35:$U$40,4,0)+AF458</f>
        <v>5000</v>
      </c>
      <c r="AQ458" s="3">
        <f>VLOOKUP(INT(VLOOKUP(U458,模板计算相关数据!A:N,2,0)/30)+1,模板计算相关数据!$O$35:$U$40,5,0)+AG458</f>
        <v>0</v>
      </c>
      <c r="AR458" s="3">
        <f>VLOOKUP(INT(VLOOKUP(U458,模板计算相关数据!A:N,2,0)/30)+1,模板计算相关数据!$O$35:$U$40,6,0)+AH458</f>
        <v>0</v>
      </c>
      <c r="AS458" s="3">
        <f>VLOOKUP(INT(VLOOKUP(U458,模板计算相关数据!A:N,2,0)/30)+1,模板计算相关数据!$O$35:$U$40,7,0)+AI458</f>
        <v>0</v>
      </c>
      <c r="AT458" s="3">
        <f>VLOOKUP(INT(VLOOKUP(U458,模板计算相关数据!A:N,2,0)/30)+1,模板计算相关数据!$O$35:$V$40,8,0)</f>
        <v>0</v>
      </c>
      <c r="AU458" s="2"/>
    </row>
    <row r="459" spans="1:47" x14ac:dyDescent="0.2">
      <c r="A459" s="3">
        <v>305008</v>
      </c>
      <c r="B459" s="3"/>
      <c r="C459" s="69" t="s">
        <v>1737</v>
      </c>
      <c r="D459" s="69" t="s">
        <v>1093</v>
      </c>
      <c r="E459" s="2"/>
      <c r="F459" s="3">
        <v>1</v>
      </c>
      <c r="G459" s="3">
        <v>1001401</v>
      </c>
      <c r="H459" s="3">
        <v>4</v>
      </c>
      <c r="I459" s="3">
        <v>4</v>
      </c>
      <c r="J459" s="3">
        <v>3</v>
      </c>
      <c r="K459" s="3"/>
      <c r="L459" s="69" t="s">
        <v>740</v>
      </c>
      <c r="M459" s="2"/>
      <c r="N459" s="2">
        <v>1</v>
      </c>
      <c r="O459" s="2"/>
      <c r="P459" s="3" t="s">
        <v>1615</v>
      </c>
      <c r="Q459" s="95">
        <v>4.05</v>
      </c>
      <c r="R459" s="133">
        <f>IF(P459=模板计算相关数据!$AB$24,VLOOKUP(X459,模板计算相关数据!$P$47:$T$50,2,0),VLOOKUP(X459,模板计算相关数据!$P$4:$U$7,3,0))*VLOOKUP(Y459,模板计算相关数据!$P$22:$X$30,8,0)</f>
        <v>4.4674509803921572</v>
      </c>
      <c r="S459" s="62">
        <v>5.47</v>
      </c>
      <c r="T459" s="133">
        <f>IF(P459=模板计算相关数据!$AB$24,VLOOKUP(X459,模板计算相关数据!$P$47:$T$50,5,0),VLOOKUP(X459,模板计算相关数据!$P$4:$U$7,6,0))*VLOOKUP(Y459,模板计算相关数据!$P$22:$X$30,9,0)</f>
        <v>5.4739930589768004</v>
      </c>
      <c r="U459" s="98">
        <v>46</v>
      </c>
      <c r="V459" s="95">
        <f t="shared" si="56"/>
        <v>43</v>
      </c>
      <c r="W459" s="29">
        <f>VLOOKUP(U459,模板计算相关数据!A:N,2,0)</f>
        <v>40</v>
      </c>
      <c r="X459" s="3" t="s">
        <v>151</v>
      </c>
      <c r="Y459" s="3" t="s">
        <v>162</v>
      </c>
      <c r="Z459" s="99">
        <v>1</v>
      </c>
      <c r="AA459" s="95">
        <v>1</v>
      </c>
      <c r="AB459" s="95">
        <v>1</v>
      </c>
      <c r="AC459" s="95">
        <v>1</v>
      </c>
      <c r="AD459" s="95">
        <v>0</v>
      </c>
      <c r="AE459" s="95">
        <v>0</v>
      </c>
      <c r="AF459" s="95">
        <v>0</v>
      </c>
      <c r="AG459" s="95">
        <v>0</v>
      </c>
      <c r="AH459" s="95">
        <v>0</v>
      </c>
      <c r="AI459" s="95">
        <v>0</v>
      </c>
      <c r="AJ459" s="3">
        <f>INT(VLOOKUP(U459,模板计算相关数据!A:N,4,0)*VLOOKUP(U459,模板计算相关数据!A:N,14,0)*(1+MAX(0,(VLOOKUP(U459,模板计算相关数据!A:N,7,0)-AQ459))*VLOOKUP(U459,模板计算相关数据!A:N,8,0))*(1-(AL459+AM459)*0.5/((AL459+AM459)*0.5+(VLOOKUP(U459,模板计算相关数据!A:N,2,0)+模板计算相关数据!$AC$27)*模板计算相关数据!$AC$28))*Q459*Z459)</f>
        <v>4135</v>
      </c>
      <c r="AK459" s="3">
        <f>INT(VLOOKUP(U459,模板计算相关数据!A:N,3,0)/模板计算相关数据!$W$35/(1+MAX(0,(AO459/10000-VLOOKUP(U459,模板计算相关数据!A:N,9,0)))*AP459/10000)/(1-VLOOKUP(U459,模板计算相关数据!A:N,5,0)/(VLOOKUP(U459,模板计算相关数据!A:N,5,0)+(VLOOKUP(U459,模板计算相关数据!A:N,2,0)+模板计算相关数据!$AC$27)*模板计算相关数据!$AC$28))/S459*AA459)</f>
        <v>1808</v>
      </c>
      <c r="AL459" s="3">
        <f>INT(VLOOKUP(U459,模板计算相关数据!A:N,5,0)*VLOOKUP(X459,模板计算相关数据!$P$4:$T$7,4,0)*VLOOKUP(Y459,模板计算相关数据!$P$22:$U$30,4,0)*AB459)</f>
        <v>2064</v>
      </c>
      <c r="AM459" s="3">
        <f>INT(VLOOKUP(U459,模板计算相关数据!A:N,6,0)*VLOOKUP(X459,模板计算相关数据!$P$4:$T$7,4,0)*VLOOKUP(Y459,模板计算相关数据!$P$22:$U$30,5,0)*AC459)</f>
        <v>3484</v>
      </c>
      <c r="AN459" s="3">
        <f>VLOOKUP(U459,模板计算相关数据!A:N,10,0)*0.5*VLOOKUP(Y459,模板计算相关数据!$P$22:$U$30,6,0)+AD459</f>
        <v>250</v>
      </c>
      <c r="AO459" s="3">
        <f>VLOOKUP(INT(VLOOKUP(U459,模板计算相关数据!A:N,2,0)/30)+1,模板计算相关数据!$O$35:$U$40,3,0)+AE459</f>
        <v>0</v>
      </c>
      <c r="AP459" s="3">
        <f>VLOOKUP(INT(VLOOKUP(U459,模板计算相关数据!A:N,2,0)/30)+1,模板计算相关数据!$O$35:$U$40,4,0)+AF459</f>
        <v>5000</v>
      </c>
      <c r="AQ459" s="3">
        <f>VLOOKUP(INT(VLOOKUP(U459,模板计算相关数据!A:N,2,0)/30)+1,模板计算相关数据!$O$35:$U$40,5,0)+AG459</f>
        <v>0</v>
      </c>
      <c r="AR459" s="3">
        <f>VLOOKUP(INT(VLOOKUP(U459,模板计算相关数据!A:N,2,0)/30)+1,模板计算相关数据!$O$35:$U$40,6,0)+AH459</f>
        <v>0</v>
      </c>
      <c r="AS459" s="3">
        <f>VLOOKUP(INT(VLOOKUP(U459,模板计算相关数据!A:N,2,0)/30)+1,模板计算相关数据!$O$35:$U$40,7,0)+AI459</f>
        <v>0</v>
      </c>
      <c r="AT459" s="3">
        <f>VLOOKUP(INT(VLOOKUP(U459,模板计算相关数据!A:N,2,0)/30)+1,模板计算相关数据!$O$35:$V$40,8,0)</f>
        <v>0</v>
      </c>
      <c r="AU459" s="2"/>
    </row>
    <row r="460" spans="1:47" x14ac:dyDescent="0.2">
      <c r="A460" s="3">
        <v>305009</v>
      </c>
      <c r="B460" s="3"/>
      <c r="C460" s="69" t="s">
        <v>1737</v>
      </c>
      <c r="D460" s="69" t="s">
        <v>1094</v>
      </c>
      <c r="E460" s="2"/>
      <c r="F460" s="3">
        <v>1</v>
      </c>
      <c r="G460" s="3">
        <v>1001401</v>
      </c>
      <c r="H460" s="3">
        <v>4</v>
      </c>
      <c r="I460" s="3">
        <v>4</v>
      </c>
      <c r="J460" s="3">
        <v>3</v>
      </c>
      <c r="K460" s="3"/>
      <c r="L460" s="69" t="s">
        <v>741</v>
      </c>
      <c r="M460" s="2"/>
      <c r="N460" s="2">
        <v>1</v>
      </c>
      <c r="O460" s="2"/>
      <c r="P460" s="3" t="s">
        <v>1615</v>
      </c>
      <c r="Q460" s="95">
        <v>4.1500000000000004</v>
      </c>
      <c r="R460" s="133">
        <f>IF(P460=模板计算相关数据!$AB$24,VLOOKUP(X460,模板计算相关数据!$P$47:$T$50,2,0),VLOOKUP(X460,模板计算相关数据!$P$4:$U$7,3,0))*VLOOKUP(Y460,模板计算相关数据!$P$22:$X$30,8,0)</f>
        <v>4.4674509803921572</v>
      </c>
      <c r="S460" s="62">
        <v>5.3699999999999992</v>
      </c>
      <c r="T460" s="133">
        <f>IF(P460=模板计算相关数据!$AB$24,VLOOKUP(X460,模板计算相关数据!$P$47:$T$50,5,0),VLOOKUP(X460,模板计算相关数据!$P$4:$U$7,6,0))*VLOOKUP(Y460,模板计算相关数据!$P$22:$X$30,9,0)</f>
        <v>5.4739930589768004</v>
      </c>
      <c r="U460" s="98">
        <v>46</v>
      </c>
      <c r="V460" s="95">
        <f t="shared" si="56"/>
        <v>43</v>
      </c>
      <c r="W460" s="29">
        <f>VLOOKUP(U460,模板计算相关数据!A:N,2,0)</f>
        <v>40</v>
      </c>
      <c r="X460" s="3" t="s">
        <v>151</v>
      </c>
      <c r="Y460" s="3" t="s">
        <v>162</v>
      </c>
      <c r="Z460" s="99">
        <v>1</v>
      </c>
      <c r="AA460" s="95">
        <v>1</v>
      </c>
      <c r="AB460" s="95">
        <v>1</v>
      </c>
      <c r="AC460" s="95">
        <v>1</v>
      </c>
      <c r="AD460" s="95">
        <v>0</v>
      </c>
      <c r="AE460" s="95">
        <v>0</v>
      </c>
      <c r="AF460" s="95">
        <v>0</v>
      </c>
      <c r="AG460" s="95">
        <v>0</v>
      </c>
      <c r="AH460" s="95">
        <v>0</v>
      </c>
      <c r="AI460" s="95">
        <v>0</v>
      </c>
      <c r="AJ460" s="3">
        <f>INT(VLOOKUP(U460,模板计算相关数据!A:N,4,0)*VLOOKUP(U460,模板计算相关数据!A:N,14,0)*(1+MAX(0,(VLOOKUP(U460,模板计算相关数据!A:N,7,0)-AQ460))*VLOOKUP(U460,模板计算相关数据!A:N,8,0))*(1-(AL460+AM460)*0.5/((AL460+AM460)*0.5+(VLOOKUP(U460,模板计算相关数据!A:N,2,0)+模板计算相关数据!$AC$27)*模板计算相关数据!$AC$28))*Q460*Z460)</f>
        <v>4237</v>
      </c>
      <c r="AK460" s="3">
        <f>INT(VLOOKUP(U460,模板计算相关数据!A:N,3,0)/模板计算相关数据!$W$35/(1+MAX(0,(AO460/10000-VLOOKUP(U460,模板计算相关数据!A:N,9,0)))*AP460/10000)/(1-VLOOKUP(U460,模板计算相关数据!A:N,5,0)/(VLOOKUP(U460,模板计算相关数据!A:N,5,0)+(VLOOKUP(U460,模板计算相关数据!A:N,2,0)+模板计算相关数据!$AC$27)*模板计算相关数据!$AC$28))/S460*AA460)</f>
        <v>1842</v>
      </c>
      <c r="AL460" s="3">
        <f>INT(VLOOKUP(U460,模板计算相关数据!A:N,5,0)*VLOOKUP(X460,模板计算相关数据!$P$4:$T$7,4,0)*VLOOKUP(Y460,模板计算相关数据!$P$22:$U$30,4,0)*AB460)</f>
        <v>2064</v>
      </c>
      <c r="AM460" s="3">
        <f>INT(VLOOKUP(U460,模板计算相关数据!A:N,6,0)*VLOOKUP(X460,模板计算相关数据!$P$4:$T$7,4,0)*VLOOKUP(Y460,模板计算相关数据!$P$22:$U$30,5,0)*AC460)</f>
        <v>3484</v>
      </c>
      <c r="AN460" s="3">
        <f>VLOOKUP(U460,模板计算相关数据!A:N,10,0)*0.5*VLOOKUP(Y460,模板计算相关数据!$P$22:$U$30,6,0)+AD460</f>
        <v>250</v>
      </c>
      <c r="AO460" s="3">
        <f>VLOOKUP(INT(VLOOKUP(U460,模板计算相关数据!A:N,2,0)/30)+1,模板计算相关数据!$O$35:$U$40,3,0)+AE460</f>
        <v>0</v>
      </c>
      <c r="AP460" s="3">
        <f>VLOOKUP(INT(VLOOKUP(U460,模板计算相关数据!A:N,2,0)/30)+1,模板计算相关数据!$O$35:$U$40,4,0)+AF460</f>
        <v>5000</v>
      </c>
      <c r="AQ460" s="3">
        <f>VLOOKUP(INT(VLOOKUP(U460,模板计算相关数据!A:N,2,0)/30)+1,模板计算相关数据!$O$35:$U$40,5,0)+AG460</f>
        <v>0</v>
      </c>
      <c r="AR460" s="3">
        <f>VLOOKUP(INT(VLOOKUP(U460,模板计算相关数据!A:N,2,0)/30)+1,模板计算相关数据!$O$35:$U$40,6,0)+AH460</f>
        <v>0</v>
      </c>
      <c r="AS460" s="3">
        <f>VLOOKUP(INT(VLOOKUP(U460,模板计算相关数据!A:N,2,0)/30)+1,模板计算相关数据!$O$35:$U$40,7,0)+AI460</f>
        <v>0</v>
      </c>
      <c r="AT460" s="3">
        <f>VLOOKUP(INT(VLOOKUP(U460,模板计算相关数据!A:N,2,0)/30)+1,模板计算相关数据!$O$35:$V$40,8,0)</f>
        <v>0</v>
      </c>
      <c r="AU460" s="2"/>
    </row>
    <row r="461" spans="1:47" x14ac:dyDescent="0.2">
      <c r="A461" s="3">
        <v>305010</v>
      </c>
      <c r="B461" s="3"/>
      <c r="C461" s="69" t="s">
        <v>1737</v>
      </c>
      <c r="D461" s="69" t="s">
        <v>1095</v>
      </c>
      <c r="E461" s="2"/>
      <c r="F461" s="3">
        <v>1</v>
      </c>
      <c r="G461" s="3">
        <v>1001401</v>
      </c>
      <c r="H461" s="3">
        <v>4</v>
      </c>
      <c r="I461" s="3">
        <v>4</v>
      </c>
      <c r="J461" s="3">
        <v>3</v>
      </c>
      <c r="K461" s="3"/>
      <c r="L461" s="69" t="s">
        <v>742</v>
      </c>
      <c r="M461" s="2"/>
      <c r="N461" s="2">
        <v>1</v>
      </c>
      <c r="O461" s="2"/>
      <c r="P461" s="3" t="s">
        <v>1615</v>
      </c>
      <c r="Q461" s="95">
        <v>4.25</v>
      </c>
      <c r="R461" s="133">
        <f>IF(P461=模板计算相关数据!$AB$24,VLOOKUP(X461,模板计算相关数据!$P$47:$T$50,2,0),VLOOKUP(X461,模板计算相关数据!$P$4:$U$7,3,0))*VLOOKUP(Y461,模板计算相关数据!$P$22:$X$30,8,0)</f>
        <v>4.4674509803921572</v>
      </c>
      <c r="S461" s="62">
        <v>5.27</v>
      </c>
      <c r="T461" s="133">
        <f>IF(P461=模板计算相关数据!$AB$24,VLOOKUP(X461,模板计算相关数据!$P$47:$T$50,5,0),VLOOKUP(X461,模板计算相关数据!$P$4:$U$7,6,0))*VLOOKUP(Y461,模板计算相关数据!$P$22:$X$30,9,0)</f>
        <v>5.4739930589768004</v>
      </c>
      <c r="U461" s="98">
        <v>46</v>
      </c>
      <c r="V461" s="95">
        <f t="shared" si="56"/>
        <v>43</v>
      </c>
      <c r="W461" s="29">
        <f>VLOOKUP(U461,模板计算相关数据!A:N,2,0)</f>
        <v>40</v>
      </c>
      <c r="X461" s="3" t="s">
        <v>151</v>
      </c>
      <c r="Y461" s="3" t="s">
        <v>162</v>
      </c>
      <c r="Z461" s="99">
        <v>1</v>
      </c>
      <c r="AA461" s="95">
        <v>1</v>
      </c>
      <c r="AB461" s="95">
        <v>1</v>
      </c>
      <c r="AC461" s="95">
        <v>1</v>
      </c>
      <c r="AD461" s="95">
        <v>0</v>
      </c>
      <c r="AE461" s="95">
        <v>0</v>
      </c>
      <c r="AF461" s="95">
        <v>0</v>
      </c>
      <c r="AG461" s="95">
        <v>0</v>
      </c>
      <c r="AH461" s="95">
        <v>0</v>
      </c>
      <c r="AI461" s="95">
        <v>0</v>
      </c>
      <c r="AJ461" s="3">
        <f>INT(VLOOKUP(U461,模板计算相关数据!A:N,4,0)*VLOOKUP(U461,模板计算相关数据!A:N,14,0)*(1+MAX(0,(VLOOKUP(U461,模板计算相关数据!A:N,7,0)-AQ461))*VLOOKUP(U461,模板计算相关数据!A:N,8,0))*(1-(AL461+AM461)*0.5/((AL461+AM461)*0.5+(VLOOKUP(U461,模板计算相关数据!A:N,2,0)+模板计算相关数据!$AC$27)*模板计算相关数据!$AC$28))*Q461*Z461)</f>
        <v>4339</v>
      </c>
      <c r="AK461" s="3">
        <f>INT(VLOOKUP(U461,模板计算相关数据!A:N,3,0)/模板计算相关数据!$W$35/(1+MAX(0,(AO461/10000-VLOOKUP(U461,模板计算相关数据!A:N,9,0)))*AP461/10000)/(1-VLOOKUP(U461,模板计算相关数据!A:N,5,0)/(VLOOKUP(U461,模板计算相关数据!A:N,5,0)+(VLOOKUP(U461,模板计算相关数据!A:N,2,0)+模板计算相关数据!$AC$27)*模板计算相关数据!$AC$28))/S461*AA461)</f>
        <v>1877</v>
      </c>
      <c r="AL461" s="3">
        <f>INT(VLOOKUP(U461,模板计算相关数据!A:N,5,0)*VLOOKUP(X461,模板计算相关数据!$P$4:$T$7,4,0)*VLOOKUP(Y461,模板计算相关数据!$P$22:$U$30,4,0)*AB461)</f>
        <v>2064</v>
      </c>
      <c r="AM461" s="3">
        <f>INT(VLOOKUP(U461,模板计算相关数据!A:N,6,0)*VLOOKUP(X461,模板计算相关数据!$P$4:$T$7,4,0)*VLOOKUP(Y461,模板计算相关数据!$P$22:$U$30,5,0)*AC461)</f>
        <v>3484</v>
      </c>
      <c r="AN461" s="3">
        <f>VLOOKUP(U461,模板计算相关数据!A:N,10,0)*0.5*VLOOKUP(Y461,模板计算相关数据!$P$22:$U$30,6,0)+AD461</f>
        <v>250</v>
      </c>
      <c r="AO461" s="3">
        <f>VLOOKUP(INT(VLOOKUP(U461,模板计算相关数据!A:N,2,0)/30)+1,模板计算相关数据!$O$35:$U$40,3,0)+AE461</f>
        <v>0</v>
      </c>
      <c r="AP461" s="3">
        <f>VLOOKUP(INT(VLOOKUP(U461,模板计算相关数据!A:N,2,0)/30)+1,模板计算相关数据!$O$35:$U$40,4,0)+AF461</f>
        <v>5000</v>
      </c>
      <c r="AQ461" s="3">
        <f>VLOOKUP(INT(VLOOKUP(U461,模板计算相关数据!A:N,2,0)/30)+1,模板计算相关数据!$O$35:$U$40,5,0)+AG461</f>
        <v>0</v>
      </c>
      <c r="AR461" s="3">
        <f>VLOOKUP(INT(VLOOKUP(U461,模板计算相关数据!A:N,2,0)/30)+1,模板计算相关数据!$O$35:$U$40,6,0)+AH461</f>
        <v>0</v>
      </c>
      <c r="AS461" s="3">
        <f>VLOOKUP(INT(VLOOKUP(U461,模板计算相关数据!A:N,2,0)/30)+1,模板计算相关数据!$O$35:$U$40,7,0)+AI461</f>
        <v>0</v>
      </c>
      <c r="AT461" s="3">
        <f>VLOOKUP(INT(VLOOKUP(U461,模板计算相关数据!A:N,2,0)/30)+1,模板计算相关数据!$O$35:$V$40,8,0)</f>
        <v>0</v>
      </c>
      <c r="AU461" s="2"/>
    </row>
    <row r="462" spans="1:47" x14ac:dyDescent="0.2">
      <c r="A462" s="3">
        <v>305011</v>
      </c>
      <c r="B462" s="3"/>
      <c r="C462" s="69" t="s">
        <v>1745</v>
      </c>
      <c r="D462" s="69" t="s">
        <v>1096</v>
      </c>
      <c r="E462" s="2"/>
      <c r="F462" s="3">
        <v>3</v>
      </c>
      <c r="G462" s="3">
        <v>1001701</v>
      </c>
      <c r="H462" s="3">
        <v>6</v>
      </c>
      <c r="I462" s="3">
        <v>4</v>
      </c>
      <c r="J462" s="3">
        <v>3</v>
      </c>
      <c r="K462" s="3">
        <v>1</v>
      </c>
      <c r="L462" s="69" t="s">
        <v>743</v>
      </c>
      <c r="M462" s="2"/>
      <c r="N462" s="2">
        <v>1</v>
      </c>
      <c r="O462" s="2"/>
      <c r="P462" s="3" t="s">
        <v>1615</v>
      </c>
      <c r="Q462" s="95">
        <v>12</v>
      </c>
      <c r="R462" s="133">
        <f>IF(P462=模板计算相关数据!$AB$24,VLOOKUP(X462,模板计算相关数据!$P$47:$T$50,2,0),VLOOKUP(X462,模板计算相关数据!$P$4:$U$7,3,0))*VLOOKUP(Y462,模板计算相关数据!$P$22:$X$30,8,0)</f>
        <v>20</v>
      </c>
      <c r="S462" s="62">
        <v>4.0999999999999996</v>
      </c>
      <c r="T462" s="133">
        <f>IF(P462=模板计算相关数据!$AB$24,VLOOKUP(X462,模板计算相关数据!$P$47:$T$50,5,0),VLOOKUP(X462,模板计算相关数据!$P$4:$U$7,6,0))*VLOOKUP(Y462,模板计算相关数据!$P$22:$X$30,9,0)</f>
        <v>3.6363636363636367</v>
      </c>
      <c r="U462" s="98">
        <v>44</v>
      </c>
      <c r="V462" s="95">
        <f t="shared" si="56"/>
        <v>19</v>
      </c>
      <c r="W462" s="29">
        <f>VLOOKUP(U462,模板计算相关数据!A:N,2,0)</f>
        <v>16</v>
      </c>
      <c r="X462" s="3" t="s">
        <v>178</v>
      </c>
      <c r="Y462" s="3" t="s">
        <v>223</v>
      </c>
      <c r="Z462" s="99">
        <v>1</v>
      </c>
      <c r="AA462" s="95">
        <v>1</v>
      </c>
      <c r="AB462" s="95">
        <v>1</v>
      </c>
      <c r="AC462" s="95">
        <v>1</v>
      </c>
      <c r="AD462" s="95">
        <v>0</v>
      </c>
      <c r="AE462" s="95">
        <v>0</v>
      </c>
      <c r="AF462" s="95">
        <v>0</v>
      </c>
      <c r="AG462" s="95">
        <v>0</v>
      </c>
      <c r="AH462" s="95">
        <v>0</v>
      </c>
      <c r="AI462" s="95">
        <v>2000</v>
      </c>
      <c r="AJ462" s="3">
        <f>INT(VLOOKUP(U462,模板计算相关数据!A:N,4,0)*VLOOKUP(U462,模板计算相关数据!A:N,14,0)*(1+MAX(0,(VLOOKUP(U462,模板计算相关数据!A:N,7,0)-AQ462))*VLOOKUP(U462,模板计算相关数据!A:N,8,0))*(1-(AL462+AM462)*0.5/((AL462+AM462)*0.5+(VLOOKUP(U462,模板计算相关数据!A:N,2,0)+模板计算相关数据!$AC$27)*模板计算相关数据!$AC$28))*Q462*Z462)</f>
        <v>3127</v>
      </c>
      <c r="AK462" s="3">
        <f>INT(VLOOKUP(U462,模板计算相关数据!A:N,3,0)/模板计算相关数据!$W$35/(1+MAX(0,(AO462/10000-VLOOKUP(U462,模板计算相关数据!A:N,9,0)))*AP462/10000)/(1-VLOOKUP(U462,模板计算相关数据!A:N,5,0)/(VLOOKUP(U462,模板计算相关数据!A:N,5,0)+(VLOOKUP(U462,模板计算相关数据!A:N,2,0)+模板计算相关数据!$AC$27)*模板计算相关数据!$AC$28))/S462*AA462)</f>
        <v>522</v>
      </c>
      <c r="AL462" s="3">
        <f>INT(VLOOKUP(U462,模板计算相关数据!A:N,5,0)*VLOOKUP(X462,模板计算相关数据!$P$4:$T$7,4,0)*VLOOKUP(Y462,模板计算相关数据!$P$22:$U$30,4,0)*AB462)</f>
        <v>1243</v>
      </c>
      <c r="AM462" s="3">
        <f>INT(VLOOKUP(U462,模板计算相关数据!A:N,6,0)*VLOOKUP(X462,模板计算相关数据!$P$4:$T$7,4,0)*VLOOKUP(Y462,模板计算相关数据!$P$22:$U$30,5,0)*AC462)</f>
        <v>1243</v>
      </c>
      <c r="AN462" s="3">
        <f>VLOOKUP(U462,模板计算相关数据!A:N,10,0)*0.5*VLOOKUP(Y462,模板计算相关数据!$P$22:$U$30,6,0)+AD462</f>
        <v>250</v>
      </c>
      <c r="AO462" s="3">
        <f>VLOOKUP(INT(VLOOKUP(U462,模板计算相关数据!A:N,2,0)/30)+1,模板计算相关数据!$O$35:$U$40,3,0)+AE462</f>
        <v>0</v>
      </c>
      <c r="AP462" s="3">
        <f>VLOOKUP(INT(VLOOKUP(U462,模板计算相关数据!A:N,2,0)/30)+1,模板计算相关数据!$O$35:$U$40,4,0)+AF462</f>
        <v>5000</v>
      </c>
      <c r="AQ462" s="3">
        <f>VLOOKUP(INT(VLOOKUP(U462,模板计算相关数据!A:N,2,0)/30)+1,模板计算相关数据!$O$35:$U$40,5,0)+AG462</f>
        <v>0</v>
      </c>
      <c r="AR462" s="3">
        <f>VLOOKUP(INT(VLOOKUP(U462,模板计算相关数据!A:N,2,0)/30)+1,模板计算相关数据!$O$35:$U$40,6,0)+AH462</f>
        <v>0</v>
      </c>
      <c r="AS462" s="3">
        <f>VLOOKUP(INT(VLOOKUP(U462,模板计算相关数据!A:N,2,0)/30)+1,模板计算相关数据!$O$35:$U$40,7,0)+AI462</f>
        <v>2000</v>
      </c>
      <c r="AT462" s="3">
        <f>VLOOKUP(INT(VLOOKUP(U462,模板计算相关数据!A:N,2,0)/30)+1,模板计算相关数据!$O$35:$V$40,8,0)</f>
        <v>0</v>
      </c>
      <c r="AU462" s="2"/>
    </row>
    <row r="463" spans="1:47" x14ac:dyDescent="0.2">
      <c r="A463" s="3">
        <v>305012</v>
      </c>
      <c r="B463" s="3"/>
      <c r="C463" s="69" t="s">
        <v>1745</v>
      </c>
      <c r="D463" s="69" t="s">
        <v>1097</v>
      </c>
      <c r="E463" s="2"/>
      <c r="F463" s="3">
        <v>3</v>
      </c>
      <c r="G463" s="3">
        <v>1001701</v>
      </c>
      <c r="H463" s="3">
        <v>6</v>
      </c>
      <c r="I463" s="3">
        <v>4</v>
      </c>
      <c r="J463" s="3">
        <v>3</v>
      </c>
      <c r="K463" s="3">
        <v>1</v>
      </c>
      <c r="L463" s="69" t="s">
        <v>744</v>
      </c>
      <c r="M463" s="2"/>
      <c r="N463" s="2">
        <v>1</v>
      </c>
      <c r="O463" s="2"/>
      <c r="P463" s="3" t="s">
        <v>1615</v>
      </c>
      <c r="Q463" s="95">
        <v>14.5</v>
      </c>
      <c r="R463" s="133">
        <f>IF(P463=模板计算相关数据!$AB$24,VLOOKUP(X463,模板计算相关数据!$P$47:$T$50,2,0),VLOOKUP(X463,模板计算相关数据!$P$4:$U$7,3,0))*VLOOKUP(Y463,模板计算相关数据!$P$22:$X$30,8,0)</f>
        <v>20</v>
      </c>
      <c r="S463" s="62">
        <v>4</v>
      </c>
      <c r="T463" s="133">
        <f>IF(P463=模板计算相关数据!$AB$24,VLOOKUP(X463,模板计算相关数据!$P$47:$T$50,5,0),VLOOKUP(X463,模板计算相关数据!$P$4:$U$7,6,0))*VLOOKUP(Y463,模板计算相关数据!$P$22:$X$30,9,0)</f>
        <v>3.6363636363636367</v>
      </c>
      <c r="U463" s="98">
        <v>45</v>
      </c>
      <c r="V463" s="95">
        <f t="shared" si="56"/>
        <v>31</v>
      </c>
      <c r="W463" s="29">
        <f>VLOOKUP(U463,模板计算相关数据!A:N,2,0)</f>
        <v>28</v>
      </c>
      <c r="X463" s="3" t="s">
        <v>178</v>
      </c>
      <c r="Y463" s="3" t="s">
        <v>223</v>
      </c>
      <c r="Z463" s="99">
        <v>1</v>
      </c>
      <c r="AA463" s="95">
        <v>1</v>
      </c>
      <c r="AB463" s="95">
        <v>1</v>
      </c>
      <c r="AC463" s="95">
        <v>1</v>
      </c>
      <c r="AD463" s="95">
        <v>0</v>
      </c>
      <c r="AE463" s="95">
        <v>0</v>
      </c>
      <c r="AF463" s="95">
        <v>0</v>
      </c>
      <c r="AG463" s="95">
        <v>0</v>
      </c>
      <c r="AH463" s="95">
        <v>0</v>
      </c>
      <c r="AI463" s="95">
        <v>2000</v>
      </c>
      <c r="AJ463" s="3">
        <f>INT(VLOOKUP(U463,模板计算相关数据!A:N,4,0)*VLOOKUP(U463,模板计算相关数据!A:N,14,0)*(1+MAX(0,(VLOOKUP(U463,模板计算相关数据!A:N,7,0)-AQ463))*VLOOKUP(U463,模板计算相关数据!A:N,8,0))*(1-(AL463+AM463)*0.5/((AL463+AM463)*0.5+(VLOOKUP(U463,模板计算相关数据!A:N,2,0)+模板计算相关数据!$AC$27)*模板计算相关数据!$AC$28))*Q463*Z463)</f>
        <v>7454</v>
      </c>
      <c r="AK463" s="3">
        <f>INT(VLOOKUP(U463,模板计算相关数据!A:N,3,0)/模板计算相关数据!$W$35/(1+MAX(0,(AO463/10000-VLOOKUP(U463,模板计算相关数据!A:N,9,0)))*AP463/10000)/(1-VLOOKUP(U463,模板计算相关数据!A:N,5,0)/(VLOOKUP(U463,模板计算相关数据!A:N,5,0)+(VLOOKUP(U463,模板计算相关数据!A:N,2,0)+模板计算相关数据!$AC$27)*模板计算相关数据!$AC$28))/S463*AA463)</f>
        <v>1418</v>
      </c>
      <c r="AL463" s="3">
        <f>INT(VLOOKUP(U463,模板计算相关数据!A:N,5,0)*VLOOKUP(X463,模板计算相关数据!$P$4:$T$7,4,0)*VLOOKUP(Y463,模板计算相关数据!$P$22:$U$30,4,0)*AB463)</f>
        <v>2956</v>
      </c>
      <c r="AM463" s="3">
        <f>INT(VLOOKUP(U463,模板计算相关数据!A:N,6,0)*VLOOKUP(X463,模板计算相关数据!$P$4:$T$7,4,0)*VLOOKUP(Y463,模板计算相关数据!$P$22:$U$30,5,0)*AC463)</f>
        <v>2956</v>
      </c>
      <c r="AN463" s="3">
        <f>VLOOKUP(U463,模板计算相关数据!A:N,10,0)*0.5*VLOOKUP(Y463,模板计算相关数据!$P$22:$U$30,6,0)+AD463</f>
        <v>250</v>
      </c>
      <c r="AO463" s="3">
        <f>VLOOKUP(INT(VLOOKUP(U463,模板计算相关数据!A:N,2,0)/30)+1,模板计算相关数据!$O$35:$U$40,3,0)+AE463</f>
        <v>0</v>
      </c>
      <c r="AP463" s="3">
        <f>VLOOKUP(INT(VLOOKUP(U463,模板计算相关数据!A:N,2,0)/30)+1,模板计算相关数据!$O$35:$U$40,4,0)+AF463</f>
        <v>5000</v>
      </c>
      <c r="AQ463" s="3">
        <f>VLOOKUP(INT(VLOOKUP(U463,模板计算相关数据!A:N,2,0)/30)+1,模板计算相关数据!$O$35:$U$40,5,0)+AG463</f>
        <v>0</v>
      </c>
      <c r="AR463" s="3">
        <f>VLOOKUP(INT(VLOOKUP(U463,模板计算相关数据!A:N,2,0)/30)+1,模板计算相关数据!$O$35:$U$40,6,0)+AH463</f>
        <v>0</v>
      </c>
      <c r="AS463" s="3">
        <f>VLOOKUP(INT(VLOOKUP(U463,模板计算相关数据!A:N,2,0)/30)+1,模板计算相关数据!$O$35:$U$40,7,0)+AI463</f>
        <v>2000</v>
      </c>
      <c r="AT463" s="3">
        <f>VLOOKUP(INT(VLOOKUP(U463,模板计算相关数据!A:N,2,0)/30)+1,模板计算相关数据!$O$35:$V$40,8,0)</f>
        <v>0</v>
      </c>
      <c r="AU463" s="2"/>
    </row>
    <row r="464" spans="1:47" x14ac:dyDescent="0.2">
      <c r="A464" s="3">
        <v>305013</v>
      </c>
      <c r="B464" s="3"/>
      <c r="C464" s="69" t="s">
        <v>1745</v>
      </c>
      <c r="D464" s="69" t="s">
        <v>1093</v>
      </c>
      <c r="E464" s="2"/>
      <c r="F464" s="3">
        <v>3</v>
      </c>
      <c r="G464" s="3">
        <v>1001701</v>
      </c>
      <c r="H464" s="3">
        <v>6</v>
      </c>
      <c r="I464" s="3">
        <v>4</v>
      </c>
      <c r="J464" s="3">
        <v>3</v>
      </c>
      <c r="K464" s="3">
        <v>1</v>
      </c>
      <c r="L464" s="69" t="s">
        <v>745</v>
      </c>
      <c r="M464" s="2"/>
      <c r="N464" s="2">
        <v>1</v>
      </c>
      <c r="O464" s="2"/>
      <c r="P464" s="3" t="s">
        <v>1615</v>
      </c>
      <c r="Q464" s="95">
        <v>17</v>
      </c>
      <c r="R464" s="133">
        <f>IF(P464=模板计算相关数据!$AB$24,VLOOKUP(X464,模板计算相关数据!$P$47:$T$50,2,0),VLOOKUP(X464,模板计算相关数据!$P$4:$U$7,3,0))*VLOOKUP(Y464,模板计算相关数据!$P$22:$X$30,8,0)</f>
        <v>20</v>
      </c>
      <c r="S464" s="62">
        <v>3.9</v>
      </c>
      <c r="T464" s="133">
        <f>IF(P464=模板计算相关数据!$AB$24,VLOOKUP(X464,模板计算相关数据!$P$47:$T$50,5,0),VLOOKUP(X464,模板计算相关数据!$P$4:$U$7,6,0))*VLOOKUP(Y464,模板计算相关数据!$P$22:$X$30,9,0)</f>
        <v>3.6363636363636367</v>
      </c>
      <c r="U464" s="98">
        <v>46</v>
      </c>
      <c r="V464" s="95">
        <f t="shared" si="56"/>
        <v>43</v>
      </c>
      <c r="W464" s="29">
        <f>VLOOKUP(U464,模板计算相关数据!A:N,2,0)</f>
        <v>40</v>
      </c>
      <c r="X464" s="3" t="s">
        <v>178</v>
      </c>
      <c r="Y464" s="3" t="s">
        <v>223</v>
      </c>
      <c r="Z464" s="99">
        <v>1</v>
      </c>
      <c r="AA464" s="95">
        <v>1</v>
      </c>
      <c r="AB464" s="95">
        <v>1</v>
      </c>
      <c r="AC464" s="95">
        <v>1</v>
      </c>
      <c r="AD464" s="95">
        <v>0</v>
      </c>
      <c r="AE464" s="95">
        <v>0</v>
      </c>
      <c r="AF464" s="95">
        <v>0</v>
      </c>
      <c r="AG464" s="95">
        <v>0</v>
      </c>
      <c r="AH464" s="95">
        <v>0</v>
      </c>
      <c r="AI464" s="95">
        <v>3000</v>
      </c>
      <c r="AJ464" s="4">
        <f>INT(VLOOKUP(U464,模板计算相关数据!A:N,4,0)*VLOOKUP(U464,模板计算相关数据!A:N,14,0)*(1+MAX(0,(VLOOKUP(U464,模板计算相关数据!A:N,7,0)-AQ464))*VLOOKUP(U464,模板计算相关数据!A:N,8,0))*(1-(AL464+AM464)*0.5/((AL464+AM464)*0.5+(VLOOKUP(U464,模板计算相关数据!A:N,2,0)+模板计算相关数据!$AC$27)*模板计算相关数据!$AC$28))*Q464*Z464)</f>
        <v>13404</v>
      </c>
      <c r="AK464" s="3">
        <f>INT(VLOOKUP(U464,模板计算相关数据!A:N,3,0)/模板计算相关数据!$W$35/(1+MAX(0,(AO464/10000-VLOOKUP(U464,模板计算相关数据!A:N,9,0)))*AP464/10000)/(1-VLOOKUP(U464,模板计算相关数据!A:N,5,0)/(VLOOKUP(U464,模板计算相关数据!A:N,5,0)+(VLOOKUP(U464,模板计算相关数据!A:N,2,0)+模板计算相关数据!$AC$27)*模板计算相关数据!$AC$28))/S464*AA464)</f>
        <v>2536</v>
      </c>
      <c r="AL464" s="3">
        <f>INT(VLOOKUP(U464,模板计算相关数据!A:N,5,0)*VLOOKUP(X464,模板计算相关数据!$P$4:$T$7,4,0)*VLOOKUP(Y464,模板计算相关数据!$P$22:$U$30,4,0)*AB464)</f>
        <v>4839</v>
      </c>
      <c r="AM464" s="3">
        <f>INT(VLOOKUP(U464,模板计算相关数据!A:N,6,0)*VLOOKUP(X464,模板计算相关数据!$P$4:$T$7,4,0)*VLOOKUP(Y464,模板计算相关数据!$P$22:$U$30,5,0)*AC464)</f>
        <v>4839</v>
      </c>
      <c r="AN464" s="3">
        <f>VLOOKUP(U464,模板计算相关数据!A:N,10,0)*0.5*VLOOKUP(Y464,模板计算相关数据!$P$22:$U$30,6,0)+AD464</f>
        <v>250</v>
      </c>
      <c r="AO464" s="3">
        <f>VLOOKUP(INT(VLOOKUP(U464,模板计算相关数据!A:N,2,0)/30)+1,模板计算相关数据!$O$35:$U$40,3,0)+AE464</f>
        <v>0</v>
      </c>
      <c r="AP464" s="3">
        <f>VLOOKUP(INT(VLOOKUP(U464,模板计算相关数据!A:N,2,0)/30)+1,模板计算相关数据!$O$35:$U$40,4,0)+AF464</f>
        <v>5000</v>
      </c>
      <c r="AQ464" s="3">
        <f>VLOOKUP(INT(VLOOKUP(U464,模板计算相关数据!A:N,2,0)/30)+1,模板计算相关数据!$O$35:$U$40,5,0)+AG464</f>
        <v>0</v>
      </c>
      <c r="AR464" s="3">
        <f>VLOOKUP(INT(VLOOKUP(U464,模板计算相关数据!A:N,2,0)/30)+1,模板计算相关数据!$O$35:$U$40,6,0)+AH464</f>
        <v>0</v>
      </c>
      <c r="AS464" s="3">
        <f>VLOOKUP(INT(VLOOKUP(U464,模板计算相关数据!A:N,2,0)/30)+1,模板计算相关数据!$O$35:$U$40,7,0)+AI464</f>
        <v>3000</v>
      </c>
      <c r="AT464" s="3">
        <f>VLOOKUP(INT(VLOOKUP(U464,模板计算相关数据!A:N,2,0)/30)+1,模板计算相关数据!$O$35:$V$40,8,0)</f>
        <v>0</v>
      </c>
      <c r="AU464" s="2"/>
    </row>
    <row r="465" spans="1:47" x14ac:dyDescent="0.2">
      <c r="A465" s="3">
        <v>305014</v>
      </c>
      <c r="B465" s="3"/>
      <c r="C465" s="69" t="s">
        <v>1745</v>
      </c>
      <c r="D465" s="69" t="s">
        <v>1094</v>
      </c>
      <c r="E465" s="2"/>
      <c r="F465" s="3">
        <v>3</v>
      </c>
      <c r="G465" s="3">
        <v>1001701</v>
      </c>
      <c r="H465" s="3">
        <v>6</v>
      </c>
      <c r="I465" s="3">
        <v>4</v>
      </c>
      <c r="J465" s="3">
        <v>3</v>
      </c>
      <c r="K465" s="3">
        <v>1</v>
      </c>
      <c r="L465" s="69" t="s">
        <v>746</v>
      </c>
      <c r="M465" s="2"/>
      <c r="N465" s="2">
        <v>1</v>
      </c>
      <c r="O465" s="2"/>
      <c r="P465" s="3" t="s">
        <v>1615</v>
      </c>
      <c r="Q465" s="95">
        <v>19.5</v>
      </c>
      <c r="R465" s="133">
        <f>IF(P465=模板计算相关数据!$AB$24,VLOOKUP(X465,模板计算相关数据!$P$47:$T$50,2,0),VLOOKUP(X465,模板计算相关数据!$P$4:$U$7,3,0))*VLOOKUP(Y465,模板计算相关数据!$P$22:$X$30,8,0)</f>
        <v>20</v>
      </c>
      <c r="S465" s="62">
        <v>3.8000000000000003</v>
      </c>
      <c r="T465" s="133">
        <f>IF(P465=模板计算相关数据!$AB$24,VLOOKUP(X465,模板计算相关数据!$P$47:$T$50,5,0),VLOOKUP(X465,模板计算相关数据!$P$4:$U$7,6,0))*VLOOKUP(Y465,模板计算相关数据!$P$22:$X$30,9,0)</f>
        <v>3.6363636363636367</v>
      </c>
      <c r="U465" s="98">
        <v>46</v>
      </c>
      <c r="V465" s="95">
        <f t="shared" si="56"/>
        <v>43</v>
      </c>
      <c r="W465" s="29">
        <f>VLOOKUP(U465,模板计算相关数据!A:N,2,0)</f>
        <v>40</v>
      </c>
      <c r="X465" s="3" t="s">
        <v>178</v>
      </c>
      <c r="Y465" s="3" t="s">
        <v>223</v>
      </c>
      <c r="Z465" s="99">
        <v>1</v>
      </c>
      <c r="AA465" s="95">
        <v>1</v>
      </c>
      <c r="AB465" s="95">
        <v>1</v>
      </c>
      <c r="AC465" s="95">
        <v>1</v>
      </c>
      <c r="AD465" s="95">
        <v>0</v>
      </c>
      <c r="AE465" s="95">
        <v>0</v>
      </c>
      <c r="AF465" s="95">
        <v>0</v>
      </c>
      <c r="AG465" s="95">
        <v>0</v>
      </c>
      <c r="AH465" s="95">
        <v>0</v>
      </c>
      <c r="AI465" s="95">
        <v>3000</v>
      </c>
      <c r="AJ465" s="3">
        <f>INT(VLOOKUP(U465,模板计算相关数据!A:N,4,0)*VLOOKUP(U465,模板计算相关数据!A:N,14,0)*(1+MAX(0,(VLOOKUP(U465,模板计算相关数据!A:N,7,0)-AQ465))*VLOOKUP(U465,模板计算相关数据!A:N,8,0))*(1-(AL465+AM465)*0.5/((AL465+AM465)*0.5+(VLOOKUP(U465,模板计算相关数据!A:N,2,0)+模板计算相关数据!$AC$27)*模板计算相关数据!$AC$28))*Q465*Z465)</f>
        <v>15375</v>
      </c>
      <c r="AK465" s="3">
        <f>INT(VLOOKUP(U465,模板计算相关数据!A:N,3,0)/模板计算相关数据!$W$35/(1+MAX(0,(AO465/10000-VLOOKUP(U465,模板计算相关数据!A:N,9,0)))*AP465/10000)/(1-VLOOKUP(U465,模板计算相关数据!A:N,5,0)/(VLOOKUP(U465,模板计算相关数据!A:N,5,0)+(VLOOKUP(U465,模板计算相关数据!A:N,2,0)+模板计算相关数据!$AC$27)*模板计算相关数据!$AC$28))/S465*AA465)</f>
        <v>2603</v>
      </c>
      <c r="AL465" s="3">
        <f>INT(VLOOKUP(U465,模板计算相关数据!A:N,5,0)*VLOOKUP(X465,模板计算相关数据!$P$4:$T$7,4,0)*VLOOKUP(Y465,模板计算相关数据!$P$22:$U$30,4,0)*AB465)</f>
        <v>4839</v>
      </c>
      <c r="AM465" s="3">
        <f>INT(VLOOKUP(U465,模板计算相关数据!A:N,6,0)*VLOOKUP(X465,模板计算相关数据!$P$4:$T$7,4,0)*VLOOKUP(Y465,模板计算相关数据!$P$22:$U$30,5,0)*AC465)</f>
        <v>4839</v>
      </c>
      <c r="AN465" s="3">
        <f>VLOOKUP(U465,模板计算相关数据!A:N,10,0)*0.5*VLOOKUP(Y465,模板计算相关数据!$P$22:$U$30,6,0)+AD465</f>
        <v>250</v>
      </c>
      <c r="AO465" s="3">
        <f>VLOOKUP(INT(VLOOKUP(U465,模板计算相关数据!A:N,2,0)/30)+1,模板计算相关数据!$O$35:$U$40,3,0)+AE465</f>
        <v>0</v>
      </c>
      <c r="AP465" s="3">
        <f>VLOOKUP(INT(VLOOKUP(U465,模板计算相关数据!A:N,2,0)/30)+1,模板计算相关数据!$O$35:$U$40,4,0)+AF465</f>
        <v>5000</v>
      </c>
      <c r="AQ465" s="3">
        <f>VLOOKUP(INT(VLOOKUP(U465,模板计算相关数据!A:N,2,0)/30)+1,模板计算相关数据!$O$35:$U$40,5,0)+AG465</f>
        <v>0</v>
      </c>
      <c r="AR465" s="3">
        <f>VLOOKUP(INT(VLOOKUP(U465,模板计算相关数据!A:N,2,0)/30)+1,模板计算相关数据!$O$35:$U$40,6,0)+AH465</f>
        <v>0</v>
      </c>
      <c r="AS465" s="3">
        <f>VLOOKUP(INT(VLOOKUP(U465,模板计算相关数据!A:N,2,0)/30)+1,模板计算相关数据!$O$35:$U$40,7,0)+AI465</f>
        <v>3000</v>
      </c>
      <c r="AT465" s="3">
        <f>VLOOKUP(INT(VLOOKUP(U465,模板计算相关数据!A:N,2,0)/30)+1,模板计算相关数据!$O$35:$V$40,8,0)</f>
        <v>0</v>
      </c>
      <c r="AU465" s="2"/>
    </row>
    <row r="466" spans="1:47" x14ac:dyDescent="0.2">
      <c r="A466" s="3">
        <v>305015</v>
      </c>
      <c r="B466" s="3"/>
      <c r="C466" s="69" t="s">
        <v>1745</v>
      </c>
      <c r="D466" s="69" t="s">
        <v>1095</v>
      </c>
      <c r="E466" s="2"/>
      <c r="F466" s="3">
        <v>3</v>
      </c>
      <c r="G466" s="3">
        <v>1001701</v>
      </c>
      <c r="H466" s="3">
        <v>6</v>
      </c>
      <c r="I466" s="3">
        <v>4</v>
      </c>
      <c r="J466" s="3">
        <v>3</v>
      </c>
      <c r="K466" s="3">
        <v>1</v>
      </c>
      <c r="L466" s="69" t="s">
        <v>747</v>
      </c>
      <c r="M466" s="2"/>
      <c r="N466" s="2">
        <v>1</v>
      </c>
      <c r="O466" s="2"/>
      <c r="P466" s="3" t="s">
        <v>1615</v>
      </c>
      <c r="Q466" s="95">
        <v>22</v>
      </c>
      <c r="R466" s="133">
        <f>IF(P466=模板计算相关数据!$AB$24,VLOOKUP(X466,模板计算相关数据!$P$47:$T$50,2,0),VLOOKUP(X466,模板计算相关数据!$P$4:$U$7,3,0))*VLOOKUP(Y466,模板计算相关数据!$P$22:$X$30,8,0)</f>
        <v>20</v>
      </c>
      <c r="S466" s="62">
        <v>3.7</v>
      </c>
      <c r="T466" s="133">
        <f>IF(P466=模板计算相关数据!$AB$24,VLOOKUP(X466,模板计算相关数据!$P$47:$T$50,5,0),VLOOKUP(X466,模板计算相关数据!$P$4:$U$7,6,0))*VLOOKUP(Y466,模板计算相关数据!$P$22:$X$30,9,0)</f>
        <v>3.6363636363636367</v>
      </c>
      <c r="U466" s="98">
        <v>46</v>
      </c>
      <c r="V466" s="95">
        <f t="shared" si="56"/>
        <v>43</v>
      </c>
      <c r="W466" s="29">
        <f>VLOOKUP(U466,模板计算相关数据!A:N,2,0)</f>
        <v>40</v>
      </c>
      <c r="X466" s="3" t="s">
        <v>178</v>
      </c>
      <c r="Y466" s="3" t="s">
        <v>223</v>
      </c>
      <c r="Z466" s="99">
        <v>1</v>
      </c>
      <c r="AA466" s="95">
        <v>1</v>
      </c>
      <c r="AB466" s="95">
        <v>1</v>
      </c>
      <c r="AC466" s="95">
        <v>1</v>
      </c>
      <c r="AD466" s="95">
        <v>0</v>
      </c>
      <c r="AE466" s="95">
        <v>0</v>
      </c>
      <c r="AF466" s="95">
        <v>0</v>
      </c>
      <c r="AG466" s="95">
        <v>0</v>
      </c>
      <c r="AH466" s="95">
        <v>0</v>
      </c>
      <c r="AI466" s="95">
        <v>3000</v>
      </c>
      <c r="AJ466" s="3">
        <f>INT(VLOOKUP(U466,模板计算相关数据!A:N,4,0)*VLOOKUP(U466,模板计算相关数据!A:N,14,0)*(1+MAX(0,(VLOOKUP(U466,模板计算相关数据!A:N,7,0)-AQ466))*VLOOKUP(U466,模板计算相关数据!A:N,8,0))*(1-(AL466+AM466)*0.5/((AL466+AM466)*0.5+(VLOOKUP(U466,模板计算相关数据!A:N,2,0)+模板计算相关数据!$AC$27)*模板计算相关数据!$AC$28))*Q466*Z466)</f>
        <v>17346</v>
      </c>
      <c r="AK466" s="3">
        <f>INT(VLOOKUP(U466,模板计算相关数据!A:N,3,0)/模板计算相关数据!$W$35/(1+MAX(0,(AO466/10000-VLOOKUP(U466,模板计算相关数据!A:N,9,0)))*AP466/10000)/(1-VLOOKUP(U466,模板计算相关数据!A:N,5,0)/(VLOOKUP(U466,模板计算相关数据!A:N,5,0)+(VLOOKUP(U466,模板计算相关数据!A:N,2,0)+模板计算相关数据!$AC$27)*模板计算相关数据!$AC$28))/S466*AA466)</f>
        <v>2673</v>
      </c>
      <c r="AL466" s="3">
        <f>INT(VLOOKUP(U466,模板计算相关数据!A:N,5,0)*VLOOKUP(X466,模板计算相关数据!$P$4:$T$7,4,0)*VLOOKUP(Y466,模板计算相关数据!$P$22:$U$30,4,0)*AB466)</f>
        <v>4839</v>
      </c>
      <c r="AM466" s="3">
        <f>INT(VLOOKUP(U466,模板计算相关数据!A:N,6,0)*VLOOKUP(X466,模板计算相关数据!$P$4:$T$7,4,0)*VLOOKUP(Y466,模板计算相关数据!$P$22:$U$30,5,0)*AC466)</f>
        <v>4839</v>
      </c>
      <c r="AN466" s="3">
        <f>VLOOKUP(U466,模板计算相关数据!A:N,10,0)*0.5*VLOOKUP(Y466,模板计算相关数据!$P$22:$U$30,6,0)+AD466</f>
        <v>250</v>
      </c>
      <c r="AO466" s="3">
        <f>VLOOKUP(INT(VLOOKUP(U466,模板计算相关数据!A:N,2,0)/30)+1,模板计算相关数据!$O$35:$U$40,3,0)+AE466</f>
        <v>0</v>
      </c>
      <c r="AP466" s="3">
        <f>VLOOKUP(INT(VLOOKUP(U466,模板计算相关数据!A:N,2,0)/30)+1,模板计算相关数据!$O$35:$U$40,4,0)+AF466</f>
        <v>5000</v>
      </c>
      <c r="AQ466" s="3">
        <f>VLOOKUP(INT(VLOOKUP(U466,模板计算相关数据!A:N,2,0)/30)+1,模板计算相关数据!$O$35:$U$40,5,0)+AG466</f>
        <v>0</v>
      </c>
      <c r="AR466" s="3">
        <f>VLOOKUP(INT(VLOOKUP(U466,模板计算相关数据!A:N,2,0)/30)+1,模板计算相关数据!$O$35:$U$40,6,0)+AH466</f>
        <v>0</v>
      </c>
      <c r="AS466" s="3">
        <f>VLOOKUP(INT(VLOOKUP(U466,模板计算相关数据!A:N,2,0)/30)+1,模板计算相关数据!$O$35:$U$40,7,0)+AI466</f>
        <v>3000</v>
      </c>
      <c r="AT466" s="3">
        <f>VLOOKUP(INT(VLOOKUP(U466,模板计算相关数据!A:N,2,0)/30)+1,模板计算相关数据!$O$35:$V$40,8,0)</f>
        <v>0</v>
      </c>
      <c r="AU466" s="2"/>
    </row>
    <row r="467" spans="1:47" x14ac:dyDescent="0.2">
      <c r="A467" s="3">
        <v>305016</v>
      </c>
      <c r="B467" s="3"/>
      <c r="C467" s="69" t="s">
        <v>1738</v>
      </c>
      <c r="D467" s="69" t="s">
        <v>1093</v>
      </c>
      <c r="E467" s="2"/>
      <c r="F467" s="3">
        <v>2</v>
      </c>
      <c r="G467" s="3">
        <v>1003201</v>
      </c>
      <c r="H467" s="3">
        <v>5</v>
      </c>
      <c r="I467" s="3">
        <v>4</v>
      </c>
      <c r="J467" s="3">
        <v>3</v>
      </c>
      <c r="K467" s="3"/>
      <c r="L467" s="69" t="s">
        <v>748</v>
      </c>
      <c r="M467" s="2"/>
      <c r="N467" s="2">
        <v>1</v>
      </c>
      <c r="O467" s="2"/>
      <c r="P467" s="3" t="s">
        <v>1615</v>
      </c>
      <c r="Q467" s="95">
        <v>6.6411764705882366</v>
      </c>
      <c r="R467" s="133">
        <f>IF(P467=模板计算相关数据!$AB$24,VLOOKUP(X467,模板计算相关数据!$P$47:$T$50,2,0),VLOOKUP(X467,模板计算相关数据!$P$4:$U$7,3,0))*VLOOKUP(Y467,模板计算相关数据!$P$22:$X$30,8,0)</f>
        <v>6.9411764705882364</v>
      </c>
      <c r="S467" s="62">
        <v>8.3943498888557109</v>
      </c>
      <c r="T467" s="133">
        <f>IF(P467=模板计算相关数据!$AB$24,VLOOKUP(X467,模板计算相关数据!$P$47:$T$50,5,0),VLOOKUP(X467,模板计算相关数据!$P$4:$U$7,6,0))*VLOOKUP(Y467,模板计算相关数据!$P$22:$X$30,9,0)</f>
        <v>8.2943498888557112</v>
      </c>
      <c r="U467" s="98">
        <v>46</v>
      </c>
      <c r="V467" s="95">
        <f t="shared" si="56"/>
        <v>43</v>
      </c>
      <c r="W467" s="29">
        <f>VLOOKUP(U467,模板计算相关数据!A:N,2,0)</f>
        <v>40</v>
      </c>
      <c r="X467" s="3" t="s">
        <v>151</v>
      </c>
      <c r="Y467" s="3" t="s">
        <v>155</v>
      </c>
      <c r="Z467" s="99">
        <v>1</v>
      </c>
      <c r="AA467" s="95">
        <v>1</v>
      </c>
      <c r="AB467" s="95">
        <v>1</v>
      </c>
      <c r="AC467" s="95">
        <v>1</v>
      </c>
      <c r="AD467" s="95">
        <v>0</v>
      </c>
      <c r="AE467" s="95">
        <v>0</v>
      </c>
      <c r="AF467" s="95">
        <v>0</v>
      </c>
      <c r="AG467" s="95">
        <v>0</v>
      </c>
      <c r="AH467" s="95">
        <v>0</v>
      </c>
      <c r="AI467" s="95">
        <v>0</v>
      </c>
      <c r="AJ467" s="3">
        <f>INT(VLOOKUP(U467,模板计算相关数据!A:N,4,0)*VLOOKUP(U467,模板计算相关数据!A:N,14,0)*(1+MAX(0,(VLOOKUP(U467,模板计算相关数据!A:N,7,0)-AQ467))*VLOOKUP(U467,模板计算相关数据!A:N,8,0))*(1-(AL467+AM467)*0.5/((AL467+AM467)*0.5+(VLOOKUP(U467,模板计算相关数据!A:N,2,0)+模板计算相关数据!$AC$27)*模板计算相关数据!$AC$28))*Q467*Z467)</f>
        <v>6342</v>
      </c>
      <c r="AK467" s="3">
        <f>INT(VLOOKUP(U467,模板计算相关数据!A:N,3,0)/模板计算相关数据!$W$35/(1+MAX(0,(AO467/10000-VLOOKUP(U467,模板计算相关数据!A:N,9,0)))*AP467/10000)/(1-VLOOKUP(U467,模板计算相关数据!A:N,5,0)/(VLOOKUP(U467,模板计算相关数据!A:N,5,0)+(VLOOKUP(U467,模板计算相关数据!A:N,2,0)+模板计算相关数据!$AC$27)*模板计算相关数据!$AC$28))/S467*AA467)</f>
        <v>1178</v>
      </c>
      <c r="AL467" s="3">
        <f>INT(VLOOKUP(U467,模板计算相关数据!A:N,5,0)*VLOOKUP(X467,模板计算相关数据!$P$4:$T$7,4,0)*VLOOKUP(Y467,模板计算相关数据!$P$22:$U$30,4,0)*AB467)</f>
        <v>4194</v>
      </c>
      <c r="AM467" s="3">
        <f>INT(VLOOKUP(U467,模板计算相关数据!A:N,6,0)*VLOOKUP(X467,模板计算相关数据!$P$4:$T$7,4,0)*VLOOKUP(Y467,模板计算相关数据!$P$22:$U$30,5,0)*AC467)</f>
        <v>2323</v>
      </c>
      <c r="AN467" s="3">
        <f>VLOOKUP(U467,模板计算相关数据!A:N,10,0)*0.5*VLOOKUP(Y467,模板计算相关数据!$P$22:$U$30,6,0)+AD467</f>
        <v>225</v>
      </c>
      <c r="AO467" s="3">
        <f>VLOOKUP(INT(VLOOKUP(U467,模板计算相关数据!A:N,2,0)/30)+1,模板计算相关数据!$O$35:$U$40,3,0)+AE467</f>
        <v>0</v>
      </c>
      <c r="AP467" s="3">
        <f>VLOOKUP(INT(VLOOKUP(U467,模板计算相关数据!A:N,2,0)/30)+1,模板计算相关数据!$O$35:$U$40,4,0)+AF467</f>
        <v>5000</v>
      </c>
      <c r="AQ467" s="3">
        <f>VLOOKUP(INT(VLOOKUP(U467,模板计算相关数据!A:N,2,0)/30)+1,模板计算相关数据!$O$35:$U$40,5,0)+AG467</f>
        <v>0</v>
      </c>
      <c r="AR467" s="3">
        <f>VLOOKUP(INT(VLOOKUP(U467,模板计算相关数据!A:N,2,0)/30)+1,模板计算相关数据!$O$35:$U$40,6,0)+AH467</f>
        <v>0</v>
      </c>
      <c r="AS467" s="3">
        <f>VLOOKUP(INT(VLOOKUP(U467,模板计算相关数据!A:N,2,0)/30)+1,模板计算相关数据!$O$35:$U$40,7,0)+AI467</f>
        <v>0</v>
      </c>
      <c r="AT467" s="3">
        <f>VLOOKUP(INT(VLOOKUP(U467,模板计算相关数据!A:N,2,0)/30)+1,模板计算相关数据!$O$35:$V$40,8,0)</f>
        <v>0</v>
      </c>
      <c r="AU467" s="2"/>
    </row>
    <row r="468" spans="1:47" x14ac:dyDescent="0.2">
      <c r="A468" s="3">
        <v>305017</v>
      </c>
      <c r="B468" s="3"/>
      <c r="C468" s="69" t="s">
        <v>1738</v>
      </c>
      <c r="D468" s="69" t="s">
        <v>1094</v>
      </c>
      <c r="E468" s="2"/>
      <c r="F468" s="3">
        <v>2</v>
      </c>
      <c r="G468" s="3">
        <v>1003201</v>
      </c>
      <c r="H468" s="3">
        <v>5</v>
      </c>
      <c r="I468" s="3">
        <v>4</v>
      </c>
      <c r="J468" s="3">
        <v>3</v>
      </c>
      <c r="K468" s="3"/>
      <c r="L468" s="69" t="s">
        <v>749</v>
      </c>
      <c r="M468" s="2"/>
      <c r="N468" s="2">
        <v>1</v>
      </c>
      <c r="O468" s="2"/>
      <c r="P468" s="3" t="s">
        <v>1615</v>
      </c>
      <c r="Q468" s="95">
        <v>6.9</v>
      </c>
      <c r="R468" s="133">
        <f>IF(P468=模板计算相关数据!$AB$24,VLOOKUP(X468,模板计算相关数据!$P$47:$T$50,2,0),VLOOKUP(X468,模板计算相关数据!$P$4:$U$7,3,0))*VLOOKUP(Y468,模板计算相关数据!$P$22:$X$30,8,0)</f>
        <v>6.9411764705882364</v>
      </c>
      <c r="S468" s="62">
        <v>8.3943498888557109</v>
      </c>
      <c r="T468" s="133">
        <f>IF(P468=模板计算相关数据!$AB$24,VLOOKUP(X468,模板计算相关数据!$P$47:$T$50,5,0),VLOOKUP(X468,模板计算相关数据!$P$4:$U$7,6,0))*VLOOKUP(Y468,模板计算相关数据!$P$22:$X$30,9,0)</f>
        <v>8.2943498888557112</v>
      </c>
      <c r="U468" s="98">
        <v>46</v>
      </c>
      <c r="V468" s="95">
        <f t="shared" si="56"/>
        <v>43</v>
      </c>
      <c r="W468" s="29">
        <f>VLOOKUP(U468,模板计算相关数据!A:N,2,0)</f>
        <v>40</v>
      </c>
      <c r="X468" s="3" t="s">
        <v>151</v>
      </c>
      <c r="Y468" s="3" t="s">
        <v>155</v>
      </c>
      <c r="Z468" s="99">
        <v>1</v>
      </c>
      <c r="AA468" s="95">
        <v>1</v>
      </c>
      <c r="AB468" s="95">
        <v>1</v>
      </c>
      <c r="AC468" s="95">
        <v>1</v>
      </c>
      <c r="AD468" s="95">
        <v>0</v>
      </c>
      <c r="AE468" s="95">
        <v>0</v>
      </c>
      <c r="AF468" s="95">
        <v>0</v>
      </c>
      <c r="AG468" s="95">
        <v>0</v>
      </c>
      <c r="AH468" s="95">
        <v>0</v>
      </c>
      <c r="AI468" s="95">
        <v>0</v>
      </c>
      <c r="AJ468" s="3">
        <f>INT(VLOOKUP(U468,模板计算相关数据!A:N,4,0)*VLOOKUP(U468,模板计算相关数据!A:N,14,0)*(1+MAX(0,(VLOOKUP(U468,模板计算相关数据!A:N,7,0)-AQ468))*VLOOKUP(U468,模板计算相关数据!A:N,8,0))*(1-(AL468+AM468)*0.5/((AL468+AM468)*0.5+(VLOOKUP(U468,模板计算相关数据!A:N,2,0)+模板计算相关数据!$AC$27)*模板计算相关数据!$AC$28))*Q468*Z468)</f>
        <v>6589</v>
      </c>
      <c r="AK468" s="3">
        <f>INT(VLOOKUP(U468,模板计算相关数据!A:N,3,0)/模板计算相关数据!$W$35/(1+MAX(0,(AO468/10000-VLOOKUP(U468,模板计算相关数据!A:N,9,0)))*AP468/10000)/(1-VLOOKUP(U468,模板计算相关数据!A:N,5,0)/(VLOOKUP(U468,模板计算相关数据!A:N,5,0)+(VLOOKUP(U468,模板计算相关数据!A:N,2,0)+模板计算相关数据!$AC$27)*模板计算相关数据!$AC$28))/S468*AA468)</f>
        <v>1178</v>
      </c>
      <c r="AL468" s="3">
        <f>INT(VLOOKUP(U468,模板计算相关数据!A:N,5,0)*VLOOKUP(X468,模板计算相关数据!$P$4:$T$7,4,0)*VLOOKUP(Y468,模板计算相关数据!$P$22:$U$30,4,0)*AB468)</f>
        <v>4194</v>
      </c>
      <c r="AM468" s="3">
        <f>INT(VLOOKUP(U468,模板计算相关数据!A:N,6,0)*VLOOKUP(X468,模板计算相关数据!$P$4:$T$7,4,0)*VLOOKUP(Y468,模板计算相关数据!$P$22:$U$30,5,0)*AC468)</f>
        <v>2323</v>
      </c>
      <c r="AN468" s="3">
        <f>VLOOKUP(U468,模板计算相关数据!A:N,10,0)*0.5*VLOOKUP(Y468,模板计算相关数据!$P$22:$U$30,6,0)+AD468</f>
        <v>225</v>
      </c>
      <c r="AO468" s="3">
        <f>VLOOKUP(INT(VLOOKUP(U468,模板计算相关数据!A:N,2,0)/30)+1,模板计算相关数据!$O$35:$U$40,3,0)+AE468</f>
        <v>0</v>
      </c>
      <c r="AP468" s="3">
        <f>VLOOKUP(INT(VLOOKUP(U468,模板计算相关数据!A:N,2,0)/30)+1,模板计算相关数据!$O$35:$U$40,4,0)+AF468</f>
        <v>5000</v>
      </c>
      <c r="AQ468" s="3">
        <f>VLOOKUP(INT(VLOOKUP(U468,模板计算相关数据!A:N,2,0)/30)+1,模板计算相关数据!$O$35:$U$40,5,0)+AG468</f>
        <v>0</v>
      </c>
      <c r="AR468" s="3">
        <f>VLOOKUP(INT(VLOOKUP(U468,模板计算相关数据!A:N,2,0)/30)+1,模板计算相关数据!$O$35:$U$40,6,0)+AH468</f>
        <v>0</v>
      </c>
      <c r="AS468" s="3">
        <f>VLOOKUP(INT(VLOOKUP(U468,模板计算相关数据!A:N,2,0)/30)+1,模板计算相关数据!$O$35:$U$40,7,0)+AI468</f>
        <v>0</v>
      </c>
      <c r="AT468" s="3">
        <f>VLOOKUP(INT(VLOOKUP(U468,模板计算相关数据!A:N,2,0)/30)+1,模板计算相关数据!$O$35:$V$40,8,0)</f>
        <v>0</v>
      </c>
      <c r="AU468" s="2"/>
    </row>
    <row r="469" spans="1:47" x14ac:dyDescent="0.2">
      <c r="A469" s="3">
        <v>305018</v>
      </c>
      <c r="B469" s="3"/>
      <c r="C469" s="69" t="s">
        <v>1738</v>
      </c>
      <c r="D469" s="69" t="s">
        <v>1095</v>
      </c>
      <c r="E469" s="2"/>
      <c r="F469" s="3">
        <v>2</v>
      </c>
      <c r="G469" s="3">
        <v>1003201</v>
      </c>
      <c r="H469" s="3">
        <v>5</v>
      </c>
      <c r="I469" s="3">
        <v>4</v>
      </c>
      <c r="J469" s="3">
        <v>3</v>
      </c>
      <c r="K469" s="3"/>
      <c r="L469" s="69" t="s">
        <v>750</v>
      </c>
      <c r="M469" s="2"/>
      <c r="N469" s="2">
        <v>1</v>
      </c>
      <c r="O469" s="2"/>
      <c r="P469" s="3" t="s">
        <v>1615</v>
      </c>
      <c r="Q469" s="95">
        <v>7.2</v>
      </c>
      <c r="R469" s="133">
        <f>IF(P469=模板计算相关数据!$AB$24,VLOOKUP(X469,模板计算相关数据!$P$47:$T$50,2,0),VLOOKUP(X469,模板计算相关数据!$P$4:$U$7,3,0))*VLOOKUP(Y469,模板计算相关数据!$P$22:$X$30,8,0)</f>
        <v>6.9411764705882364</v>
      </c>
      <c r="S469" s="62">
        <v>8.3943498888557109</v>
      </c>
      <c r="T469" s="133">
        <f>IF(P469=模板计算相关数据!$AB$24,VLOOKUP(X469,模板计算相关数据!$P$47:$T$50,5,0),VLOOKUP(X469,模板计算相关数据!$P$4:$U$7,6,0))*VLOOKUP(Y469,模板计算相关数据!$P$22:$X$30,9,0)</f>
        <v>8.2943498888557112</v>
      </c>
      <c r="U469" s="98">
        <v>46</v>
      </c>
      <c r="V469" s="95">
        <f t="shared" si="56"/>
        <v>43</v>
      </c>
      <c r="W469" s="29">
        <f>VLOOKUP(U469,模板计算相关数据!A:N,2,0)</f>
        <v>40</v>
      </c>
      <c r="X469" s="3" t="s">
        <v>151</v>
      </c>
      <c r="Y469" s="3" t="s">
        <v>155</v>
      </c>
      <c r="Z469" s="99">
        <v>1</v>
      </c>
      <c r="AA469" s="95">
        <v>1</v>
      </c>
      <c r="AB469" s="95">
        <v>1</v>
      </c>
      <c r="AC469" s="95">
        <v>1</v>
      </c>
      <c r="AD469" s="95">
        <v>0</v>
      </c>
      <c r="AE469" s="95">
        <v>0</v>
      </c>
      <c r="AF469" s="95">
        <v>0</v>
      </c>
      <c r="AG469" s="95">
        <v>0</v>
      </c>
      <c r="AH469" s="95">
        <v>0</v>
      </c>
      <c r="AI469" s="95">
        <v>0</v>
      </c>
      <c r="AJ469" s="3">
        <f>INT(VLOOKUP(U469,模板计算相关数据!A:N,4,0)*VLOOKUP(U469,模板计算相关数据!A:N,14,0)*(1+MAX(0,(VLOOKUP(U469,模板计算相关数据!A:N,7,0)-AQ469))*VLOOKUP(U469,模板计算相关数据!A:N,8,0))*(1-(AL469+AM469)*0.5/((AL469+AM469)*0.5+(VLOOKUP(U469,模板计算相关数据!A:N,2,0)+模板计算相关数据!$AC$27)*模板计算相关数据!$AC$28))*Q469*Z469)</f>
        <v>6876</v>
      </c>
      <c r="AK469" s="3">
        <f>INT(VLOOKUP(U469,模板计算相关数据!A:N,3,0)/模板计算相关数据!$W$35/(1+MAX(0,(AO469/10000-VLOOKUP(U469,模板计算相关数据!A:N,9,0)))*AP469/10000)/(1-VLOOKUP(U469,模板计算相关数据!A:N,5,0)/(VLOOKUP(U469,模板计算相关数据!A:N,5,0)+(VLOOKUP(U469,模板计算相关数据!A:N,2,0)+模板计算相关数据!$AC$27)*模板计算相关数据!$AC$28))/S469*AA469)</f>
        <v>1178</v>
      </c>
      <c r="AL469" s="3">
        <f>INT(VLOOKUP(U469,模板计算相关数据!A:N,5,0)*VLOOKUP(X469,模板计算相关数据!$P$4:$T$7,4,0)*VLOOKUP(Y469,模板计算相关数据!$P$22:$U$30,4,0)*AB469)</f>
        <v>4194</v>
      </c>
      <c r="AM469" s="3">
        <f>INT(VLOOKUP(U469,模板计算相关数据!A:N,6,0)*VLOOKUP(X469,模板计算相关数据!$P$4:$T$7,4,0)*VLOOKUP(Y469,模板计算相关数据!$P$22:$U$30,5,0)*AC469)</f>
        <v>2323</v>
      </c>
      <c r="AN469" s="3">
        <f>VLOOKUP(U469,模板计算相关数据!A:N,10,0)*0.5*VLOOKUP(Y469,模板计算相关数据!$P$22:$U$30,6,0)+AD469</f>
        <v>225</v>
      </c>
      <c r="AO469" s="3">
        <f>VLOOKUP(INT(VLOOKUP(U469,模板计算相关数据!A:N,2,0)/30)+1,模板计算相关数据!$O$35:$U$40,3,0)+AE469</f>
        <v>0</v>
      </c>
      <c r="AP469" s="3">
        <f>VLOOKUP(INT(VLOOKUP(U469,模板计算相关数据!A:N,2,0)/30)+1,模板计算相关数据!$O$35:$U$40,4,0)+AF469</f>
        <v>5000</v>
      </c>
      <c r="AQ469" s="3">
        <f>VLOOKUP(INT(VLOOKUP(U469,模板计算相关数据!A:N,2,0)/30)+1,模板计算相关数据!$O$35:$U$40,5,0)+AG469</f>
        <v>0</v>
      </c>
      <c r="AR469" s="3">
        <f>VLOOKUP(INT(VLOOKUP(U469,模板计算相关数据!A:N,2,0)/30)+1,模板计算相关数据!$O$35:$U$40,6,0)+AH469</f>
        <v>0</v>
      </c>
      <c r="AS469" s="3">
        <f>VLOOKUP(INT(VLOOKUP(U469,模板计算相关数据!A:N,2,0)/30)+1,模板计算相关数据!$O$35:$U$40,7,0)+AI469</f>
        <v>0</v>
      </c>
      <c r="AT469" s="3">
        <f>VLOOKUP(INT(VLOOKUP(U469,模板计算相关数据!A:N,2,0)/30)+1,模板计算相关数据!$O$35:$V$40,8,0)</f>
        <v>0</v>
      </c>
      <c r="AU469" s="2"/>
    </row>
    <row r="470" spans="1:47" x14ac:dyDescent="0.2">
      <c r="A470" s="3">
        <v>305019</v>
      </c>
      <c r="B470" s="3"/>
      <c r="C470" s="69" t="s">
        <v>1733</v>
      </c>
      <c r="D470" s="69" t="s">
        <v>1093</v>
      </c>
      <c r="E470" s="2"/>
      <c r="F470" s="3">
        <v>4</v>
      </c>
      <c r="G470" s="3">
        <v>1003001</v>
      </c>
      <c r="H470" s="3">
        <v>3</v>
      </c>
      <c r="I470" s="3">
        <v>4</v>
      </c>
      <c r="J470" s="3">
        <v>3</v>
      </c>
      <c r="K470" s="3"/>
      <c r="L470" s="69" t="s">
        <v>751</v>
      </c>
      <c r="M470" s="2"/>
      <c r="N470" s="2">
        <v>1</v>
      </c>
      <c r="O470" s="2"/>
      <c r="P470" s="3" t="s">
        <v>1615</v>
      </c>
      <c r="Q470" s="95">
        <v>5.3000000000000016</v>
      </c>
      <c r="R470" s="133">
        <f>IF(P470=模板计算相关数据!$AB$24,VLOOKUP(X470,模板计算相关数据!$P$47:$T$50,2,0),VLOOKUP(X470,模板计算相关数据!$P$4:$U$7,3,0))*VLOOKUP(Y470,模板计算相关数据!$P$22:$X$30,8,0)</f>
        <v>5.6000000000000014</v>
      </c>
      <c r="S470" s="62">
        <v>6.7693344004268363</v>
      </c>
      <c r="T470" s="133">
        <f>IF(P470=模板计算相关数据!$AB$24,VLOOKUP(X470,模板计算相关数据!$P$47:$T$50,5,0),VLOOKUP(X470,模板计算相关数据!$P$4:$U$7,6,0))*VLOOKUP(Y470,模板计算相关数据!$P$22:$X$30,9,0)</f>
        <v>6.6693344004268367</v>
      </c>
      <c r="U470" s="98">
        <v>46</v>
      </c>
      <c r="V470" s="95">
        <f t="shared" si="56"/>
        <v>43</v>
      </c>
      <c r="W470" s="29">
        <f>VLOOKUP(U470,模板计算相关数据!A:N,2,0)</f>
        <v>40</v>
      </c>
      <c r="X470" s="3" t="s">
        <v>151</v>
      </c>
      <c r="Y470" s="3" t="s">
        <v>255</v>
      </c>
      <c r="Z470" s="99">
        <v>1</v>
      </c>
      <c r="AA470" s="95">
        <v>1</v>
      </c>
      <c r="AB470" s="95">
        <v>1</v>
      </c>
      <c r="AC470" s="95">
        <v>1</v>
      </c>
      <c r="AD470" s="95">
        <v>0</v>
      </c>
      <c r="AE470" s="95">
        <v>0</v>
      </c>
      <c r="AF470" s="95">
        <v>0</v>
      </c>
      <c r="AG470" s="95">
        <v>0</v>
      </c>
      <c r="AH470" s="95">
        <v>0</v>
      </c>
      <c r="AI470" s="95">
        <v>0</v>
      </c>
      <c r="AJ470" s="3">
        <f>INT(VLOOKUP(U470,模板计算相关数据!A:N,4,0)*VLOOKUP(U470,模板计算相关数据!A:N,14,0)*(1+MAX(0,(VLOOKUP(U470,模板计算相关数据!A:N,7,0)-AQ470))*VLOOKUP(U470,模板计算相关数据!A:N,8,0))*(1-(AL470+AM470)*0.5/((AL470+AM470)*0.5+(VLOOKUP(U470,模板计算相关数据!A:N,2,0)+模板计算相关数据!$AC$27)*模板计算相关数据!$AC$28))*Q470*Z470)</f>
        <v>5083</v>
      </c>
      <c r="AK470" s="3">
        <f>INT(VLOOKUP(U470,模板计算相关数据!A:N,3,0)/模板计算相关数据!$W$35/(1+MAX(0,(AO470/10000-VLOOKUP(U470,模板计算相关数据!A:N,9,0)))*AP470/10000)/(1-VLOOKUP(U470,模板计算相关数据!A:N,5,0)/(VLOOKUP(U470,模板计算相关数据!A:N,5,0)+(VLOOKUP(U470,模板计算相关数据!A:N,2,0)+模板计算相关数据!$AC$27)*模板计算相关数据!$AC$28))/S470*AA470)</f>
        <v>1461</v>
      </c>
      <c r="AL470" s="3">
        <f>INT(VLOOKUP(U470,模板计算相关数据!A:N,5,0)*VLOOKUP(X470,模板计算相关数据!$P$4:$T$7,4,0)*VLOOKUP(Y470,模板计算相关数据!$P$22:$U$30,4,0)*AB470)</f>
        <v>2258</v>
      </c>
      <c r="AM470" s="3">
        <f>INT(VLOOKUP(U470,模板计算相关数据!A:N,6,0)*VLOOKUP(X470,模板计算相关数据!$P$4:$T$7,4,0)*VLOOKUP(Y470,模板计算相关数据!$P$22:$U$30,5,0)*AC470)</f>
        <v>4194</v>
      </c>
      <c r="AN470" s="3">
        <f>VLOOKUP(U470,模板计算相关数据!A:N,10,0)*0.5*VLOOKUP(Y470,模板计算相关数据!$P$22:$U$30,6,0)+AD470</f>
        <v>225</v>
      </c>
      <c r="AO470" s="3">
        <f>VLOOKUP(INT(VLOOKUP(U470,模板计算相关数据!A:N,2,0)/30)+1,模板计算相关数据!$O$35:$U$40,3,0)+AE470</f>
        <v>0</v>
      </c>
      <c r="AP470" s="3">
        <f>VLOOKUP(INT(VLOOKUP(U470,模板计算相关数据!A:N,2,0)/30)+1,模板计算相关数据!$O$35:$U$40,4,0)+AF470</f>
        <v>5000</v>
      </c>
      <c r="AQ470" s="3">
        <f>VLOOKUP(INT(VLOOKUP(U470,模板计算相关数据!A:N,2,0)/30)+1,模板计算相关数据!$O$35:$U$40,5,0)+AG470</f>
        <v>0</v>
      </c>
      <c r="AR470" s="3">
        <f>VLOOKUP(INT(VLOOKUP(U470,模板计算相关数据!A:N,2,0)/30)+1,模板计算相关数据!$O$35:$U$40,6,0)+AH470</f>
        <v>0</v>
      </c>
      <c r="AS470" s="3">
        <f>VLOOKUP(INT(VLOOKUP(U470,模板计算相关数据!A:N,2,0)/30)+1,模板计算相关数据!$O$35:$U$40,7,0)+AI470</f>
        <v>0</v>
      </c>
      <c r="AT470" s="3">
        <f>VLOOKUP(INT(VLOOKUP(U470,模板计算相关数据!A:N,2,0)/30)+1,模板计算相关数据!$O$35:$V$40,8,0)</f>
        <v>0</v>
      </c>
      <c r="AU470" s="2"/>
    </row>
    <row r="471" spans="1:47" x14ac:dyDescent="0.2">
      <c r="A471" s="3">
        <v>305020</v>
      </c>
      <c r="B471" s="3"/>
      <c r="C471" s="69" t="s">
        <v>1733</v>
      </c>
      <c r="D471" s="69" t="s">
        <v>1094</v>
      </c>
      <c r="E471" s="2"/>
      <c r="F471" s="3">
        <v>4</v>
      </c>
      <c r="G471" s="3">
        <v>1003001</v>
      </c>
      <c r="H471" s="3">
        <v>3</v>
      </c>
      <c r="I471" s="3">
        <v>4</v>
      </c>
      <c r="J471" s="3">
        <v>3</v>
      </c>
      <c r="K471" s="3"/>
      <c r="L471" s="69" t="s">
        <v>752</v>
      </c>
      <c r="M471" s="2"/>
      <c r="N471" s="2">
        <v>1</v>
      </c>
      <c r="O471" s="2"/>
      <c r="P471" s="3" t="s">
        <v>1615</v>
      </c>
      <c r="Q471" s="95">
        <v>5.5</v>
      </c>
      <c r="R471" s="133">
        <f>IF(P471=模板计算相关数据!$AB$24,VLOOKUP(X471,模板计算相关数据!$P$47:$T$50,2,0),VLOOKUP(X471,模板计算相关数据!$P$4:$U$7,3,0))*VLOOKUP(Y471,模板计算相关数据!$P$22:$X$30,8,0)</f>
        <v>5.6000000000000014</v>
      </c>
      <c r="S471" s="62">
        <v>6.7693344004268363</v>
      </c>
      <c r="T471" s="133">
        <f>IF(P471=模板计算相关数据!$AB$24,VLOOKUP(X471,模板计算相关数据!$P$47:$T$50,5,0),VLOOKUP(X471,模板计算相关数据!$P$4:$U$7,6,0))*VLOOKUP(Y471,模板计算相关数据!$P$22:$X$30,9,0)</f>
        <v>6.6693344004268367</v>
      </c>
      <c r="U471" s="98">
        <v>46</v>
      </c>
      <c r="V471" s="95">
        <f t="shared" si="56"/>
        <v>43</v>
      </c>
      <c r="W471" s="29">
        <f>VLOOKUP(U471,模板计算相关数据!A:N,2,0)</f>
        <v>40</v>
      </c>
      <c r="X471" s="3" t="s">
        <v>151</v>
      </c>
      <c r="Y471" s="3" t="s">
        <v>255</v>
      </c>
      <c r="Z471" s="99">
        <v>1</v>
      </c>
      <c r="AA471" s="95">
        <v>1</v>
      </c>
      <c r="AB471" s="95">
        <v>1</v>
      </c>
      <c r="AC471" s="95">
        <v>1</v>
      </c>
      <c r="AD471" s="95">
        <v>0</v>
      </c>
      <c r="AE471" s="95">
        <v>0</v>
      </c>
      <c r="AF471" s="95">
        <v>0</v>
      </c>
      <c r="AG471" s="95">
        <v>0</v>
      </c>
      <c r="AH471" s="95">
        <v>0</v>
      </c>
      <c r="AI471" s="95">
        <v>0</v>
      </c>
      <c r="AJ471" s="3">
        <f>INT(VLOOKUP(U471,模板计算相关数据!A:N,4,0)*VLOOKUP(U471,模板计算相关数据!A:N,14,0)*(1+MAX(0,(VLOOKUP(U471,模板计算相关数据!A:N,7,0)-AQ471))*VLOOKUP(U471,模板计算相关数据!A:N,8,0))*(1-(AL471+AM471)*0.5/((AL471+AM471)*0.5+(VLOOKUP(U471,模板计算相关数据!A:N,2,0)+模板计算相关数据!$AC$27)*模板计算相关数据!$AC$28))*Q471*Z471)</f>
        <v>5275</v>
      </c>
      <c r="AK471" s="3">
        <f>INT(VLOOKUP(U471,模板计算相关数据!A:N,3,0)/模板计算相关数据!$W$35/(1+MAX(0,(AO471/10000-VLOOKUP(U471,模板计算相关数据!A:N,9,0)))*AP471/10000)/(1-VLOOKUP(U471,模板计算相关数据!A:N,5,0)/(VLOOKUP(U471,模板计算相关数据!A:N,5,0)+(VLOOKUP(U471,模板计算相关数据!A:N,2,0)+模板计算相关数据!$AC$27)*模板计算相关数据!$AC$28))/S471*AA471)</f>
        <v>1461</v>
      </c>
      <c r="AL471" s="3">
        <f>INT(VLOOKUP(U471,模板计算相关数据!A:N,5,0)*VLOOKUP(X471,模板计算相关数据!$P$4:$T$7,4,0)*VLOOKUP(Y471,模板计算相关数据!$P$22:$U$30,4,0)*AB471)</f>
        <v>2258</v>
      </c>
      <c r="AM471" s="3">
        <f>INT(VLOOKUP(U471,模板计算相关数据!A:N,6,0)*VLOOKUP(X471,模板计算相关数据!$P$4:$T$7,4,0)*VLOOKUP(Y471,模板计算相关数据!$P$22:$U$30,5,0)*AC471)</f>
        <v>4194</v>
      </c>
      <c r="AN471" s="3">
        <f>VLOOKUP(U471,模板计算相关数据!A:N,10,0)*0.5*VLOOKUP(Y471,模板计算相关数据!$P$22:$U$30,6,0)+AD471</f>
        <v>225</v>
      </c>
      <c r="AO471" s="3">
        <f>VLOOKUP(INT(VLOOKUP(U471,模板计算相关数据!A:N,2,0)/30)+1,模板计算相关数据!$O$35:$U$40,3,0)+AE471</f>
        <v>0</v>
      </c>
      <c r="AP471" s="3">
        <f>VLOOKUP(INT(VLOOKUP(U471,模板计算相关数据!A:N,2,0)/30)+1,模板计算相关数据!$O$35:$U$40,4,0)+AF471</f>
        <v>5000</v>
      </c>
      <c r="AQ471" s="3">
        <f>VLOOKUP(INT(VLOOKUP(U471,模板计算相关数据!A:N,2,0)/30)+1,模板计算相关数据!$O$35:$U$40,5,0)+AG471</f>
        <v>0</v>
      </c>
      <c r="AR471" s="3">
        <f>VLOOKUP(INT(VLOOKUP(U471,模板计算相关数据!A:N,2,0)/30)+1,模板计算相关数据!$O$35:$U$40,6,0)+AH471</f>
        <v>0</v>
      </c>
      <c r="AS471" s="3">
        <f>VLOOKUP(INT(VLOOKUP(U471,模板计算相关数据!A:N,2,0)/30)+1,模板计算相关数据!$O$35:$U$40,7,0)+AI471</f>
        <v>0</v>
      </c>
      <c r="AT471" s="3">
        <f>VLOOKUP(INT(VLOOKUP(U471,模板计算相关数据!A:N,2,0)/30)+1,模板计算相关数据!$O$35:$V$40,8,0)</f>
        <v>0</v>
      </c>
      <c r="AU471" s="2"/>
    </row>
    <row r="472" spans="1:47" x14ac:dyDescent="0.2">
      <c r="A472" s="3">
        <v>305021</v>
      </c>
      <c r="B472" s="3"/>
      <c r="C472" s="69" t="s">
        <v>1733</v>
      </c>
      <c r="D472" s="69" t="s">
        <v>1095</v>
      </c>
      <c r="E472" s="2"/>
      <c r="F472" s="3">
        <v>4</v>
      </c>
      <c r="G472" s="3">
        <v>1003001</v>
      </c>
      <c r="H472" s="3">
        <v>3</v>
      </c>
      <c r="I472" s="3">
        <v>4</v>
      </c>
      <c r="J472" s="3">
        <v>3</v>
      </c>
      <c r="K472" s="3"/>
      <c r="L472" s="69" t="s">
        <v>753</v>
      </c>
      <c r="M472" s="2"/>
      <c r="N472" s="2">
        <v>1</v>
      </c>
      <c r="O472" s="2"/>
      <c r="P472" s="3" t="s">
        <v>1615</v>
      </c>
      <c r="Q472" s="95">
        <v>5.7</v>
      </c>
      <c r="R472" s="133">
        <f>IF(P472=模板计算相关数据!$AB$24,VLOOKUP(X472,模板计算相关数据!$P$47:$T$50,2,0),VLOOKUP(X472,模板计算相关数据!$P$4:$U$7,3,0))*VLOOKUP(Y472,模板计算相关数据!$P$22:$X$30,8,0)</f>
        <v>5.6000000000000014</v>
      </c>
      <c r="S472" s="62">
        <v>6.7693344004268363</v>
      </c>
      <c r="T472" s="133">
        <f>IF(P472=模板计算相关数据!$AB$24,VLOOKUP(X472,模板计算相关数据!$P$47:$T$50,5,0),VLOOKUP(X472,模板计算相关数据!$P$4:$U$7,6,0))*VLOOKUP(Y472,模板计算相关数据!$P$22:$X$30,9,0)</f>
        <v>6.6693344004268367</v>
      </c>
      <c r="U472" s="98">
        <v>46</v>
      </c>
      <c r="V472" s="95">
        <f t="shared" si="56"/>
        <v>43</v>
      </c>
      <c r="W472" s="29">
        <f>VLOOKUP(U472,模板计算相关数据!A:N,2,0)</f>
        <v>40</v>
      </c>
      <c r="X472" s="3" t="s">
        <v>151</v>
      </c>
      <c r="Y472" s="3" t="s">
        <v>255</v>
      </c>
      <c r="Z472" s="99">
        <v>1</v>
      </c>
      <c r="AA472" s="95">
        <v>1</v>
      </c>
      <c r="AB472" s="95">
        <v>1</v>
      </c>
      <c r="AC472" s="95">
        <v>1</v>
      </c>
      <c r="AD472" s="95">
        <v>0</v>
      </c>
      <c r="AE472" s="95">
        <v>0</v>
      </c>
      <c r="AF472" s="95">
        <v>0</v>
      </c>
      <c r="AG472" s="95">
        <v>0</v>
      </c>
      <c r="AH472" s="95">
        <v>0</v>
      </c>
      <c r="AI472" s="95">
        <v>0</v>
      </c>
      <c r="AJ472" s="3">
        <f>INT(VLOOKUP(U472,模板计算相关数据!A:N,4,0)*VLOOKUP(U472,模板计算相关数据!A:N,14,0)*(1+MAX(0,(VLOOKUP(U472,模板计算相关数据!A:N,7,0)-AQ472))*VLOOKUP(U472,模板计算相关数据!A:N,8,0))*(1-(AL472+AM472)*0.5/((AL472+AM472)*0.5+(VLOOKUP(U472,模板计算相关数据!A:N,2,0)+模板计算相关数据!$AC$27)*模板计算相关数据!$AC$28))*Q472*Z472)</f>
        <v>5467</v>
      </c>
      <c r="AK472" s="3">
        <f>INT(VLOOKUP(U472,模板计算相关数据!A:N,3,0)/模板计算相关数据!$W$35/(1+MAX(0,(AO472/10000-VLOOKUP(U472,模板计算相关数据!A:N,9,0)))*AP472/10000)/(1-VLOOKUP(U472,模板计算相关数据!A:N,5,0)/(VLOOKUP(U472,模板计算相关数据!A:N,5,0)+(VLOOKUP(U472,模板计算相关数据!A:N,2,0)+模板计算相关数据!$AC$27)*模板计算相关数据!$AC$28))/S472*AA472)</f>
        <v>1461</v>
      </c>
      <c r="AL472" s="3">
        <f>INT(VLOOKUP(U472,模板计算相关数据!A:N,5,0)*VLOOKUP(X472,模板计算相关数据!$P$4:$T$7,4,0)*VLOOKUP(Y472,模板计算相关数据!$P$22:$U$30,4,0)*AB472)</f>
        <v>2258</v>
      </c>
      <c r="AM472" s="3">
        <f>INT(VLOOKUP(U472,模板计算相关数据!A:N,6,0)*VLOOKUP(X472,模板计算相关数据!$P$4:$T$7,4,0)*VLOOKUP(Y472,模板计算相关数据!$P$22:$U$30,5,0)*AC472)</f>
        <v>4194</v>
      </c>
      <c r="AN472" s="3">
        <f>VLOOKUP(U472,模板计算相关数据!A:N,10,0)*0.5*VLOOKUP(Y472,模板计算相关数据!$P$22:$U$30,6,0)+AD472</f>
        <v>225</v>
      </c>
      <c r="AO472" s="3">
        <f>VLOOKUP(INT(VLOOKUP(U472,模板计算相关数据!A:N,2,0)/30)+1,模板计算相关数据!$O$35:$U$40,3,0)+AE472</f>
        <v>0</v>
      </c>
      <c r="AP472" s="3">
        <f>VLOOKUP(INT(VLOOKUP(U472,模板计算相关数据!A:N,2,0)/30)+1,模板计算相关数据!$O$35:$U$40,4,0)+AF472</f>
        <v>5000</v>
      </c>
      <c r="AQ472" s="3">
        <f>VLOOKUP(INT(VLOOKUP(U472,模板计算相关数据!A:N,2,0)/30)+1,模板计算相关数据!$O$35:$U$40,5,0)+AG472</f>
        <v>0</v>
      </c>
      <c r="AR472" s="3">
        <f>VLOOKUP(INT(VLOOKUP(U472,模板计算相关数据!A:N,2,0)/30)+1,模板计算相关数据!$O$35:$U$40,6,0)+AH472</f>
        <v>0</v>
      </c>
      <c r="AS472" s="3">
        <f>VLOOKUP(INT(VLOOKUP(U472,模板计算相关数据!A:N,2,0)/30)+1,模板计算相关数据!$O$35:$U$40,7,0)+AI472</f>
        <v>0</v>
      </c>
      <c r="AT472" s="3">
        <f>VLOOKUP(INT(VLOOKUP(U472,模板计算相关数据!A:N,2,0)/30)+1,模板计算相关数据!$O$35:$V$40,8,0)</f>
        <v>0</v>
      </c>
      <c r="AU472" s="2"/>
    </row>
    <row r="473" spans="1:47" s="149" customFormat="1" x14ac:dyDescent="0.2">
      <c r="A473" s="43">
        <v>306101</v>
      </c>
      <c r="B473" s="43"/>
      <c r="C473" s="25" t="s">
        <v>1823</v>
      </c>
      <c r="D473" s="25" t="s">
        <v>1098</v>
      </c>
      <c r="E473" s="17"/>
      <c r="F473" s="43">
        <v>6</v>
      </c>
      <c r="G473" s="43">
        <v>1003701</v>
      </c>
      <c r="H473" s="43">
        <v>6</v>
      </c>
      <c r="I473" s="43">
        <v>4</v>
      </c>
      <c r="J473" s="43">
        <v>3</v>
      </c>
      <c r="K473" s="43">
        <v>1</v>
      </c>
      <c r="L473" s="25" t="s">
        <v>1573</v>
      </c>
      <c r="M473" s="17"/>
      <c r="N473" s="17">
        <v>3</v>
      </c>
      <c r="O473" s="25" t="s">
        <v>1810</v>
      </c>
      <c r="P473" s="43" t="s">
        <v>1615</v>
      </c>
      <c r="Q473" s="147">
        <v>25</v>
      </c>
      <c r="R473" s="133">
        <f>IF(P473=模板计算相关数据!$AB$24,VLOOKUP(X473,模板计算相关数据!$P$47:$T$50,2,0),VLOOKUP(X473,模板计算相关数据!$P$4:$U$7,3,0))*VLOOKUP(Y473,模板计算相关数据!$P$22:$X$30,8,0)</f>
        <v>60</v>
      </c>
      <c r="S473" s="42">
        <f>T473</f>
        <v>2.0689655172413794</v>
      </c>
      <c r="T473" s="133">
        <f>IF(P473=模板计算相关数据!$AB$24,VLOOKUP(X473,模板计算相关数据!$P$47:$T$50,5,0),VLOOKUP(X473,模板计算相关数据!$P$4:$U$7,6,0))*VLOOKUP(Y473,模板计算相关数据!$P$22:$X$30,9,0)</f>
        <v>2.0689655172413794</v>
      </c>
      <c r="U473" s="150">
        <v>49</v>
      </c>
      <c r="V473" s="95">
        <f t="shared" si="56"/>
        <v>19</v>
      </c>
      <c r="W473" s="29">
        <f>VLOOKUP(U473,模板计算相关数据!A:N,2,0)</f>
        <v>16</v>
      </c>
      <c r="X473" s="43" t="s">
        <v>181</v>
      </c>
      <c r="Y473" s="43" t="s">
        <v>223</v>
      </c>
      <c r="Z473" s="148">
        <v>1</v>
      </c>
      <c r="AA473" s="147">
        <v>0.8</v>
      </c>
      <c r="AB473" s="147">
        <v>1</v>
      </c>
      <c r="AC473" s="147">
        <v>1</v>
      </c>
      <c r="AD473" s="147">
        <v>0</v>
      </c>
      <c r="AE473" s="147">
        <v>0</v>
      </c>
      <c r="AF473" s="147">
        <v>0</v>
      </c>
      <c r="AG473" s="147">
        <v>0</v>
      </c>
      <c r="AH473" s="147">
        <v>0</v>
      </c>
      <c r="AI473" s="147">
        <v>3000</v>
      </c>
      <c r="AJ473" s="43">
        <f>INT(VLOOKUP(U473,模板计算相关数据!A:N,4,0)*VLOOKUP(U473,模板计算相关数据!A:N,14,0)*(1+MAX(0,(VLOOKUP(U473,模板计算相关数据!A:N,7,0)-AQ473))*VLOOKUP(U473,模板计算相关数据!A:N,8,0))*(1-(AL473+AM473)*0.5/((AL473+AM473)*0.5+(VLOOKUP(U473,模板计算相关数据!A:N,2,0)+模板计算相关数据!$AC$27)*模板计算相关数据!$AC$28))*Q473*Z473)</f>
        <v>5931</v>
      </c>
      <c r="AK473" s="43">
        <f>INT(VLOOKUP(U473,模板计算相关数据!A:N,3,0)/模板计算相关数据!$W$35/(1+MAX(0,(AO473/10000-VLOOKUP(U473,模板计算相关数据!A:N,9,0)))*AP473/10000)/(1-VLOOKUP(U473,模板计算相关数据!A:N,5,0)/(VLOOKUP(U473,模板计算相关数据!A:N,5,0)+(VLOOKUP(U473,模板计算相关数据!A:N,2,0)+模板计算相关数据!$AC$27)*模板计算相关数据!$AC$28))/S473*AA473)</f>
        <v>828</v>
      </c>
      <c r="AL473" s="43">
        <f>INT(VLOOKUP(U473,模板计算相关数据!A:N,5,0)*VLOOKUP(X473,模板计算相关数据!$P$4:$T$7,4,0)*VLOOKUP(Y473,模板计算相关数据!$P$22:$U$30,4,0)*AB473)</f>
        <v>1554</v>
      </c>
      <c r="AM473" s="43">
        <f>INT(VLOOKUP(U473,模板计算相关数据!A:N,6,0)*VLOOKUP(X473,模板计算相关数据!$P$4:$T$7,4,0)*VLOOKUP(Y473,模板计算相关数据!$P$22:$U$30,5,0)*AC473)</f>
        <v>1554</v>
      </c>
      <c r="AN473" s="43">
        <f>VLOOKUP(U473,模板计算相关数据!A:N,10,0)*0.5*VLOOKUP(Y473,模板计算相关数据!$P$22:$U$30,6,0)+AD473</f>
        <v>250</v>
      </c>
      <c r="AO473" s="43">
        <f>VLOOKUP(INT(VLOOKUP(U473,模板计算相关数据!A:N,2,0)/30)+1,模板计算相关数据!$O$35:$U$40,3,0)+AE473</f>
        <v>0</v>
      </c>
      <c r="AP473" s="43">
        <f>VLOOKUP(INT(VLOOKUP(U473,模板计算相关数据!A:N,2,0)/30)+1,模板计算相关数据!$O$35:$U$40,4,0)+AF473</f>
        <v>5000</v>
      </c>
      <c r="AQ473" s="43">
        <f>VLOOKUP(INT(VLOOKUP(U473,模板计算相关数据!A:N,2,0)/30)+1,模板计算相关数据!$O$35:$U$40,5,0)+AG473</f>
        <v>0</v>
      </c>
      <c r="AR473" s="43">
        <f>VLOOKUP(INT(VLOOKUP(U473,模板计算相关数据!A:N,2,0)/30)+1,模板计算相关数据!$O$35:$U$40,6,0)+AH473</f>
        <v>0</v>
      </c>
      <c r="AS473" s="43">
        <f>VLOOKUP(INT(VLOOKUP(U473,模板计算相关数据!A:N,2,0)/30)+1,模板计算相关数据!$O$35:$U$40,7,0)+AI473</f>
        <v>3000</v>
      </c>
      <c r="AT473" s="43">
        <f>VLOOKUP(INT(VLOOKUP(U473,模板计算相关数据!A:N,2,0)/30)+1,模板计算相关数据!$O$35:$V$40,8,0)</f>
        <v>0</v>
      </c>
      <c r="AU473" s="17"/>
    </row>
    <row r="474" spans="1:47" x14ac:dyDescent="0.2">
      <c r="A474" s="3">
        <v>306102</v>
      </c>
      <c r="B474" s="3"/>
      <c r="C474" s="69" t="s">
        <v>1823</v>
      </c>
      <c r="D474" s="69" t="s">
        <v>1099</v>
      </c>
      <c r="E474" s="2"/>
      <c r="F474" s="3">
        <v>6</v>
      </c>
      <c r="G474" s="3">
        <v>1003701</v>
      </c>
      <c r="H474" s="3">
        <v>6</v>
      </c>
      <c r="I474" s="3">
        <v>4</v>
      </c>
      <c r="J474" s="3">
        <v>3</v>
      </c>
      <c r="K474" s="3">
        <v>1</v>
      </c>
      <c r="L474" s="151" t="s">
        <v>1976</v>
      </c>
      <c r="M474" s="2"/>
      <c r="N474" s="2">
        <v>3</v>
      </c>
      <c r="O474" s="69" t="s">
        <v>1811</v>
      </c>
      <c r="P474" s="3" t="s">
        <v>1615</v>
      </c>
      <c r="Q474" s="95">
        <v>25</v>
      </c>
      <c r="R474" s="133">
        <f>IF(P474=模板计算相关数据!$AB$24,VLOOKUP(X474,模板计算相关数据!$P$47:$T$50,2,0),VLOOKUP(X474,模板计算相关数据!$P$4:$U$7,3,0))*VLOOKUP(Y474,模板计算相关数据!$P$22:$X$30,8,0)</f>
        <v>60</v>
      </c>
      <c r="S474" s="62">
        <f t="shared" ref="S474:S477" si="57">T474</f>
        <v>2.0689655172413794</v>
      </c>
      <c r="T474" s="133">
        <f>IF(P474=模板计算相关数据!$AB$24,VLOOKUP(X474,模板计算相关数据!$P$47:$T$50,5,0),VLOOKUP(X474,模板计算相关数据!$P$4:$U$7,6,0))*VLOOKUP(Y474,模板计算相关数据!$P$22:$X$30,9,0)</f>
        <v>2.0689655172413794</v>
      </c>
      <c r="U474" s="98">
        <v>50</v>
      </c>
      <c r="V474" s="95">
        <f t="shared" si="56"/>
        <v>31</v>
      </c>
      <c r="W474" s="29">
        <f>VLOOKUP(U474,模板计算相关数据!A:N,2,0)</f>
        <v>28</v>
      </c>
      <c r="X474" s="3" t="s">
        <v>181</v>
      </c>
      <c r="Y474" s="3" t="s">
        <v>223</v>
      </c>
      <c r="Z474" s="99">
        <v>1</v>
      </c>
      <c r="AA474" s="95">
        <v>0.8</v>
      </c>
      <c r="AB474" s="95">
        <v>0.9</v>
      </c>
      <c r="AC474" s="95">
        <v>0.9</v>
      </c>
      <c r="AD474" s="95">
        <v>0</v>
      </c>
      <c r="AE474" s="95">
        <v>0</v>
      </c>
      <c r="AF474" s="95">
        <v>0</v>
      </c>
      <c r="AG474" s="95">
        <v>0</v>
      </c>
      <c r="AH474" s="95">
        <v>0</v>
      </c>
      <c r="AI474" s="95">
        <v>3000</v>
      </c>
      <c r="AJ474" s="3">
        <f>INT(VLOOKUP(U474,模板计算相关数据!A:N,4,0)*VLOOKUP(U474,模板计算相关数据!A:N,14,0)*(1+MAX(0,(VLOOKUP(U474,模板计算相关数据!A:N,7,0)-AQ474))*VLOOKUP(U474,模板计算相关数据!A:N,8,0))*(1-(AL474+AM474)*0.5/((AL474+AM474)*0.5+(VLOOKUP(U474,模板计算相关数据!A:N,2,0)+模板计算相关数据!$AC$27)*模板计算相关数据!$AC$28))*Q474*Z474)</f>
        <v>12109</v>
      </c>
      <c r="AK474" s="3">
        <f>INT(VLOOKUP(U474,模板计算相关数据!A:N,3,0)/模板计算相关数据!$W$35/(1+MAX(0,(AO474/10000-VLOOKUP(U474,模板计算相关数据!A:N,9,0)))*AP474/10000)/(1-VLOOKUP(U474,模板计算相关数据!A:N,5,0)/(VLOOKUP(U474,模板计算相关数据!A:N,5,0)+(VLOOKUP(U474,模板计算相关数据!A:N,2,0)+模板计算相关数据!$AC$27)*模板计算相关数据!$AC$28))/S474*AA474)</f>
        <v>2193</v>
      </c>
      <c r="AL474" s="3">
        <f>INT(VLOOKUP(U474,模板计算相关数据!A:N,5,0)*VLOOKUP(X474,模板计算相关数据!$P$4:$T$7,4,0)*VLOOKUP(Y474,模板计算相关数据!$P$22:$U$30,4,0)*AB474)</f>
        <v>3326</v>
      </c>
      <c r="AM474" s="3">
        <f>INT(VLOOKUP(U474,模板计算相关数据!A:N,6,0)*VLOOKUP(X474,模板计算相关数据!$P$4:$T$7,4,0)*VLOOKUP(Y474,模板计算相关数据!$P$22:$U$30,5,0)*AC474)</f>
        <v>3326</v>
      </c>
      <c r="AN474" s="3">
        <f>VLOOKUP(U474,模板计算相关数据!A:N,10,0)*0.5*VLOOKUP(Y474,模板计算相关数据!$P$22:$U$30,6,0)+AD474</f>
        <v>250</v>
      </c>
      <c r="AO474" s="3">
        <f>VLOOKUP(INT(VLOOKUP(U474,模板计算相关数据!A:N,2,0)/30)+1,模板计算相关数据!$O$35:$U$40,3,0)+AE474</f>
        <v>0</v>
      </c>
      <c r="AP474" s="3">
        <f>VLOOKUP(INT(VLOOKUP(U474,模板计算相关数据!A:N,2,0)/30)+1,模板计算相关数据!$O$35:$U$40,4,0)+AF474</f>
        <v>5000</v>
      </c>
      <c r="AQ474" s="3">
        <f>VLOOKUP(INT(VLOOKUP(U474,模板计算相关数据!A:N,2,0)/30)+1,模板计算相关数据!$O$35:$U$40,5,0)+AG474</f>
        <v>0</v>
      </c>
      <c r="AR474" s="3">
        <f>VLOOKUP(INT(VLOOKUP(U474,模板计算相关数据!A:N,2,0)/30)+1,模板计算相关数据!$O$35:$U$40,6,0)+AH474</f>
        <v>0</v>
      </c>
      <c r="AS474" s="3">
        <f>VLOOKUP(INT(VLOOKUP(U474,模板计算相关数据!A:N,2,0)/30)+1,模板计算相关数据!$O$35:$U$40,7,0)+AI474</f>
        <v>3000</v>
      </c>
      <c r="AT474" s="3">
        <f>VLOOKUP(INT(VLOOKUP(U474,模板计算相关数据!A:N,2,0)/30)+1,模板计算相关数据!$O$35:$V$40,8,0)</f>
        <v>0</v>
      </c>
      <c r="AU474" s="2"/>
    </row>
    <row r="475" spans="1:47" x14ac:dyDescent="0.2">
      <c r="A475" s="3">
        <v>306103</v>
      </c>
      <c r="B475" s="3"/>
      <c r="C475" s="69" t="s">
        <v>1823</v>
      </c>
      <c r="D475" s="69" t="s">
        <v>1100</v>
      </c>
      <c r="E475" s="2"/>
      <c r="F475" s="3">
        <v>6</v>
      </c>
      <c r="G475" s="3">
        <v>1003701</v>
      </c>
      <c r="H475" s="3">
        <v>6</v>
      </c>
      <c r="I475" s="3">
        <v>4</v>
      </c>
      <c r="J475" s="3">
        <v>3</v>
      </c>
      <c r="K475" s="3">
        <v>1</v>
      </c>
      <c r="L475" s="151" t="s">
        <v>1977</v>
      </c>
      <c r="M475" s="2"/>
      <c r="N475" s="2">
        <v>3</v>
      </c>
      <c r="O475" s="69" t="s">
        <v>1812</v>
      </c>
      <c r="P475" s="3" t="s">
        <v>1615</v>
      </c>
      <c r="Q475" s="95">
        <v>25</v>
      </c>
      <c r="R475" s="133">
        <f>IF(P475=模板计算相关数据!$AB$24,VLOOKUP(X475,模板计算相关数据!$P$47:$T$50,2,0),VLOOKUP(X475,模板计算相关数据!$P$4:$U$7,3,0))*VLOOKUP(Y475,模板计算相关数据!$P$22:$X$30,8,0)</f>
        <v>60</v>
      </c>
      <c r="S475" s="62">
        <f t="shared" si="57"/>
        <v>2.0689655172413794</v>
      </c>
      <c r="T475" s="133">
        <f>IF(P475=模板计算相关数据!$AB$24,VLOOKUP(X475,模板计算相关数据!$P$47:$T$50,5,0),VLOOKUP(X475,模板计算相关数据!$P$4:$U$7,6,0))*VLOOKUP(Y475,模板计算相关数据!$P$22:$X$30,9,0)</f>
        <v>2.0689655172413794</v>
      </c>
      <c r="U475" s="98">
        <v>51</v>
      </c>
      <c r="V475" s="95">
        <f t="shared" si="56"/>
        <v>43</v>
      </c>
      <c r="W475" s="29">
        <f>VLOOKUP(U475,模板计算相关数据!A:N,2,0)</f>
        <v>40</v>
      </c>
      <c r="X475" s="3" t="s">
        <v>181</v>
      </c>
      <c r="Y475" s="3" t="s">
        <v>223</v>
      </c>
      <c r="Z475" s="99">
        <v>1</v>
      </c>
      <c r="AA475" s="95">
        <v>0.75</v>
      </c>
      <c r="AB475" s="95">
        <v>0.9</v>
      </c>
      <c r="AC475" s="95">
        <v>0.9</v>
      </c>
      <c r="AD475" s="95">
        <v>0</v>
      </c>
      <c r="AE475" s="95">
        <v>0</v>
      </c>
      <c r="AF475" s="95">
        <v>0</v>
      </c>
      <c r="AG475" s="95">
        <v>0</v>
      </c>
      <c r="AH475" s="95">
        <v>0</v>
      </c>
      <c r="AI475" s="95">
        <v>3000</v>
      </c>
      <c r="AJ475" s="3">
        <f>INT(VLOOKUP(U475,模板计算相关数据!A:N,4,0)*VLOOKUP(U475,模板计算相关数据!A:N,14,0)*(1+MAX(0,(VLOOKUP(U475,模板计算相关数据!A:N,7,0)-AQ475))*VLOOKUP(U475,模板计算相关数据!A:N,8,0))*(1-(AL475+AM475)*0.5/((AL475+AM475)*0.5+(VLOOKUP(U475,模板计算相关数据!A:N,2,0)+模板计算相关数据!$AC$27)*模板计算相关数据!$AC$28))*Q475*Z475)</f>
        <v>18442</v>
      </c>
      <c r="AK475" s="3">
        <f>INT(VLOOKUP(U475,模板计算相关数据!A:N,3,0)/模板计算相关数据!$W$35/(1+MAX(0,(AO475/10000-VLOOKUP(U475,模板计算相关数据!A:N,9,0)))*AP475/10000)/(1-VLOOKUP(U475,模板计算相关数据!A:N,5,0)/(VLOOKUP(U475,模板计算相关数据!A:N,5,0)+(VLOOKUP(U475,模板计算相关数据!A:N,2,0)+模板计算相关数据!$AC$27)*模板计算相关数据!$AC$28))/S475*AA475)</f>
        <v>3520</v>
      </c>
      <c r="AL475" s="3">
        <f>INT(VLOOKUP(U475,模板计算相关数据!A:N,5,0)*VLOOKUP(X475,模板计算相关数据!$P$4:$T$7,4,0)*VLOOKUP(Y475,模板计算相关数据!$P$22:$U$30,4,0)*AB475)</f>
        <v>5390</v>
      </c>
      <c r="AM475" s="3">
        <f>INT(VLOOKUP(U475,模板计算相关数据!A:N,6,0)*VLOOKUP(X475,模板计算相关数据!$P$4:$T$7,4,0)*VLOOKUP(Y475,模板计算相关数据!$P$22:$U$30,5,0)*AC475)</f>
        <v>5390</v>
      </c>
      <c r="AN475" s="3">
        <f>VLOOKUP(U475,模板计算相关数据!A:N,10,0)*0.5*VLOOKUP(Y475,模板计算相关数据!$P$22:$U$30,6,0)+AD475</f>
        <v>250</v>
      </c>
      <c r="AO475" s="3">
        <f>VLOOKUP(INT(VLOOKUP(U475,模板计算相关数据!A:N,2,0)/30)+1,模板计算相关数据!$O$35:$U$40,3,0)+AE475</f>
        <v>0</v>
      </c>
      <c r="AP475" s="3">
        <f>VLOOKUP(INT(VLOOKUP(U475,模板计算相关数据!A:N,2,0)/30)+1,模板计算相关数据!$O$35:$U$40,4,0)+AF475</f>
        <v>5000</v>
      </c>
      <c r="AQ475" s="3">
        <f>VLOOKUP(INT(VLOOKUP(U475,模板计算相关数据!A:N,2,0)/30)+1,模板计算相关数据!$O$35:$U$40,5,0)+AG475</f>
        <v>0</v>
      </c>
      <c r="AR475" s="3">
        <f>VLOOKUP(INT(VLOOKUP(U475,模板计算相关数据!A:N,2,0)/30)+1,模板计算相关数据!$O$35:$U$40,6,0)+AH475</f>
        <v>0</v>
      </c>
      <c r="AS475" s="3">
        <f>VLOOKUP(INT(VLOOKUP(U475,模板计算相关数据!A:N,2,0)/30)+1,模板计算相关数据!$O$35:$U$40,7,0)+AI475</f>
        <v>3000</v>
      </c>
      <c r="AT475" s="3">
        <f>VLOOKUP(INT(VLOOKUP(U475,模板计算相关数据!A:N,2,0)/30)+1,模板计算相关数据!$O$35:$V$40,8,0)</f>
        <v>0</v>
      </c>
      <c r="AU475" s="2"/>
    </row>
    <row r="476" spans="1:47" x14ac:dyDescent="0.2">
      <c r="A476" s="3">
        <v>306104</v>
      </c>
      <c r="B476" s="3"/>
      <c r="C476" s="69" t="s">
        <v>1823</v>
      </c>
      <c r="D476" s="69" t="s">
        <v>1101</v>
      </c>
      <c r="E476" s="2"/>
      <c r="F476" s="3">
        <v>6</v>
      </c>
      <c r="G476" s="3">
        <v>1003701</v>
      </c>
      <c r="H476" s="3">
        <v>6</v>
      </c>
      <c r="I476" s="3">
        <v>4</v>
      </c>
      <c r="J476" s="3">
        <v>3</v>
      </c>
      <c r="K476" s="3">
        <v>1</v>
      </c>
      <c r="L476" s="69" t="s">
        <v>1574</v>
      </c>
      <c r="M476" s="2"/>
      <c r="N476" s="2">
        <v>3</v>
      </c>
      <c r="O476" s="69" t="s">
        <v>1813</v>
      </c>
      <c r="P476" s="3" t="s">
        <v>1615</v>
      </c>
      <c r="Q476" s="95">
        <v>25</v>
      </c>
      <c r="R476" s="133">
        <f>IF(P476=模板计算相关数据!$AB$24,VLOOKUP(X476,模板计算相关数据!$P$47:$T$50,2,0),VLOOKUP(X476,模板计算相关数据!$P$4:$U$7,3,0))*VLOOKUP(Y476,模板计算相关数据!$P$22:$X$30,8,0)</f>
        <v>60</v>
      </c>
      <c r="S476" s="62">
        <f t="shared" si="57"/>
        <v>2.0689655172413794</v>
      </c>
      <c r="T476" s="133">
        <f>IF(P476=模板计算相关数据!$AB$24,VLOOKUP(X476,模板计算相关数据!$P$47:$T$50,5,0),VLOOKUP(X476,模板计算相关数据!$P$4:$U$7,6,0))*VLOOKUP(Y476,模板计算相关数据!$P$22:$X$30,9,0)</f>
        <v>2.0689655172413794</v>
      </c>
      <c r="U476" s="98">
        <v>51</v>
      </c>
      <c r="V476" s="95">
        <f t="shared" si="56"/>
        <v>43</v>
      </c>
      <c r="W476" s="29">
        <f>VLOOKUP(U476,模板计算相关数据!A:N,2,0)</f>
        <v>40</v>
      </c>
      <c r="X476" s="3" t="s">
        <v>181</v>
      </c>
      <c r="Y476" s="3" t="s">
        <v>223</v>
      </c>
      <c r="Z476" s="99">
        <v>1</v>
      </c>
      <c r="AA476" s="95">
        <v>0.9</v>
      </c>
      <c r="AB476" s="95">
        <v>1.05</v>
      </c>
      <c r="AC476" s="95">
        <v>1.05</v>
      </c>
      <c r="AD476" s="95">
        <v>0</v>
      </c>
      <c r="AE476" s="95">
        <v>0</v>
      </c>
      <c r="AF476" s="95">
        <v>0</v>
      </c>
      <c r="AG476" s="95">
        <v>0</v>
      </c>
      <c r="AH476" s="95">
        <v>0</v>
      </c>
      <c r="AI476" s="95">
        <v>4000</v>
      </c>
      <c r="AJ476" s="3">
        <f>INT(VLOOKUP(U476,模板计算相关数据!A:N,4,0)*VLOOKUP(U476,模板计算相关数据!A:N,14,0)*(1+MAX(0,(VLOOKUP(U476,模板计算相关数据!A:N,7,0)-AQ476))*VLOOKUP(U476,模板计算相关数据!A:N,8,0))*(1-(AL476+AM476)*0.5/((AL476+AM476)*0.5+(VLOOKUP(U476,模板计算相关数据!A:N,2,0)+模板计算相关数据!$AC$27)*模板计算相关数据!$AC$28))*Q476*Z476)</f>
        <v>16867</v>
      </c>
      <c r="AK476" s="3">
        <f>INT(VLOOKUP(U476,模板计算相关数据!A:N,3,0)/模板计算相关数据!$W$35/(1+MAX(0,(AO476/10000-VLOOKUP(U476,模板计算相关数据!A:N,9,0)))*AP476/10000)/(1-VLOOKUP(U476,模板计算相关数据!A:N,5,0)/(VLOOKUP(U476,模板计算相关数据!A:N,5,0)+(VLOOKUP(U476,模板计算相关数据!A:N,2,0)+模板计算相关数据!$AC$27)*模板计算相关数据!$AC$28))/S476*AA476)</f>
        <v>4224</v>
      </c>
      <c r="AL476" s="3">
        <f>INT(VLOOKUP(U476,模板计算相关数据!A:N,5,0)*VLOOKUP(X476,模板计算相关数据!$P$4:$T$7,4,0)*VLOOKUP(Y476,模板计算相关数据!$P$22:$U$30,4,0)*AB476)</f>
        <v>6288</v>
      </c>
      <c r="AM476" s="3">
        <f>INT(VLOOKUP(U476,模板计算相关数据!A:N,6,0)*VLOOKUP(X476,模板计算相关数据!$P$4:$T$7,4,0)*VLOOKUP(Y476,模板计算相关数据!$P$22:$U$30,5,0)*AC476)</f>
        <v>6288</v>
      </c>
      <c r="AN476" s="3">
        <f>VLOOKUP(U476,模板计算相关数据!A:N,10,0)*0.5*VLOOKUP(Y476,模板计算相关数据!$P$22:$U$30,6,0)+AD476</f>
        <v>250</v>
      </c>
      <c r="AO476" s="3">
        <f>VLOOKUP(INT(VLOOKUP(U476,模板计算相关数据!A:N,2,0)/30)+1,模板计算相关数据!$O$35:$U$40,3,0)+AE476</f>
        <v>0</v>
      </c>
      <c r="AP476" s="3">
        <f>VLOOKUP(INT(VLOOKUP(U476,模板计算相关数据!A:N,2,0)/30)+1,模板计算相关数据!$O$35:$U$40,4,0)+AF476</f>
        <v>5000</v>
      </c>
      <c r="AQ476" s="3">
        <f>VLOOKUP(INT(VLOOKUP(U476,模板计算相关数据!A:N,2,0)/30)+1,模板计算相关数据!$O$35:$U$40,5,0)+AG476</f>
        <v>0</v>
      </c>
      <c r="AR476" s="3">
        <f>VLOOKUP(INT(VLOOKUP(U476,模板计算相关数据!A:N,2,0)/30)+1,模板计算相关数据!$O$35:$U$40,6,0)+AH476</f>
        <v>0</v>
      </c>
      <c r="AS476" s="3">
        <f>VLOOKUP(INT(VLOOKUP(U476,模板计算相关数据!A:N,2,0)/30)+1,模板计算相关数据!$O$35:$U$40,7,0)+AI476</f>
        <v>4000</v>
      </c>
      <c r="AT476" s="3">
        <f>VLOOKUP(INT(VLOOKUP(U476,模板计算相关数据!A:N,2,0)/30)+1,模板计算相关数据!$O$35:$V$40,8,0)</f>
        <v>0</v>
      </c>
      <c r="AU476" s="2"/>
    </row>
    <row r="477" spans="1:47" x14ac:dyDescent="0.2">
      <c r="A477" s="3">
        <v>306105</v>
      </c>
      <c r="B477" s="3"/>
      <c r="C477" s="69" t="s">
        <v>1823</v>
      </c>
      <c r="D477" s="69" t="s">
        <v>1102</v>
      </c>
      <c r="E477" s="2"/>
      <c r="F477" s="3">
        <v>6</v>
      </c>
      <c r="G477" s="3">
        <v>1003701</v>
      </c>
      <c r="H477" s="3">
        <v>6</v>
      </c>
      <c r="I477" s="3">
        <v>4</v>
      </c>
      <c r="J477" s="3">
        <v>3</v>
      </c>
      <c r="K477" s="3">
        <v>1</v>
      </c>
      <c r="L477" s="69" t="s">
        <v>1575</v>
      </c>
      <c r="M477" s="2"/>
      <c r="N477" s="2">
        <v>3</v>
      </c>
      <c r="O477" s="69" t="s">
        <v>1814</v>
      </c>
      <c r="P477" s="3" t="s">
        <v>1615</v>
      </c>
      <c r="Q477" s="95">
        <v>25</v>
      </c>
      <c r="R477" s="133">
        <f>IF(P477=模板计算相关数据!$AB$24,VLOOKUP(X477,模板计算相关数据!$P$47:$T$50,2,0),VLOOKUP(X477,模板计算相关数据!$P$4:$U$7,3,0))*VLOOKUP(Y477,模板计算相关数据!$P$22:$X$30,8,0)</f>
        <v>60</v>
      </c>
      <c r="S477" s="62">
        <f t="shared" si="57"/>
        <v>2.0689655172413794</v>
      </c>
      <c r="T477" s="133">
        <f>IF(P477=模板计算相关数据!$AB$24,VLOOKUP(X477,模板计算相关数据!$P$47:$T$50,5,0),VLOOKUP(X477,模板计算相关数据!$P$4:$U$7,6,0))*VLOOKUP(Y477,模板计算相关数据!$P$22:$X$30,9,0)</f>
        <v>2.0689655172413794</v>
      </c>
      <c r="U477" s="98">
        <v>51</v>
      </c>
      <c r="V477" s="95">
        <f t="shared" si="56"/>
        <v>43</v>
      </c>
      <c r="W477" s="29">
        <f>VLOOKUP(U477,模板计算相关数据!A:N,2,0)</f>
        <v>40</v>
      </c>
      <c r="X477" s="3" t="s">
        <v>181</v>
      </c>
      <c r="Y477" s="3" t="s">
        <v>223</v>
      </c>
      <c r="Z477" s="99">
        <v>1</v>
      </c>
      <c r="AA477" s="95">
        <v>0.9</v>
      </c>
      <c r="AB477" s="95">
        <v>1.05</v>
      </c>
      <c r="AC477" s="95">
        <v>1.05</v>
      </c>
      <c r="AD477" s="95">
        <v>0</v>
      </c>
      <c r="AE477" s="95">
        <v>0</v>
      </c>
      <c r="AF477" s="95">
        <v>0</v>
      </c>
      <c r="AG477" s="95">
        <v>0</v>
      </c>
      <c r="AH477" s="95">
        <v>0</v>
      </c>
      <c r="AI477" s="95">
        <v>4000</v>
      </c>
      <c r="AJ477" s="3">
        <f>INT(VLOOKUP(U477,模板计算相关数据!A:N,4,0)*VLOOKUP(U477,模板计算相关数据!A:N,14,0)*(1+MAX(0,(VLOOKUP(U477,模板计算相关数据!A:N,7,0)-AQ477))*VLOOKUP(U477,模板计算相关数据!A:N,8,0))*(1-(AL477+AM477)*0.5/((AL477+AM477)*0.5+(VLOOKUP(U477,模板计算相关数据!A:N,2,0)+模板计算相关数据!$AC$27)*模板计算相关数据!$AC$28))*Q477*Z477)</f>
        <v>16867</v>
      </c>
      <c r="AK477" s="3">
        <f>INT(VLOOKUP(U477,模板计算相关数据!A:N,3,0)/模板计算相关数据!$W$35/(1+MAX(0,(AO477/10000-VLOOKUP(U477,模板计算相关数据!A:N,9,0)))*AP477/10000)/(1-VLOOKUP(U477,模板计算相关数据!A:N,5,0)/(VLOOKUP(U477,模板计算相关数据!A:N,5,0)+(VLOOKUP(U477,模板计算相关数据!A:N,2,0)+模板计算相关数据!$AC$27)*模板计算相关数据!$AC$28))/S477*AA477)</f>
        <v>4224</v>
      </c>
      <c r="AL477" s="3">
        <f>INT(VLOOKUP(U477,模板计算相关数据!A:N,5,0)*VLOOKUP(X477,模板计算相关数据!$P$4:$T$7,4,0)*VLOOKUP(Y477,模板计算相关数据!$P$22:$U$30,4,0)*AB477)</f>
        <v>6288</v>
      </c>
      <c r="AM477" s="3">
        <f>INT(VLOOKUP(U477,模板计算相关数据!A:N,6,0)*VLOOKUP(X477,模板计算相关数据!$P$4:$T$7,4,0)*VLOOKUP(Y477,模板计算相关数据!$P$22:$U$30,5,0)*AC477)</f>
        <v>6288</v>
      </c>
      <c r="AN477" s="3">
        <f>VLOOKUP(U477,模板计算相关数据!A:N,10,0)*0.5*VLOOKUP(Y477,模板计算相关数据!$P$22:$U$30,6,0)+AD477</f>
        <v>250</v>
      </c>
      <c r="AO477" s="3">
        <f>VLOOKUP(INT(VLOOKUP(U477,模板计算相关数据!A:N,2,0)/30)+1,模板计算相关数据!$O$35:$U$40,3,0)+AE477</f>
        <v>0</v>
      </c>
      <c r="AP477" s="3">
        <f>VLOOKUP(INT(VLOOKUP(U477,模板计算相关数据!A:N,2,0)/30)+1,模板计算相关数据!$O$35:$U$40,4,0)+AF477</f>
        <v>5000</v>
      </c>
      <c r="AQ477" s="3">
        <f>VLOOKUP(INT(VLOOKUP(U477,模板计算相关数据!A:N,2,0)/30)+1,模板计算相关数据!$O$35:$U$40,5,0)+AG477</f>
        <v>0</v>
      </c>
      <c r="AR477" s="3">
        <f>VLOOKUP(INT(VLOOKUP(U477,模板计算相关数据!A:N,2,0)/30)+1,模板计算相关数据!$O$35:$U$40,6,0)+AH477</f>
        <v>0</v>
      </c>
      <c r="AS477" s="3">
        <f>VLOOKUP(INT(VLOOKUP(U477,模板计算相关数据!A:N,2,0)/30)+1,模板计算相关数据!$O$35:$U$40,7,0)+AI477</f>
        <v>4000</v>
      </c>
      <c r="AT477" s="3">
        <f>VLOOKUP(INT(VLOOKUP(U477,模板计算相关数据!A:N,2,0)/30)+1,模板计算相关数据!$O$35:$V$40,8,0)</f>
        <v>0</v>
      </c>
      <c r="AU477" s="2"/>
    </row>
    <row r="478" spans="1:47" x14ac:dyDescent="0.2">
      <c r="A478" s="3">
        <v>306106</v>
      </c>
      <c r="B478" s="3"/>
      <c r="C478" s="69" t="s">
        <v>1825</v>
      </c>
      <c r="D478" s="2" t="s">
        <v>1100</v>
      </c>
      <c r="E478" s="2"/>
      <c r="F478" s="3">
        <v>6</v>
      </c>
      <c r="G478" s="3">
        <v>1004001</v>
      </c>
      <c r="H478" s="3">
        <v>4</v>
      </c>
      <c r="I478" s="3">
        <v>4</v>
      </c>
      <c r="J478" s="3">
        <v>3</v>
      </c>
      <c r="K478" s="3"/>
      <c r="L478" s="69" t="s">
        <v>1815</v>
      </c>
      <c r="M478" s="2"/>
      <c r="N478" s="2">
        <v>1</v>
      </c>
      <c r="O478" s="2"/>
      <c r="P478" s="3" t="s">
        <v>1615</v>
      </c>
      <c r="Q478" s="95">
        <v>4</v>
      </c>
      <c r="R478" s="133">
        <f>IF(P478=模板计算相关数据!$AB$24,VLOOKUP(X478,模板计算相关数据!$P$47:$T$50,2,0),VLOOKUP(X478,模板计算相关数据!$P$4:$U$7,3,0))*VLOOKUP(Y478,模板计算相关数据!$P$22:$X$30,8,0)</f>
        <v>4.4674509803921572</v>
      </c>
      <c r="S478" s="62">
        <v>6</v>
      </c>
      <c r="T478" s="133">
        <f>IF(P478=模板计算相关数据!$AB$24,VLOOKUP(X478,模板计算相关数据!$P$47:$T$50,5,0),VLOOKUP(X478,模板计算相关数据!$P$4:$U$7,6,0))*VLOOKUP(Y478,模板计算相关数据!$P$22:$X$30,9,0)</f>
        <v>5.4739930589768004</v>
      </c>
      <c r="U478" s="98">
        <v>51</v>
      </c>
      <c r="V478" s="95">
        <f t="shared" si="56"/>
        <v>43</v>
      </c>
      <c r="W478" s="29">
        <f>VLOOKUP(U478,模板计算相关数据!A:N,2,0)</f>
        <v>40</v>
      </c>
      <c r="X478" s="3" t="s">
        <v>151</v>
      </c>
      <c r="Y478" s="3" t="s">
        <v>162</v>
      </c>
      <c r="Z478" s="99">
        <v>1</v>
      </c>
      <c r="AA478" s="95">
        <v>1</v>
      </c>
      <c r="AB478" s="95">
        <v>1</v>
      </c>
      <c r="AC478" s="95">
        <v>1</v>
      </c>
      <c r="AD478" s="95">
        <v>0</v>
      </c>
      <c r="AE478" s="95">
        <v>0</v>
      </c>
      <c r="AF478" s="95">
        <v>0</v>
      </c>
      <c r="AG478" s="95">
        <v>0</v>
      </c>
      <c r="AH478" s="95">
        <v>0</v>
      </c>
      <c r="AI478" s="95">
        <v>0</v>
      </c>
      <c r="AJ478" s="3">
        <f>INT(VLOOKUP(U478,模板计算相关数据!A:N,4,0)*VLOOKUP(U478,模板计算相关数据!A:N,14,0)*(1+MAX(0,(VLOOKUP(U478,模板计算相关数据!A:N,7,0)-AQ478))*VLOOKUP(U478,模板计算相关数据!A:N,8,0))*(1-(AL478+AM478)*0.5/((AL478+AM478)*0.5+(VLOOKUP(U478,模板计算相关数据!A:N,2,0)+模板计算相关数据!$AC$27)*模板计算相关数据!$AC$28))*Q478*Z478)</f>
        <v>4069</v>
      </c>
      <c r="AK478" s="3">
        <f>INT(VLOOKUP(U478,模板计算相关数据!A:N,3,0)/模板计算相关数据!$W$35/(1+MAX(0,(AO478/10000-VLOOKUP(U478,模板计算相关数据!A:N,9,0)))*AP478/10000)/(1-VLOOKUP(U478,模板计算相关数据!A:N,5,0)/(VLOOKUP(U478,模板计算相关数据!A:N,5,0)+(VLOOKUP(U478,模板计算相关数据!A:N,2,0)+模板计算相关数据!$AC$27)*模板计算相关数据!$AC$28))/S478*AA478)</f>
        <v>1618</v>
      </c>
      <c r="AL478" s="3">
        <f>INT(VLOOKUP(U478,模板计算相关数据!A:N,5,0)*VLOOKUP(X478,模板计算相关数据!$P$4:$T$7,4,0)*VLOOKUP(Y478,模板计算相关数据!$P$22:$U$30,4,0)*AB478)</f>
        <v>2044</v>
      </c>
      <c r="AM478" s="3">
        <f>INT(VLOOKUP(U478,模板计算相关数据!A:N,6,0)*VLOOKUP(X478,模板计算相关数据!$P$4:$T$7,4,0)*VLOOKUP(Y478,模板计算相关数据!$P$22:$U$30,5,0)*AC478)</f>
        <v>3449</v>
      </c>
      <c r="AN478" s="3">
        <f>VLOOKUP(U478,模板计算相关数据!A:N,10,0)*0.5*VLOOKUP(Y478,模板计算相关数据!$P$22:$U$30,6,0)+AD478</f>
        <v>250</v>
      </c>
      <c r="AO478" s="3">
        <f>VLOOKUP(INT(VLOOKUP(U478,模板计算相关数据!A:N,2,0)/30)+1,模板计算相关数据!$O$35:$U$40,3,0)+AE478</f>
        <v>0</v>
      </c>
      <c r="AP478" s="3">
        <f>VLOOKUP(INT(VLOOKUP(U478,模板计算相关数据!A:N,2,0)/30)+1,模板计算相关数据!$O$35:$U$40,4,0)+AF478</f>
        <v>5000</v>
      </c>
      <c r="AQ478" s="3">
        <f>VLOOKUP(INT(VLOOKUP(U478,模板计算相关数据!A:N,2,0)/30)+1,模板计算相关数据!$O$35:$U$40,5,0)+AG478</f>
        <v>0</v>
      </c>
      <c r="AR478" s="3">
        <f>VLOOKUP(INT(VLOOKUP(U478,模板计算相关数据!A:N,2,0)/30)+1,模板计算相关数据!$O$35:$U$40,6,0)+AH478</f>
        <v>0</v>
      </c>
      <c r="AS478" s="3">
        <f>VLOOKUP(INT(VLOOKUP(U478,模板计算相关数据!A:N,2,0)/30)+1,模板计算相关数据!$O$35:$U$40,7,0)+AI478</f>
        <v>0</v>
      </c>
      <c r="AT478" s="3">
        <f>VLOOKUP(INT(VLOOKUP(U478,模板计算相关数据!A:N,2,0)/30)+1,模板计算相关数据!$O$35:$V$40,8,0)</f>
        <v>0</v>
      </c>
      <c r="AU478" s="2"/>
    </row>
    <row r="479" spans="1:47" x14ac:dyDescent="0.2">
      <c r="A479" s="3">
        <v>306107</v>
      </c>
      <c r="B479" s="3"/>
      <c r="C479" s="69" t="s">
        <v>1825</v>
      </c>
      <c r="D479" s="2" t="s">
        <v>1101</v>
      </c>
      <c r="E479" s="2"/>
      <c r="F479" s="3">
        <v>6</v>
      </c>
      <c r="G479" s="3">
        <v>1004001</v>
      </c>
      <c r="H479" s="3">
        <v>4</v>
      </c>
      <c r="I479" s="3">
        <v>4</v>
      </c>
      <c r="J479" s="3">
        <v>3</v>
      </c>
      <c r="K479" s="3"/>
      <c r="L479" s="2" t="s">
        <v>307</v>
      </c>
      <c r="M479" s="2"/>
      <c r="N479" s="2">
        <v>1</v>
      </c>
      <c r="O479" s="2"/>
      <c r="P479" s="3" t="s">
        <v>1615</v>
      </c>
      <c r="Q479" s="95">
        <v>4</v>
      </c>
      <c r="R479" s="133">
        <f>IF(P479=模板计算相关数据!$AB$24,VLOOKUP(X479,模板计算相关数据!$P$47:$T$50,2,0),VLOOKUP(X479,模板计算相关数据!$P$4:$U$7,3,0))*VLOOKUP(Y479,模板计算相关数据!$P$22:$X$30,8,0)</f>
        <v>4.4674509803921572</v>
      </c>
      <c r="S479" s="62">
        <v>6</v>
      </c>
      <c r="T479" s="133">
        <f>IF(P479=模板计算相关数据!$AB$24,VLOOKUP(X479,模板计算相关数据!$P$47:$T$50,5,0),VLOOKUP(X479,模板计算相关数据!$P$4:$U$7,6,0))*VLOOKUP(Y479,模板计算相关数据!$P$22:$X$30,9,0)</f>
        <v>5.4739930589768004</v>
      </c>
      <c r="U479" s="98">
        <v>51</v>
      </c>
      <c r="V479" s="95">
        <f t="shared" si="56"/>
        <v>43</v>
      </c>
      <c r="W479" s="29">
        <f>VLOOKUP(U479,模板计算相关数据!A:N,2,0)</f>
        <v>40</v>
      </c>
      <c r="X479" s="3" t="s">
        <v>151</v>
      </c>
      <c r="Y479" s="3" t="s">
        <v>162</v>
      </c>
      <c r="Z479" s="99">
        <v>1</v>
      </c>
      <c r="AA479" s="95">
        <v>1</v>
      </c>
      <c r="AB479" s="95">
        <v>1</v>
      </c>
      <c r="AC479" s="95">
        <v>1</v>
      </c>
      <c r="AD479" s="95">
        <v>0</v>
      </c>
      <c r="AE479" s="95">
        <v>0</v>
      </c>
      <c r="AF479" s="95">
        <v>0</v>
      </c>
      <c r="AG479" s="95">
        <v>0</v>
      </c>
      <c r="AH479" s="95">
        <v>0</v>
      </c>
      <c r="AI479" s="95">
        <v>0</v>
      </c>
      <c r="AJ479" s="3">
        <f>INT(VLOOKUP(U479,模板计算相关数据!A:N,4,0)*VLOOKUP(U479,模板计算相关数据!A:N,14,0)*(1+MAX(0,(VLOOKUP(U479,模板计算相关数据!A:N,7,0)-AQ479))*VLOOKUP(U479,模板计算相关数据!A:N,8,0))*(1-(AL479+AM479)*0.5/((AL479+AM479)*0.5+(VLOOKUP(U479,模板计算相关数据!A:N,2,0)+模板计算相关数据!$AC$27)*模板计算相关数据!$AC$28))*Q479*Z479)</f>
        <v>4069</v>
      </c>
      <c r="AK479" s="3">
        <f>INT(VLOOKUP(U479,模板计算相关数据!A:N,3,0)/模板计算相关数据!$W$35/(1+MAX(0,(AO479/10000-VLOOKUP(U479,模板计算相关数据!A:N,9,0)))*AP479/10000)/(1-VLOOKUP(U479,模板计算相关数据!A:N,5,0)/(VLOOKUP(U479,模板计算相关数据!A:N,5,0)+(VLOOKUP(U479,模板计算相关数据!A:N,2,0)+模板计算相关数据!$AC$27)*模板计算相关数据!$AC$28))/S479*AA479)</f>
        <v>1618</v>
      </c>
      <c r="AL479" s="3">
        <f>INT(VLOOKUP(U479,模板计算相关数据!A:N,5,0)*VLOOKUP(X479,模板计算相关数据!$P$4:$T$7,4,0)*VLOOKUP(Y479,模板计算相关数据!$P$22:$U$30,4,0)*AB479)</f>
        <v>2044</v>
      </c>
      <c r="AM479" s="3">
        <f>INT(VLOOKUP(U479,模板计算相关数据!A:N,6,0)*VLOOKUP(X479,模板计算相关数据!$P$4:$T$7,4,0)*VLOOKUP(Y479,模板计算相关数据!$P$22:$U$30,5,0)*AC479)</f>
        <v>3449</v>
      </c>
      <c r="AN479" s="3">
        <f>VLOOKUP(U479,模板计算相关数据!A:N,10,0)*0.5*VLOOKUP(Y479,模板计算相关数据!$P$22:$U$30,6,0)+AD479</f>
        <v>250</v>
      </c>
      <c r="AO479" s="3">
        <f>VLOOKUP(INT(VLOOKUP(U479,模板计算相关数据!A:N,2,0)/30)+1,模板计算相关数据!$O$35:$U$40,3,0)+AE479</f>
        <v>0</v>
      </c>
      <c r="AP479" s="3">
        <f>VLOOKUP(INT(VLOOKUP(U479,模板计算相关数据!A:N,2,0)/30)+1,模板计算相关数据!$O$35:$U$40,4,0)+AF479</f>
        <v>5000</v>
      </c>
      <c r="AQ479" s="3">
        <f>VLOOKUP(INT(VLOOKUP(U479,模板计算相关数据!A:N,2,0)/30)+1,模板计算相关数据!$O$35:$U$40,5,0)+AG479</f>
        <v>0</v>
      </c>
      <c r="AR479" s="3">
        <f>VLOOKUP(INT(VLOOKUP(U479,模板计算相关数据!A:N,2,0)/30)+1,模板计算相关数据!$O$35:$U$40,6,0)+AH479</f>
        <v>0</v>
      </c>
      <c r="AS479" s="3">
        <f>VLOOKUP(INT(VLOOKUP(U479,模板计算相关数据!A:N,2,0)/30)+1,模板计算相关数据!$O$35:$U$40,7,0)+AI479</f>
        <v>0</v>
      </c>
      <c r="AT479" s="3">
        <f>VLOOKUP(INT(VLOOKUP(U479,模板计算相关数据!A:N,2,0)/30)+1,模板计算相关数据!$O$35:$V$40,8,0)</f>
        <v>0</v>
      </c>
      <c r="AU479" s="2"/>
    </row>
    <row r="480" spans="1:47" x14ac:dyDescent="0.2">
      <c r="A480" s="3">
        <v>306108</v>
      </c>
      <c r="B480" s="3"/>
      <c r="C480" s="69" t="s">
        <v>1825</v>
      </c>
      <c r="D480" s="2" t="s">
        <v>1102</v>
      </c>
      <c r="E480" s="2"/>
      <c r="F480" s="3">
        <v>6</v>
      </c>
      <c r="G480" s="3">
        <v>1004001</v>
      </c>
      <c r="H480" s="3">
        <v>4</v>
      </c>
      <c r="I480" s="3">
        <v>4</v>
      </c>
      <c r="J480" s="3">
        <v>3</v>
      </c>
      <c r="K480" s="3"/>
      <c r="L480" s="2" t="s">
        <v>308</v>
      </c>
      <c r="M480" s="2"/>
      <c r="N480" s="2">
        <v>1</v>
      </c>
      <c r="O480" s="2"/>
      <c r="P480" s="3" t="s">
        <v>1615</v>
      </c>
      <c r="Q480" s="95">
        <v>4</v>
      </c>
      <c r="R480" s="133">
        <f>IF(P480=模板计算相关数据!$AB$24,VLOOKUP(X480,模板计算相关数据!$P$47:$T$50,2,0),VLOOKUP(X480,模板计算相关数据!$P$4:$U$7,3,0))*VLOOKUP(Y480,模板计算相关数据!$P$22:$X$30,8,0)</f>
        <v>4.4674509803921572</v>
      </c>
      <c r="S480" s="62">
        <v>6</v>
      </c>
      <c r="T480" s="133">
        <f>IF(P480=模板计算相关数据!$AB$24,VLOOKUP(X480,模板计算相关数据!$P$47:$T$50,5,0),VLOOKUP(X480,模板计算相关数据!$P$4:$U$7,6,0))*VLOOKUP(Y480,模板计算相关数据!$P$22:$X$30,9,0)</f>
        <v>5.4739930589768004</v>
      </c>
      <c r="U480" s="98">
        <v>51</v>
      </c>
      <c r="V480" s="95">
        <f t="shared" si="56"/>
        <v>43</v>
      </c>
      <c r="W480" s="29">
        <f>VLOOKUP(U480,模板计算相关数据!A:N,2,0)</f>
        <v>40</v>
      </c>
      <c r="X480" s="3" t="s">
        <v>151</v>
      </c>
      <c r="Y480" s="3" t="s">
        <v>162</v>
      </c>
      <c r="Z480" s="99">
        <v>1</v>
      </c>
      <c r="AA480" s="95">
        <v>1</v>
      </c>
      <c r="AB480" s="95">
        <v>1</v>
      </c>
      <c r="AC480" s="95">
        <v>1</v>
      </c>
      <c r="AD480" s="95">
        <v>0</v>
      </c>
      <c r="AE480" s="95">
        <v>0</v>
      </c>
      <c r="AF480" s="95">
        <v>0</v>
      </c>
      <c r="AG480" s="95">
        <v>0</v>
      </c>
      <c r="AH480" s="95">
        <v>0</v>
      </c>
      <c r="AI480" s="95">
        <v>0</v>
      </c>
      <c r="AJ480" s="3">
        <f>INT(VLOOKUP(U480,模板计算相关数据!A:N,4,0)*VLOOKUP(U480,模板计算相关数据!A:N,14,0)*(1+MAX(0,(VLOOKUP(U480,模板计算相关数据!A:N,7,0)-AQ480))*VLOOKUP(U480,模板计算相关数据!A:N,8,0))*(1-(AL480+AM480)*0.5/((AL480+AM480)*0.5+(VLOOKUP(U480,模板计算相关数据!A:N,2,0)+模板计算相关数据!$AC$27)*模板计算相关数据!$AC$28))*Q480*Z480)</f>
        <v>4069</v>
      </c>
      <c r="AK480" s="3">
        <f>INT(VLOOKUP(U480,模板计算相关数据!A:N,3,0)/模板计算相关数据!$W$35/(1+MAX(0,(AO480/10000-VLOOKUP(U480,模板计算相关数据!A:N,9,0)))*AP480/10000)/(1-VLOOKUP(U480,模板计算相关数据!A:N,5,0)/(VLOOKUP(U480,模板计算相关数据!A:N,5,0)+(VLOOKUP(U480,模板计算相关数据!A:N,2,0)+模板计算相关数据!$AC$27)*模板计算相关数据!$AC$28))/S480*AA480)</f>
        <v>1618</v>
      </c>
      <c r="AL480" s="3">
        <f>INT(VLOOKUP(U480,模板计算相关数据!A:N,5,0)*VLOOKUP(X480,模板计算相关数据!$P$4:$T$7,4,0)*VLOOKUP(Y480,模板计算相关数据!$P$22:$U$30,4,0)*AB480)</f>
        <v>2044</v>
      </c>
      <c r="AM480" s="3">
        <f>INT(VLOOKUP(U480,模板计算相关数据!A:N,6,0)*VLOOKUP(X480,模板计算相关数据!$P$4:$T$7,4,0)*VLOOKUP(Y480,模板计算相关数据!$P$22:$U$30,5,0)*AC480)</f>
        <v>3449</v>
      </c>
      <c r="AN480" s="3">
        <f>VLOOKUP(U480,模板计算相关数据!A:N,10,0)*0.5*VLOOKUP(Y480,模板计算相关数据!$P$22:$U$30,6,0)+AD480</f>
        <v>250</v>
      </c>
      <c r="AO480" s="3">
        <f>VLOOKUP(INT(VLOOKUP(U480,模板计算相关数据!A:N,2,0)/30)+1,模板计算相关数据!$O$35:$U$40,3,0)+AE480</f>
        <v>0</v>
      </c>
      <c r="AP480" s="3">
        <f>VLOOKUP(INT(VLOOKUP(U480,模板计算相关数据!A:N,2,0)/30)+1,模板计算相关数据!$O$35:$U$40,4,0)+AF480</f>
        <v>5000</v>
      </c>
      <c r="AQ480" s="3">
        <f>VLOOKUP(INT(VLOOKUP(U480,模板计算相关数据!A:N,2,0)/30)+1,模板计算相关数据!$O$35:$U$40,5,0)+AG480</f>
        <v>0</v>
      </c>
      <c r="AR480" s="3">
        <f>VLOOKUP(INT(VLOOKUP(U480,模板计算相关数据!A:N,2,0)/30)+1,模板计算相关数据!$O$35:$U$40,6,0)+AH480</f>
        <v>0</v>
      </c>
      <c r="AS480" s="3">
        <f>VLOOKUP(INT(VLOOKUP(U480,模板计算相关数据!A:N,2,0)/30)+1,模板计算相关数据!$O$35:$U$40,7,0)+AI480</f>
        <v>0</v>
      </c>
      <c r="AT480" s="3">
        <f>VLOOKUP(INT(VLOOKUP(U480,模板计算相关数据!A:N,2,0)/30)+1,模板计算相关数据!$O$35:$V$40,8,0)</f>
        <v>0</v>
      </c>
      <c r="AU480" s="2"/>
    </row>
    <row r="481" spans="1:47" s="149" customFormat="1" x14ac:dyDescent="0.2">
      <c r="A481" s="43">
        <v>306201</v>
      </c>
      <c r="B481" s="43"/>
      <c r="C481" s="17" t="s">
        <v>309</v>
      </c>
      <c r="D481" s="25" t="s">
        <v>1103</v>
      </c>
      <c r="E481" s="17"/>
      <c r="F481" s="43">
        <v>2</v>
      </c>
      <c r="G481" s="152">
        <v>101</v>
      </c>
      <c r="H481" s="43">
        <v>6</v>
      </c>
      <c r="I481" s="43">
        <v>4</v>
      </c>
      <c r="J481" s="43">
        <v>3</v>
      </c>
      <c r="K481" s="43">
        <v>1</v>
      </c>
      <c r="L481" s="25" t="s">
        <v>1576</v>
      </c>
      <c r="M481" s="17"/>
      <c r="N481" s="17">
        <v>3</v>
      </c>
      <c r="O481" s="25" t="s">
        <v>1577</v>
      </c>
      <c r="P481" s="43" t="s">
        <v>1615</v>
      </c>
      <c r="Q481" s="147">
        <v>30</v>
      </c>
      <c r="R481" s="133">
        <f>IF(P481=模板计算相关数据!$AB$24,VLOOKUP(X481,模板计算相关数据!$P$47:$T$50,2,0),VLOOKUP(X481,模板计算相关数据!$P$4:$U$7,3,0))*VLOOKUP(Y481,模板计算相关数据!$P$22:$X$30,8,0)</f>
        <v>60</v>
      </c>
      <c r="S481" s="42">
        <v>3</v>
      </c>
      <c r="T481" s="133">
        <f>IF(P481=模板计算相关数据!$AB$24,VLOOKUP(X481,模板计算相关数据!$P$47:$T$50,5,0),VLOOKUP(X481,模板计算相关数据!$P$4:$U$7,6,0))*VLOOKUP(Y481,模板计算相关数据!$P$22:$X$30,9,0)</f>
        <v>2.0689655172413794</v>
      </c>
      <c r="U481" s="150">
        <v>49</v>
      </c>
      <c r="V481" s="95">
        <f t="shared" si="56"/>
        <v>19</v>
      </c>
      <c r="W481" s="29">
        <f>VLOOKUP(U481,模板计算相关数据!A:N,2,0)</f>
        <v>16</v>
      </c>
      <c r="X481" s="43" t="s">
        <v>181</v>
      </c>
      <c r="Y481" s="43" t="s">
        <v>223</v>
      </c>
      <c r="Z481" s="148">
        <v>0.95</v>
      </c>
      <c r="AA481" s="147">
        <v>1.05</v>
      </c>
      <c r="AB481" s="147">
        <v>1.1000000000000001</v>
      </c>
      <c r="AC481" s="147">
        <v>1.1000000000000001</v>
      </c>
      <c r="AD481" s="147">
        <v>0</v>
      </c>
      <c r="AE481" s="147">
        <v>0</v>
      </c>
      <c r="AF481" s="147">
        <v>0</v>
      </c>
      <c r="AG481" s="147">
        <v>0</v>
      </c>
      <c r="AH481" s="147">
        <v>0</v>
      </c>
      <c r="AI481" s="147">
        <v>3000</v>
      </c>
      <c r="AJ481" s="43">
        <f>INT(VLOOKUP(U481,模板计算相关数据!A:N,4,0)*VLOOKUP(U481,模板计算相关数据!A:N,14,0)*(1+MAX(0,(VLOOKUP(U481,模板计算相关数据!A:N,7,0)-AQ481))*VLOOKUP(U481,模板计算相关数据!A:N,8,0))*(1-(AL481+AM481)*0.5/((AL481+AM481)*0.5+(VLOOKUP(U481,模板计算相关数据!A:N,2,0)+模板计算相关数据!$AC$27)*模板计算相关数据!$AC$28))*Q481*Z481)</f>
        <v>6473</v>
      </c>
      <c r="AK481" s="43">
        <f>INT(VLOOKUP(U481,模板计算相关数据!A:N,3,0)/模板计算相关数据!$W$35/(1+MAX(0,(AO481/10000-VLOOKUP(U481,模板计算相关数据!A:N,9,0)))*AP481/10000)/(1-VLOOKUP(U481,模板计算相关数据!A:N,5,0)/(VLOOKUP(U481,模板计算相关数据!A:N,5,0)+(VLOOKUP(U481,模板计算相关数据!A:N,2,0)+模板计算相关数据!$AC$27)*模板计算相关数据!$AC$28))/S481*AA481)</f>
        <v>750</v>
      </c>
      <c r="AL481" s="43">
        <f>INT(VLOOKUP(U481,模板计算相关数据!A:N,5,0)*VLOOKUP(X481,模板计算相关数据!$P$4:$T$7,4,0)*VLOOKUP(Y481,模板计算相关数据!$P$22:$U$30,4,0)*AB481)</f>
        <v>1709</v>
      </c>
      <c r="AM481" s="43">
        <f>INT(VLOOKUP(U481,模板计算相关数据!A:N,6,0)*VLOOKUP(X481,模板计算相关数据!$P$4:$T$7,4,0)*VLOOKUP(Y481,模板计算相关数据!$P$22:$U$30,5,0)*AC481)</f>
        <v>1709</v>
      </c>
      <c r="AN481" s="43">
        <f>VLOOKUP(U481,模板计算相关数据!A:N,10,0)*0.5*VLOOKUP(Y481,模板计算相关数据!$P$22:$U$30,6,0)+AD481</f>
        <v>250</v>
      </c>
      <c r="AO481" s="43">
        <f>VLOOKUP(INT(VLOOKUP(U481,模板计算相关数据!A:N,2,0)/30)+1,模板计算相关数据!$O$35:$U$40,3,0)+AE481</f>
        <v>0</v>
      </c>
      <c r="AP481" s="43">
        <f>VLOOKUP(INT(VLOOKUP(U481,模板计算相关数据!A:N,2,0)/30)+1,模板计算相关数据!$O$35:$U$40,4,0)+AF481</f>
        <v>5000</v>
      </c>
      <c r="AQ481" s="43">
        <f>VLOOKUP(INT(VLOOKUP(U481,模板计算相关数据!A:N,2,0)/30)+1,模板计算相关数据!$O$35:$U$40,5,0)+AG481</f>
        <v>0</v>
      </c>
      <c r="AR481" s="43">
        <f>VLOOKUP(INT(VLOOKUP(U481,模板计算相关数据!A:N,2,0)/30)+1,模板计算相关数据!$O$35:$U$40,6,0)+AH481</f>
        <v>0</v>
      </c>
      <c r="AS481" s="43">
        <f>VLOOKUP(INT(VLOOKUP(U481,模板计算相关数据!A:N,2,0)/30)+1,模板计算相关数据!$O$35:$U$40,7,0)+AI481</f>
        <v>3000</v>
      </c>
      <c r="AT481" s="43">
        <f>VLOOKUP(INT(VLOOKUP(U481,模板计算相关数据!A:N,2,0)/30)+1,模板计算相关数据!$O$35:$V$40,8,0)</f>
        <v>0</v>
      </c>
      <c r="AU481" s="17"/>
    </row>
    <row r="482" spans="1:47" x14ac:dyDescent="0.2">
      <c r="A482" s="3">
        <v>306202</v>
      </c>
      <c r="B482" s="3"/>
      <c r="C482" s="2" t="s">
        <v>309</v>
      </c>
      <c r="D482" s="69" t="s">
        <v>1104</v>
      </c>
      <c r="E482" s="2"/>
      <c r="F482" s="3">
        <v>2</v>
      </c>
      <c r="G482" s="127">
        <v>101</v>
      </c>
      <c r="H482" s="3">
        <v>6</v>
      </c>
      <c r="I482" s="3">
        <v>4</v>
      </c>
      <c r="J482" s="3">
        <v>3</v>
      </c>
      <c r="K482" s="3">
        <v>1</v>
      </c>
      <c r="L482" s="69" t="s">
        <v>1578</v>
      </c>
      <c r="M482" s="2"/>
      <c r="N482" s="2">
        <v>3</v>
      </c>
      <c r="O482" s="69" t="s">
        <v>1579</v>
      </c>
      <c r="P482" s="3" t="s">
        <v>1615</v>
      </c>
      <c r="Q482" s="95">
        <v>35</v>
      </c>
      <c r="R482" s="133">
        <f>IF(P482=模板计算相关数据!$AB$24,VLOOKUP(X482,模板计算相关数据!$P$47:$T$50,2,0),VLOOKUP(X482,模板计算相关数据!$P$4:$U$7,3,0))*VLOOKUP(Y482,模板计算相关数据!$P$22:$X$30,8,0)</f>
        <v>60</v>
      </c>
      <c r="S482" s="62">
        <v>3</v>
      </c>
      <c r="T482" s="133">
        <f>IF(P482=模板计算相关数据!$AB$24,VLOOKUP(X482,模板计算相关数据!$P$47:$T$50,5,0),VLOOKUP(X482,模板计算相关数据!$P$4:$U$7,6,0))*VLOOKUP(Y482,模板计算相关数据!$P$22:$X$30,9,0)</f>
        <v>2.0689655172413794</v>
      </c>
      <c r="U482" s="98">
        <v>50</v>
      </c>
      <c r="V482" s="95">
        <f t="shared" si="56"/>
        <v>31</v>
      </c>
      <c r="W482" s="29">
        <f>VLOOKUP(U482,模板计算相关数据!A:N,2,0)</f>
        <v>28</v>
      </c>
      <c r="X482" s="3" t="s">
        <v>181</v>
      </c>
      <c r="Y482" s="3" t="s">
        <v>223</v>
      </c>
      <c r="Z482" s="99">
        <v>0.95</v>
      </c>
      <c r="AA482" s="95">
        <v>1.05</v>
      </c>
      <c r="AB482" s="95">
        <v>1.1000000000000001</v>
      </c>
      <c r="AC482" s="95">
        <v>1.1000000000000001</v>
      </c>
      <c r="AD482" s="95">
        <v>0</v>
      </c>
      <c r="AE482" s="95">
        <v>0</v>
      </c>
      <c r="AF482" s="95">
        <v>0</v>
      </c>
      <c r="AG482" s="95">
        <v>0</v>
      </c>
      <c r="AH482" s="95">
        <v>0</v>
      </c>
      <c r="AI482" s="95">
        <v>3000</v>
      </c>
      <c r="AJ482" s="3">
        <f>INT(VLOOKUP(U482,模板计算相关数据!A:N,4,0)*VLOOKUP(U482,模板计算相关数据!A:N,14,0)*(1+MAX(0,(VLOOKUP(U482,模板计算相关数据!A:N,7,0)-AQ482))*VLOOKUP(U482,模板计算相关数据!A:N,8,0))*(1-(AL482+AM482)*0.5/((AL482+AM482)*0.5+(VLOOKUP(U482,模板计算相关数据!A:N,2,0)+模板计算相关数据!$AC$27)*模板计算相关数据!$AC$28))*Q482*Z482)</f>
        <v>14438</v>
      </c>
      <c r="AK482" s="3">
        <f>INT(VLOOKUP(U482,模板计算相关数据!A:N,3,0)/模板计算相关数据!$W$35/(1+MAX(0,(AO482/10000-VLOOKUP(U482,模板计算相关数据!A:N,9,0)))*AP482/10000)/(1-VLOOKUP(U482,模板计算相关数据!A:N,5,0)/(VLOOKUP(U482,模板计算相关数据!A:N,5,0)+(VLOOKUP(U482,模板计算相关数据!A:N,2,0)+模板计算相关数据!$AC$27)*模板计算相关数据!$AC$28))/S482*AA482)</f>
        <v>1985</v>
      </c>
      <c r="AL482" s="3">
        <f>INT(VLOOKUP(U482,模板计算相关数据!A:N,5,0)*VLOOKUP(X482,模板计算相关数据!$P$4:$T$7,4,0)*VLOOKUP(Y482,模板计算相关数据!$P$22:$U$30,4,0)*AB482)</f>
        <v>4065</v>
      </c>
      <c r="AM482" s="3">
        <f>INT(VLOOKUP(U482,模板计算相关数据!A:N,6,0)*VLOOKUP(X482,模板计算相关数据!$P$4:$T$7,4,0)*VLOOKUP(Y482,模板计算相关数据!$P$22:$U$30,5,0)*AC482)</f>
        <v>4065</v>
      </c>
      <c r="AN482" s="3">
        <f>VLOOKUP(U482,模板计算相关数据!A:N,10,0)*0.5*VLOOKUP(Y482,模板计算相关数据!$P$22:$U$30,6,0)+AD482</f>
        <v>250</v>
      </c>
      <c r="AO482" s="3">
        <f>VLOOKUP(INT(VLOOKUP(U482,模板计算相关数据!A:N,2,0)/30)+1,模板计算相关数据!$O$35:$U$40,3,0)+AE482</f>
        <v>0</v>
      </c>
      <c r="AP482" s="3">
        <f>VLOOKUP(INT(VLOOKUP(U482,模板计算相关数据!A:N,2,0)/30)+1,模板计算相关数据!$O$35:$U$40,4,0)+AF482</f>
        <v>5000</v>
      </c>
      <c r="AQ482" s="3">
        <f>VLOOKUP(INT(VLOOKUP(U482,模板计算相关数据!A:N,2,0)/30)+1,模板计算相关数据!$O$35:$U$40,5,0)+AG482</f>
        <v>0</v>
      </c>
      <c r="AR482" s="3">
        <f>VLOOKUP(INT(VLOOKUP(U482,模板计算相关数据!A:N,2,0)/30)+1,模板计算相关数据!$O$35:$U$40,6,0)+AH482</f>
        <v>0</v>
      </c>
      <c r="AS482" s="3">
        <f>VLOOKUP(INT(VLOOKUP(U482,模板计算相关数据!A:N,2,0)/30)+1,模板计算相关数据!$O$35:$U$40,7,0)+AI482</f>
        <v>3000</v>
      </c>
      <c r="AT482" s="3">
        <f>VLOOKUP(INT(VLOOKUP(U482,模板计算相关数据!A:N,2,0)/30)+1,模板计算相关数据!$O$35:$V$40,8,0)</f>
        <v>0</v>
      </c>
      <c r="AU482" s="2"/>
    </row>
    <row r="483" spans="1:47" x14ac:dyDescent="0.2">
      <c r="A483" s="3">
        <v>306203</v>
      </c>
      <c r="B483" s="3"/>
      <c r="C483" s="2" t="s">
        <v>309</v>
      </c>
      <c r="D483" s="69" t="s">
        <v>1105</v>
      </c>
      <c r="E483" s="2"/>
      <c r="F483" s="3">
        <v>2</v>
      </c>
      <c r="G483" s="127">
        <v>101</v>
      </c>
      <c r="H483" s="3">
        <v>6</v>
      </c>
      <c r="I483" s="3">
        <v>4</v>
      </c>
      <c r="J483" s="3">
        <v>3</v>
      </c>
      <c r="K483" s="3">
        <v>1</v>
      </c>
      <c r="L483" s="69" t="s">
        <v>1583</v>
      </c>
      <c r="M483" s="2"/>
      <c r="N483" s="2">
        <v>3</v>
      </c>
      <c r="O483" s="69" t="s">
        <v>1580</v>
      </c>
      <c r="P483" s="3" t="s">
        <v>1615</v>
      </c>
      <c r="Q483" s="95">
        <v>35</v>
      </c>
      <c r="R483" s="133">
        <f>IF(P483=模板计算相关数据!$AB$24,VLOOKUP(X483,模板计算相关数据!$P$47:$T$50,2,0),VLOOKUP(X483,模板计算相关数据!$P$4:$U$7,3,0))*VLOOKUP(Y483,模板计算相关数据!$P$22:$X$30,8,0)</f>
        <v>60</v>
      </c>
      <c r="S483" s="62">
        <v>3</v>
      </c>
      <c r="T483" s="133">
        <f>IF(P483=模板计算相关数据!$AB$24,VLOOKUP(X483,模板计算相关数据!$P$47:$T$50,5,0),VLOOKUP(X483,模板计算相关数据!$P$4:$U$7,6,0))*VLOOKUP(Y483,模板计算相关数据!$P$22:$X$30,9,0)</f>
        <v>2.0689655172413794</v>
      </c>
      <c r="U483" s="98">
        <v>51</v>
      </c>
      <c r="V483" s="95">
        <f t="shared" si="56"/>
        <v>43</v>
      </c>
      <c r="W483" s="29">
        <f>VLOOKUP(U483,模板计算相关数据!A:N,2,0)</f>
        <v>40</v>
      </c>
      <c r="X483" s="3" t="s">
        <v>181</v>
      </c>
      <c r="Y483" s="3" t="s">
        <v>223</v>
      </c>
      <c r="Z483" s="99">
        <v>0.95</v>
      </c>
      <c r="AA483" s="95">
        <v>1.05</v>
      </c>
      <c r="AB483" s="95">
        <v>1.1000000000000001</v>
      </c>
      <c r="AC483" s="95">
        <v>1.1000000000000001</v>
      </c>
      <c r="AD483" s="95">
        <v>0</v>
      </c>
      <c r="AE483" s="95">
        <v>0</v>
      </c>
      <c r="AF483" s="95">
        <v>0</v>
      </c>
      <c r="AG483" s="95">
        <v>0</v>
      </c>
      <c r="AH483" s="95">
        <v>0</v>
      </c>
      <c r="AI483" s="95">
        <v>4000</v>
      </c>
      <c r="AJ483" s="3">
        <f>INT(VLOOKUP(U483,模板计算相关数据!A:N,4,0)*VLOOKUP(U483,模板计算相关数据!A:N,14,0)*(1+MAX(0,(VLOOKUP(U483,模板计算相关数据!A:N,7,0)-AQ483))*VLOOKUP(U483,模板计算相关数据!A:N,8,0))*(1-(AL483+AM483)*0.5/((AL483+AM483)*0.5+(VLOOKUP(U483,模板计算相关数据!A:N,2,0)+模板计算相关数据!$AC$27)*模板计算相关数据!$AC$28))*Q483*Z483)</f>
        <v>21810</v>
      </c>
      <c r="AK483" s="3">
        <f>INT(VLOOKUP(U483,模板计算相关数据!A:N,3,0)/模板计算相关数据!$W$35/(1+MAX(0,(AO483/10000-VLOOKUP(U483,模板计算相关数据!A:N,9,0)))*AP483/10000)/(1-VLOOKUP(U483,模板计算相关数据!A:N,5,0)/(VLOOKUP(U483,模板计算相关数据!A:N,5,0)+(VLOOKUP(U483,模板计算相关数据!A:N,2,0)+模板计算相关数据!$AC$27)*模板计算相关数据!$AC$28))/S483*AA483)</f>
        <v>3399</v>
      </c>
      <c r="AL483" s="3">
        <f>INT(VLOOKUP(U483,模板计算相关数据!A:N,5,0)*VLOOKUP(X483,模板计算相关数据!$P$4:$T$7,4,0)*VLOOKUP(Y483,模板计算相关数据!$P$22:$U$30,4,0)*AB483)</f>
        <v>6588</v>
      </c>
      <c r="AM483" s="3">
        <f>INT(VLOOKUP(U483,模板计算相关数据!A:N,6,0)*VLOOKUP(X483,模板计算相关数据!$P$4:$T$7,4,0)*VLOOKUP(Y483,模板计算相关数据!$P$22:$U$30,5,0)*AC483)</f>
        <v>6588</v>
      </c>
      <c r="AN483" s="3">
        <f>VLOOKUP(U483,模板计算相关数据!A:N,10,0)*0.5*VLOOKUP(Y483,模板计算相关数据!$P$22:$U$30,6,0)+AD483</f>
        <v>250</v>
      </c>
      <c r="AO483" s="3">
        <f>VLOOKUP(INT(VLOOKUP(U483,模板计算相关数据!A:N,2,0)/30)+1,模板计算相关数据!$O$35:$U$40,3,0)+AE483</f>
        <v>0</v>
      </c>
      <c r="AP483" s="3">
        <f>VLOOKUP(INT(VLOOKUP(U483,模板计算相关数据!A:N,2,0)/30)+1,模板计算相关数据!$O$35:$U$40,4,0)+AF483</f>
        <v>5000</v>
      </c>
      <c r="AQ483" s="3">
        <f>VLOOKUP(INT(VLOOKUP(U483,模板计算相关数据!A:N,2,0)/30)+1,模板计算相关数据!$O$35:$U$40,5,0)+AG483</f>
        <v>0</v>
      </c>
      <c r="AR483" s="3">
        <f>VLOOKUP(INT(VLOOKUP(U483,模板计算相关数据!A:N,2,0)/30)+1,模板计算相关数据!$O$35:$U$40,6,0)+AH483</f>
        <v>0</v>
      </c>
      <c r="AS483" s="3">
        <f>VLOOKUP(INT(VLOOKUP(U483,模板计算相关数据!A:N,2,0)/30)+1,模板计算相关数据!$O$35:$U$40,7,0)+AI483</f>
        <v>4000</v>
      </c>
      <c r="AT483" s="3">
        <f>VLOOKUP(INT(VLOOKUP(U483,模板计算相关数据!A:N,2,0)/30)+1,模板计算相关数据!$O$35:$V$40,8,0)</f>
        <v>0</v>
      </c>
      <c r="AU483" s="2"/>
    </row>
    <row r="484" spans="1:47" x14ac:dyDescent="0.2">
      <c r="A484" s="3">
        <v>306204</v>
      </c>
      <c r="B484" s="3"/>
      <c r="C484" s="2" t="s">
        <v>309</v>
      </c>
      <c r="D484" s="69" t="s">
        <v>1106</v>
      </c>
      <c r="E484" s="2"/>
      <c r="F484" s="3">
        <v>2</v>
      </c>
      <c r="G484" s="127">
        <v>101</v>
      </c>
      <c r="H484" s="3">
        <v>6</v>
      </c>
      <c r="I484" s="3">
        <v>4</v>
      </c>
      <c r="J484" s="3">
        <v>3</v>
      </c>
      <c r="K484" s="3">
        <v>1</v>
      </c>
      <c r="L484" s="69" t="s">
        <v>1584</v>
      </c>
      <c r="M484" s="2"/>
      <c r="N484" s="2">
        <v>3</v>
      </c>
      <c r="O484" s="69" t="s">
        <v>1581</v>
      </c>
      <c r="P484" s="3" t="s">
        <v>1615</v>
      </c>
      <c r="Q484" s="95">
        <v>40</v>
      </c>
      <c r="R484" s="133">
        <f>IF(P484=模板计算相关数据!$AB$24,VLOOKUP(X484,模板计算相关数据!$P$47:$T$50,2,0),VLOOKUP(X484,模板计算相关数据!$P$4:$U$7,3,0))*VLOOKUP(Y484,模板计算相关数据!$P$22:$X$30,8,0)</f>
        <v>60</v>
      </c>
      <c r="S484" s="62">
        <v>3</v>
      </c>
      <c r="T484" s="133">
        <f>IF(P484=模板计算相关数据!$AB$24,VLOOKUP(X484,模板计算相关数据!$P$47:$T$50,5,0),VLOOKUP(X484,模板计算相关数据!$P$4:$U$7,6,0))*VLOOKUP(Y484,模板计算相关数据!$P$22:$X$30,9,0)</f>
        <v>2.0689655172413794</v>
      </c>
      <c r="U484" s="98">
        <v>51</v>
      </c>
      <c r="V484" s="95">
        <f t="shared" si="56"/>
        <v>43</v>
      </c>
      <c r="W484" s="29">
        <f>VLOOKUP(U484,模板计算相关数据!A:N,2,0)</f>
        <v>40</v>
      </c>
      <c r="X484" s="3" t="s">
        <v>181</v>
      </c>
      <c r="Y484" s="3" t="s">
        <v>223</v>
      </c>
      <c r="Z484" s="99">
        <v>0.95</v>
      </c>
      <c r="AA484" s="95">
        <v>1.05</v>
      </c>
      <c r="AB484" s="95">
        <v>1.1000000000000001</v>
      </c>
      <c r="AC484" s="95">
        <v>1.1000000000000001</v>
      </c>
      <c r="AD484" s="95">
        <v>0</v>
      </c>
      <c r="AE484" s="95">
        <v>0</v>
      </c>
      <c r="AF484" s="95">
        <v>0</v>
      </c>
      <c r="AG484" s="95">
        <v>0</v>
      </c>
      <c r="AH484" s="95">
        <v>0</v>
      </c>
      <c r="AI484" s="95">
        <v>4000</v>
      </c>
      <c r="AJ484" s="3">
        <f>INT(VLOOKUP(U484,模板计算相关数据!A:N,4,0)*VLOOKUP(U484,模板计算相关数据!A:N,14,0)*(1+MAX(0,(VLOOKUP(U484,模板计算相关数据!A:N,7,0)-AQ484))*VLOOKUP(U484,模板计算相关数据!A:N,8,0))*(1-(AL484+AM484)*0.5/((AL484+AM484)*0.5+(VLOOKUP(U484,模板计算相关数据!A:N,2,0)+模板计算相关数据!$AC$27)*模板计算相关数据!$AC$28))*Q484*Z484)</f>
        <v>24926</v>
      </c>
      <c r="AK484" s="3">
        <f>INT(VLOOKUP(U484,模板计算相关数据!A:N,3,0)/模板计算相关数据!$W$35/(1+MAX(0,(AO484/10000-VLOOKUP(U484,模板计算相关数据!A:N,9,0)))*AP484/10000)/(1-VLOOKUP(U484,模板计算相关数据!A:N,5,0)/(VLOOKUP(U484,模板计算相关数据!A:N,5,0)+(VLOOKUP(U484,模板计算相关数据!A:N,2,0)+模板计算相关数据!$AC$27)*模板计算相关数据!$AC$28))/S484*AA484)</f>
        <v>3399</v>
      </c>
      <c r="AL484" s="3">
        <f>INT(VLOOKUP(U484,模板计算相关数据!A:N,5,0)*VLOOKUP(X484,模板计算相关数据!$P$4:$T$7,4,0)*VLOOKUP(Y484,模板计算相关数据!$P$22:$U$30,4,0)*AB484)</f>
        <v>6588</v>
      </c>
      <c r="AM484" s="3">
        <f>INT(VLOOKUP(U484,模板计算相关数据!A:N,6,0)*VLOOKUP(X484,模板计算相关数据!$P$4:$T$7,4,0)*VLOOKUP(Y484,模板计算相关数据!$P$22:$U$30,5,0)*AC484)</f>
        <v>6588</v>
      </c>
      <c r="AN484" s="3">
        <f>VLOOKUP(U484,模板计算相关数据!A:N,10,0)*0.5*VLOOKUP(Y484,模板计算相关数据!$P$22:$U$30,6,0)+AD484</f>
        <v>250</v>
      </c>
      <c r="AO484" s="3">
        <f>VLOOKUP(INT(VLOOKUP(U484,模板计算相关数据!A:N,2,0)/30)+1,模板计算相关数据!$O$35:$U$40,3,0)+AE484</f>
        <v>0</v>
      </c>
      <c r="AP484" s="3">
        <f>VLOOKUP(INT(VLOOKUP(U484,模板计算相关数据!A:N,2,0)/30)+1,模板计算相关数据!$O$35:$U$40,4,0)+AF484</f>
        <v>5000</v>
      </c>
      <c r="AQ484" s="3">
        <f>VLOOKUP(INT(VLOOKUP(U484,模板计算相关数据!A:N,2,0)/30)+1,模板计算相关数据!$O$35:$U$40,5,0)+AG484</f>
        <v>0</v>
      </c>
      <c r="AR484" s="3">
        <f>VLOOKUP(INT(VLOOKUP(U484,模板计算相关数据!A:N,2,0)/30)+1,模板计算相关数据!$O$35:$U$40,6,0)+AH484</f>
        <v>0</v>
      </c>
      <c r="AS484" s="3">
        <f>VLOOKUP(INT(VLOOKUP(U484,模板计算相关数据!A:N,2,0)/30)+1,模板计算相关数据!$O$35:$U$40,7,0)+AI484</f>
        <v>4000</v>
      </c>
      <c r="AT484" s="3">
        <f>VLOOKUP(INT(VLOOKUP(U484,模板计算相关数据!A:N,2,0)/30)+1,模板计算相关数据!$O$35:$V$40,8,0)</f>
        <v>0</v>
      </c>
      <c r="AU484" s="2"/>
    </row>
    <row r="485" spans="1:47" x14ac:dyDescent="0.2">
      <c r="A485" s="3">
        <v>306205</v>
      </c>
      <c r="B485" s="3"/>
      <c r="C485" s="2" t="s">
        <v>309</v>
      </c>
      <c r="D485" s="69" t="s">
        <v>1107</v>
      </c>
      <c r="E485" s="2"/>
      <c r="F485" s="3">
        <v>2</v>
      </c>
      <c r="G485" s="127">
        <v>101</v>
      </c>
      <c r="H485" s="3">
        <v>6</v>
      </c>
      <c r="I485" s="3">
        <v>4</v>
      </c>
      <c r="J485" s="3">
        <v>3</v>
      </c>
      <c r="K485" s="3">
        <v>1</v>
      </c>
      <c r="L485" s="69" t="s">
        <v>1585</v>
      </c>
      <c r="M485" s="2"/>
      <c r="N485" s="2">
        <v>3</v>
      </c>
      <c r="O485" s="69" t="s">
        <v>1582</v>
      </c>
      <c r="P485" s="3" t="s">
        <v>1615</v>
      </c>
      <c r="Q485" s="95">
        <v>40</v>
      </c>
      <c r="R485" s="133">
        <f>IF(P485=模板计算相关数据!$AB$24,VLOOKUP(X485,模板计算相关数据!$P$47:$T$50,2,0),VLOOKUP(X485,模板计算相关数据!$P$4:$U$7,3,0))*VLOOKUP(Y485,模板计算相关数据!$P$22:$X$30,8,0)</f>
        <v>60</v>
      </c>
      <c r="S485" s="62">
        <v>3</v>
      </c>
      <c r="T485" s="133">
        <f>IF(P485=模板计算相关数据!$AB$24,VLOOKUP(X485,模板计算相关数据!$P$47:$T$50,5,0),VLOOKUP(X485,模板计算相关数据!$P$4:$U$7,6,0))*VLOOKUP(Y485,模板计算相关数据!$P$22:$X$30,9,0)</f>
        <v>2.0689655172413794</v>
      </c>
      <c r="U485" s="98">
        <v>51</v>
      </c>
      <c r="V485" s="95">
        <f t="shared" si="56"/>
        <v>43</v>
      </c>
      <c r="W485" s="29">
        <f>VLOOKUP(U485,模板计算相关数据!A:N,2,0)</f>
        <v>40</v>
      </c>
      <c r="X485" s="3" t="s">
        <v>181</v>
      </c>
      <c r="Y485" s="3" t="s">
        <v>223</v>
      </c>
      <c r="Z485" s="99">
        <v>0.95</v>
      </c>
      <c r="AA485" s="95">
        <v>1.05</v>
      </c>
      <c r="AB485" s="95">
        <v>1.1000000000000001</v>
      </c>
      <c r="AC485" s="95">
        <v>1.1000000000000001</v>
      </c>
      <c r="AD485" s="95">
        <v>0</v>
      </c>
      <c r="AE485" s="95">
        <v>0</v>
      </c>
      <c r="AF485" s="95">
        <v>0</v>
      </c>
      <c r="AG485" s="95">
        <v>0</v>
      </c>
      <c r="AH485" s="95">
        <v>0</v>
      </c>
      <c r="AI485" s="95">
        <v>4000</v>
      </c>
      <c r="AJ485" s="3">
        <f>INT(VLOOKUP(U485,模板计算相关数据!A:N,4,0)*VLOOKUP(U485,模板计算相关数据!A:N,14,0)*(1+MAX(0,(VLOOKUP(U485,模板计算相关数据!A:N,7,0)-AQ485))*VLOOKUP(U485,模板计算相关数据!A:N,8,0))*(1-(AL485+AM485)*0.5/((AL485+AM485)*0.5+(VLOOKUP(U485,模板计算相关数据!A:N,2,0)+模板计算相关数据!$AC$27)*模板计算相关数据!$AC$28))*Q485*Z485)</f>
        <v>24926</v>
      </c>
      <c r="AK485" s="3">
        <f>INT(VLOOKUP(U485,模板计算相关数据!A:N,3,0)/模板计算相关数据!$W$35/(1+MAX(0,(AO485/10000-VLOOKUP(U485,模板计算相关数据!A:N,9,0)))*AP485/10000)/(1-VLOOKUP(U485,模板计算相关数据!A:N,5,0)/(VLOOKUP(U485,模板计算相关数据!A:N,5,0)+(VLOOKUP(U485,模板计算相关数据!A:N,2,0)+模板计算相关数据!$AC$27)*模板计算相关数据!$AC$28))/S485*AA485)</f>
        <v>3399</v>
      </c>
      <c r="AL485" s="3">
        <f>INT(VLOOKUP(U485,模板计算相关数据!A:N,5,0)*VLOOKUP(X485,模板计算相关数据!$P$4:$T$7,4,0)*VLOOKUP(Y485,模板计算相关数据!$P$22:$U$30,4,0)*AB485)</f>
        <v>6588</v>
      </c>
      <c r="AM485" s="3">
        <f>INT(VLOOKUP(U485,模板计算相关数据!A:N,6,0)*VLOOKUP(X485,模板计算相关数据!$P$4:$T$7,4,0)*VLOOKUP(Y485,模板计算相关数据!$P$22:$U$30,5,0)*AC485)</f>
        <v>6588</v>
      </c>
      <c r="AN485" s="3">
        <f>VLOOKUP(U485,模板计算相关数据!A:N,10,0)*0.5*VLOOKUP(Y485,模板计算相关数据!$P$22:$U$30,6,0)+AD485</f>
        <v>250</v>
      </c>
      <c r="AO485" s="3">
        <f>VLOOKUP(INT(VLOOKUP(U485,模板计算相关数据!A:N,2,0)/30)+1,模板计算相关数据!$O$35:$U$40,3,0)+AE485</f>
        <v>0</v>
      </c>
      <c r="AP485" s="3">
        <f>VLOOKUP(INT(VLOOKUP(U485,模板计算相关数据!A:N,2,0)/30)+1,模板计算相关数据!$O$35:$U$40,4,0)+AF485</f>
        <v>5000</v>
      </c>
      <c r="AQ485" s="3">
        <f>VLOOKUP(INT(VLOOKUP(U485,模板计算相关数据!A:N,2,0)/30)+1,模板计算相关数据!$O$35:$U$40,5,0)+AG485</f>
        <v>0</v>
      </c>
      <c r="AR485" s="3">
        <f>VLOOKUP(INT(VLOOKUP(U485,模板计算相关数据!A:N,2,0)/30)+1,模板计算相关数据!$O$35:$U$40,6,0)+AH485</f>
        <v>0</v>
      </c>
      <c r="AS485" s="3">
        <f>VLOOKUP(INT(VLOOKUP(U485,模板计算相关数据!A:N,2,0)/30)+1,模板计算相关数据!$O$35:$U$40,7,0)+AI485</f>
        <v>4000</v>
      </c>
      <c r="AT485" s="3">
        <f>VLOOKUP(INT(VLOOKUP(U485,模板计算相关数据!A:N,2,0)/30)+1,模板计算相关数据!$O$35:$V$40,8,0)</f>
        <v>0</v>
      </c>
      <c r="AU485" s="2"/>
    </row>
    <row r="486" spans="1:47" x14ac:dyDescent="0.2">
      <c r="A486" s="3">
        <v>306206</v>
      </c>
      <c r="B486" s="3"/>
      <c r="C486" s="2" t="s">
        <v>310</v>
      </c>
      <c r="D486" s="69" t="s">
        <v>1105</v>
      </c>
      <c r="E486" s="2"/>
      <c r="F486" s="3">
        <v>2</v>
      </c>
      <c r="G486" s="3">
        <v>1002601</v>
      </c>
      <c r="H486" s="3">
        <v>1</v>
      </c>
      <c r="I486" s="3">
        <v>4</v>
      </c>
      <c r="J486" s="3">
        <v>3</v>
      </c>
      <c r="K486" s="3"/>
      <c r="L486" s="2" t="s">
        <v>311</v>
      </c>
      <c r="M486" s="2"/>
      <c r="N486" s="2">
        <v>1</v>
      </c>
      <c r="O486" s="2"/>
      <c r="P486" s="3" t="s">
        <v>1615</v>
      </c>
      <c r="Q486" s="95">
        <f t="shared" ref="Q486:Q534" si="58">R486</f>
        <v>4.417254901960785</v>
      </c>
      <c r="R486" s="133">
        <f>IF(P486=模板计算相关数据!$AB$24,VLOOKUP(X486,模板计算相关数据!$P$47:$T$50,2,0),VLOOKUP(X486,模板计算相关数据!$P$4:$U$7,3,0))*VLOOKUP(Y486,模板计算相关数据!$P$22:$X$30,8,0)</f>
        <v>4.417254901960785</v>
      </c>
      <c r="S486" s="62">
        <f t="shared" ref="S486:S534" si="59">T486</f>
        <v>5.4285280003474252</v>
      </c>
      <c r="T486" s="133">
        <f>IF(P486=模板计算相关数据!$AB$24,VLOOKUP(X486,模板计算相关数据!$P$47:$T$50,5,0),VLOOKUP(X486,模板计算相关数据!$P$4:$U$7,6,0))*VLOOKUP(Y486,模板计算相关数据!$P$22:$X$30,9,0)</f>
        <v>5.4285280003474252</v>
      </c>
      <c r="U486" s="98">
        <v>51</v>
      </c>
      <c r="V486" s="95">
        <f t="shared" si="56"/>
        <v>43</v>
      </c>
      <c r="W486" s="29">
        <f>VLOOKUP(U486,模板计算相关数据!A:N,2,0)</f>
        <v>40</v>
      </c>
      <c r="X486" s="3" t="s">
        <v>151</v>
      </c>
      <c r="Y486" s="3" t="s">
        <v>152</v>
      </c>
      <c r="Z486" s="99">
        <v>1</v>
      </c>
      <c r="AA486" s="95">
        <v>1</v>
      </c>
      <c r="AB486" s="95">
        <v>1</v>
      </c>
      <c r="AC486" s="95">
        <v>1</v>
      </c>
      <c r="AD486" s="95">
        <v>0</v>
      </c>
      <c r="AE486" s="95">
        <v>0</v>
      </c>
      <c r="AF486" s="95">
        <v>0</v>
      </c>
      <c r="AG486" s="95">
        <v>0</v>
      </c>
      <c r="AH486" s="95">
        <v>0</v>
      </c>
      <c r="AI486" s="95">
        <v>0</v>
      </c>
      <c r="AJ486" s="3">
        <f>INT(VLOOKUP(U486,模板计算相关数据!A:N,4,0)*VLOOKUP(U486,模板计算相关数据!A:N,14,0)*(1+MAX(0,(VLOOKUP(U486,模板计算相关数据!A:N,7,0)-AQ486))*VLOOKUP(U486,模板计算相关数据!A:N,8,0))*(1-(AL486+AM486)*0.5/((AL486+AM486)*0.5+(VLOOKUP(U486,模板计算相关数据!A:N,2,0)+模板计算相关数据!$AC$27)*模板计算相关数据!$AC$28))*Q486*Z486)</f>
        <v>4494</v>
      </c>
      <c r="AK486" s="3">
        <f>INT(VLOOKUP(U486,模板计算相关数据!A:N,3,0)/模板计算相关数据!$W$35/(1+MAX(0,(AO486/10000-VLOOKUP(U486,模板计算相关数据!A:N,9,0)))*AP486/10000)/(1-VLOOKUP(U486,模板计算相关数据!A:N,5,0)/(VLOOKUP(U486,模板计算相关数据!A:N,5,0)+(VLOOKUP(U486,模板计算相关数据!A:N,2,0)+模板计算相关数据!$AC$27)*模板计算相关数据!$AC$28))/S486*AA486)</f>
        <v>1789</v>
      </c>
      <c r="AL486" s="3">
        <f>INT(VLOOKUP(U486,模板计算相关数据!A:N,5,0)*VLOOKUP(X486,模板计算相关数据!$P$4:$T$7,4,0)*VLOOKUP(Y486,模板计算相关数据!$P$22:$U$30,4,0)*AB486)</f>
        <v>3449</v>
      </c>
      <c r="AM486" s="3">
        <f>INT(VLOOKUP(U486,模板计算相关数据!A:N,6,0)*VLOOKUP(X486,模板计算相关数据!$P$4:$T$7,4,0)*VLOOKUP(Y486,模板计算相关数据!$P$22:$U$30,5,0)*AC486)</f>
        <v>2044</v>
      </c>
      <c r="AN486" s="3">
        <f>VLOOKUP(U486,模板计算相关数据!A:N,10,0)*0.5*VLOOKUP(Y486,模板计算相关数据!$P$22:$U$30,6,0)+AD486</f>
        <v>250</v>
      </c>
      <c r="AO486" s="3">
        <f>VLOOKUP(INT(VLOOKUP(U486,模板计算相关数据!A:N,2,0)/30)+1,模板计算相关数据!$O$35:$U$40,3,0)+AE486</f>
        <v>0</v>
      </c>
      <c r="AP486" s="3">
        <f>VLOOKUP(INT(VLOOKUP(U486,模板计算相关数据!A:N,2,0)/30)+1,模板计算相关数据!$O$35:$U$40,4,0)+AF486</f>
        <v>5000</v>
      </c>
      <c r="AQ486" s="3">
        <f>VLOOKUP(INT(VLOOKUP(U486,模板计算相关数据!A:N,2,0)/30)+1,模板计算相关数据!$O$35:$U$40,5,0)+AG486</f>
        <v>0</v>
      </c>
      <c r="AR486" s="3">
        <f>VLOOKUP(INT(VLOOKUP(U486,模板计算相关数据!A:N,2,0)/30)+1,模板计算相关数据!$O$35:$U$40,6,0)+AH486</f>
        <v>0</v>
      </c>
      <c r="AS486" s="3">
        <f>VLOOKUP(INT(VLOOKUP(U486,模板计算相关数据!A:N,2,0)/30)+1,模板计算相关数据!$O$35:$U$40,7,0)+AI486</f>
        <v>0</v>
      </c>
      <c r="AT486" s="3">
        <f>VLOOKUP(INT(VLOOKUP(U486,模板计算相关数据!A:N,2,0)/30)+1,模板计算相关数据!$O$35:$V$40,8,0)</f>
        <v>0</v>
      </c>
      <c r="AU486" s="2"/>
    </row>
    <row r="487" spans="1:47" x14ac:dyDescent="0.2">
      <c r="A487" s="3">
        <v>306207</v>
      </c>
      <c r="B487" s="3"/>
      <c r="C487" s="2" t="s">
        <v>310</v>
      </c>
      <c r="D487" s="69" t="s">
        <v>1106</v>
      </c>
      <c r="E487" s="2"/>
      <c r="F487" s="3">
        <v>2</v>
      </c>
      <c r="G487" s="3">
        <v>1002601</v>
      </c>
      <c r="H487" s="3">
        <v>1</v>
      </c>
      <c r="I487" s="3">
        <v>4</v>
      </c>
      <c r="J487" s="3">
        <v>3</v>
      </c>
      <c r="K487" s="3"/>
      <c r="L487" s="2" t="s">
        <v>312</v>
      </c>
      <c r="M487" s="2"/>
      <c r="N487" s="2">
        <v>1</v>
      </c>
      <c r="O487" s="2"/>
      <c r="P487" s="3" t="s">
        <v>1615</v>
      </c>
      <c r="Q487" s="95">
        <f t="shared" si="58"/>
        <v>4.417254901960785</v>
      </c>
      <c r="R487" s="133">
        <f>IF(P487=模板计算相关数据!$AB$24,VLOOKUP(X487,模板计算相关数据!$P$47:$T$50,2,0),VLOOKUP(X487,模板计算相关数据!$P$4:$U$7,3,0))*VLOOKUP(Y487,模板计算相关数据!$P$22:$X$30,8,0)</f>
        <v>4.417254901960785</v>
      </c>
      <c r="S487" s="62">
        <f t="shared" si="59"/>
        <v>5.4285280003474252</v>
      </c>
      <c r="T487" s="133">
        <f>IF(P487=模板计算相关数据!$AB$24,VLOOKUP(X487,模板计算相关数据!$P$47:$T$50,5,0),VLOOKUP(X487,模板计算相关数据!$P$4:$U$7,6,0))*VLOOKUP(Y487,模板计算相关数据!$P$22:$X$30,9,0)</f>
        <v>5.4285280003474252</v>
      </c>
      <c r="U487" s="98">
        <v>51</v>
      </c>
      <c r="V487" s="95">
        <f t="shared" si="56"/>
        <v>43</v>
      </c>
      <c r="W487" s="29">
        <f>VLOOKUP(U487,模板计算相关数据!A:N,2,0)</f>
        <v>40</v>
      </c>
      <c r="X487" s="3" t="s">
        <v>151</v>
      </c>
      <c r="Y487" s="3" t="s">
        <v>152</v>
      </c>
      <c r="Z487" s="99">
        <v>1</v>
      </c>
      <c r="AA487" s="95">
        <v>1</v>
      </c>
      <c r="AB487" s="95">
        <v>1</v>
      </c>
      <c r="AC487" s="95">
        <v>1</v>
      </c>
      <c r="AD487" s="95">
        <v>0</v>
      </c>
      <c r="AE487" s="95">
        <v>0</v>
      </c>
      <c r="AF487" s="95">
        <v>0</v>
      </c>
      <c r="AG487" s="95">
        <v>0</v>
      </c>
      <c r="AH487" s="95">
        <v>0</v>
      </c>
      <c r="AI487" s="95">
        <v>0</v>
      </c>
      <c r="AJ487" s="3">
        <f>INT(VLOOKUP(U487,模板计算相关数据!A:N,4,0)*VLOOKUP(U487,模板计算相关数据!A:N,14,0)*(1+MAX(0,(VLOOKUP(U487,模板计算相关数据!A:N,7,0)-AQ487))*VLOOKUP(U487,模板计算相关数据!A:N,8,0))*(1-(AL487+AM487)*0.5/((AL487+AM487)*0.5+(VLOOKUP(U487,模板计算相关数据!A:N,2,0)+模板计算相关数据!$AC$27)*模板计算相关数据!$AC$28))*Q487*Z487)</f>
        <v>4494</v>
      </c>
      <c r="AK487" s="3">
        <f>INT(VLOOKUP(U487,模板计算相关数据!A:N,3,0)/模板计算相关数据!$W$35/(1+MAX(0,(AO487/10000-VLOOKUP(U487,模板计算相关数据!A:N,9,0)))*AP487/10000)/(1-VLOOKUP(U487,模板计算相关数据!A:N,5,0)/(VLOOKUP(U487,模板计算相关数据!A:N,5,0)+(VLOOKUP(U487,模板计算相关数据!A:N,2,0)+模板计算相关数据!$AC$27)*模板计算相关数据!$AC$28))/S487*AA487)</f>
        <v>1789</v>
      </c>
      <c r="AL487" s="3">
        <f>INT(VLOOKUP(U487,模板计算相关数据!A:N,5,0)*VLOOKUP(X487,模板计算相关数据!$P$4:$T$7,4,0)*VLOOKUP(Y487,模板计算相关数据!$P$22:$U$30,4,0)*AB487)</f>
        <v>3449</v>
      </c>
      <c r="AM487" s="3">
        <f>INT(VLOOKUP(U487,模板计算相关数据!A:N,6,0)*VLOOKUP(X487,模板计算相关数据!$P$4:$T$7,4,0)*VLOOKUP(Y487,模板计算相关数据!$P$22:$U$30,5,0)*AC487)</f>
        <v>2044</v>
      </c>
      <c r="AN487" s="3">
        <f>VLOOKUP(U487,模板计算相关数据!A:N,10,0)*0.5*VLOOKUP(Y487,模板计算相关数据!$P$22:$U$30,6,0)+AD487</f>
        <v>250</v>
      </c>
      <c r="AO487" s="3">
        <f>VLOOKUP(INT(VLOOKUP(U487,模板计算相关数据!A:N,2,0)/30)+1,模板计算相关数据!$O$35:$U$40,3,0)+AE487</f>
        <v>0</v>
      </c>
      <c r="AP487" s="3">
        <f>VLOOKUP(INT(VLOOKUP(U487,模板计算相关数据!A:N,2,0)/30)+1,模板计算相关数据!$O$35:$U$40,4,0)+AF487</f>
        <v>5000</v>
      </c>
      <c r="AQ487" s="3">
        <f>VLOOKUP(INT(VLOOKUP(U487,模板计算相关数据!A:N,2,0)/30)+1,模板计算相关数据!$O$35:$U$40,5,0)+AG487</f>
        <v>0</v>
      </c>
      <c r="AR487" s="3">
        <f>VLOOKUP(INT(VLOOKUP(U487,模板计算相关数据!A:N,2,0)/30)+1,模板计算相关数据!$O$35:$U$40,6,0)+AH487</f>
        <v>0</v>
      </c>
      <c r="AS487" s="3">
        <f>VLOOKUP(INT(VLOOKUP(U487,模板计算相关数据!A:N,2,0)/30)+1,模板计算相关数据!$O$35:$U$40,7,0)+AI487</f>
        <v>0</v>
      </c>
      <c r="AT487" s="3">
        <f>VLOOKUP(INT(VLOOKUP(U487,模板计算相关数据!A:N,2,0)/30)+1,模板计算相关数据!$O$35:$V$40,8,0)</f>
        <v>0</v>
      </c>
      <c r="AU487" s="2"/>
    </row>
    <row r="488" spans="1:47" x14ac:dyDescent="0.2">
      <c r="A488" s="3">
        <v>306208</v>
      </c>
      <c r="B488" s="3"/>
      <c r="C488" s="2" t="s">
        <v>310</v>
      </c>
      <c r="D488" s="69" t="s">
        <v>1107</v>
      </c>
      <c r="E488" s="2"/>
      <c r="F488" s="3">
        <v>2</v>
      </c>
      <c r="G488" s="3">
        <v>1002601</v>
      </c>
      <c r="H488" s="3">
        <v>1</v>
      </c>
      <c r="I488" s="3">
        <v>4</v>
      </c>
      <c r="J488" s="3">
        <v>3</v>
      </c>
      <c r="K488" s="3"/>
      <c r="L488" s="2" t="s">
        <v>313</v>
      </c>
      <c r="M488" s="2"/>
      <c r="N488" s="2">
        <v>1</v>
      </c>
      <c r="O488" s="2"/>
      <c r="P488" s="3" t="s">
        <v>1615</v>
      </c>
      <c r="Q488" s="95">
        <f t="shared" si="58"/>
        <v>4.417254901960785</v>
      </c>
      <c r="R488" s="133">
        <f>IF(P488=模板计算相关数据!$AB$24,VLOOKUP(X488,模板计算相关数据!$P$47:$T$50,2,0),VLOOKUP(X488,模板计算相关数据!$P$4:$U$7,3,0))*VLOOKUP(Y488,模板计算相关数据!$P$22:$X$30,8,0)</f>
        <v>4.417254901960785</v>
      </c>
      <c r="S488" s="62">
        <f t="shared" si="59"/>
        <v>5.4285280003474252</v>
      </c>
      <c r="T488" s="133">
        <f>IF(P488=模板计算相关数据!$AB$24,VLOOKUP(X488,模板计算相关数据!$P$47:$T$50,5,0),VLOOKUP(X488,模板计算相关数据!$P$4:$U$7,6,0))*VLOOKUP(Y488,模板计算相关数据!$P$22:$X$30,9,0)</f>
        <v>5.4285280003474252</v>
      </c>
      <c r="U488" s="98">
        <v>51</v>
      </c>
      <c r="V488" s="95">
        <f t="shared" si="56"/>
        <v>43</v>
      </c>
      <c r="W488" s="29">
        <f>VLOOKUP(U488,模板计算相关数据!A:N,2,0)</f>
        <v>40</v>
      </c>
      <c r="X488" s="3" t="s">
        <v>151</v>
      </c>
      <c r="Y488" s="3" t="s">
        <v>152</v>
      </c>
      <c r="Z488" s="99">
        <v>1</v>
      </c>
      <c r="AA488" s="95">
        <v>1</v>
      </c>
      <c r="AB488" s="95">
        <v>1</v>
      </c>
      <c r="AC488" s="95">
        <v>1</v>
      </c>
      <c r="AD488" s="95">
        <v>0</v>
      </c>
      <c r="AE488" s="95">
        <v>0</v>
      </c>
      <c r="AF488" s="95">
        <v>0</v>
      </c>
      <c r="AG488" s="95">
        <v>0</v>
      </c>
      <c r="AH488" s="95">
        <v>0</v>
      </c>
      <c r="AI488" s="95">
        <v>0</v>
      </c>
      <c r="AJ488" s="3">
        <f>INT(VLOOKUP(U488,模板计算相关数据!A:N,4,0)*VLOOKUP(U488,模板计算相关数据!A:N,14,0)*(1+MAX(0,(VLOOKUP(U488,模板计算相关数据!A:N,7,0)-AQ488))*VLOOKUP(U488,模板计算相关数据!A:N,8,0))*(1-(AL488+AM488)*0.5/((AL488+AM488)*0.5+(VLOOKUP(U488,模板计算相关数据!A:N,2,0)+模板计算相关数据!$AC$27)*模板计算相关数据!$AC$28))*Q488*Z488)</f>
        <v>4494</v>
      </c>
      <c r="AK488" s="3">
        <f>INT(VLOOKUP(U488,模板计算相关数据!A:N,3,0)/模板计算相关数据!$W$35/(1+MAX(0,(AO488/10000-VLOOKUP(U488,模板计算相关数据!A:N,9,0)))*AP488/10000)/(1-VLOOKUP(U488,模板计算相关数据!A:N,5,0)/(VLOOKUP(U488,模板计算相关数据!A:N,5,0)+(VLOOKUP(U488,模板计算相关数据!A:N,2,0)+模板计算相关数据!$AC$27)*模板计算相关数据!$AC$28))/S488*AA488)</f>
        <v>1789</v>
      </c>
      <c r="AL488" s="3">
        <f>INT(VLOOKUP(U488,模板计算相关数据!A:N,5,0)*VLOOKUP(X488,模板计算相关数据!$P$4:$T$7,4,0)*VLOOKUP(Y488,模板计算相关数据!$P$22:$U$30,4,0)*AB488)</f>
        <v>3449</v>
      </c>
      <c r="AM488" s="3">
        <f>INT(VLOOKUP(U488,模板计算相关数据!A:N,6,0)*VLOOKUP(X488,模板计算相关数据!$P$4:$T$7,4,0)*VLOOKUP(Y488,模板计算相关数据!$P$22:$U$30,5,0)*AC488)</f>
        <v>2044</v>
      </c>
      <c r="AN488" s="3">
        <f>VLOOKUP(U488,模板计算相关数据!A:N,10,0)*0.5*VLOOKUP(Y488,模板计算相关数据!$P$22:$U$30,6,0)+AD488</f>
        <v>250</v>
      </c>
      <c r="AO488" s="3">
        <f>VLOOKUP(INT(VLOOKUP(U488,模板计算相关数据!A:N,2,0)/30)+1,模板计算相关数据!$O$35:$U$40,3,0)+AE488</f>
        <v>0</v>
      </c>
      <c r="AP488" s="3">
        <f>VLOOKUP(INT(VLOOKUP(U488,模板计算相关数据!A:N,2,0)/30)+1,模板计算相关数据!$O$35:$U$40,4,0)+AF488</f>
        <v>5000</v>
      </c>
      <c r="AQ488" s="3">
        <f>VLOOKUP(INT(VLOOKUP(U488,模板计算相关数据!A:N,2,0)/30)+1,模板计算相关数据!$O$35:$U$40,5,0)+AG488</f>
        <v>0</v>
      </c>
      <c r="AR488" s="3">
        <f>VLOOKUP(INT(VLOOKUP(U488,模板计算相关数据!A:N,2,0)/30)+1,模板计算相关数据!$O$35:$U$40,6,0)+AH488</f>
        <v>0</v>
      </c>
      <c r="AS488" s="3">
        <f>VLOOKUP(INT(VLOOKUP(U488,模板计算相关数据!A:N,2,0)/30)+1,模板计算相关数据!$O$35:$U$40,7,0)+AI488</f>
        <v>0</v>
      </c>
      <c r="AT488" s="3">
        <f>VLOOKUP(INT(VLOOKUP(U488,模板计算相关数据!A:N,2,0)/30)+1,模板计算相关数据!$O$35:$V$40,8,0)</f>
        <v>0</v>
      </c>
      <c r="AU488" s="2"/>
    </row>
    <row r="489" spans="1:47" x14ac:dyDescent="0.2">
      <c r="A489" s="3">
        <v>306209</v>
      </c>
      <c r="B489" s="3"/>
      <c r="C489" s="2" t="s">
        <v>314</v>
      </c>
      <c r="D489" s="69" t="s">
        <v>1105</v>
      </c>
      <c r="E489" s="2"/>
      <c r="F489" s="3">
        <v>2</v>
      </c>
      <c r="G489" s="3">
        <v>1004001</v>
      </c>
      <c r="H489" s="3">
        <v>4</v>
      </c>
      <c r="I489" s="3">
        <v>4</v>
      </c>
      <c r="J489" s="3">
        <v>3</v>
      </c>
      <c r="K489" s="3"/>
      <c r="L489" s="2" t="s">
        <v>315</v>
      </c>
      <c r="M489" s="2"/>
      <c r="N489" s="2">
        <v>1</v>
      </c>
      <c r="O489" s="2"/>
      <c r="P489" s="3" t="s">
        <v>1615</v>
      </c>
      <c r="Q489" s="95">
        <f t="shared" si="58"/>
        <v>4.4674509803921572</v>
      </c>
      <c r="R489" s="133">
        <f>IF(P489=模板计算相关数据!$AB$24,VLOOKUP(X489,模板计算相关数据!$P$47:$T$50,2,0),VLOOKUP(X489,模板计算相关数据!$P$4:$U$7,3,0))*VLOOKUP(Y489,模板计算相关数据!$P$22:$X$30,8,0)</f>
        <v>4.4674509803921572</v>
      </c>
      <c r="S489" s="62">
        <f t="shared" si="59"/>
        <v>5.4739930589768004</v>
      </c>
      <c r="T489" s="133">
        <f>IF(P489=模板计算相关数据!$AB$24,VLOOKUP(X489,模板计算相关数据!$P$47:$T$50,5,0),VLOOKUP(X489,模板计算相关数据!$P$4:$U$7,6,0))*VLOOKUP(Y489,模板计算相关数据!$P$22:$X$30,9,0)</f>
        <v>5.4739930589768004</v>
      </c>
      <c r="U489" s="98">
        <v>51</v>
      </c>
      <c r="V489" s="95">
        <f t="shared" si="56"/>
        <v>43</v>
      </c>
      <c r="W489" s="29">
        <f>VLOOKUP(U489,模板计算相关数据!A:N,2,0)</f>
        <v>40</v>
      </c>
      <c r="X489" s="3" t="s">
        <v>151</v>
      </c>
      <c r="Y489" s="3" t="s">
        <v>162</v>
      </c>
      <c r="Z489" s="99">
        <v>1</v>
      </c>
      <c r="AA489" s="95">
        <v>1</v>
      </c>
      <c r="AB489" s="95">
        <v>1</v>
      </c>
      <c r="AC489" s="95">
        <v>1</v>
      </c>
      <c r="AD489" s="95">
        <v>0</v>
      </c>
      <c r="AE489" s="95">
        <v>0</v>
      </c>
      <c r="AF489" s="95">
        <v>0</v>
      </c>
      <c r="AG489" s="95">
        <v>0</v>
      </c>
      <c r="AH489" s="95">
        <v>0</v>
      </c>
      <c r="AI489" s="95">
        <v>0</v>
      </c>
      <c r="AJ489" s="3">
        <f>INT(VLOOKUP(U489,模板计算相关数据!A:N,4,0)*VLOOKUP(U489,模板计算相关数据!A:N,14,0)*(1+MAX(0,(VLOOKUP(U489,模板计算相关数据!A:N,7,0)-AQ489))*VLOOKUP(U489,模板计算相关数据!A:N,8,0))*(1-(AL489+AM489)*0.5/((AL489+AM489)*0.5+(VLOOKUP(U489,模板计算相关数据!A:N,2,0)+模板计算相关数据!$AC$27)*模板计算相关数据!$AC$28))*Q489*Z489)</f>
        <v>4545</v>
      </c>
      <c r="AK489" s="3">
        <f>INT(VLOOKUP(U489,模板计算相关数据!A:N,3,0)/模板计算相关数据!$W$35/(1+MAX(0,(AO489/10000-VLOOKUP(U489,模板计算相关数据!A:N,9,0)))*AP489/10000)/(1-VLOOKUP(U489,模板计算相关数据!A:N,5,0)/(VLOOKUP(U489,模板计算相关数据!A:N,5,0)+(VLOOKUP(U489,模板计算相关数据!A:N,2,0)+模板计算相关数据!$AC$27)*模板计算相关数据!$AC$28))/S489*AA489)</f>
        <v>1774</v>
      </c>
      <c r="AL489" s="3">
        <f>INT(VLOOKUP(U489,模板计算相关数据!A:N,5,0)*VLOOKUP(X489,模板计算相关数据!$P$4:$T$7,4,0)*VLOOKUP(Y489,模板计算相关数据!$P$22:$U$30,4,0)*AB489)</f>
        <v>2044</v>
      </c>
      <c r="AM489" s="3">
        <f>INT(VLOOKUP(U489,模板计算相关数据!A:N,6,0)*VLOOKUP(X489,模板计算相关数据!$P$4:$T$7,4,0)*VLOOKUP(Y489,模板计算相关数据!$P$22:$U$30,5,0)*AC489)</f>
        <v>3449</v>
      </c>
      <c r="AN489" s="3">
        <f>VLOOKUP(U489,模板计算相关数据!A:N,10,0)*0.5*VLOOKUP(Y489,模板计算相关数据!$P$22:$U$30,6,0)+AD489</f>
        <v>250</v>
      </c>
      <c r="AO489" s="3">
        <f>VLOOKUP(INT(VLOOKUP(U489,模板计算相关数据!A:N,2,0)/30)+1,模板计算相关数据!$O$35:$U$40,3,0)+AE489</f>
        <v>0</v>
      </c>
      <c r="AP489" s="3">
        <f>VLOOKUP(INT(VLOOKUP(U489,模板计算相关数据!A:N,2,0)/30)+1,模板计算相关数据!$O$35:$U$40,4,0)+AF489</f>
        <v>5000</v>
      </c>
      <c r="AQ489" s="3">
        <f>VLOOKUP(INT(VLOOKUP(U489,模板计算相关数据!A:N,2,0)/30)+1,模板计算相关数据!$O$35:$U$40,5,0)+AG489</f>
        <v>0</v>
      </c>
      <c r="AR489" s="3">
        <f>VLOOKUP(INT(VLOOKUP(U489,模板计算相关数据!A:N,2,0)/30)+1,模板计算相关数据!$O$35:$U$40,6,0)+AH489</f>
        <v>0</v>
      </c>
      <c r="AS489" s="3">
        <f>VLOOKUP(INT(VLOOKUP(U489,模板计算相关数据!A:N,2,0)/30)+1,模板计算相关数据!$O$35:$U$40,7,0)+AI489</f>
        <v>0</v>
      </c>
      <c r="AT489" s="3">
        <f>VLOOKUP(INT(VLOOKUP(U489,模板计算相关数据!A:N,2,0)/30)+1,模板计算相关数据!$O$35:$V$40,8,0)</f>
        <v>0</v>
      </c>
      <c r="AU489" s="2"/>
    </row>
    <row r="490" spans="1:47" x14ac:dyDescent="0.2">
      <c r="A490" s="3">
        <v>306210</v>
      </c>
      <c r="B490" s="3"/>
      <c r="C490" s="2" t="s">
        <v>314</v>
      </c>
      <c r="D490" s="69" t="s">
        <v>1106</v>
      </c>
      <c r="E490" s="2"/>
      <c r="F490" s="3">
        <v>2</v>
      </c>
      <c r="G490" s="3">
        <v>1004001</v>
      </c>
      <c r="H490" s="3">
        <v>4</v>
      </c>
      <c r="I490" s="3">
        <v>4</v>
      </c>
      <c r="J490" s="3">
        <v>3</v>
      </c>
      <c r="K490" s="3"/>
      <c r="L490" s="2" t="s">
        <v>316</v>
      </c>
      <c r="M490" s="2"/>
      <c r="N490" s="2">
        <v>1</v>
      </c>
      <c r="O490" s="2"/>
      <c r="P490" s="3" t="s">
        <v>1615</v>
      </c>
      <c r="Q490" s="95">
        <f t="shared" si="58"/>
        <v>4.4674509803921572</v>
      </c>
      <c r="R490" s="133">
        <f>IF(P490=模板计算相关数据!$AB$24,VLOOKUP(X490,模板计算相关数据!$P$47:$T$50,2,0),VLOOKUP(X490,模板计算相关数据!$P$4:$U$7,3,0))*VLOOKUP(Y490,模板计算相关数据!$P$22:$X$30,8,0)</f>
        <v>4.4674509803921572</v>
      </c>
      <c r="S490" s="62">
        <f t="shared" si="59"/>
        <v>5.4739930589768004</v>
      </c>
      <c r="T490" s="133">
        <f>IF(P490=模板计算相关数据!$AB$24,VLOOKUP(X490,模板计算相关数据!$P$47:$T$50,5,0),VLOOKUP(X490,模板计算相关数据!$P$4:$U$7,6,0))*VLOOKUP(Y490,模板计算相关数据!$P$22:$X$30,9,0)</f>
        <v>5.4739930589768004</v>
      </c>
      <c r="U490" s="98">
        <v>51</v>
      </c>
      <c r="V490" s="95">
        <f t="shared" si="56"/>
        <v>43</v>
      </c>
      <c r="W490" s="29">
        <f>VLOOKUP(U490,模板计算相关数据!A:N,2,0)</f>
        <v>40</v>
      </c>
      <c r="X490" s="3" t="s">
        <v>151</v>
      </c>
      <c r="Y490" s="3" t="s">
        <v>162</v>
      </c>
      <c r="Z490" s="99">
        <v>1</v>
      </c>
      <c r="AA490" s="95">
        <v>1</v>
      </c>
      <c r="AB490" s="95">
        <v>1</v>
      </c>
      <c r="AC490" s="95">
        <v>1</v>
      </c>
      <c r="AD490" s="95">
        <v>0</v>
      </c>
      <c r="AE490" s="95">
        <v>0</v>
      </c>
      <c r="AF490" s="95">
        <v>0</v>
      </c>
      <c r="AG490" s="95">
        <v>0</v>
      </c>
      <c r="AH490" s="95">
        <v>0</v>
      </c>
      <c r="AI490" s="95">
        <v>0</v>
      </c>
      <c r="AJ490" s="3">
        <f>INT(VLOOKUP(U490,模板计算相关数据!A:N,4,0)*VLOOKUP(U490,模板计算相关数据!A:N,14,0)*(1+MAX(0,(VLOOKUP(U490,模板计算相关数据!A:N,7,0)-AQ490))*VLOOKUP(U490,模板计算相关数据!A:N,8,0))*(1-(AL490+AM490)*0.5/((AL490+AM490)*0.5+(VLOOKUP(U490,模板计算相关数据!A:N,2,0)+模板计算相关数据!$AC$27)*模板计算相关数据!$AC$28))*Q490*Z490)</f>
        <v>4545</v>
      </c>
      <c r="AK490" s="3">
        <f>INT(VLOOKUP(U490,模板计算相关数据!A:N,3,0)/模板计算相关数据!$W$35/(1+MAX(0,(AO490/10000-VLOOKUP(U490,模板计算相关数据!A:N,9,0)))*AP490/10000)/(1-VLOOKUP(U490,模板计算相关数据!A:N,5,0)/(VLOOKUP(U490,模板计算相关数据!A:N,5,0)+(VLOOKUP(U490,模板计算相关数据!A:N,2,0)+模板计算相关数据!$AC$27)*模板计算相关数据!$AC$28))/S490*AA490)</f>
        <v>1774</v>
      </c>
      <c r="AL490" s="3">
        <f>INT(VLOOKUP(U490,模板计算相关数据!A:N,5,0)*VLOOKUP(X490,模板计算相关数据!$P$4:$T$7,4,0)*VLOOKUP(Y490,模板计算相关数据!$P$22:$U$30,4,0)*AB490)</f>
        <v>2044</v>
      </c>
      <c r="AM490" s="3">
        <f>INT(VLOOKUP(U490,模板计算相关数据!A:N,6,0)*VLOOKUP(X490,模板计算相关数据!$P$4:$T$7,4,0)*VLOOKUP(Y490,模板计算相关数据!$P$22:$U$30,5,0)*AC490)</f>
        <v>3449</v>
      </c>
      <c r="AN490" s="3">
        <f>VLOOKUP(U490,模板计算相关数据!A:N,10,0)*0.5*VLOOKUP(Y490,模板计算相关数据!$P$22:$U$30,6,0)+AD490</f>
        <v>250</v>
      </c>
      <c r="AO490" s="3">
        <f>VLOOKUP(INT(VLOOKUP(U490,模板计算相关数据!A:N,2,0)/30)+1,模板计算相关数据!$O$35:$U$40,3,0)+AE490</f>
        <v>0</v>
      </c>
      <c r="AP490" s="3">
        <f>VLOOKUP(INT(VLOOKUP(U490,模板计算相关数据!A:N,2,0)/30)+1,模板计算相关数据!$O$35:$U$40,4,0)+AF490</f>
        <v>5000</v>
      </c>
      <c r="AQ490" s="3">
        <f>VLOOKUP(INT(VLOOKUP(U490,模板计算相关数据!A:N,2,0)/30)+1,模板计算相关数据!$O$35:$U$40,5,0)+AG490</f>
        <v>0</v>
      </c>
      <c r="AR490" s="3">
        <f>VLOOKUP(INT(VLOOKUP(U490,模板计算相关数据!A:N,2,0)/30)+1,模板计算相关数据!$O$35:$U$40,6,0)+AH490</f>
        <v>0</v>
      </c>
      <c r="AS490" s="3">
        <f>VLOOKUP(INT(VLOOKUP(U490,模板计算相关数据!A:N,2,0)/30)+1,模板计算相关数据!$O$35:$U$40,7,0)+AI490</f>
        <v>0</v>
      </c>
      <c r="AT490" s="3">
        <f>VLOOKUP(INT(VLOOKUP(U490,模板计算相关数据!A:N,2,0)/30)+1,模板计算相关数据!$O$35:$V$40,8,0)</f>
        <v>0</v>
      </c>
      <c r="AU490" s="2"/>
    </row>
    <row r="491" spans="1:47" x14ac:dyDescent="0.2">
      <c r="A491" s="3">
        <v>306211</v>
      </c>
      <c r="B491" s="3"/>
      <c r="C491" s="2" t="s">
        <v>314</v>
      </c>
      <c r="D491" s="69" t="s">
        <v>1107</v>
      </c>
      <c r="E491" s="2"/>
      <c r="F491" s="3">
        <v>2</v>
      </c>
      <c r="G491" s="3">
        <v>1004001</v>
      </c>
      <c r="H491" s="3">
        <v>4</v>
      </c>
      <c r="I491" s="3">
        <v>4</v>
      </c>
      <c r="J491" s="3">
        <v>3</v>
      </c>
      <c r="K491" s="3"/>
      <c r="L491" s="2" t="s">
        <v>317</v>
      </c>
      <c r="M491" s="2"/>
      <c r="N491" s="2">
        <v>1</v>
      </c>
      <c r="O491" s="2"/>
      <c r="P491" s="3" t="s">
        <v>1615</v>
      </c>
      <c r="Q491" s="95">
        <f t="shared" si="58"/>
        <v>4.4674509803921572</v>
      </c>
      <c r="R491" s="133">
        <f>IF(P491=模板计算相关数据!$AB$24,VLOOKUP(X491,模板计算相关数据!$P$47:$T$50,2,0),VLOOKUP(X491,模板计算相关数据!$P$4:$U$7,3,0))*VLOOKUP(Y491,模板计算相关数据!$P$22:$X$30,8,0)</f>
        <v>4.4674509803921572</v>
      </c>
      <c r="S491" s="62">
        <f t="shared" si="59"/>
        <v>5.4739930589768004</v>
      </c>
      <c r="T491" s="133">
        <f>IF(P491=模板计算相关数据!$AB$24,VLOOKUP(X491,模板计算相关数据!$P$47:$T$50,5,0),VLOOKUP(X491,模板计算相关数据!$P$4:$U$7,6,0))*VLOOKUP(Y491,模板计算相关数据!$P$22:$X$30,9,0)</f>
        <v>5.4739930589768004</v>
      </c>
      <c r="U491" s="98">
        <v>51</v>
      </c>
      <c r="V491" s="95">
        <f t="shared" si="56"/>
        <v>43</v>
      </c>
      <c r="W491" s="29">
        <f>VLOOKUP(U491,模板计算相关数据!A:N,2,0)</f>
        <v>40</v>
      </c>
      <c r="X491" s="3" t="s">
        <v>151</v>
      </c>
      <c r="Y491" s="3" t="s">
        <v>162</v>
      </c>
      <c r="Z491" s="99">
        <v>1</v>
      </c>
      <c r="AA491" s="95">
        <v>1</v>
      </c>
      <c r="AB491" s="95">
        <v>1</v>
      </c>
      <c r="AC491" s="95">
        <v>1</v>
      </c>
      <c r="AD491" s="95">
        <v>0</v>
      </c>
      <c r="AE491" s="95">
        <v>0</v>
      </c>
      <c r="AF491" s="95">
        <v>0</v>
      </c>
      <c r="AG491" s="95">
        <v>0</v>
      </c>
      <c r="AH491" s="95">
        <v>0</v>
      </c>
      <c r="AI491" s="95">
        <v>0</v>
      </c>
      <c r="AJ491" s="3">
        <f>INT(VLOOKUP(U491,模板计算相关数据!A:N,4,0)*VLOOKUP(U491,模板计算相关数据!A:N,14,0)*(1+MAX(0,(VLOOKUP(U491,模板计算相关数据!A:N,7,0)-AQ491))*VLOOKUP(U491,模板计算相关数据!A:N,8,0))*(1-(AL491+AM491)*0.5/((AL491+AM491)*0.5+(VLOOKUP(U491,模板计算相关数据!A:N,2,0)+模板计算相关数据!$AC$27)*模板计算相关数据!$AC$28))*Q491*Z491)</f>
        <v>4545</v>
      </c>
      <c r="AK491" s="3">
        <f>INT(VLOOKUP(U491,模板计算相关数据!A:N,3,0)/模板计算相关数据!$W$35/(1+MAX(0,(AO491/10000-VLOOKUP(U491,模板计算相关数据!A:N,9,0)))*AP491/10000)/(1-VLOOKUP(U491,模板计算相关数据!A:N,5,0)/(VLOOKUP(U491,模板计算相关数据!A:N,5,0)+(VLOOKUP(U491,模板计算相关数据!A:N,2,0)+模板计算相关数据!$AC$27)*模板计算相关数据!$AC$28))/S491*AA491)</f>
        <v>1774</v>
      </c>
      <c r="AL491" s="3">
        <f>INT(VLOOKUP(U491,模板计算相关数据!A:N,5,0)*VLOOKUP(X491,模板计算相关数据!$P$4:$T$7,4,0)*VLOOKUP(Y491,模板计算相关数据!$P$22:$U$30,4,0)*AB491)</f>
        <v>2044</v>
      </c>
      <c r="AM491" s="3">
        <f>INT(VLOOKUP(U491,模板计算相关数据!A:N,6,0)*VLOOKUP(X491,模板计算相关数据!$P$4:$T$7,4,0)*VLOOKUP(Y491,模板计算相关数据!$P$22:$U$30,5,0)*AC491)</f>
        <v>3449</v>
      </c>
      <c r="AN491" s="3">
        <f>VLOOKUP(U491,模板计算相关数据!A:N,10,0)*0.5*VLOOKUP(Y491,模板计算相关数据!$P$22:$U$30,6,0)+AD491</f>
        <v>250</v>
      </c>
      <c r="AO491" s="3">
        <f>VLOOKUP(INT(VLOOKUP(U491,模板计算相关数据!A:N,2,0)/30)+1,模板计算相关数据!$O$35:$U$40,3,0)+AE491</f>
        <v>0</v>
      </c>
      <c r="AP491" s="3">
        <f>VLOOKUP(INT(VLOOKUP(U491,模板计算相关数据!A:N,2,0)/30)+1,模板计算相关数据!$O$35:$U$40,4,0)+AF491</f>
        <v>5000</v>
      </c>
      <c r="AQ491" s="3">
        <f>VLOOKUP(INT(VLOOKUP(U491,模板计算相关数据!A:N,2,0)/30)+1,模板计算相关数据!$O$35:$U$40,5,0)+AG491</f>
        <v>0</v>
      </c>
      <c r="AR491" s="3">
        <f>VLOOKUP(INT(VLOOKUP(U491,模板计算相关数据!A:N,2,0)/30)+1,模板计算相关数据!$O$35:$U$40,6,0)+AH491</f>
        <v>0</v>
      </c>
      <c r="AS491" s="3">
        <f>VLOOKUP(INT(VLOOKUP(U491,模板计算相关数据!A:N,2,0)/30)+1,模板计算相关数据!$O$35:$U$40,7,0)+AI491</f>
        <v>0</v>
      </c>
      <c r="AT491" s="3">
        <f>VLOOKUP(INT(VLOOKUP(U491,模板计算相关数据!A:N,2,0)/30)+1,模板计算相关数据!$O$35:$V$40,8,0)</f>
        <v>0</v>
      </c>
      <c r="AU491" s="2"/>
    </row>
    <row r="492" spans="1:47" x14ac:dyDescent="0.2">
      <c r="A492" s="43">
        <v>306301</v>
      </c>
      <c r="B492" s="43"/>
      <c r="C492" s="17" t="s">
        <v>318</v>
      </c>
      <c r="D492" s="25" t="s">
        <v>1108</v>
      </c>
      <c r="E492" s="17"/>
      <c r="F492" s="43">
        <v>1</v>
      </c>
      <c r="G492" s="152">
        <v>101</v>
      </c>
      <c r="H492" s="43">
        <v>6</v>
      </c>
      <c r="I492" s="43">
        <v>4</v>
      </c>
      <c r="J492" s="43">
        <v>3</v>
      </c>
      <c r="K492" s="43">
        <v>1</v>
      </c>
      <c r="L492" s="69" t="s">
        <v>1586</v>
      </c>
      <c r="M492" s="2"/>
      <c r="N492" s="2">
        <v>3</v>
      </c>
      <c r="O492" s="69" t="s">
        <v>1587</v>
      </c>
      <c r="P492" s="3" t="s">
        <v>1615</v>
      </c>
      <c r="Q492" s="95">
        <v>30</v>
      </c>
      <c r="R492" s="133">
        <f>IF(P492=模板计算相关数据!$AB$24,VLOOKUP(X492,模板计算相关数据!$P$47:$T$50,2,0),VLOOKUP(X492,模板计算相关数据!$P$4:$U$7,3,0))*VLOOKUP(Y492,模板计算相关数据!$P$22:$X$30,8,0)</f>
        <v>60</v>
      </c>
      <c r="S492" s="62">
        <v>3</v>
      </c>
      <c r="T492" s="133">
        <f>IF(P492=模板计算相关数据!$AB$24,VLOOKUP(X492,模板计算相关数据!$P$47:$T$50,5,0),VLOOKUP(X492,模板计算相关数据!$P$4:$U$7,6,0))*VLOOKUP(Y492,模板计算相关数据!$P$22:$X$30,9,0)</f>
        <v>2.0689655172413794</v>
      </c>
      <c r="U492" s="98">
        <v>49</v>
      </c>
      <c r="V492" s="95">
        <f t="shared" si="56"/>
        <v>19</v>
      </c>
      <c r="W492" s="29">
        <f>VLOOKUP(U492,模板计算相关数据!A:N,2,0)</f>
        <v>16</v>
      </c>
      <c r="X492" s="3" t="s">
        <v>181</v>
      </c>
      <c r="Y492" s="3" t="s">
        <v>223</v>
      </c>
      <c r="Z492" s="99">
        <v>0.9</v>
      </c>
      <c r="AA492" s="95">
        <v>1.1000000000000001</v>
      </c>
      <c r="AB492" s="95">
        <v>1.1000000000000001</v>
      </c>
      <c r="AC492" s="95">
        <v>1.1000000000000001</v>
      </c>
      <c r="AD492" s="95">
        <v>0</v>
      </c>
      <c r="AE492" s="95">
        <v>0</v>
      </c>
      <c r="AF492" s="95">
        <v>0</v>
      </c>
      <c r="AG492" s="95">
        <v>0</v>
      </c>
      <c r="AH492" s="95">
        <v>0</v>
      </c>
      <c r="AI492" s="95">
        <v>3000</v>
      </c>
      <c r="AJ492" s="3">
        <f>INT(VLOOKUP(U492,模板计算相关数据!A:N,4,0)*VLOOKUP(U492,模板计算相关数据!A:N,14,0)*(1+MAX(0,(VLOOKUP(U492,模板计算相关数据!A:N,7,0)-AQ492))*VLOOKUP(U492,模板计算相关数据!A:N,8,0))*(1-(AL492+AM492)*0.5/((AL492+AM492)*0.5+(VLOOKUP(U492,模板计算相关数据!A:N,2,0)+模板计算相关数据!$AC$27)*模板计算相关数据!$AC$28))*Q492*Z492)</f>
        <v>6132</v>
      </c>
      <c r="AK492" s="3">
        <f>INT(VLOOKUP(U492,模板计算相关数据!A:N,3,0)/模板计算相关数据!$W$35/(1+MAX(0,(AO492/10000-VLOOKUP(U492,模板计算相关数据!A:N,9,0)))*AP492/10000)/(1-VLOOKUP(U492,模板计算相关数据!A:N,5,0)/(VLOOKUP(U492,模板计算相关数据!A:N,5,0)+(VLOOKUP(U492,模板计算相关数据!A:N,2,0)+模板计算相关数据!$AC$27)*模板计算相关数据!$AC$28))/S492*AA492)</f>
        <v>785</v>
      </c>
      <c r="AL492" s="3">
        <f>INT(VLOOKUP(U492,模板计算相关数据!A:N,5,0)*VLOOKUP(X492,模板计算相关数据!$P$4:$T$7,4,0)*VLOOKUP(Y492,模板计算相关数据!$P$22:$U$30,4,0)*AB492)</f>
        <v>1709</v>
      </c>
      <c r="AM492" s="3">
        <f>INT(VLOOKUP(U492,模板计算相关数据!A:N,6,0)*VLOOKUP(X492,模板计算相关数据!$P$4:$T$7,4,0)*VLOOKUP(Y492,模板计算相关数据!$P$22:$U$30,5,0)*AC492)</f>
        <v>1709</v>
      </c>
      <c r="AN492" s="3">
        <f>VLOOKUP(U492,模板计算相关数据!A:N,10,0)*0.5*VLOOKUP(Y492,模板计算相关数据!$P$22:$U$30,6,0)+AD492</f>
        <v>250</v>
      </c>
      <c r="AO492" s="3">
        <f>VLOOKUP(INT(VLOOKUP(U492,模板计算相关数据!A:N,2,0)/30)+1,模板计算相关数据!$O$35:$U$40,3,0)+AE492</f>
        <v>0</v>
      </c>
      <c r="AP492" s="3">
        <f>VLOOKUP(INT(VLOOKUP(U492,模板计算相关数据!A:N,2,0)/30)+1,模板计算相关数据!$O$35:$U$40,4,0)+AF492</f>
        <v>5000</v>
      </c>
      <c r="AQ492" s="3">
        <f>VLOOKUP(INT(VLOOKUP(U492,模板计算相关数据!A:N,2,0)/30)+1,模板计算相关数据!$O$35:$U$40,5,0)+AG492</f>
        <v>0</v>
      </c>
      <c r="AR492" s="3">
        <f>VLOOKUP(INT(VLOOKUP(U492,模板计算相关数据!A:N,2,0)/30)+1,模板计算相关数据!$O$35:$U$40,6,0)+AH492</f>
        <v>0</v>
      </c>
      <c r="AS492" s="3">
        <f>VLOOKUP(INT(VLOOKUP(U492,模板计算相关数据!A:N,2,0)/30)+1,模板计算相关数据!$O$35:$U$40,7,0)+AI492</f>
        <v>3000</v>
      </c>
      <c r="AT492" s="3">
        <f>VLOOKUP(INT(VLOOKUP(U492,模板计算相关数据!A:N,2,0)/30)+1,模板计算相关数据!$O$35:$V$40,8,0)</f>
        <v>0</v>
      </c>
      <c r="AU492" s="2"/>
    </row>
    <row r="493" spans="1:47" x14ac:dyDescent="0.2">
      <c r="A493" s="3">
        <v>306302</v>
      </c>
      <c r="B493" s="3"/>
      <c r="C493" s="2" t="s">
        <v>318</v>
      </c>
      <c r="D493" s="69" t="s">
        <v>1109</v>
      </c>
      <c r="E493" s="2"/>
      <c r="F493" s="3">
        <v>1</v>
      </c>
      <c r="G493" s="127">
        <v>101</v>
      </c>
      <c r="H493" s="3">
        <v>6</v>
      </c>
      <c r="I493" s="3">
        <v>4</v>
      </c>
      <c r="J493" s="3">
        <v>3</v>
      </c>
      <c r="K493" s="3">
        <v>1</v>
      </c>
      <c r="L493" s="69" t="s">
        <v>1592</v>
      </c>
      <c r="M493" s="2"/>
      <c r="N493" s="2">
        <v>3</v>
      </c>
      <c r="O493" s="69" t="s">
        <v>1588</v>
      </c>
      <c r="P493" s="3" t="s">
        <v>1615</v>
      </c>
      <c r="Q493" s="95">
        <v>35</v>
      </c>
      <c r="R493" s="133">
        <f>IF(P493=模板计算相关数据!$AB$24,VLOOKUP(X493,模板计算相关数据!$P$47:$T$50,2,0),VLOOKUP(X493,模板计算相关数据!$P$4:$U$7,3,0))*VLOOKUP(Y493,模板计算相关数据!$P$22:$X$30,8,0)</f>
        <v>60</v>
      </c>
      <c r="S493" s="62">
        <v>3</v>
      </c>
      <c r="T493" s="133">
        <f>IF(P493=模板计算相关数据!$AB$24,VLOOKUP(X493,模板计算相关数据!$P$47:$T$50,5,0),VLOOKUP(X493,模板计算相关数据!$P$4:$U$7,6,0))*VLOOKUP(Y493,模板计算相关数据!$P$22:$X$30,9,0)</f>
        <v>2.0689655172413794</v>
      </c>
      <c r="U493" s="98">
        <v>50</v>
      </c>
      <c r="V493" s="95">
        <f t="shared" si="56"/>
        <v>31</v>
      </c>
      <c r="W493" s="29">
        <f>VLOOKUP(U493,模板计算相关数据!A:N,2,0)</f>
        <v>28</v>
      </c>
      <c r="X493" s="3" t="s">
        <v>181</v>
      </c>
      <c r="Y493" s="3" t="s">
        <v>223</v>
      </c>
      <c r="Z493" s="99">
        <v>0.9</v>
      </c>
      <c r="AA493" s="95">
        <v>1.1000000000000001</v>
      </c>
      <c r="AB493" s="95">
        <v>1.1000000000000001</v>
      </c>
      <c r="AC493" s="95">
        <v>1.1000000000000001</v>
      </c>
      <c r="AD493" s="95">
        <v>0</v>
      </c>
      <c r="AE493" s="95">
        <v>0</v>
      </c>
      <c r="AF493" s="95">
        <v>0</v>
      </c>
      <c r="AG493" s="95">
        <v>0</v>
      </c>
      <c r="AH493" s="95">
        <v>0</v>
      </c>
      <c r="AI493" s="95">
        <v>3000</v>
      </c>
      <c r="AJ493" s="3">
        <f>INT(VLOOKUP(U493,模板计算相关数据!A:N,4,0)*VLOOKUP(U493,模板计算相关数据!A:N,14,0)*(1+MAX(0,(VLOOKUP(U493,模板计算相关数据!A:N,7,0)-AQ493))*VLOOKUP(U493,模板计算相关数据!A:N,8,0))*(1-(AL493+AM493)*0.5/((AL493+AM493)*0.5+(VLOOKUP(U493,模板计算相关数据!A:N,2,0)+模板计算相关数据!$AC$27)*模板计算相关数据!$AC$28))*Q493*Z493)</f>
        <v>13678</v>
      </c>
      <c r="AK493" s="3">
        <f>INT(VLOOKUP(U493,模板计算相关数据!A:N,3,0)/模板计算相关数据!$W$35/(1+MAX(0,(AO493/10000-VLOOKUP(U493,模板计算相关数据!A:N,9,0)))*AP493/10000)/(1-VLOOKUP(U493,模板计算相关数据!A:N,5,0)/(VLOOKUP(U493,模板计算相关数据!A:N,5,0)+(VLOOKUP(U493,模板计算相关数据!A:N,2,0)+模板计算相关数据!$AC$27)*模板计算相关数据!$AC$28))/S493*AA493)</f>
        <v>2079</v>
      </c>
      <c r="AL493" s="3">
        <f>INT(VLOOKUP(U493,模板计算相关数据!A:N,5,0)*VLOOKUP(X493,模板计算相关数据!$P$4:$T$7,4,0)*VLOOKUP(Y493,模板计算相关数据!$P$22:$U$30,4,0)*AB493)</f>
        <v>4065</v>
      </c>
      <c r="AM493" s="3">
        <f>INT(VLOOKUP(U493,模板计算相关数据!A:N,6,0)*VLOOKUP(X493,模板计算相关数据!$P$4:$T$7,4,0)*VLOOKUP(Y493,模板计算相关数据!$P$22:$U$30,5,0)*AC493)</f>
        <v>4065</v>
      </c>
      <c r="AN493" s="3">
        <f>VLOOKUP(U493,模板计算相关数据!A:N,10,0)*0.5*VLOOKUP(Y493,模板计算相关数据!$P$22:$U$30,6,0)+AD493</f>
        <v>250</v>
      </c>
      <c r="AO493" s="3">
        <f>VLOOKUP(INT(VLOOKUP(U493,模板计算相关数据!A:N,2,0)/30)+1,模板计算相关数据!$O$35:$U$40,3,0)+AE493</f>
        <v>0</v>
      </c>
      <c r="AP493" s="3">
        <f>VLOOKUP(INT(VLOOKUP(U493,模板计算相关数据!A:N,2,0)/30)+1,模板计算相关数据!$O$35:$U$40,4,0)+AF493</f>
        <v>5000</v>
      </c>
      <c r="AQ493" s="3">
        <f>VLOOKUP(INT(VLOOKUP(U493,模板计算相关数据!A:N,2,0)/30)+1,模板计算相关数据!$O$35:$U$40,5,0)+AG493</f>
        <v>0</v>
      </c>
      <c r="AR493" s="3">
        <f>VLOOKUP(INT(VLOOKUP(U493,模板计算相关数据!A:N,2,0)/30)+1,模板计算相关数据!$O$35:$U$40,6,0)+AH493</f>
        <v>0</v>
      </c>
      <c r="AS493" s="3">
        <f>VLOOKUP(INT(VLOOKUP(U493,模板计算相关数据!A:N,2,0)/30)+1,模板计算相关数据!$O$35:$U$40,7,0)+AI493</f>
        <v>3000</v>
      </c>
      <c r="AT493" s="3">
        <f>VLOOKUP(INT(VLOOKUP(U493,模板计算相关数据!A:N,2,0)/30)+1,模板计算相关数据!$O$35:$V$40,8,0)</f>
        <v>0</v>
      </c>
      <c r="AU493" s="2"/>
    </row>
    <row r="494" spans="1:47" x14ac:dyDescent="0.2">
      <c r="A494" s="3">
        <v>306303</v>
      </c>
      <c r="B494" s="3"/>
      <c r="C494" s="2" t="s">
        <v>318</v>
      </c>
      <c r="D494" s="69" t="s">
        <v>1110</v>
      </c>
      <c r="E494" s="2"/>
      <c r="F494" s="3">
        <v>1</v>
      </c>
      <c r="G494" s="127">
        <v>101</v>
      </c>
      <c r="H494" s="3">
        <v>6</v>
      </c>
      <c r="I494" s="3">
        <v>4</v>
      </c>
      <c r="J494" s="3">
        <v>3</v>
      </c>
      <c r="K494" s="3">
        <v>1</v>
      </c>
      <c r="L494" s="69" t="s">
        <v>1593</v>
      </c>
      <c r="M494" s="2"/>
      <c r="N494" s="2">
        <v>3</v>
      </c>
      <c r="O494" s="69" t="s">
        <v>1589</v>
      </c>
      <c r="P494" s="3" t="s">
        <v>1615</v>
      </c>
      <c r="Q494" s="95">
        <v>35</v>
      </c>
      <c r="R494" s="133">
        <f>IF(P494=模板计算相关数据!$AB$24,VLOOKUP(X494,模板计算相关数据!$P$47:$T$50,2,0),VLOOKUP(X494,模板计算相关数据!$P$4:$U$7,3,0))*VLOOKUP(Y494,模板计算相关数据!$P$22:$X$30,8,0)</f>
        <v>60</v>
      </c>
      <c r="S494" s="62">
        <v>3</v>
      </c>
      <c r="T494" s="133">
        <f>IF(P494=模板计算相关数据!$AB$24,VLOOKUP(X494,模板计算相关数据!$P$47:$T$50,5,0),VLOOKUP(X494,模板计算相关数据!$P$4:$U$7,6,0))*VLOOKUP(Y494,模板计算相关数据!$P$22:$X$30,9,0)</f>
        <v>2.0689655172413794</v>
      </c>
      <c r="U494" s="98">
        <v>51</v>
      </c>
      <c r="V494" s="95">
        <f t="shared" si="56"/>
        <v>43</v>
      </c>
      <c r="W494" s="29">
        <f>VLOOKUP(U494,模板计算相关数据!A:N,2,0)</f>
        <v>40</v>
      </c>
      <c r="X494" s="3" t="s">
        <v>181</v>
      </c>
      <c r="Y494" s="3" t="s">
        <v>223</v>
      </c>
      <c r="Z494" s="99">
        <v>0.9</v>
      </c>
      <c r="AA494" s="95">
        <v>1.1000000000000001</v>
      </c>
      <c r="AB494" s="95">
        <v>1.1000000000000001</v>
      </c>
      <c r="AC494" s="95">
        <v>1.1000000000000001</v>
      </c>
      <c r="AD494" s="95">
        <v>0</v>
      </c>
      <c r="AE494" s="95">
        <v>0</v>
      </c>
      <c r="AF494" s="95">
        <v>0</v>
      </c>
      <c r="AG494" s="95">
        <v>0</v>
      </c>
      <c r="AH494" s="95">
        <v>0</v>
      </c>
      <c r="AI494" s="95">
        <v>4000</v>
      </c>
      <c r="AJ494" s="3">
        <f>INT(VLOOKUP(U494,模板计算相关数据!A:N,4,0)*VLOOKUP(U494,模板计算相关数据!A:N,14,0)*(1+MAX(0,(VLOOKUP(U494,模板计算相关数据!A:N,7,0)-AQ494))*VLOOKUP(U494,模板计算相关数据!A:N,8,0))*(1-(AL494+AM494)*0.5/((AL494+AM494)*0.5+(VLOOKUP(U494,模板计算相关数据!A:N,2,0)+模板计算相关数据!$AC$27)*模板计算相关数据!$AC$28))*Q494*Z494)</f>
        <v>20662</v>
      </c>
      <c r="AK494" s="3">
        <f>INT(VLOOKUP(U494,模板计算相关数据!A:N,3,0)/模板计算相关数据!$W$35/(1+MAX(0,(AO494/10000-VLOOKUP(U494,模板计算相关数据!A:N,9,0)))*AP494/10000)/(1-VLOOKUP(U494,模板计算相关数据!A:N,5,0)/(VLOOKUP(U494,模板计算相关数据!A:N,5,0)+(VLOOKUP(U494,模板计算相关数据!A:N,2,0)+模板计算相关数据!$AC$27)*模板计算相关数据!$AC$28))/S494*AA494)</f>
        <v>3561</v>
      </c>
      <c r="AL494" s="3">
        <f>INT(VLOOKUP(U494,模板计算相关数据!A:N,5,0)*VLOOKUP(X494,模板计算相关数据!$P$4:$T$7,4,0)*VLOOKUP(Y494,模板计算相关数据!$P$22:$U$30,4,0)*AB494)</f>
        <v>6588</v>
      </c>
      <c r="AM494" s="3">
        <f>INT(VLOOKUP(U494,模板计算相关数据!A:N,6,0)*VLOOKUP(X494,模板计算相关数据!$P$4:$T$7,4,0)*VLOOKUP(Y494,模板计算相关数据!$P$22:$U$30,5,0)*AC494)</f>
        <v>6588</v>
      </c>
      <c r="AN494" s="3">
        <f>VLOOKUP(U494,模板计算相关数据!A:N,10,0)*0.5*VLOOKUP(Y494,模板计算相关数据!$P$22:$U$30,6,0)+AD494</f>
        <v>250</v>
      </c>
      <c r="AO494" s="3">
        <f>VLOOKUP(INT(VLOOKUP(U494,模板计算相关数据!A:N,2,0)/30)+1,模板计算相关数据!$O$35:$U$40,3,0)+AE494</f>
        <v>0</v>
      </c>
      <c r="AP494" s="3">
        <f>VLOOKUP(INT(VLOOKUP(U494,模板计算相关数据!A:N,2,0)/30)+1,模板计算相关数据!$O$35:$U$40,4,0)+AF494</f>
        <v>5000</v>
      </c>
      <c r="AQ494" s="3">
        <f>VLOOKUP(INT(VLOOKUP(U494,模板计算相关数据!A:N,2,0)/30)+1,模板计算相关数据!$O$35:$U$40,5,0)+AG494</f>
        <v>0</v>
      </c>
      <c r="AR494" s="3">
        <f>VLOOKUP(INT(VLOOKUP(U494,模板计算相关数据!A:N,2,0)/30)+1,模板计算相关数据!$O$35:$U$40,6,0)+AH494</f>
        <v>0</v>
      </c>
      <c r="AS494" s="3">
        <f>VLOOKUP(INT(VLOOKUP(U494,模板计算相关数据!A:N,2,0)/30)+1,模板计算相关数据!$O$35:$U$40,7,0)+AI494</f>
        <v>4000</v>
      </c>
      <c r="AT494" s="3">
        <f>VLOOKUP(INT(VLOOKUP(U494,模板计算相关数据!A:N,2,0)/30)+1,模板计算相关数据!$O$35:$V$40,8,0)</f>
        <v>0</v>
      </c>
      <c r="AU494" s="2"/>
    </row>
    <row r="495" spans="1:47" x14ac:dyDescent="0.2">
      <c r="A495" s="3">
        <v>306304</v>
      </c>
      <c r="B495" s="3"/>
      <c r="C495" s="2" t="s">
        <v>318</v>
      </c>
      <c r="D495" s="69" t="s">
        <v>1111</v>
      </c>
      <c r="E495" s="2"/>
      <c r="F495" s="3">
        <v>1</v>
      </c>
      <c r="G495" s="127">
        <v>101</v>
      </c>
      <c r="H495" s="3">
        <v>6</v>
      </c>
      <c r="I495" s="3">
        <v>4</v>
      </c>
      <c r="J495" s="3">
        <v>3</v>
      </c>
      <c r="K495" s="3">
        <v>1</v>
      </c>
      <c r="L495" s="69" t="s">
        <v>1594</v>
      </c>
      <c r="M495" s="2"/>
      <c r="N495" s="2">
        <v>3</v>
      </c>
      <c r="O495" s="69" t="s">
        <v>1590</v>
      </c>
      <c r="P495" s="3" t="s">
        <v>1615</v>
      </c>
      <c r="Q495" s="95">
        <v>40</v>
      </c>
      <c r="R495" s="133">
        <f>IF(P495=模板计算相关数据!$AB$24,VLOOKUP(X495,模板计算相关数据!$P$47:$T$50,2,0),VLOOKUP(X495,模板计算相关数据!$P$4:$U$7,3,0))*VLOOKUP(Y495,模板计算相关数据!$P$22:$X$30,8,0)</f>
        <v>60</v>
      </c>
      <c r="S495" s="62">
        <v>3</v>
      </c>
      <c r="T495" s="133">
        <f>IF(P495=模板计算相关数据!$AB$24,VLOOKUP(X495,模板计算相关数据!$P$47:$T$50,5,0),VLOOKUP(X495,模板计算相关数据!$P$4:$U$7,6,0))*VLOOKUP(Y495,模板计算相关数据!$P$22:$X$30,9,0)</f>
        <v>2.0689655172413794</v>
      </c>
      <c r="U495" s="98">
        <v>51</v>
      </c>
      <c r="V495" s="95">
        <f t="shared" si="56"/>
        <v>43</v>
      </c>
      <c r="W495" s="29">
        <f>VLOOKUP(U495,模板计算相关数据!A:N,2,0)</f>
        <v>40</v>
      </c>
      <c r="X495" s="3" t="s">
        <v>181</v>
      </c>
      <c r="Y495" s="3" t="s">
        <v>223</v>
      </c>
      <c r="Z495" s="99">
        <v>0.9</v>
      </c>
      <c r="AA495" s="95">
        <v>1.1000000000000001</v>
      </c>
      <c r="AB495" s="95">
        <v>1.1000000000000001</v>
      </c>
      <c r="AC495" s="95">
        <v>1.1000000000000001</v>
      </c>
      <c r="AD495" s="95">
        <v>0</v>
      </c>
      <c r="AE495" s="95">
        <v>0</v>
      </c>
      <c r="AF495" s="95">
        <v>0</v>
      </c>
      <c r="AG495" s="95">
        <v>0</v>
      </c>
      <c r="AH495" s="95">
        <v>0</v>
      </c>
      <c r="AI495" s="95">
        <v>4000</v>
      </c>
      <c r="AJ495" s="3">
        <f>INT(VLOOKUP(U495,模板计算相关数据!A:N,4,0)*VLOOKUP(U495,模板计算相关数据!A:N,14,0)*(1+MAX(0,(VLOOKUP(U495,模板计算相关数据!A:N,7,0)-AQ495))*VLOOKUP(U495,模板计算相关数据!A:N,8,0))*(1-(AL495+AM495)*0.5/((AL495+AM495)*0.5+(VLOOKUP(U495,模板计算相关数据!A:N,2,0)+模板计算相关数据!$AC$27)*模板计算相关数据!$AC$28))*Q495*Z495)</f>
        <v>23614</v>
      </c>
      <c r="AK495" s="3">
        <f>INT(VLOOKUP(U495,模板计算相关数据!A:N,3,0)/模板计算相关数据!$W$35/(1+MAX(0,(AO495/10000-VLOOKUP(U495,模板计算相关数据!A:N,9,0)))*AP495/10000)/(1-VLOOKUP(U495,模板计算相关数据!A:N,5,0)/(VLOOKUP(U495,模板计算相关数据!A:N,5,0)+(VLOOKUP(U495,模板计算相关数据!A:N,2,0)+模板计算相关数据!$AC$27)*模板计算相关数据!$AC$28))/S495*AA495)</f>
        <v>3561</v>
      </c>
      <c r="AL495" s="3">
        <f>INT(VLOOKUP(U495,模板计算相关数据!A:N,5,0)*VLOOKUP(X495,模板计算相关数据!$P$4:$T$7,4,0)*VLOOKUP(Y495,模板计算相关数据!$P$22:$U$30,4,0)*AB495)</f>
        <v>6588</v>
      </c>
      <c r="AM495" s="3">
        <f>INT(VLOOKUP(U495,模板计算相关数据!A:N,6,0)*VLOOKUP(X495,模板计算相关数据!$P$4:$T$7,4,0)*VLOOKUP(Y495,模板计算相关数据!$P$22:$U$30,5,0)*AC495)</f>
        <v>6588</v>
      </c>
      <c r="AN495" s="3">
        <f>VLOOKUP(U495,模板计算相关数据!A:N,10,0)*0.5*VLOOKUP(Y495,模板计算相关数据!$P$22:$U$30,6,0)+AD495</f>
        <v>250</v>
      </c>
      <c r="AO495" s="3">
        <f>VLOOKUP(INT(VLOOKUP(U495,模板计算相关数据!A:N,2,0)/30)+1,模板计算相关数据!$O$35:$U$40,3,0)+AE495</f>
        <v>0</v>
      </c>
      <c r="AP495" s="3">
        <f>VLOOKUP(INT(VLOOKUP(U495,模板计算相关数据!A:N,2,0)/30)+1,模板计算相关数据!$O$35:$U$40,4,0)+AF495</f>
        <v>5000</v>
      </c>
      <c r="AQ495" s="3">
        <f>VLOOKUP(INT(VLOOKUP(U495,模板计算相关数据!A:N,2,0)/30)+1,模板计算相关数据!$O$35:$U$40,5,0)+AG495</f>
        <v>0</v>
      </c>
      <c r="AR495" s="3">
        <f>VLOOKUP(INT(VLOOKUP(U495,模板计算相关数据!A:N,2,0)/30)+1,模板计算相关数据!$O$35:$U$40,6,0)+AH495</f>
        <v>0</v>
      </c>
      <c r="AS495" s="3">
        <f>VLOOKUP(INT(VLOOKUP(U495,模板计算相关数据!A:N,2,0)/30)+1,模板计算相关数据!$O$35:$U$40,7,0)+AI495</f>
        <v>4000</v>
      </c>
      <c r="AT495" s="3">
        <f>VLOOKUP(INT(VLOOKUP(U495,模板计算相关数据!A:N,2,0)/30)+1,模板计算相关数据!$O$35:$V$40,8,0)</f>
        <v>0</v>
      </c>
      <c r="AU495" s="2"/>
    </row>
    <row r="496" spans="1:47" x14ac:dyDescent="0.2">
      <c r="A496" s="3">
        <v>306305</v>
      </c>
      <c r="B496" s="3"/>
      <c r="C496" s="2" t="s">
        <v>318</v>
      </c>
      <c r="D496" s="69" t="s">
        <v>1112</v>
      </c>
      <c r="E496" s="2"/>
      <c r="F496" s="3">
        <v>1</v>
      </c>
      <c r="G496" s="127">
        <v>101</v>
      </c>
      <c r="H496" s="3">
        <v>6</v>
      </c>
      <c r="I496" s="3">
        <v>4</v>
      </c>
      <c r="J496" s="3">
        <v>3</v>
      </c>
      <c r="K496" s="3">
        <v>1</v>
      </c>
      <c r="L496" s="69" t="s">
        <v>1595</v>
      </c>
      <c r="M496" s="2"/>
      <c r="N496" s="2">
        <v>3</v>
      </c>
      <c r="O496" s="69" t="s">
        <v>1591</v>
      </c>
      <c r="P496" s="3" t="s">
        <v>1615</v>
      </c>
      <c r="Q496" s="95">
        <v>40</v>
      </c>
      <c r="R496" s="133">
        <f>IF(P496=模板计算相关数据!$AB$24,VLOOKUP(X496,模板计算相关数据!$P$47:$T$50,2,0),VLOOKUP(X496,模板计算相关数据!$P$4:$U$7,3,0))*VLOOKUP(Y496,模板计算相关数据!$P$22:$X$30,8,0)</f>
        <v>60</v>
      </c>
      <c r="S496" s="62">
        <v>3</v>
      </c>
      <c r="T496" s="133">
        <f>IF(P496=模板计算相关数据!$AB$24,VLOOKUP(X496,模板计算相关数据!$P$47:$T$50,5,0),VLOOKUP(X496,模板计算相关数据!$P$4:$U$7,6,0))*VLOOKUP(Y496,模板计算相关数据!$P$22:$X$30,9,0)</f>
        <v>2.0689655172413794</v>
      </c>
      <c r="U496" s="98">
        <v>51</v>
      </c>
      <c r="V496" s="95">
        <f t="shared" ref="V496:V559" si="60">W496+3</f>
        <v>43</v>
      </c>
      <c r="W496" s="29">
        <f>VLOOKUP(U496,模板计算相关数据!A:N,2,0)</f>
        <v>40</v>
      </c>
      <c r="X496" s="3" t="s">
        <v>181</v>
      </c>
      <c r="Y496" s="3" t="s">
        <v>223</v>
      </c>
      <c r="Z496" s="99">
        <v>0.9</v>
      </c>
      <c r="AA496" s="95">
        <v>1.1000000000000001</v>
      </c>
      <c r="AB496" s="95">
        <v>1.1000000000000001</v>
      </c>
      <c r="AC496" s="95">
        <v>1.1000000000000001</v>
      </c>
      <c r="AD496" s="95">
        <v>0</v>
      </c>
      <c r="AE496" s="95">
        <v>0</v>
      </c>
      <c r="AF496" s="95">
        <v>0</v>
      </c>
      <c r="AG496" s="95">
        <v>0</v>
      </c>
      <c r="AH496" s="95">
        <v>0</v>
      </c>
      <c r="AI496" s="95">
        <v>4000</v>
      </c>
      <c r="AJ496" s="3">
        <f>INT(VLOOKUP(U496,模板计算相关数据!A:N,4,0)*VLOOKUP(U496,模板计算相关数据!A:N,14,0)*(1+MAX(0,(VLOOKUP(U496,模板计算相关数据!A:N,7,0)-AQ496))*VLOOKUP(U496,模板计算相关数据!A:N,8,0))*(1-(AL496+AM496)*0.5/((AL496+AM496)*0.5+(VLOOKUP(U496,模板计算相关数据!A:N,2,0)+模板计算相关数据!$AC$27)*模板计算相关数据!$AC$28))*Q496*Z496)</f>
        <v>23614</v>
      </c>
      <c r="AK496" s="3">
        <f>INT(VLOOKUP(U496,模板计算相关数据!A:N,3,0)/模板计算相关数据!$W$35/(1+MAX(0,(AO496/10000-VLOOKUP(U496,模板计算相关数据!A:N,9,0)))*AP496/10000)/(1-VLOOKUP(U496,模板计算相关数据!A:N,5,0)/(VLOOKUP(U496,模板计算相关数据!A:N,5,0)+(VLOOKUP(U496,模板计算相关数据!A:N,2,0)+模板计算相关数据!$AC$27)*模板计算相关数据!$AC$28))/S496*AA496)</f>
        <v>3561</v>
      </c>
      <c r="AL496" s="3">
        <f>INT(VLOOKUP(U496,模板计算相关数据!A:N,5,0)*VLOOKUP(X496,模板计算相关数据!$P$4:$T$7,4,0)*VLOOKUP(Y496,模板计算相关数据!$P$22:$U$30,4,0)*AB496)</f>
        <v>6588</v>
      </c>
      <c r="AM496" s="3">
        <f>INT(VLOOKUP(U496,模板计算相关数据!A:N,6,0)*VLOOKUP(X496,模板计算相关数据!$P$4:$T$7,4,0)*VLOOKUP(Y496,模板计算相关数据!$P$22:$U$30,5,0)*AC496)</f>
        <v>6588</v>
      </c>
      <c r="AN496" s="3">
        <f>VLOOKUP(U496,模板计算相关数据!A:N,10,0)*0.5*VLOOKUP(Y496,模板计算相关数据!$P$22:$U$30,6,0)+AD496</f>
        <v>250</v>
      </c>
      <c r="AO496" s="3">
        <f>VLOOKUP(INT(VLOOKUP(U496,模板计算相关数据!A:N,2,0)/30)+1,模板计算相关数据!$O$35:$U$40,3,0)+AE496</f>
        <v>0</v>
      </c>
      <c r="AP496" s="3">
        <f>VLOOKUP(INT(VLOOKUP(U496,模板计算相关数据!A:N,2,0)/30)+1,模板计算相关数据!$O$35:$U$40,4,0)+AF496</f>
        <v>5000</v>
      </c>
      <c r="AQ496" s="3">
        <f>VLOOKUP(INT(VLOOKUP(U496,模板计算相关数据!A:N,2,0)/30)+1,模板计算相关数据!$O$35:$U$40,5,0)+AG496</f>
        <v>0</v>
      </c>
      <c r="AR496" s="3">
        <f>VLOOKUP(INT(VLOOKUP(U496,模板计算相关数据!A:N,2,0)/30)+1,模板计算相关数据!$O$35:$U$40,6,0)+AH496</f>
        <v>0</v>
      </c>
      <c r="AS496" s="3">
        <f>VLOOKUP(INT(VLOOKUP(U496,模板计算相关数据!A:N,2,0)/30)+1,模板计算相关数据!$O$35:$U$40,7,0)+AI496</f>
        <v>4000</v>
      </c>
      <c r="AT496" s="3">
        <f>VLOOKUP(INT(VLOOKUP(U496,模板计算相关数据!A:N,2,0)/30)+1,模板计算相关数据!$O$35:$V$40,8,0)</f>
        <v>0</v>
      </c>
      <c r="AU496" s="2"/>
    </row>
    <row r="497" spans="1:47" x14ac:dyDescent="0.2">
      <c r="A497" s="3">
        <v>306306</v>
      </c>
      <c r="B497" s="3"/>
      <c r="C497" s="2" t="s">
        <v>319</v>
      </c>
      <c r="D497" s="69" t="s">
        <v>1110</v>
      </c>
      <c r="E497" s="2"/>
      <c r="F497" s="3">
        <v>1</v>
      </c>
      <c r="G497" s="3">
        <v>1002501</v>
      </c>
      <c r="H497" s="3">
        <v>5</v>
      </c>
      <c r="I497" s="3">
        <v>4</v>
      </c>
      <c r="J497" s="3">
        <v>3</v>
      </c>
      <c r="K497" s="3"/>
      <c r="L497" s="69" t="s">
        <v>1596</v>
      </c>
      <c r="M497" s="2"/>
      <c r="N497" s="2">
        <v>1</v>
      </c>
      <c r="O497" s="2"/>
      <c r="P497" s="3" t="s">
        <v>1615</v>
      </c>
      <c r="Q497" s="95">
        <f t="shared" si="58"/>
        <v>5.7709803921568623</v>
      </c>
      <c r="R497" s="133">
        <f>IF(P497=模板计算相关数据!$AB$24,VLOOKUP(X497,模板计算相关数据!$P$47:$T$50,2,0),VLOOKUP(X497,模板计算相关数据!$P$4:$U$7,3,0))*VLOOKUP(Y497,模板计算相关数据!$P$22:$X$30,8,0)</f>
        <v>5.7709803921568623</v>
      </c>
      <c r="S497" s="62">
        <f t="shared" si="59"/>
        <v>6.4077918749198997</v>
      </c>
      <c r="T497" s="133">
        <f>IF(P497=模板计算相关数据!$AB$24,VLOOKUP(X497,模板计算相关数据!$P$47:$T$50,5,0),VLOOKUP(X497,模板计算相关数据!$P$4:$U$7,6,0))*VLOOKUP(Y497,模板计算相关数据!$P$22:$X$30,9,0)</f>
        <v>6.4077918749198997</v>
      </c>
      <c r="U497" s="98">
        <v>51</v>
      </c>
      <c r="V497" s="95">
        <f t="shared" si="60"/>
        <v>43</v>
      </c>
      <c r="W497" s="29">
        <f>VLOOKUP(U497,模板计算相关数据!A:N,2,0)</f>
        <v>40</v>
      </c>
      <c r="X497" s="3" t="s">
        <v>151</v>
      </c>
      <c r="Y497" s="3" t="s">
        <v>159</v>
      </c>
      <c r="Z497" s="99">
        <v>1</v>
      </c>
      <c r="AA497" s="95">
        <v>1</v>
      </c>
      <c r="AB497" s="95">
        <v>1</v>
      </c>
      <c r="AC497" s="95">
        <v>1</v>
      </c>
      <c r="AD497" s="95">
        <v>0</v>
      </c>
      <c r="AE497" s="95">
        <v>0</v>
      </c>
      <c r="AF497" s="95">
        <v>0</v>
      </c>
      <c r="AG497" s="95">
        <v>0</v>
      </c>
      <c r="AH497" s="95">
        <v>0</v>
      </c>
      <c r="AI497" s="95">
        <v>0</v>
      </c>
      <c r="AJ497" s="3">
        <f>INT(VLOOKUP(U497,模板计算相关数据!A:N,4,0)*VLOOKUP(U497,模板计算相关数据!A:N,14,0)*(1+MAX(0,(VLOOKUP(U497,模板计算相关数据!A:N,7,0)-AQ497))*VLOOKUP(U497,模板计算相关数据!A:N,8,0))*(1-(AL497+AM497)*0.5/((AL497+AM497)*0.5+(VLOOKUP(U497,模板计算相关数据!A:N,2,0)+模板计算相关数据!$AC$27)*模板计算相关数据!$AC$28))*Q497*Z497)</f>
        <v>5614</v>
      </c>
      <c r="AK497" s="3">
        <f>INT(VLOOKUP(U497,模板计算相关数据!A:N,3,0)/模板计算相关数据!$W$35/(1+MAX(0,(AO497/10000-VLOOKUP(U497,模板计算相关数据!A:N,9,0)))*AP497/10000)/(1-VLOOKUP(U497,模板计算相关数据!A:N,5,0)/(VLOOKUP(U497,模板计算相关数据!A:N,5,0)+(VLOOKUP(U497,模板计算相关数据!A:N,2,0)+模板计算相关数据!$AC$27)*模板计算相关数据!$AC$28))/S497*AA497)</f>
        <v>1515</v>
      </c>
      <c r="AL497" s="3">
        <f>INT(VLOOKUP(U497,模板计算相关数据!A:N,5,0)*VLOOKUP(X497,模板计算相关数据!$P$4:$T$7,4,0)*VLOOKUP(Y497,模板计算相关数据!$P$22:$U$30,4,0)*AB497)</f>
        <v>3961</v>
      </c>
      <c r="AM497" s="3">
        <f>INT(VLOOKUP(U497,模板计算相关数据!A:N,6,0)*VLOOKUP(X497,模板计算相关数据!$P$4:$T$7,4,0)*VLOOKUP(Y497,模板计算相关数据!$P$22:$U$30,5,0)*AC497)</f>
        <v>2172</v>
      </c>
      <c r="AN497" s="3">
        <f>VLOOKUP(U497,模板计算相关数据!A:N,10,0)*0.5*VLOOKUP(Y497,模板计算相关数据!$P$22:$U$30,6,0)+AD497</f>
        <v>275</v>
      </c>
      <c r="AO497" s="3">
        <f>VLOOKUP(INT(VLOOKUP(U497,模板计算相关数据!A:N,2,0)/30)+1,模板计算相关数据!$O$35:$U$40,3,0)+AE497</f>
        <v>0</v>
      </c>
      <c r="AP497" s="3">
        <f>VLOOKUP(INT(VLOOKUP(U497,模板计算相关数据!A:N,2,0)/30)+1,模板计算相关数据!$O$35:$U$40,4,0)+AF497</f>
        <v>5000</v>
      </c>
      <c r="AQ497" s="3">
        <f>VLOOKUP(INT(VLOOKUP(U497,模板计算相关数据!A:N,2,0)/30)+1,模板计算相关数据!$O$35:$U$40,5,0)+AG497</f>
        <v>0</v>
      </c>
      <c r="AR497" s="3">
        <f>VLOOKUP(INT(VLOOKUP(U497,模板计算相关数据!A:N,2,0)/30)+1,模板计算相关数据!$O$35:$U$40,6,0)+AH497</f>
        <v>0</v>
      </c>
      <c r="AS497" s="3">
        <f>VLOOKUP(INT(VLOOKUP(U497,模板计算相关数据!A:N,2,0)/30)+1,模板计算相关数据!$O$35:$U$40,7,0)+AI497</f>
        <v>0</v>
      </c>
      <c r="AT497" s="3">
        <f>VLOOKUP(INT(VLOOKUP(U497,模板计算相关数据!A:N,2,0)/30)+1,模板计算相关数据!$O$35:$V$40,8,0)</f>
        <v>0</v>
      </c>
      <c r="AU497" s="2"/>
    </row>
    <row r="498" spans="1:47" x14ac:dyDescent="0.2">
      <c r="A498" s="3">
        <v>306307</v>
      </c>
      <c r="B498" s="3"/>
      <c r="C498" s="2" t="s">
        <v>319</v>
      </c>
      <c r="D498" s="69" t="s">
        <v>1111</v>
      </c>
      <c r="E498" s="2"/>
      <c r="F498" s="3">
        <v>1</v>
      </c>
      <c r="G498" s="3">
        <v>1002501</v>
      </c>
      <c r="H498" s="3">
        <v>5</v>
      </c>
      <c r="I498" s="3">
        <v>4</v>
      </c>
      <c r="J498" s="3">
        <v>3</v>
      </c>
      <c r="K498" s="3"/>
      <c r="L498" s="69" t="s">
        <v>1597</v>
      </c>
      <c r="M498" s="2"/>
      <c r="N498" s="2">
        <v>1</v>
      </c>
      <c r="O498" s="2"/>
      <c r="P498" s="3" t="s">
        <v>1615</v>
      </c>
      <c r="Q498" s="95">
        <f t="shared" si="58"/>
        <v>5.7709803921568623</v>
      </c>
      <c r="R498" s="133">
        <f>IF(P498=模板计算相关数据!$AB$24,VLOOKUP(X498,模板计算相关数据!$P$47:$T$50,2,0),VLOOKUP(X498,模板计算相关数据!$P$4:$U$7,3,0))*VLOOKUP(Y498,模板计算相关数据!$P$22:$X$30,8,0)</f>
        <v>5.7709803921568623</v>
      </c>
      <c r="S498" s="62">
        <f t="shared" si="59"/>
        <v>6.4077918749198997</v>
      </c>
      <c r="T498" s="133">
        <f>IF(P498=模板计算相关数据!$AB$24,VLOOKUP(X498,模板计算相关数据!$P$47:$T$50,5,0),VLOOKUP(X498,模板计算相关数据!$P$4:$U$7,6,0))*VLOOKUP(Y498,模板计算相关数据!$P$22:$X$30,9,0)</f>
        <v>6.4077918749198997</v>
      </c>
      <c r="U498" s="98">
        <v>51</v>
      </c>
      <c r="V498" s="95">
        <f t="shared" si="60"/>
        <v>43</v>
      </c>
      <c r="W498" s="29">
        <f>VLOOKUP(U498,模板计算相关数据!A:N,2,0)</f>
        <v>40</v>
      </c>
      <c r="X498" s="3" t="s">
        <v>151</v>
      </c>
      <c r="Y498" s="3" t="s">
        <v>159</v>
      </c>
      <c r="Z498" s="99">
        <v>1</v>
      </c>
      <c r="AA498" s="95">
        <v>1</v>
      </c>
      <c r="AB498" s="95">
        <v>1</v>
      </c>
      <c r="AC498" s="95">
        <v>1</v>
      </c>
      <c r="AD498" s="95">
        <v>0</v>
      </c>
      <c r="AE498" s="95">
        <v>0</v>
      </c>
      <c r="AF498" s="95">
        <v>0</v>
      </c>
      <c r="AG498" s="95">
        <v>0</v>
      </c>
      <c r="AH498" s="95">
        <v>0</v>
      </c>
      <c r="AI498" s="95">
        <v>0</v>
      </c>
      <c r="AJ498" s="3">
        <f>INT(VLOOKUP(U498,模板计算相关数据!A:N,4,0)*VLOOKUP(U498,模板计算相关数据!A:N,14,0)*(1+MAX(0,(VLOOKUP(U498,模板计算相关数据!A:N,7,0)-AQ498))*VLOOKUP(U498,模板计算相关数据!A:N,8,0))*(1-(AL498+AM498)*0.5/((AL498+AM498)*0.5+(VLOOKUP(U498,模板计算相关数据!A:N,2,0)+模板计算相关数据!$AC$27)*模板计算相关数据!$AC$28))*Q498*Z498)</f>
        <v>5614</v>
      </c>
      <c r="AK498" s="3">
        <f>INT(VLOOKUP(U498,模板计算相关数据!A:N,3,0)/模板计算相关数据!$W$35/(1+MAX(0,(AO498/10000-VLOOKUP(U498,模板计算相关数据!A:N,9,0)))*AP498/10000)/(1-VLOOKUP(U498,模板计算相关数据!A:N,5,0)/(VLOOKUP(U498,模板计算相关数据!A:N,5,0)+(VLOOKUP(U498,模板计算相关数据!A:N,2,0)+模板计算相关数据!$AC$27)*模板计算相关数据!$AC$28))/S498*AA498)</f>
        <v>1515</v>
      </c>
      <c r="AL498" s="3">
        <f>INT(VLOOKUP(U498,模板计算相关数据!A:N,5,0)*VLOOKUP(X498,模板计算相关数据!$P$4:$T$7,4,0)*VLOOKUP(Y498,模板计算相关数据!$P$22:$U$30,4,0)*AB498)</f>
        <v>3961</v>
      </c>
      <c r="AM498" s="3">
        <f>INT(VLOOKUP(U498,模板计算相关数据!A:N,6,0)*VLOOKUP(X498,模板计算相关数据!$P$4:$T$7,4,0)*VLOOKUP(Y498,模板计算相关数据!$P$22:$U$30,5,0)*AC498)</f>
        <v>2172</v>
      </c>
      <c r="AN498" s="3">
        <f>VLOOKUP(U498,模板计算相关数据!A:N,10,0)*0.5*VLOOKUP(Y498,模板计算相关数据!$P$22:$U$30,6,0)+AD498</f>
        <v>275</v>
      </c>
      <c r="AO498" s="3">
        <f>VLOOKUP(INT(VLOOKUP(U498,模板计算相关数据!A:N,2,0)/30)+1,模板计算相关数据!$O$35:$U$40,3,0)+AE498</f>
        <v>0</v>
      </c>
      <c r="AP498" s="3">
        <f>VLOOKUP(INT(VLOOKUP(U498,模板计算相关数据!A:N,2,0)/30)+1,模板计算相关数据!$O$35:$U$40,4,0)+AF498</f>
        <v>5000</v>
      </c>
      <c r="AQ498" s="3">
        <f>VLOOKUP(INT(VLOOKUP(U498,模板计算相关数据!A:N,2,0)/30)+1,模板计算相关数据!$O$35:$U$40,5,0)+AG498</f>
        <v>0</v>
      </c>
      <c r="AR498" s="3">
        <f>VLOOKUP(INT(VLOOKUP(U498,模板计算相关数据!A:N,2,0)/30)+1,模板计算相关数据!$O$35:$U$40,6,0)+AH498</f>
        <v>0</v>
      </c>
      <c r="AS498" s="3">
        <f>VLOOKUP(INT(VLOOKUP(U498,模板计算相关数据!A:N,2,0)/30)+1,模板计算相关数据!$O$35:$U$40,7,0)+AI498</f>
        <v>0</v>
      </c>
      <c r="AT498" s="3">
        <f>VLOOKUP(INT(VLOOKUP(U498,模板计算相关数据!A:N,2,0)/30)+1,模板计算相关数据!$O$35:$V$40,8,0)</f>
        <v>0</v>
      </c>
      <c r="AU498" s="2"/>
    </row>
    <row r="499" spans="1:47" x14ac:dyDescent="0.2">
      <c r="A499" s="3">
        <v>306308</v>
      </c>
      <c r="B499" s="3"/>
      <c r="C499" s="2" t="s">
        <v>319</v>
      </c>
      <c r="D499" s="69" t="s">
        <v>1112</v>
      </c>
      <c r="E499" s="2"/>
      <c r="F499" s="3">
        <v>1</v>
      </c>
      <c r="G499" s="3">
        <v>1002501</v>
      </c>
      <c r="H499" s="3">
        <v>5</v>
      </c>
      <c r="I499" s="3">
        <v>4</v>
      </c>
      <c r="J499" s="3">
        <v>3</v>
      </c>
      <c r="K499" s="3"/>
      <c r="L499" s="69" t="s">
        <v>1598</v>
      </c>
      <c r="M499" s="2"/>
      <c r="N499" s="2">
        <v>1</v>
      </c>
      <c r="O499" s="2"/>
      <c r="P499" s="3" t="s">
        <v>1615</v>
      </c>
      <c r="Q499" s="95">
        <f t="shared" si="58"/>
        <v>5.7709803921568623</v>
      </c>
      <c r="R499" s="133">
        <f>IF(P499=模板计算相关数据!$AB$24,VLOOKUP(X499,模板计算相关数据!$P$47:$T$50,2,0),VLOOKUP(X499,模板计算相关数据!$P$4:$U$7,3,0))*VLOOKUP(Y499,模板计算相关数据!$P$22:$X$30,8,0)</f>
        <v>5.7709803921568623</v>
      </c>
      <c r="S499" s="62">
        <f t="shared" si="59"/>
        <v>6.4077918749198997</v>
      </c>
      <c r="T499" s="133">
        <f>IF(P499=模板计算相关数据!$AB$24,VLOOKUP(X499,模板计算相关数据!$P$47:$T$50,5,0),VLOOKUP(X499,模板计算相关数据!$P$4:$U$7,6,0))*VLOOKUP(Y499,模板计算相关数据!$P$22:$X$30,9,0)</f>
        <v>6.4077918749198997</v>
      </c>
      <c r="U499" s="98">
        <v>51</v>
      </c>
      <c r="V499" s="95">
        <f t="shared" si="60"/>
        <v>43</v>
      </c>
      <c r="W499" s="29">
        <f>VLOOKUP(U499,模板计算相关数据!A:N,2,0)</f>
        <v>40</v>
      </c>
      <c r="X499" s="3" t="s">
        <v>151</v>
      </c>
      <c r="Y499" s="3" t="s">
        <v>159</v>
      </c>
      <c r="Z499" s="99">
        <v>1</v>
      </c>
      <c r="AA499" s="95">
        <v>1</v>
      </c>
      <c r="AB499" s="95">
        <v>1</v>
      </c>
      <c r="AC499" s="95">
        <v>1</v>
      </c>
      <c r="AD499" s="95">
        <v>0</v>
      </c>
      <c r="AE499" s="95">
        <v>0</v>
      </c>
      <c r="AF499" s="95">
        <v>0</v>
      </c>
      <c r="AG499" s="95">
        <v>0</v>
      </c>
      <c r="AH499" s="95">
        <v>0</v>
      </c>
      <c r="AI499" s="95">
        <v>0</v>
      </c>
      <c r="AJ499" s="3">
        <f>INT(VLOOKUP(U499,模板计算相关数据!A:N,4,0)*VLOOKUP(U499,模板计算相关数据!A:N,14,0)*(1+MAX(0,(VLOOKUP(U499,模板计算相关数据!A:N,7,0)-AQ499))*VLOOKUP(U499,模板计算相关数据!A:N,8,0))*(1-(AL499+AM499)*0.5/((AL499+AM499)*0.5+(VLOOKUP(U499,模板计算相关数据!A:N,2,0)+模板计算相关数据!$AC$27)*模板计算相关数据!$AC$28))*Q499*Z499)</f>
        <v>5614</v>
      </c>
      <c r="AK499" s="3">
        <f>INT(VLOOKUP(U499,模板计算相关数据!A:N,3,0)/模板计算相关数据!$W$35/(1+MAX(0,(AO499/10000-VLOOKUP(U499,模板计算相关数据!A:N,9,0)))*AP499/10000)/(1-VLOOKUP(U499,模板计算相关数据!A:N,5,0)/(VLOOKUP(U499,模板计算相关数据!A:N,5,0)+(VLOOKUP(U499,模板计算相关数据!A:N,2,0)+模板计算相关数据!$AC$27)*模板计算相关数据!$AC$28))/S499*AA499)</f>
        <v>1515</v>
      </c>
      <c r="AL499" s="3">
        <f>INT(VLOOKUP(U499,模板计算相关数据!A:N,5,0)*VLOOKUP(X499,模板计算相关数据!$P$4:$T$7,4,0)*VLOOKUP(Y499,模板计算相关数据!$P$22:$U$30,4,0)*AB499)</f>
        <v>3961</v>
      </c>
      <c r="AM499" s="3">
        <f>INT(VLOOKUP(U499,模板计算相关数据!A:N,6,0)*VLOOKUP(X499,模板计算相关数据!$P$4:$T$7,4,0)*VLOOKUP(Y499,模板计算相关数据!$P$22:$U$30,5,0)*AC499)</f>
        <v>2172</v>
      </c>
      <c r="AN499" s="3">
        <f>VLOOKUP(U499,模板计算相关数据!A:N,10,0)*0.5*VLOOKUP(Y499,模板计算相关数据!$P$22:$U$30,6,0)+AD499</f>
        <v>275</v>
      </c>
      <c r="AO499" s="3">
        <f>VLOOKUP(INT(VLOOKUP(U499,模板计算相关数据!A:N,2,0)/30)+1,模板计算相关数据!$O$35:$U$40,3,0)+AE499</f>
        <v>0</v>
      </c>
      <c r="AP499" s="3">
        <f>VLOOKUP(INT(VLOOKUP(U499,模板计算相关数据!A:N,2,0)/30)+1,模板计算相关数据!$O$35:$U$40,4,0)+AF499</f>
        <v>5000</v>
      </c>
      <c r="AQ499" s="3">
        <f>VLOOKUP(INT(VLOOKUP(U499,模板计算相关数据!A:N,2,0)/30)+1,模板计算相关数据!$O$35:$U$40,5,0)+AG499</f>
        <v>0</v>
      </c>
      <c r="AR499" s="3">
        <f>VLOOKUP(INT(VLOOKUP(U499,模板计算相关数据!A:N,2,0)/30)+1,模板计算相关数据!$O$35:$U$40,6,0)+AH499</f>
        <v>0</v>
      </c>
      <c r="AS499" s="3">
        <f>VLOOKUP(INT(VLOOKUP(U499,模板计算相关数据!A:N,2,0)/30)+1,模板计算相关数据!$O$35:$U$40,7,0)+AI499</f>
        <v>0</v>
      </c>
      <c r="AT499" s="3">
        <f>VLOOKUP(INT(VLOOKUP(U499,模板计算相关数据!A:N,2,0)/30)+1,模板计算相关数据!$O$35:$V$40,8,0)</f>
        <v>0</v>
      </c>
      <c r="AU499" s="2"/>
    </row>
    <row r="500" spans="1:47" x14ac:dyDescent="0.2">
      <c r="A500" s="43">
        <v>307101</v>
      </c>
      <c r="B500" s="43"/>
      <c r="C500" s="17" t="s">
        <v>320</v>
      </c>
      <c r="D500" s="25" t="s">
        <v>1113</v>
      </c>
      <c r="E500" s="17"/>
      <c r="F500" s="152">
        <v>3</v>
      </c>
      <c r="G500" s="152">
        <v>101</v>
      </c>
      <c r="H500" s="43">
        <v>4</v>
      </c>
      <c r="I500" s="152">
        <v>5</v>
      </c>
      <c r="J500" s="152">
        <v>1</v>
      </c>
      <c r="K500" s="43"/>
      <c r="L500" s="2" t="s">
        <v>321</v>
      </c>
      <c r="M500" s="2"/>
      <c r="N500" s="2">
        <v>1</v>
      </c>
      <c r="O500" s="2"/>
      <c r="P500" s="3" t="s">
        <v>1615</v>
      </c>
      <c r="Q500" s="95">
        <f t="shared" si="58"/>
        <v>4.4674509803921572</v>
      </c>
      <c r="R500" s="133">
        <f>IF(P500=模板计算相关数据!$AB$24,VLOOKUP(X500,模板计算相关数据!$P$47:$T$50,2,0),VLOOKUP(X500,模板计算相关数据!$P$4:$U$7,3,0))*VLOOKUP(Y500,模板计算相关数据!$P$22:$X$30,8,0)</f>
        <v>4.4674509803921572</v>
      </c>
      <c r="S500" s="62">
        <f t="shared" si="59"/>
        <v>5.4739930589768004</v>
      </c>
      <c r="T500" s="133">
        <f>IF(P500=模板计算相关数据!$AB$24,VLOOKUP(X500,模板计算相关数据!$P$47:$T$50,5,0),VLOOKUP(X500,模板计算相关数据!$P$4:$U$7,6,0))*VLOOKUP(Y500,模板计算相关数据!$P$22:$X$30,9,0)</f>
        <v>5.4739930589768004</v>
      </c>
      <c r="U500" s="98">
        <v>1</v>
      </c>
      <c r="V500" s="95">
        <f t="shared" si="60"/>
        <v>4</v>
      </c>
      <c r="W500" s="29">
        <f>VLOOKUP(U500,模板计算相关数据!A:N,2,0)</f>
        <v>1</v>
      </c>
      <c r="X500" s="3" t="s">
        <v>151</v>
      </c>
      <c r="Y500" s="3" t="s">
        <v>162</v>
      </c>
      <c r="Z500" s="99">
        <v>1</v>
      </c>
      <c r="AA500" s="95">
        <v>1</v>
      </c>
      <c r="AB500" s="95">
        <v>1</v>
      </c>
      <c r="AC500" s="95">
        <v>1</v>
      </c>
      <c r="AD500" s="95">
        <v>0</v>
      </c>
      <c r="AE500" s="95">
        <v>0</v>
      </c>
      <c r="AF500" s="95">
        <v>0</v>
      </c>
      <c r="AG500" s="95">
        <v>0</v>
      </c>
      <c r="AH500" s="95">
        <v>0</v>
      </c>
      <c r="AI500" s="95">
        <v>0</v>
      </c>
      <c r="AJ500" s="3">
        <f>INT(VLOOKUP(U500,模板计算相关数据!A:N,4,0)*VLOOKUP(U500,模板计算相关数据!A:N,14,0)*(1+MAX(0,(VLOOKUP(U500,模板计算相关数据!A:N,7,0)-AQ500))*VLOOKUP(U500,模板计算相关数据!A:N,8,0))*(1-(AL500+AM500)*0.5/((AL500+AM500)*0.5+(VLOOKUP(U500,模板计算相关数据!A:N,2,0)+模板计算相关数据!$AC$27)*模板计算相关数据!$AC$28))*Q500*Z500)</f>
        <v>328</v>
      </c>
      <c r="AK500" s="3">
        <f>INT(VLOOKUP(U500,模板计算相关数据!A:N,3,0)/模板计算相关数据!$W$35/(1+MAX(0,(AO500/10000-VLOOKUP(U500,模板计算相关数据!A:N,9,0)))*AP500/10000)/(1-VLOOKUP(U500,模板计算相关数据!A:N,5,0)/(VLOOKUP(U500,模板计算相关数据!A:N,5,0)+(VLOOKUP(U500,模板计算相关数据!A:N,2,0)+模板计算相关数据!$AC$27)*模板计算相关数据!$AC$28))/S500*AA500)</f>
        <v>101</v>
      </c>
      <c r="AL500" s="3">
        <f>INT(VLOOKUP(U500,模板计算相关数据!A:N,5,0)*VLOOKUP(X500,模板计算相关数据!$P$4:$T$7,4,0)*VLOOKUP(Y500,模板计算相关数据!$P$22:$U$30,4,0)*AB500)</f>
        <v>136</v>
      </c>
      <c r="AM500" s="3">
        <f>INT(VLOOKUP(U500,模板计算相关数据!A:N,6,0)*VLOOKUP(X500,模板计算相关数据!$P$4:$T$7,4,0)*VLOOKUP(Y500,模板计算相关数据!$P$22:$U$30,5,0)*AC500)</f>
        <v>230</v>
      </c>
      <c r="AN500" s="3">
        <f>VLOOKUP(U500,模板计算相关数据!A:N,10,0)*0.5*VLOOKUP(Y500,模板计算相关数据!$P$22:$U$30,6,0)+AD500</f>
        <v>250</v>
      </c>
      <c r="AO500" s="3">
        <f>VLOOKUP(INT(VLOOKUP(U500,模板计算相关数据!A:N,2,0)/30)+1,模板计算相关数据!$O$35:$U$40,3,0)+AE500</f>
        <v>0</v>
      </c>
      <c r="AP500" s="3">
        <f>VLOOKUP(INT(VLOOKUP(U500,模板计算相关数据!A:N,2,0)/30)+1,模板计算相关数据!$O$35:$U$40,4,0)+AF500</f>
        <v>5000</v>
      </c>
      <c r="AQ500" s="3">
        <f>VLOOKUP(INT(VLOOKUP(U500,模板计算相关数据!A:N,2,0)/30)+1,模板计算相关数据!$O$35:$U$40,5,0)+AG500</f>
        <v>0</v>
      </c>
      <c r="AR500" s="3">
        <f>VLOOKUP(INT(VLOOKUP(U500,模板计算相关数据!A:N,2,0)/30)+1,模板计算相关数据!$O$35:$U$40,6,0)+AH500</f>
        <v>0</v>
      </c>
      <c r="AS500" s="3">
        <f>VLOOKUP(INT(VLOOKUP(U500,模板计算相关数据!A:N,2,0)/30)+1,模板计算相关数据!$O$35:$U$40,7,0)+AI500</f>
        <v>0</v>
      </c>
      <c r="AT500" s="3">
        <f>VLOOKUP(INT(VLOOKUP(U500,模板计算相关数据!A:N,2,0)/30)+1,模板计算相关数据!$O$35:$V$40,8,0)</f>
        <v>0</v>
      </c>
      <c r="AU500" s="2"/>
    </row>
    <row r="501" spans="1:47" x14ac:dyDescent="0.2">
      <c r="A501" s="3">
        <v>307102</v>
      </c>
      <c r="B501" s="3"/>
      <c r="C501" s="2" t="s">
        <v>162</v>
      </c>
      <c r="D501" s="69" t="s">
        <v>1114</v>
      </c>
      <c r="E501" s="2"/>
      <c r="F501" s="127">
        <v>3</v>
      </c>
      <c r="G501" s="127">
        <v>101</v>
      </c>
      <c r="H501" s="3">
        <v>4</v>
      </c>
      <c r="I501" s="127">
        <v>5</v>
      </c>
      <c r="J501" s="127">
        <v>1</v>
      </c>
      <c r="K501" s="3"/>
      <c r="L501" s="2" t="s">
        <v>322</v>
      </c>
      <c r="M501" s="2"/>
      <c r="N501" s="2">
        <v>1</v>
      </c>
      <c r="O501" s="2"/>
      <c r="P501" s="3" t="s">
        <v>1615</v>
      </c>
      <c r="Q501" s="95">
        <f t="shared" si="58"/>
        <v>4.4674509803921572</v>
      </c>
      <c r="R501" s="133">
        <f>IF(P501=模板计算相关数据!$AB$24,VLOOKUP(X501,模板计算相关数据!$P$47:$T$50,2,0),VLOOKUP(X501,模板计算相关数据!$P$4:$U$7,3,0))*VLOOKUP(Y501,模板计算相关数据!$P$22:$X$30,8,0)</f>
        <v>4.4674509803921572</v>
      </c>
      <c r="S501" s="62">
        <f t="shared" si="59"/>
        <v>5.4739930589768004</v>
      </c>
      <c r="T501" s="133">
        <f>IF(P501=模板计算相关数据!$AB$24,VLOOKUP(X501,模板计算相关数据!$P$47:$T$50,5,0),VLOOKUP(X501,模板计算相关数据!$P$4:$U$7,6,0))*VLOOKUP(Y501,模板计算相关数据!$P$22:$X$30,9,0)</f>
        <v>5.4739930589768004</v>
      </c>
      <c r="U501" s="98">
        <v>1</v>
      </c>
      <c r="V501" s="95">
        <f t="shared" si="60"/>
        <v>4</v>
      </c>
      <c r="W501" s="29">
        <f>VLOOKUP(U501,模板计算相关数据!A:N,2,0)</f>
        <v>1</v>
      </c>
      <c r="X501" s="3" t="s">
        <v>151</v>
      </c>
      <c r="Y501" s="3" t="s">
        <v>162</v>
      </c>
      <c r="Z501" s="99">
        <v>1</v>
      </c>
      <c r="AA501" s="95">
        <v>1</v>
      </c>
      <c r="AB501" s="95">
        <v>1</v>
      </c>
      <c r="AC501" s="95">
        <v>1</v>
      </c>
      <c r="AD501" s="95">
        <v>0</v>
      </c>
      <c r="AE501" s="95">
        <v>0</v>
      </c>
      <c r="AF501" s="95">
        <v>0</v>
      </c>
      <c r="AG501" s="95">
        <v>0</v>
      </c>
      <c r="AH501" s="95">
        <v>0</v>
      </c>
      <c r="AI501" s="95">
        <v>0</v>
      </c>
      <c r="AJ501" s="3">
        <f>INT(VLOOKUP(U501,模板计算相关数据!A:N,4,0)*VLOOKUP(U501,模板计算相关数据!A:N,14,0)*(1+MAX(0,(VLOOKUP(U501,模板计算相关数据!A:N,7,0)-AQ501))*VLOOKUP(U501,模板计算相关数据!A:N,8,0))*(1-(AL501+AM501)*0.5/((AL501+AM501)*0.5+(VLOOKUP(U501,模板计算相关数据!A:N,2,0)+模板计算相关数据!$AC$27)*模板计算相关数据!$AC$28))*Q501*Z501)</f>
        <v>328</v>
      </c>
      <c r="AK501" s="3">
        <f>INT(VLOOKUP(U501,模板计算相关数据!A:N,3,0)/模板计算相关数据!$W$35/(1+MAX(0,(AO501/10000-VLOOKUP(U501,模板计算相关数据!A:N,9,0)))*AP501/10000)/(1-VLOOKUP(U501,模板计算相关数据!A:N,5,0)/(VLOOKUP(U501,模板计算相关数据!A:N,5,0)+(VLOOKUP(U501,模板计算相关数据!A:N,2,0)+模板计算相关数据!$AC$27)*模板计算相关数据!$AC$28))/S501*AA501)</f>
        <v>101</v>
      </c>
      <c r="AL501" s="3">
        <f>INT(VLOOKUP(U501,模板计算相关数据!A:N,5,0)*VLOOKUP(X501,模板计算相关数据!$P$4:$T$7,4,0)*VLOOKUP(Y501,模板计算相关数据!$P$22:$U$30,4,0)*AB501)</f>
        <v>136</v>
      </c>
      <c r="AM501" s="3">
        <f>INT(VLOOKUP(U501,模板计算相关数据!A:N,6,0)*VLOOKUP(X501,模板计算相关数据!$P$4:$T$7,4,0)*VLOOKUP(Y501,模板计算相关数据!$P$22:$U$30,5,0)*AC501)</f>
        <v>230</v>
      </c>
      <c r="AN501" s="3">
        <f>VLOOKUP(U501,模板计算相关数据!A:N,10,0)*0.5*VLOOKUP(Y501,模板计算相关数据!$P$22:$U$30,6,0)+AD501</f>
        <v>250</v>
      </c>
      <c r="AO501" s="3">
        <f>VLOOKUP(INT(VLOOKUP(U501,模板计算相关数据!A:N,2,0)/30)+1,模板计算相关数据!$O$35:$U$40,3,0)+AE501</f>
        <v>0</v>
      </c>
      <c r="AP501" s="3">
        <f>VLOOKUP(INT(VLOOKUP(U501,模板计算相关数据!A:N,2,0)/30)+1,模板计算相关数据!$O$35:$U$40,4,0)+AF501</f>
        <v>5000</v>
      </c>
      <c r="AQ501" s="3">
        <f>VLOOKUP(INT(VLOOKUP(U501,模板计算相关数据!A:N,2,0)/30)+1,模板计算相关数据!$O$35:$U$40,5,0)+AG501</f>
        <v>0</v>
      </c>
      <c r="AR501" s="3">
        <f>VLOOKUP(INT(VLOOKUP(U501,模板计算相关数据!A:N,2,0)/30)+1,模板计算相关数据!$O$35:$U$40,6,0)+AH501</f>
        <v>0</v>
      </c>
      <c r="AS501" s="3">
        <f>VLOOKUP(INT(VLOOKUP(U501,模板计算相关数据!A:N,2,0)/30)+1,模板计算相关数据!$O$35:$U$40,7,0)+AI501</f>
        <v>0</v>
      </c>
      <c r="AT501" s="3">
        <f>VLOOKUP(INT(VLOOKUP(U501,模板计算相关数据!A:N,2,0)/30)+1,模板计算相关数据!$O$35:$V$40,8,0)</f>
        <v>0</v>
      </c>
      <c r="AU501" s="2"/>
    </row>
    <row r="502" spans="1:47" x14ac:dyDescent="0.2">
      <c r="A502" s="3">
        <v>307103</v>
      </c>
      <c r="B502" s="3"/>
      <c r="C502" s="2" t="s">
        <v>162</v>
      </c>
      <c r="D502" s="69" t="s">
        <v>1115</v>
      </c>
      <c r="E502" s="2"/>
      <c r="F502" s="127">
        <v>3</v>
      </c>
      <c r="G502" s="127">
        <v>101</v>
      </c>
      <c r="H502" s="3">
        <v>4</v>
      </c>
      <c r="I502" s="127">
        <v>5</v>
      </c>
      <c r="J502" s="127">
        <v>1</v>
      </c>
      <c r="K502" s="3"/>
      <c r="L502" s="2" t="s">
        <v>323</v>
      </c>
      <c r="M502" s="2"/>
      <c r="N502" s="2">
        <v>1</v>
      </c>
      <c r="O502" s="2"/>
      <c r="P502" s="3" t="s">
        <v>1615</v>
      </c>
      <c r="Q502" s="95">
        <f t="shared" si="58"/>
        <v>4.4674509803921572</v>
      </c>
      <c r="R502" s="133">
        <f>IF(P502=模板计算相关数据!$AB$24,VLOOKUP(X502,模板计算相关数据!$P$47:$T$50,2,0),VLOOKUP(X502,模板计算相关数据!$P$4:$U$7,3,0))*VLOOKUP(Y502,模板计算相关数据!$P$22:$X$30,8,0)</f>
        <v>4.4674509803921572</v>
      </c>
      <c r="S502" s="62">
        <f t="shared" si="59"/>
        <v>5.4739930589768004</v>
      </c>
      <c r="T502" s="133">
        <f>IF(P502=模板计算相关数据!$AB$24,VLOOKUP(X502,模板计算相关数据!$P$47:$T$50,5,0),VLOOKUP(X502,模板计算相关数据!$P$4:$U$7,6,0))*VLOOKUP(Y502,模板计算相关数据!$P$22:$X$30,9,0)</f>
        <v>5.4739930589768004</v>
      </c>
      <c r="U502" s="98">
        <v>1</v>
      </c>
      <c r="V502" s="95">
        <f t="shared" si="60"/>
        <v>4</v>
      </c>
      <c r="W502" s="29">
        <f>VLOOKUP(U502,模板计算相关数据!A:N,2,0)</f>
        <v>1</v>
      </c>
      <c r="X502" s="3" t="s">
        <v>151</v>
      </c>
      <c r="Y502" s="3" t="s">
        <v>162</v>
      </c>
      <c r="Z502" s="99">
        <v>1</v>
      </c>
      <c r="AA502" s="95">
        <v>1</v>
      </c>
      <c r="AB502" s="95">
        <v>1</v>
      </c>
      <c r="AC502" s="95">
        <v>1</v>
      </c>
      <c r="AD502" s="95">
        <v>0</v>
      </c>
      <c r="AE502" s="95">
        <v>0</v>
      </c>
      <c r="AF502" s="95">
        <v>0</v>
      </c>
      <c r="AG502" s="95">
        <v>0</v>
      </c>
      <c r="AH502" s="95">
        <v>0</v>
      </c>
      <c r="AI502" s="95">
        <v>0</v>
      </c>
      <c r="AJ502" s="3">
        <f>INT(VLOOKUP(U502,模板计算相关数据!A:N,4,0)*VLOOKUP(U502,模板计算相关数据!A:N,14,0)*(1+MAX(0,(VLOOKUP(U502,模板计算相关数据!A:N,7,0)-AQ502))*VLOOKUP(U502,模板计算相关数据!A:N,8,0))*(1-(AL502+AM502)*0.5/((AL502+AM502)*0.5+(VLOOKUP(U502,模板计算相关数据!A:N,2,0)+模板计算相关数据!$AC$27)*模板计算相关数据!$AC$28))*Q502*Z502)</f>
        <v>328</v>
      </c>
      <c r="AK502" s="3">
        <f>INT(VLOOKUP(U502,模板计算相关数据!A:N,3,0)/模板计算相关数据!$W$35/(1+MAX(0,(AO502/10000-VLOOKUP(U502,模板计算相关数据!A:N,9,0)))*AP502/10000)/(1-VLOOKUP(U502,模板计算相关数据!A:N,5,0)/(VLOOKUP(U502,模板计算相关数据!A:N,5,0)+(VLOOKUP(U502,模板计算相关数据!A:N,2,0)+模板计算相关数据!$AC$27)*模板计算相关数据!$AC$28))/S502*AA502)</f>
        <v>101</v>
      </c>
      <c r="AL502" s="3">
        <f>INT(VLOOKUP(U502,模板计算相关数据!A:N,5,0)*VLOOKUP(X502,模板计算相关数据!$P$4:$T$7,4,0)*VLOOKUP(Y502,模板计算相关数据!$P$22:$U$30,4,0)*AB502)</f>
        <v>136</v>
      </c>
      <c r="AM502" s="3">
        <f>INT(VLOOKUP(U502,模板计算相关数据!A:N,6,0)*VLOOKUP(X502,模板计算相关数据!$P$4:$T$7,4,0)*VLOOKUP(Y502,模板计算相关数据!$P$22:$U$30,5,0)*AC502)</f>
        <v>230</v>
      </c>
      <c r="AN502" s="3">
        <f>VLOOKUP(U502,模板计算相关数据!A:N,10,0)*0.5*VLOOKUP(Y502,模板计算相关数据!$P$22:$U$30,6,0)+AD502</f>
        <v>250</v>
      </c>
      <c r="AO502" s="3">
        <f>VLOOKUP(INT(VLOOKUP(U502,模板计算相关数据!A:N,2,0)/30)+1,模板计算相关数据!$O$35:$U$40,3,0)+AE502</f>
        <v>0</v>
      </c>
      <c r="AP502" s="3">
        <f>VLOOKUP(INT(VLOOKUP(U502,模板计算相关数据!A:N,2,0)/30)+1,模板计算相关数据!$O$35:$U$40,4,0)+AF502</f>
        <v>5000</v>
      </c>
      <c r="AQ502" s="3">
        <f>VLOOKUP(INT(VLOOKUP(U502,模板计算相关数据!A:N,2,0)/30)+1,模板计算相关数据!$O$35:$U$40,5,0)+AG502</f>
        <v>0</v>
      </c>
      <c r="AR502" s="3">
        <f>VLOOKUP(INT(VLOOKUP(U502,模板计算相关数据!A:N,2,0)/30)+1,模板计算相关数据!$O$35:$U$40,6,0)+AH502</f>
        <v>0</v>
      </c>
      <c r="AS502" s="3">
        <f>VLOOKUP(INT(VLOOKUP(U502,模板计算相关数据!A:N,2,0)/30)+1,模板计算相关数据!$O$35:$U$40,7,0)+AI502</f>
        <v>0</v>
      </c>
      <c r="AT502" s="3">
        <f>VLOOKUP(INT(VLOOKUP(U502,模板计算相关数据!A:N,2,0)/30)+1,模板计算相关数据!$O$35:$V$40,8,0)</f>
        <v>0</v>
      </c>
      <c r="AU502" s="2"/>
    </row>
    <row r="503" spans="1:47" x14ac:dyDescent="0.2">
      <c r="A503" s="3">
        <v>307104</v>
      </c>
      <c r="B503" s="3"/>
      <c r="C503" s="2" t="s">
        <v>162</v>
      </c>
      <c r="D503" s="69" t="s">
        <v>1116</v>
      </c>
      <c r="E503" s="2"/>
      <c r="F503" s="127">
        <v>3</v>
      </c>
      <c r="G503" s="127">
        <v>101</v>
      </c>
      <c r="H503" s="3">
        <v>4</v>
      </c>
      <c r="I503" s="127">
        <v>5</v>
      </c>
      <c r="J503" s="127">
        <v>1</v>
      </c>
      <c r="K503" s="3"/>
      <c r="L503" s="2" t="s">
        <v>324</v>
      </c>
      <c r="M503" s="2"/>
      <c r="N503" s="2">
        <v>1</v>
      </c>
      <c r="O503" s="2"/>
      <c r="P503" s="3" t="s">
        <v>1615</v>
      </c>
      <c r="Q503" s="95">
        <f t="shared" si="58"/>
        <v>4.4674509803921572</v>
      </c>
      <c r="R503" s="133">
        <f>IF(P503=模板计算相关数据!$AB$24,VLOOKUP(X503,模板计算相关数据!$P$47:$T$50,2,0),VLOOKUP(X503,模板计算相关数据!$P$4:$U$7,3,0))*VLOOKUP(Y503,模板计算相关数据!$P$22:$X$30,8,0)</f>
        <v>4.4674509803921572</v>
      </c>
      <c r="S503" s="62">
        <f t="shared" si="59"/>
        <v>5.4739930589768004</v>
      </c>
      <c r="T503" s="133">
        <f>IF(P503=模板计算相关数据!$AB$24,VLOOKUP(X503,模板计算相关数据!$P$47:$T$50,5,0),VLOOKUP(X503,模板计算相关数据!$P$4:$U$7,6,0))*VLOOKUP(Y503,模板计算相关数据!$P$22:$X$30,9,0)</f>
        <v>5.4739930589768004</v>
      </c>
      <c r="U503" s="98">
        <v>1</v>
      </c>
      <c r="V503" s="95">
        <f t="shared" si="60"/>
        <v>4</v>
      </c>
      <c r="W503" s="29">
        <f>VLOOKUP(U503,模板计算相关数据!A:N,2,0)</f>
        <v>1</v>
      </c>
      <c r="X503" s="3" t="s">
        <v>151</v>
      </c>
      <c r="Y503" s="3" t="s">
        <v>162</v>
      </c>
      <c r="Z503" s="99">
        <v>1</v>
      </c>
      <c r="AA503" s="95">
        <v>1</v>
      </c>
      <c r="AB503" s="95">
        <v>1</v>
      </c>
      <c r="AC503" s="95">
        <v>1</v>
      </c>
      <c r="AD503" s="95">
        <v>0</v>
      </c>
      <c r="AE503" s="95">
        <v>0</v>
      </c>
      <c r="AF503" s="95">
        <v>0</v>
      </c>
      <c r="AG503" s="95">
        <v>0</v>
      </c>
      <c r="AH503" s="95">
        <v>0</v>
      </c>
      <c r="AI503" s="95">
        <v>0</v>
      </c>
      <c r="AJ503" s="3">
        <f>INT(VLOOKUP(U503,模板计算相关数据!A:N,4,0)*VLOOKUP(U503,模板计算相关数据!A:N,14,0)*(1+MAX(0,(VLOOKUP(U503,模板计算相关数据!A:N,7,0)-AQ503))*VLOOKUP(U503,模板计算相关数据!A:N,8,0))*(1-(AL503+AM503)*0.5/((AL503+AM503)*0.5+(VLOOKUP(U503,模板计算相关数据!A:N,2,0)+模板计算相关数据!$AC$27)*模板计算相关数据!$AC$28))*Q503*Z503)</f>
        <v>328</v>
      </c>
      <c r="AK503" s="3">
        <f>INT(VLOOKUP(U503,模板计算相关数据!A:N,3,0)/模板计算相关数据!$W$35/(1+MAX(0,(AO503/10000-VLOOKUP(U503,模板计算相关数据!A:N,9,0)))*AP503/10000)/(1-VLOOKUP(U503,模板计算相关数据!A:N,5,0)/(VLOOKUP(U503,模板计算相关数据!A:N,5,0)+(VLOOKUP(U503,模板计算相关数据!A:N,2,0)+模板计算相关数据!$AC$27)*模板计算相关数据!$AC$28))/S503*AA503)</f>
        <v>101</v>
      </c>
      <c r="AL503" s="3">
        <f>INT(VLOOKUP(U503,模板计算相关数据!A:N,5,0)*VLOOKUP(X503,模板计算相关数据!$P$4:$T$7,4,0)*VLOOKUP(Y503,模板计算相关数据!$P$22:$U$30,4,0)*AB503)</f>
        <v>136</v>
      </c>
      <c r="AM503" s="3">
        <f>INT(VLOOKUP(U503,模板计算相关数据!A:N,6,0)*VLOOKUP(X503,模板计算相关数据!$P$4:$T$7,4,0)*VLOOKUP(Y503,模板计算相关数据!$P$22:$U$30,5,0)*AC503)</f>
        <v>230</v>
      </c>
      <c r="AN503" s="3">
        <f>VLOOKUP(U503,模板计算相关数据!A:N,10,0)*0.5*VLOOKUP(Y503,模板计算相关数据!$P$22:$U$30,6,0)+AD503</f>
        <v>250</v>
      </c>
      <c r="AO503" s="3">
        <f>VLOOKUP(INT(VLOOKUP(U503,模板计算相关数据!A:N,2,0)/30)+1,模板计算相关数据!$O$35:$U$40,3,0)+AE503</f>
        <v>0</v>
      </c>
      <c r="AP503" s="3">
        <f>VLOOKUP(INT(VLOOKUP(U503,模板计算相关数据!A:N,2,0)/30)+1,模板计算相关数据!$O$35:$U$40,4,0)+AF503</f>
        <v>5000</v>
      </c>
      <c r="AQ503" s="3">
        <f>VLOOKUP(INT(VLOOKUP(U503,模板计算相关数据!A:N,2,0)/30)+1,模板计算相关数据!$O$35:$U$40,5,0)+AG503</f>
        <v>0</v>
      </c>
      <c r="AR503" s="3">
        <f>VLOOKUP(INT(VLOOKUP(U503,模板计算相关数据!A:N,2,0)/30)+1,模板计算相关数据!$O$35:$U$40,6,0)+AH503</f>
        <v>0</v>
      </c>
      <c r="AS503" s="3">
        <f>VLOOKUP(INT(VLOOKUP(U503,模板计算相关数据!A:N,2,0)/30)+1,模板计算相关数据!$O$35:$U$40,7,0)+AI503</f>
        <v>0</v>
      </c>
      <c r="AT503" s="3">
        <f>VLOOKUP(INT(VLOOKUP(U503,模板计算相关数据!A:N,2,0)/30)+1,模板计算相关数据!$O$35:$V$40,8,0)</f>
        <v>0</v>
      </c>
      <c r="AU503" s="2"/>
    </row>
    <row r="504" spans="1:47" x14ac:dyDescent="0.2">
      <c r="A504" s="3">
        <v>307105</v>
      </c>
      <c r="B504" s="3"/>
      <c r="C504" s="2" t="s">
        <v>162</v>
      </c>
      <c r="D504" s="69" t="s">
        <v>1117</v>
      </c>
      <c r="E504" s="2"/>
      <c r="F504" s="127">
        <v>3</v>
      </c>
      <c r="G504" s="127">
        <v>101</v>
      </c>
      <c r="H504" s="3">
        <v>4</v>
      </c>
      <c r="I504" s="127">
        <v>5</v>
      </c>
      <c r="J504" s="127">
        <v>1</v>
      </c>
      <c r="K504" s="3"/>
      <c r="L504" s="2" t="s">
        <v>325</v>
      </c>
      <c r="M504" s="2"/>
      <c r="N504" s="2">
        <v>1</v>
      </c>
      <c r="O504" s="2"/>
      <c r="P504" s="3" t="s">
        <v>1615</v>
      </c>
      <c r="Q504" s="95">
        <f t="shared" si="58"/>
        <v>4.4674509803921572</v>
      </c>
      <c r="R504" s="133">
        <f>IF(P504=模板计算相关数据!$AB$24,VLOOKUP(X504,模板计算相关数据!$P$47:$T$50,2,0),VLOOKUP(X504,模板计算相关数据!$P$4:$U$7,3,0))*VLOOKUP(Y504,模板计算相关数据!$P$22:$X$30,8,0)</f>
        <v>4.4674509803921572</v>
      </c>
      <c r="S504" s="62">
        <f t="shared" si="59"/>
        <v>5.4739930589768004</v>
      </c>
      <c r="T504" s="133">
        <f>IF(P504=模板计算相关数据!$AB$24,VLOOKUP(X504,模板计算相关数据!$P$47:$T$50,5,0),VLOOKUP(X504,模板计算相关数据!$P$4:$U$7,6,0))*VLOOKUP(Y504,模板计算相关数据!$P$22:$X$30,9,0)</f>
        <v>5.4739930589768004</v>
      </c>
      <c r="U504" s="98">
        <v>1</v>
      </c>
      <c r="V504" s="95">
        <f t="shared" si="60"/>
        <v>4</v>
      </c>
      <c r="W504" s="29">
        <f>VLOOKUP(U504,模板计算相关数据!A:N,2,0)</f>
        <v>1</v>
      </c>
      <c r="X504" s="3" t="s">
        <v>151</v>
      </c>
      <c r="Y504" s="3" t="s">
        <v>162</v>
      </c>
      <c r="Z504" s="99">
        <v>1</v>
      </c>
      <c r="AA504" s="95">
        <v>1</v>
      </c>
      <c r="AB504" s="95">
        <v>1</v>
      </c>
      <c r="AC504" s="95">
        <v>1</v>
      </c>
      <c r="AD504" s="95">
        <v>0</v>
      </c>
      <c r="AE504" s="95">
        <v>0</v>
      </c>
      <c r="AF504" s="95">
        <v>0</v>
      </c>
      <c r="AG504" s="95">
        <v>0</v>
      </c>
      <c r="AH504" s="95">
        <v>0</v>
      </c>
      <c r="AI504" s="95">
        <v>0</v>
      </c>
      <c r="AJ504" s="3">
        <f>INT(VLOOKUP(U504,模板计算相关数据!A:N,4,0)*VLOOKUP(U504,模板计算相关数据!A:N,14,0)*(1+MAX(0,(VLOOKUP(U504,模板计算相关数据!A:N,7,0)-AQ504))*VLOOKUP(U504,模板计算相关数据!A:N,8,0))*(1-(AL504+AM504)*0.5/((AL504+AM504)*0.5+(VLOOKUP(U504,模板计算相关数据!A:N,2,0)+模板计算相关数据!$AC$27)*模板计算相关数据!$AC$28))*Q504*Z504)</f>
        <v>328</v>
      </c>
      <c r="AK504" s="3">
        <f>INT(VLOOKUP(U504,模板计算相关数据!A:N,3,0)/模板计算相关数据!$W$35/(1+MAX(0,(AO504/10000-VLOOKUP(U504,模板计算相关数据!A:N,9,0)))*AP504/10000)/(1-VLOOKUP(U504,模板计算相关数据!A:N,5,0)/(VLOOKUP(U504,模板计算相关数据!A:N,5,0)+(VLOOKUP(U504,模板计算相关数据!A:N,2,0)+模板计算相关数据!$AC$27)*模板计算相关数据!$AC$28))/S504*AA504)</f>
        <v>101</v>
      </c>
      <c r="AL504" s="3">
        <f>INT(VLOOKUP(U504,模板计算相关数据!A:N,5,0)*VLOOKUP(X504,模板计算相关数据!$P$4:$T$7,4,0)*VLOOKUP(Y504,模板计算相关数据!$P$22:$U$30,4,0)*AB504)</f>
        <v>136</v>
      </c>
      <c r="AM504" s="3">
        <f>INT(VLOOKUP(U504,模板计算相关数据!A:N,6,0)*VLOOKUP(X504,模板计算相关数据!$P$4:$T$7,4,0)*VLOOKUP(Y504,模板计算相关数据!$P$22:$U$30,5,0)*AC504)</f>
        <v>230</v>
      </c>
      <c r="AN504" s="3">
        <f>VLOOKUP(U504,模板计算相关数据!A:N,10,0)*0.5*VLOOKUP(Y504,模板计算相关数据!$P$22:$U$30,6,0)+AD504</f>
        <v>250</v>
      </c>
      <c r="AO504" s="3">
        <f>VLOOKUP(INT(VLOOKUP(U504,模板计算相关数据!A:N,2,0)/30)+1,模板计算相关数据!$O$35:$U$40,3,0)+AE504</f>
        <v>0</v>
      </c>
      <c r="AP504" s="3">
        <f>VLOOKUP(INT(VLOOKUP(U504,模板计算相关数据!A:N,2,0)/30)+1,模板计算相关数据!$O$35:$U$40,4,0)+AF504</f>
        <v>5000</v>
      </c>
      <c r="AQ504" s="3">
        <f>VLOOKUP(INT(VLOOKUP(U504,模板计算相关数据!A:N,2,0)/30)+1,模板计算相关数据!$O$35:$U$40,5,0)+AG504</f>
        <v>0</v>
      </c>
      <c r="AR504" s="3">
        <f>VLOOKUP(INT(VLOOKUP(U504,模板计算相关数据!A:N,2,0)/30)+1,模板计算相关数据!$O$35:$U$40,6,0)+AH504</f>
        <v>0</v>
      </c>
      <c r="AS504" s="3">
        <f>VLOOKUP(INT(VLOOKUP(U504,模板计算相关数据!A:N,2,0)/30)+1,模板计算相关数据!$O$35:$U$40,7,0)+AI504</f>
        <v>0</v>
      </c>
      <c r="AT504" s="3">
        <f>VLOOKUP(INT(VLOOKUP(U504,模板计算相关数据!A:N,2,0)/30)+1,模板计算相关数据!$O$35:$V$40,8,0)</f>
        <v>0</v>
      </c>
      <c r="AU504" s="2"/>
    </row>
    <row r="505" spans="1:47" x14ac:dyDescent="0.2">
      <c r="A505" s="3">
        <v>307106</v>
      </c>
      <c r="B505" s="3"/>
      <c r="C505" s="2" t="s">
        <v>326</v>
      </c>
      <c r="D505" s="2" t="s">
        <v>1118</v>
      </c>
      <c r="E505" s="2"/>
      <c r="F505" s="127">
        <v>3</v>
      </c>
      <c r="G505" s="127">
        <v>101</v>
      </c>
      <c r="H505" s="3">
        <v>5</v>
      </c>
      <c r="I505" s="127">
        <v>5</v>
      </c>
      <c r="J505" s="127">
        <v>1</v>
      </c>
      <c r="K505" s="3"/>
      <c r="L505" s="2" t="s">
        <v>327</v>
      </c>
      <c r="M505" s="2"/>
      <c r="N505" s="2">
        <v>1</v>
      </c>
      <c r="O505" s="2"/>
      <c r="P505" s="3" t="s">
        <v>1615</v>
      </c>
      <c r="Q505" s="95">
        <f t="shared" si="58"/>
        <v>5.7709803921568623</v>
      </c>
      <c r="R505" s="133">
        <f>IF(P505=模板计算相关数据!$AB$24,VLOOKUP(X505,模板计算相关数据!$P$47:$T$50,2,0),VLOOKUP(X505,模板计算相关数据!$P$4:$U$7,3,0))*VLOOKUP(Y505,模板计算相关数据!$P$22:$X$30,8,0)</f>
        <v>5.7709803921568623</v>
      </c>
      <c r="S505" s="62">
        <f t="shared" si="59"/>
        <v>6.4077918749199023</v>
      </c>
      <c r="T505" s="133">
        <f>IF(P505=模板计算相关数据!$AB$24,VLOOKUP(X505,模板计算相关数据!$P$47:$T$50,5,0),VLOOKUP(X505,模板计算相关数据!$P$4:$U$7,6,0))*VLOOKUP(Y505,模板计算相关数据!$P$22:$X$30,9,0)</f>
        <v>6.4077918749199023</v>
      </c>
      <c r="U505" s="98">
        <v>1</v>
      </c>
      <c r="V505" s="95">
        <f t="shared" si="60"/>
        <v>4</v>
      </c>
      <c r="W505" s="29">
        <f>VLOOKUP(U505,模板计算相关数据!A:N,2,0)</f>
        <v>1</v>
      </c>
      <c r="X505" s="3" t="s">
        <v>151</v>
      </c>
      <c r="Y505" s="3" t="s">
        <v>243</v>
      </c>
      <c r="Z505" s="99">
        <v>1</v>
      </c>
      <c r="AA505" s="95">
        <v>1</v>
      </c>
      <c r="AB505" s="95">
        <v>1</v>
      </c>
      <c r="AC505" s="95">
        <v>1</v>
      </c>
      <c r="AD505" s="95">
        <v>0</v>
      </c>
      <c r="AE505" s="95">
        <v>0</v>
      </c>
      <c r="AF505" s="95">
        <v>0</v>
      </c>
      <c r="AG505" s="95">
        <v>0</v>
      </c>
      <c r="AH505" s="95">
        <v>0</v>
      </c>
      <c r="AI505" s="95">
        <v>0</v>
      </c>
      <c r="AJ505" s="3">
        <f>INT(VLOOKUP(U505,模板计算相关数据!A:N,4,0)*VLOOKUP(U505,模板计算相关数据!A:N,14,0)*(1+MAX(0,(VLOOKUP(U505,模板计算相关数据!A:N,7,0)-AQ505))*VLOOKUP(U505,模板计算相关数据!A:N,8,0))*(1-(AL505+AM505)*0.5/((AL505+AM505)*0.5+(VLOOKUP(U505,模板计算相关数据!A:N,2,0)+模板计算相关数据!$AC$27)*模板计算相关数据!$AC$28))*Q505*Z505)</f>
        <v>411</v>
      </c>
      <c r="AK505" s="3">
        <f>INT(VLOOKUP(U505,模板计算相关数据!A:N,3,0)/模板计算相关数据!$W$35/(1+MAX(0,(AO505/10000-VLOOKUP(U505,模板计算相关数据!A:N,9,0)))*AP505/10000)/(1-VLOOKUP(U505,模板计算相关数据!A:N,5,0)/(VLOOKUP(U505,模板计算相关数据!A:N,5,0)+(VLOOKUP(U505,模板计算相关数据!A:N,2,0)+模板计算相关数据!$AC$27)*模板计算相关数据!$AC$28))/S505*AA505)</f>
        <v>86</v>
      </c>
      <c r="AL505" s="3">
        <f>INT(VLOOKUP(U505,模板计算相关数据!A:N,5,0)*VLOOKUP(X505,模板计算相关数据!$P$4:$T$7,4,0)*VLOOKUP(Y505,模板计算相关数据!$P$22:$U$30,4,0)*AB505)</f>
        <v>145</v>
      </c>
      <c r="AM505" s="3">
        <f>INT(VLOOKUP(U505,模板计算相关数据!A:N,6,0)*VLOOKUP(X505,模板计算相关数据!$P$4:$T$7,4,0)*VLOOKUP(Y505,模板计算相关数据!$P$22:$U$30,5,0)*AC505)</f>
        <v>264</v>
      </c>
      <c r="AN505" s="3">
        <f>VLOOKUP(U505,模板计算相关数据!A:N,10,0)*0.5*VLOOKUP(Y505,模板计算相关数据!$P$22:$U$30,6,0)+AD505</f>
        <v>275</v>
      </c>
      <c r="AO505" s="3">
        <f>VLOOKUP(INT(VLOOKUP(U505,模板计算相关数据!A:N,2,0)/30)+1,模板计算相关数据!$O$35:$U$40,3,0)+AE505</f>
        <v>0</v>
      </c>
      <c r="AP505" s="3">
        <f>VLOOKUP(INT(VLOOKUP(U505,模板计算相关数据!A:N,2,0)/30)+1,模板计算相关数据!$O$35:$U$40,4,0)+AF505</f>
        <v>5000</v>
      </c>
      <c r="AQ505" s="3">
        <f>VLOOKUP(INT(VLOOKUP(U505,模板计算相关数据!A:N,2,0)/30)+1,模板计算相关数据!$O$35:$U$40,5,0)+AG505</f>
        <v>0</v>
      </c>
      <c r="AR505" s="3">
        <f>VLOOKUP(INT(VLOOKUP(U505,模板计算相关数据!A:N,2,0)/30)+1,模板计算相关数据!$O$35:$U$40,6,0)+AH505</f>
        <v>0</v>
      </c>
      <c r="AS505" s="3">
        <f>VLOOKUP(INT(VLOOKUP(U505,模板计算相关数据!A:N,2,0)/30)+1,模板计算相关数据!$O$35:$U$40,7,0)+AI505</f>
        <v>0</v>
      </c>
      <c r="AT505" s="3">
        <f>VLOOKUP(INT(VLOOKUP(U505,模板计算相关数据!A:N,2,0)/30)+1,模板计算相关数据!$O$35:$V$40,8,0)</f>
        <v>0</v>
      </c>
      <c r="AU505" s="2"/>
    </row>
    <row r="506" spans="1:47" x14ac:dyDescent="0.2">
      <c r="A506" s="3">
        <v>307107</v>
      </c>
      <c r="B506" s="3"/>
      <c r="C506" s="2" t="s">
        <v>326</v>
      </c>
      <c r="D506" s="2" t="s">
        <v>1119</v>
      </c>
      <c r="E506" s="2"/>
      <c r="F506" s="127">
        <v>3</v>
      </c>
      <c r="G506" s="127">
        <v>101</v>
      </c>
      <c r="H506" s="3">
        <v>5</v>
      </c>
      <c r="I506" s="127">
        <v>5</v>
      </c>
      <c r="J506" s="127">
        <v>1</v>
      </c>
      <c r="K506" s="3"/>
      <c r="L506" s="2" t="s">
        <v>328</v>
      </c>
      <c r="M506" s="2"/>
      <c r="N506" s="2">
        <v>1</v>
      </c>
      <c r="O506" s="2"/>
      <c r="P506" s="3" t="s">
        <v>1615</v>
      </c>
      <c r="Q506" s="95">
        <f t="shared" si="58"/>
        <v>5.7709803921568623</v>
      </c>
      <c r="R506" s="133">
        <f>IF(P506=模板计算相关数据!$AB$24,VLOOKUP(X506,模板计算相关数据!$P$47:$T$50,2,0),VLOOKUP(X506,模板计算相关数据!$P$4:$U$7,3,0))*VLOOKUP(Y506,模板计算相关数据!$P$22:$X$30,8,0)</f>
        <v>5.7709803921568623</v>
      </c>
      <c r="S506" s="62">
        <f t="shared" si="59"/>
        <v>6.4077918749199023</v>
      </c>
      <c r="T506" s="133">
        <f>IF(P506=模板计算相关数据!$AB$24,VLOOKUP(X506,模板计算相关数据!$P$47:$T$50,5,0),VLOOKUP(X506,模板计算相关数据!$P$4:$U$7,6,0))*VLOOKUP(Y506,模板计算相关数据!$P$22:$X$30,9,0)</f>
        <v>6.4077918749199023</v>
      </c>
      <c r="U506" s="98">
        <v>1</v>
      </c>
      <c r="V506" s="95">
        <f t="shared" si="60"/>
        <v>4</v>
      </c>
      <c r="W506" s="29">
        <f>VLOOKUP(U506,模板计算相关数据!A:N,2,0)</f>
        <v>1</v>
      </c>
      <c r="X506" s="3" t="s">
        <v>151</v>
      </c>
      <c r="Y506" s="3" t="s">
        <v>243</v>
      </c>
      <c r="Z506" s="99">
        <v>1</v>
      </c>
      <c r="AA506" s="95">
        <v>1</v>
      </c>
      <c r="AB506" s="95">
        <v>1</v>
      </c>
      <c r="AC506" s="95">
        <v>1</v>
      </c>
      <c r="AD506" s="95">
        <v>0</v>
      </c>
      <c r="AE506" s="95">
        <v>0</v>
      </c>
      <c r="AF506" s="95">
        <v>0</v>
      </c>
      <c r="AG506" s="95">
        <v>0</v>
      </c>
      <c r="AH506" s="95">
        <v>0</v>
      </c>
      <c r="AI506" s="95">
        <v>0</v>
      </c>
      <c r="AJ506" s="3">
        <f>INT(VLOOKUP(U506,模板计算相关数据!A:N,4,0)*VLOOKUP(U506,模板计算相关数据!A:N,14,0)*(1+MAX(0,(VLOOKUP(U506,模板计算相关数据!A:N,7,0)-AQ506))*VLOOKUP(U506,模板计算相关数据!A:N,8,0))*(1-(AL506+AM506)*0.5/((AL506+AM506)*0.5+(VLOOKUP(U506,模板计算相关数据!A:N,2,0)+模板计算相关数据!$AC$27)*模板计算相关数据!$AC$28))*Q506*Z506)</f>
        <v>411</v>
      </c>
      <c r="AK506" s="3">
        <f>INT(VLOOKUP(U506,模板计算相关数据!A:N,3,0)/模板计算相关数据!$W$35/(1+MAX(0,(AO506/10000-VLOOKUP(U506,模板计算相关数据!A:N,9,0)))*AP506/10000)/(1-VLOOKUP(U506,模板计算相关数据!A:N,5,0)/(VLOOKUP(U506,模板计算相关数据!A:N,5,0)+(VLOOKUP(U506,模板计算相关数据!A:N,2,0)+模板计算相关数据!$AC$27)*模板计算相关数据!$AC$28))/S506*AA506)</f>
        <v>86</v>
      </c>
      <c r="AL506" s="3">
        <f>INT(VLOOKUP(U506,模板计算相关数据!A:N,5,0)*VLOOKUP(X506,模板计算相关数据!$P$4:$T$7,4,0)*VLOOKUP(Y506,模板计算相关数据!$P$22:$U$30,4,0)*AB506)</f>
        <v>145</v>
      </c>
      <c r="AM506" s="3">
        <f>INT(VLOOKUP(U506,模板计算相关数据!A:N,6,0)*VLOOKUP(X506,模板计算相关数据!$P$4:$T$7,4,0)*VLOOKUP(Y506,模板计算相关数据!$P$22:$U$30,5,0)*AC506)</f>
        <v>264</v>
      </c>
      <c r="AN506" s="3">
        <f>VLOOKUP(U506,模板计算相关数据!A:N,10,0)*0.5*VLOOKUP(Y506,模板计算相关数据!$P$22:$U$30,6,0)+AD506</f>
        <v>275</v>
      </c>
      <c r="AO506" s="3">
        <f>VLOOKUP(INT(VLOOKUP(U506,模板计算相关数据!A:N,2,0)/30)+1,模板计算相关数据!$O$35:$U$40,3,0)+AE506</f>
        <v>0</v>
      </c>
      <c r="AP506" s="3">
        <f>VLOOKUP(INT(VLOOKUP(U506,模板计算相关数据!A:N,2,0)/30)+1,模板计算相关数据!$O$35:$U$40,4,0)+AF506</f>
        <v>5000</v>
      </c>
      <c r="AQ506" s="3">
        <f>VLOOKUP(INT(VLOOKUP(U506,模板计算相关数据!A:N,2,0)/30)+1,模板计算相关数据!$O$35:$U$40,5,0)+AG506</f>
        <v>0</v>
      </c>
      <c r="AR506" s="3">
        <f>VLOOKUP(INT(VLOOKUP(U506,模板计算相关数据!A:N,2,0)/30)+1,模板计算相关数据!$O$35:$U$40,6,0)+AH506</f>
        <v>0</v>
      </c>
      <c r="AS506" s="3">
        <f>VLOOKUP(INT(VLOOKUP(U506,模板计算相关数据!A:N,2,0)/30)+1,模板计算相关数据!$O$35:$U$40,7,0)+AI506</f>
        <v>0</v>
      </c>
      <c r="AT506" s="3">
        <f>VLOOKUP(INT(VLOOKUP(U506,模板计算相关数据!A:N,2,0)/30)+1,模板计算相关数据!$O$35:$V$40,8,0)</f>
        <v>0</v>
      </c>
      <c r="AU506" s="2"/>
    </row>
    <row r="507" spans="1:47" x14ac:dyDescent="0.2">
      <c r="A507" s="3">
        <v>307108</v>
      </c>
      <c r="B507" s="3"/>
      <c r="C507" s="2" t="s">
        <v>326</v>
      </c>
      <c r="D507" s="2" t="s">
        <v>1120</v>
      </c>
      <c r="E507" s="2"/>
      <c r="F507" s="127">
        <v>3</v>
      </c>
      <c r="G507" s="127">
        <v>101</v>
      </c>
      <c r="H507" s="3">
        <v>5</v>
      </c>
      <c r="I507" s="127">
        <v>5</v>
      </c>
      <c r="J507" s="127">
        <v>1</v>
      </c>
      <c r="K507" s="3"/>
      <c r="L507" s="2" t="s">
        <v>329</v>
      </c>
      <c r="M507" s="2"/>
      <c r="N507" s="2">
        <v>1</v>
      </c>
      <c r="O507" s="2"/>
      <c r="P507" s="3" t="s">
        <v>1615</v>
      </c>
      <c r="Q507" s="95">
        <f t="shared" si="58"/>
        <v>5.7709803921568623</v>
      </c>
      <c r="R507" s="133">
        <f>IF(P507=模板计算相关数据!$AB$24,VLOOKUP(X507,模板计算相关数据!$P$47:$T$50,2,0),VLOOKUP(X507,模板计算相关数据!$P$4:$U$7,3,0))*VLOOKUP(Y507,模板计算相关数据!$P$22:$X$30,8,0)</f>
        <v>5.7709803921568623</v>
      </c>
      <c r="S507" s="62">
        <f t="shared" si="59"/>
        <v>6.4077918749199023</v>
      </c>
      <c r="T507" s="133">
        <f>IF(P507=模板计算相关数据!$AB$24,VLOOKUP(X507,模板计算相关数据!$P$47:$T$50,5,0),VLOOKUP(X507,模板计算相关数据!$P$4:$U$7,6,0))*VLOOKUP(Y507,模板计算相关数据!$P$22:$X$30,9,0)</f>
        <v>6.4077918749199023</v>
      </c>
      <c r="U507" s="98">
        <v>1</v>
      </c>
      <c r="V507" s="95">
        <f t="shared" si="60"/>
        <v>4</v>
      </c>
      <c r="W507" s="29">
        <f>VLOOKUP(U507,模板计算相关数据!A:N,2,0)</f>
        <v>1</v>
      </c>
      <c r="X507" s="3" t="s">
        <v>151</v>
      </c>
      <c r="Y507" s="3" t="s">
        <v>243</v>
      </c>
      <c r="Z507" s="99">
        <v>1</v>
      </c>
      <c r="AA507" s="95">
        <v>1</v>
      </c>
      <c r="AB507" s="95">
        <v>1</v>
      </c>
      <c r="AC507" s="95">
        <v>1</v>
      </c>
      <c r="AD507" s="95">
        <v>0</v>
      </c>
      <c r="AE507" s="95">
        <v>0</v>
      </c>
      <c r="AF507" s="95">
        <v>0</v>
      </c>
      <c r="AG507" s="95">
        <v>0</v>
      </c>
      <c r="AH507" s="95">
        <v>0</v>
      </c>
      <c r="AI507" s="95">
        <v>0</v>
      </c>
      <c r="AJ507" s="3">
        <f>INT(VLOOKUP(U507,模板计算相关数据!A:N,4,0)*VLOOKUP(U507,模板计算相关数据!A:N,14,0)*(1+MAX(0,(VLOOKUP(U507,模板计算相关数据!A:N,7,0)-AQ507))*VLOOKUP(U507,模板计算相关数据!A:N,8,0))*(1-(AL507+AM507)*0.5/((AL507+AM507)*0.5+(VLOOKUP(U507,模板计算相关数据!A:N,2,0)+模板计算相关数据!$AC$27)*模板计算相关数据!$AC$28))*Q507*Z507)</f>
        <v>411</v>
      </c>
      <c r="AK507" s="3">
        <f>INT(VLOOKUP(U507,模板计算相关数据!A:N,3,0)/模板计算相关数据!$W$35/(1+MAX(0,(AO507/10000-VLOOKUP(U507,模板计算相关数据!A:N,9,0)))*AP507/10000)/(1-VLOOKUP(U507,模板计算相关数据!A:N,5,0)/(VLOOKUP(U507,模板计算相关数据!A:N,5,0)+(VLOOKUP(U507,模板计算相关数据!A:N,2,0)+模板计算相关数据!$AC$27)*模板计算相关数据!$AC$28))/S507*AA507)</f>
        <v>86</v>
      </c>
      <c r="AL507" s="3">
        <f>INT(VLOOKUP(U507,模板计算相关数据!A:N,5,0)*VLOOKUP(X507,模板计算相关数据!$P$4:$T$7,4,0)*VLOOKUP(Y507,模板计算相关数据!$P$22:$U$30,4,0)*AB507)</f>
        <v>145</v>
      </c>
      <c r="AM507" s="3">
        <f>INT(VLOOKUP(U507,模板计算相关数据!A:N,6,0)*VLOOKUP(X507,模板计算相关数据!$P$4:$T$7,4,0)*VLOOKUP(Y507,模板计算相关数据!$P$22:$U$30,5,0)*AC507)</f>
        <v>264</v>
      </c>
      <c r="AN507" s="3">
        <f>VLOOKUP(U507,模板计算相关数据!A:N,10,0)*0.5*VLOOKUP(Y507,模板计算相关数据!$P$22:$U$30,6,0)+AD507</f>
        <v>275</v>
      </c>
      <c r="AO507" s="3">
        <f>VLOOKUP(INT(VLOOKUP(U507,模板计算相关数据!A:N,2,0)/30)+1,模板计算相关数据!$O$35:$U$40,3,0)+AE507</f>
        <v>0</v>
      </c>
      <c r="AP507" s="3">
        <f>VLOOKUP(INT(VLOOKUP(U507,模板计算相关数据!A:N,2,0)/30)+1,模板计算相关数据!$O$35:$U$40,4,0)+AF507</f>
        <v>5000</v>
      </c>
      <c r="AQ507" s="3">
        <f>VLOOKUP(INT(VLOOKUP(U507,模板计算相关数据!A:N,2,0)/30)+1,模板计算相关数据!$O$35:$U$40,5,0)+AG507</f>
        <v>0</v>
      </c>
      <c r="AR507" s="3">
        <f>VLOOKUP(INT(VLOOKUP(U507,模板计算相关数据!A:N,2,0)/30)+1,模板计算相关数据!$O$35:$U$40,6,0)+AH507</f>
        <v>0</v>
      </c>
      <c r="AS507" s="3">
        <f>VLOOKUP(INT(VLOOKUP(U507,模板计算相关数据!A:N,2,0)/30)+1,模板计算相关数据!$O$35:$U$40,7,0)+AI507</f>
        <v>0</v>
      </c>
      <c r="AT507" s="3">
        <f>VLOOKUP(INT(VLOOKUP(U507,模板计算相关数据!A:N,2,0)/30)+1,模板计算相关数据!$O$35:$V$40,8,0)</f>
        <v>0</v>
      </c>
      <c r="AU507" s="2"/>
    </row>
    <row r="508" spans="1:47" x14ac:dyDescent="0.2">
      <c r="A508" s="3">
        <v>307109</v>
      </c>
      <c r="B508" s="3"/>
      <c r="C508" s="2" t="s">
        <v>326</v>
      </c>
      <c r="D508" s="2" t="s">
        <v>1121</v>
      </c>
      <c r="E508" s="2"/>
      <c r="F508" s="127">
        <v>3</v>
      </c>
      <c r="G508" s="127">
        <v>101</v>
      </c>
      <c r="H508" s="3">
        <v>5</v>
      </c>
      <c r="I508" s="127">
        <v>5</v>
      </c>
      <c r="J508" s="127">
        <v>1</v>
      </c>
      <c r="K508" s="3"/>
      <c r="L508" s="2" t="s">
        <v>330</v>
      </c>
      <c r="M508" s="2"/>
      <c r="N508" s="2">
        <v>1</v>
      </c>
      <c r="O508" s="2"/>
      <c r="P508" s="3" t="s">
        <v>1615</v>
      </c>
      <c r="Q508" s="95">
        <f t="shared" si="58"/>
        <v>5.7709803921568623</v>
      </c>
      <c r="R508" s="133">
        <f>IF(P508=模板计算相关数据!$AB$24,VLOOKUP(X508,模板计算相关数据!$P$47:$T$50,2,0),VLOOKUP(X508,模板计算相关数据!$P$4:$U$7,3,0))*VLOOKUP(Y508,模板计算相关数据!$P$22:$X$30,8,0)</f>
        <v>5.7709803921568623</v>
      </c>
      <c r="S508" s="62">
        <f t="shared" si="59"/>
        <v>6.4077918749199023</v>
      </c>
      <c r="T508" s="133">
        <f>IF(P508=模板计算相关数据!$AB$24,VLOOKUP(X508,模板计算相关数据!$P$47:$T$50,5,0),VLOOKUP(X508,模板计算相关数据!$P$4:$U$7,6,0))*VLOOKUP(Y508,模板计算相关数据!$P$22:$X$30,9,0)</f>
        <v>6.4077918749199023</v>
      </c>
      <c r="U508" s="98">
        <v>1</v>
      </c>
      <c r="V508" s="95">
        <f t="shared" si="60"/>
        <v>4</v>
      </c>
      <c r="W508" s="29">
        <f>VLOOKUP(U508,模板计算相关数据!A:N,2,0)</f>
        <v>1</v>
      </c>
      <c r="X508" s="3" t="s">
        <v>151</v>
      </c>
      <c r="Y508" s="3" t="s">
        <v>243</v>
      </c>
      <c r="Z508" s="99">
        <v>1</v>
      </c>
      <c r="AA508" s="95">
        <v>1</v>
      </c>
      <c r="AB508" s="95">
        <v>1</v>
      </c>
      <c r="AC508" s="95">
        <v>1</v>
      </c>
      <c r="AD508" s="95">
        <v>0</v>
      </c>
      <c r="AE508" s="95">
        <v>0</v>
      </c>
      <c r="AF508" s="95">
        <v>0</v>
      </c>
      <c r="AG508" s="95">
        <v>0</v>
      </c>
      <c r="AH508" s="95">
        <v>0</v>
      </c>
      <c r="AI508" s="95">
        <v>0</v>
      </c>
      <c r="AJ508" s="3">
        <f>INT(VLOOKUP(U508,模板计算相关数据!A:N,4,0)*VLOOKUP(U508,模板计算相关数据!A:N,14,0)*(1+MAX(0,(VLOOKUP(U508,模板计算相关数据!A:N,7,0)-AQ508))*VLOOKUP(U508,模板计算相关数据!A:N,8,0))*(1-(AL508+AM508)*0.5/((AL508+AM508)*0.5+(VLOOKUP(U508,模板计算相关数据!A:N,2,0)+模板计算相关数据!$AC$27)*模板计算相关数据!$AC$28))*Q508*Z508)</f>
        <v>411</v>
      </c>
      <c r="AK508" s="3">
        <f>INT(VLOOKUP(U508,模板计算相关数据!A:N,3,0)/模板计算相关数据!$W$35/(1+MAX(0,(AO508/10000-VLOOKUP(U508,模板计算相关数据!A:N,9,0)))*AP508/10000)/(1-VLOOKUP(U508,模板计算相关数据!A:N,5,0)/(VLOOKUP(U508,模板计算相关数据!A:N,5,0)+(VLOOKUP(U508,模板计算相关数据!A:N,2,0)+模板计算相关数据!$AC$27)*模板计算相关数据!$AC$28))/S508*AA508)</f>
        <v>86</v>
      </c>
      <c r="AL508" s="3">
        <f>INT(VLOOKUP(U508,模板计算相关数据!A:N,5,0)*VLOOKUP(X508,模板计算相关数据!$P$4:$T$7,4,0)*VLOOKUP(Y508,模板计算相关数据!$P$22:$U$30,4,0)*AB508)</f>
        <v>145</v>
      </c>
      <c r="AM508" s="3">
        <f>INT(VLOOKUP(U508,模板计算相关数据!A:N,6,0)*VLOOKUP(X508,模板计算相关数据!$P$4:$T$7,4,0)*VLOOKUP(Y508,模板计算相关数据!$P$22:$U$30,5,0)*AC508)</f>
        <v>264</v>
      </c>
      <c r="AN508" s="3">
        <f>VLOOKUP(U508,模板计算相关数据!A:N,10,0)*0.5*VLOOKUP(Y508,模板计算相关数据!$P$22:$U$30,6,0)+AD508</f>
        <v>275</v>
      </c>
      <c r="AO508" s="3">
        <f>VLOOKUP(INT(VLOOKUP(U508,模板计算相关数据!A:N,2,0)/30)+1,模板计算相关数据!$O$35:$U$40,3,0)+AE508</f>
        <v>0</v>
      </c>
      <c r="AP508" s="3">
        <f>VLOOKUP(INT(VLOOKUP(U508,模板计算相关数据!A:N,2,0)/30)+1,模板计算相关数据!$O$35:$U$40,4,0)+AF508</f>
        <v>5000</v>
      </c>
      <c r="AQ508" s="3">
        <f>VLOOKUP(INT(VLOOKUP(U508,模板计算相关数据!A:N,2,0)/30)+1,模板计算相关数据!$O$35:$U$40,5,0)+AG508</f>
        <v>0</v>
      </c>
      <c r="AR508" s="3">
        <f>VLOOKUP(INT(VLOOKUP(U508,模板计算相关数据!A:N,2,0)/30)+1,模板计算相关数据!$O$35:$U$40,6,0)+AH508</f>
        <v>0</v>
      </c>
      <c r="AS508" s="3">
        <f>VLOOKUP(INT(VLOOKUP(U508,模板计算相关数据!A:N,2,0)/30)+1,模板计算相关数据!$O$35:$U$40,7,0)+AI508</f>
        <v>0</v>
      </c>
      <c r="AT508" s="3">
        <f>VLOOKUP(INT(VLOOKUP(U508,模板计算相关数据!A:N,2,0)/30)+1,模板计算相关数据!$O$35:$V$40,8,0)</f>
        <v>0</v>
      </c>
      <c r="AU508" s="2"/>
    </row>
    <row r="509" spans="1:47" x14ac:dyDescent="0.2">
      <c r="A509" s="3">
        <v>307110</v>
      </c>
      <c r="B509" s="3"/>
      <c r="C509" s="2" t="s">
        <v>326</v>
      </c>
      <c r="D509" s="2" t="s">
        <v>1122</v>
      </c>
      <c r="E509" s="2"/>
      <c r="F509" s="127">
        <v>3</v>
      </c>
      <c r="G509" s="127">
        <v>101</v>
      </c>
      <c r="H509" s="3">
        <v>5</v>
      </c>
      <c r="I509" s="127">
        <v>5</v>
      </c>
      <c r="J509" s="127">
        <v>1</v>
      </c>
      <c r="K509" s="3"/>
      <c r="L509" s="2" t="s">
        <v>331</v>
      </c>
      <c r="M509" s="2"/>
      <c r="N509" s="2">
        <v>1</v>
      </c>
      <c r="O509" s="2"/>
      <c r="P509" s="3" t="s">
        <v>1615</v>
      </c>
      <c r="Q509" s="95">
        <f t="shared" si="58"/>
        <v>5.7709803921568623</v>
      </c>
      <c r="R509" s="133">
        <f>IF(P509=模板计算相关数据!$AB$24,VLOOKUP(X509,模板计算相关数据!$P$47:$T$50,2,0),VLOOKUP(X509,模板计算相关数据!$P$4:$U$7,3,0))*VLOOKUP(Y509,模板计算相关数据!$P$22:$X$30,8,0)</f>
        <v>5.7709803921568623</v>
      </c>
      <c r="S509" s="62">
        <f t="shared" si="59"/>
        <v>6.4077918749199023</v>
      </c>
      <c r="T509" s="133">
        <f>IF(P509=模板计算相关数据!$AB$24,VLOOKUP(X509,模板计算相关数据!$P$47:$T$50,5,0),VLOOKUP(X509,模板计算相关数据!$P$4:$U$7,6,0))*VLOOKUP(Y509,模板计算相关数据!$P$22:$X$30,9,0)</f>
        <v>6.4077918749199023</v>
      </c>
      <c r="U509" s="98">
        <v>1</v>
      </c>
      <c r="V509" s="95">
        <f t="shared" si="60"/>
        <v>4</v>
      </c>
      <c r="W509" s="29">
        <f>VLOOKUP(U509,模板计算相关数据!A:N,2,0)</f>
        <v>1</v>
      </c>
      <c r="X509" s="3" t="s">
        <v>151</v>
      </c>
      <c r="Y509" s="3" t="s">
        <v>243</v>
      </c>
      <c r="Z509" s="99">
        <v>1</v>
      </c>
      <c r="AA509" s="95">
        <v>1</v>
      </c>
      <c r="AB509" s="95">
        <v>1</v>
      </c>
      <c r="AC509" s="95">
        <v>1</v>
      </c>
      <c r="AD509" s="95">
        <v>0</v>
      </c>
      <c r="AE509" s="95">
        <v>0</v>
      </c>
      <c r="AF509" s="95">
        <v>0</v>
      </c>
      <c r="AG509" s="95">
        <v>0</v>
      </c>
      <c r="AH509" s="95">
        <v>0</v>
      </c>
      <c r="AI509" s="95">
        <v>0</v>
      </c>
      <c r="AJ509" s="3">
        <f>INT(VLOOKUP(U509,模板计算相关数据!A:N,4,0)*VLOOKUP(U509,模板计算相关数据!A:N,14,0)*(1+MAX(0,(VLOOKUP(U509,模板计算相关数据!A:N,7,0)-AQ509))*VLOOKUP(U509,模板计算相关数据!A:N,8,0))*(1-(AL509+AM509)*0.5/((AL509+AM509)*0.5+(VLOOKUP(U509,模板计算相关数据!A:N,2,0)+模板计算相关数据!$AC$27)*模板计算相关数据!$AC$28))*Q509*Z509)</f>
        <v>411</v>
      </c>
      <c r="AK509" s="3">
        <f>INT(VLOOKUP(U509,模板计算相关数据!A:N,3,0)/模板计算相关数据!$W$35/(1+MAX(0,(AO509/10000-VLOOKUP(U509,模板计算相关数据!A:N,9,0)))*AP509/10000)/(1-VLOOKUP(U509,模板计算相关数据!A:N,5,0)/(VLOOKUP(U509,模板计算相关数据!A:N,5,0)+(VLOOKUP(U509,模板计算相关数据!A:N,2,0)+模板计算相关数据!$AC$27)*模板计算相关数据!$AC$28))/S509*AA509)</f>
        <v>86</v>
      </c>
      <c r="AL509" s="3">
        <f>INT(VLOOKUP(U509,模板计算相关数据!A:N,5,0)*VLOOKUP(X509,模板计算相关数据!$P$4:$T$7,4,0)*VLOOKUP(Y509,模板计算相关数据!$P$22:$U$30,4,0)*AB509)</f>
        <v>145</v>
      </c>
      <c r="AM509" s="3">
        <f>INT(VLOOKUP(U509,模板计算相关数据!A:N,6,0)*VLOOKUP(X509,模板计算相关数据!$P$4:$T$7,4,0)*VLOOKUP(Y509,模板计算相关数据!$P$22:$U$30,5,0)*AC509)</f>
        <v>264</v>
      </c>
      <c r="AN509" s="3">
        <f>VLOOKUP(U509,模板计算相关数据!A:N,10,0)*0.5*VLOOKUP(Y509,模板计算相关数据!$P$22:$U$30,6,0)+AD509</f>
        <v>275</v>
      </c>
      <c r="AO509" s="3">
        <f>VLOOKUP(INT(VLOOKUP(U509,模板计算相关数据!A:N,2,0)/30)+1,模板计算相关数据!$O$35:$U$40,3,0)+AE509</f>
        <v>0</v>
      </c>
      <c r="AP509" s="3">
        <f>VLOOKUP(INT(VLOOKUP(U509,模板计算相关数据!A:N,2,0)/30)+1,模板计算相关数据!$O$35:$U$40,4,0)+AF509</f>
        <v>5000</v>
      </c>
      <c r="AQ509" s="3">
        <f>VLOOKUP(INT(VLOOKUP(U509,模板计算相关数据!A:N,2,0)/30)+1,模板计算相关数据!$O$35:$U$40,5,0)+AG509</f>
        <v>0</v>
      </c>
      <c r="AR509" s="3">
        <f>VLOOKUP(INT(VLOOKUP(U509,模板计算相关数据!A:N,2,0)/30)+1,模板计算相关数据!$O$35:$U$40,6,0)+AH509</f>
        <v>0</v>
      </c>
      <c r="AS509" s="3">
        <f>VLOOKUP(INT(VLOOKUP(U509,模板计算相关数据!A:N,2,0)/30)+1,模板计算相关数据!$O$35:$U$40,7,0)+AI509</f>
        <v>0</v>
      </c>
      <c r="AT509" s="3">
        <f>VLOOKUP(INT(VLOOKUP(U509,模板计算相关数据!A:N,2,0)/30)+1,模板计算相关数据!$O$35:$V$40,8,0)</f>
        <v>0</v>
      </c>
      <c r="AU509" s="2"/>
    </row>
    <row r="510" spans="1:47" x14ac:dyDescent="0.2">
      <c r="A510" s="3">
        <v>307111</v>
      </c>
      <c r="B510" s="3"/>
      <c r="C510" s="2" t="s">
        <v>332</v>
      </c>
      <c r="D510" s="2" t="s">
        <v>1119</v>
      </c>
      <c r="E510" s="2"/>
      <c r="F510" s="127">
        <v>3</v>
      </c>
      <c r="G510" s="127">
        <v>101</v>
      </c>
      <c r="H510" s="3">
        <v>2</v>
      </c>
      <c r="I510" s="127">
        <v>5</v>
      </c>
      <c r="J510" s="127">
        <v>1</v>
      </c>
      <c r="K510" s="3"/>
      <c r="L510" s="2" t="s">
        <v>333</v>
      </c>
      <c r="M510" s="2"/>
      <c r="N510" s="2">
        <v>1</v>
      </c>
      <c r="O510" s="2"/>
      <c r="P510" s="3" t="s">
        <v>1615</v>
      </c>
      <c r="Q510" s="95">
        <f t="shared" si="58"/>
        <v>6.9411764705882364</v>
      </c>
      <c r="R510" s="133">
        <f>IF(P510=模板计算相关数据!$AB$24,VLOOKUP(X510,模板计算相关数据!$P$47:$T$50,2,0),VLOOKUP(X510,模板计算相关数据!$P$4:$U$7,3,0))*VLOOKUP(Y510,模板计算相关数据!$P$22:$X$30,8,0)</f>
        <v>6.9411764705882364</v>
      </c>
      <c r="S510" s="62">
        <f t="shared" si="59"/>
        <v>8.2943498888557112</v>
      </c>
      <c r="T510" s="133">
        <f>IF(P510=模板计算相关数据!$AB$24,VLOOKUP(X510,模板计算相关数据!$P$47:$T$50,5,0),VLOOKUP(X510,模板计算相关数据!$P$4:$U$7,6,0))*VLOOKUP(Y510,模板计算相关数据!$P$22:$X$30,9,0)</f>
        <v>8.2943498888557112</v>
      </c>
      <c r="U510" s="98">
        <v>1</v>
      </c>
      <c r="V510" s="95">
        <f t="shared" si="60"/>
        <v>4</v>
      </c>
      <c r="W510" s="29">
        <f>VLOOKUP(U510,模板计算相关数据!A:N,2,0)</f>
        <v>1</v>
      </c>
      <c r="X510" s="3" t="s">
        <v>151</v>
      </c>
      <c r="Y510" s="3" t="s">
        <v>234</v>
      </c>
      <c r="Z510" s="99">
        <v>1</v>
      </c>
      <c r="AA510" s="95">
        <v>1</v>
      </c>
      <c r="AB510" s="95">
        <v>1</v>
      </c>
      <c r="AC510" s="95">
        <v>1</v>
      </c>
      <c r="AD510" s="95">
        <v>0</v>
      </c>
      <c r="AE510" s="95">
        <v>0</v>
      </c>
      <c r="AF510" s="95">
        <v>0</v>
      </c>
      <c r="AG510" s="95">
        <v>0</v>
      </c>
      <c r="AH510" s="95">
        <v>0</v>
      </c>
      <c r="AI510" s="95">
        <v>0</v>
      </c>
      <c r="AJ510" s="3">
        <f>INT(VLOOKUP(U510,模板计算相关数据!A:N,4,0)*VLOOKUP(U510,模板计算相关数据!A:N,14,0)*(1+MAX(0,(VLOOKUP(U510,模板计算相关数据!A:N,7,0)-AQ510))*VLOOKUP(U510,模板计算相关数据!A:N,8,0))*(1-(AL510+AM510)*0.5/((AL510+AM510)*0.5+(VLOOKUP(U510,模板计算相关数据!A:N,2,0)+模板计算相关数据!$AC$27)*模板计算相关数据!$AC$28))*Q510*Z510)</f>
        <v>487</v>
      </c>
      <c r="AK510" s="3">
        <f>INT(VLOOKUP(U510,模板计算相关数据!A:N,3,0)/模板计算相关数据!$W$35/(1+MAX(0,(AO510/10000-VLOOKUP(U510,模板计算相关数据!A:N,9,0)))*AP510/10000)/(1-VLOOKUP(U510,模板计算相关数据!A:N,5,0)/(VLOOKUP(U510,模板计算相关数据!A:N,5,0)+(VLOOKUP(U510,模板计算相关数据!A:N,2,0)+模板计算相关数据!$AC$27)*模板计算相关数据!$AC$28))/S510*AA510)</f>
        <v>67</v>
      </c>
      <c r="AL510" s="3">
        <f>INT(VLOOKUP(U510,模板计算相关数据!A:N,5,0)*VLOOKUP(X510,模板计算相关数据!$P$4:$T$7,4,0)*VLOOKUP(Y510,模板计算相关数据!$P$22:$U$30,4,0)*AB510)</f>
        <v>153</v>
      </c>
      <c r="AM510" s="3">
        <f>INT(VLOOKUP(U510,模板计算相关数据!A:N,6,0)*VLOOKUP(X510,模板计算相关数据!$P$4:$T$7,4,0)*VLOOKUP(Y510,模板计算相关数据!$P$22:$U$30,5,0)*AC510)</f>
        <v>277</v>
      </c>
      <c r="AN510" s="3">
        <f>VLOOKUP(U510,模板计算相关数据!A:N,10,0)*0.5*VLOOKUP(Y510,模板计算相关数据!$P$22:$U$30,6,0)+AD510</f>
        <v>225</v>
      </c>
      <c r="AO510" s="3">
        <f>VLOOKUP(INT(VLOOKUP(U510,模板计算相关数据!A:N,2,0)/30)+1,模板计算相关数据!$O$35:$U$40,3,0)+AE510</f>
        <v>0</v>
      </c>
      <c r="AP510" s="3">
        <f>VLOOKUP(INT(VLOOKUP(U510,模板计算相关数据!A:N,2,0)/30)+1,模板计算相关数据!$O$35:$U$40,4,0)+AF510</f>
        <v>5000</v>
      </c>
      <c r="AQ510" s="3">
        <f>VLOOKUP(INT(VLOOKUP(U510,模板计算相关数据!A:N,2,0)/30)+1,模板计算相关数据!$O$35:$U$40,5,0)+AG510</f>
        <v>0</v>
      </c>
      <c r="AR510" s="3">
        <f>VLOOKUP(INT(VLOOKUP(U510,模板计算相关数据!A:N,2,0)/30)+1,模板计算相关数据!$O$35:$U$40,6,0)+AH510</f>
        <v>0</v>
      </c>
      <c r="AS510" s="3">
        <f>VLOOKUP(INT(VLOOKUP(U510,模板计算相关数据!A:N,2,0)/30)+1,模板计算相关数据!$O$35:$U$40,7,0)+AI510</f>
        <v>0</v>
      </c>
      <c r="AT510" s="3">
        <f>VLOOKUP(INT(VLOOKUP(U510,模板计算相关数据!A:N,2,0)/30)+1,模板计算相关数据!$O$35:$V$40,8,0)</f>
        <v>0</v>
      </c>
      <c r="AU510" s="2"/>
    </row>
    <row r="511" spans="1:47" x14ac:dyDescent="0.2">
      <c r="A511" s="3">
        <v>307112</v>
      </c>
      <c r="B511" s="3"/>
      <c r="C511" s="2" t="s">
        <v>332</v>
      </c>
      <c r="D511" s="2" t="s">
        <v>1120</v>
      </c>
      <c r="E511" s="2"/>
      <c r="F511" s="127">
        <v>3</v>
      </c>
      <c r="G511" s="127">
        <v>101</v>
      </c>
      <c r="H511" s="3">
        <v>2</v>
      </c>
      <c r="I511" s="127">
        <v>5</v>
      </c>
      <c r="J511" s="127">
        <v>1</v>
      </c>
      <c r="K511" s="3"/>
      <c r="L511" s="2" t="s">
        <v>334</v>
      </c>
      <c r="M511" s="2"/>
      <c r="N511" s="2">
        <v>1</v>
      </c>
      <c r="O511" s="2"/>
      <c r="P511" s="3" t="s">
        <v>1615</v>
      </c>
      <c r="Q511" s="95">
        <f t="shared" si="58"/>
        <v>6.9411764705882364</v>
      </c>
      <c r="R511" s="133">
        <f>IF(P511=模板计算相关数据!$AB$24,VLOOKUP(X511,模板计算相关数据!$P$47:$T$50,2,0),VLOOKUP(X511,模板计算相关数据!$P$4:$U$7,3,0))*VLOOKUP(Y511,模板计算相关数据!$P$22:$X$30,8,0)</f>
        <v>6.9411764705882364</v>
      </c>
      <c r="S511" s="62">
        <f t="shared" si="59"/>
        <v>8.2943498888557112</v>
      </c>
      <c r="T511" s="133">
        <f>IF(P511=模板计算相关数据!$AB$24,VLOOKUP(X511,模板计算相关数据!$P$47:$T$50,5,0),VLOOKUP(X511,模板计算相关数据!$P$4:$U$7,6,0))*VLOOKUP(Y511,模板计算相关数据!$P$22:$X$30,9,0)</f>
        <v>8.2943498888557112</v>
      </c>
      <c r="U511" s="98">
        <v>1</v>
      </c>
      <c r="V511" s="95">
        <f t="shared" si="60"/>
        <v>4</v>
      </c>
      <c r="W511" s="29">
        <f>VLOOKUP(U511,模板计算相关数据!A:N,2,0)</f>
        <v>1</v>
      </c>
      <c r="X511" s="3" t="s">
        <v>151</v>
      </c>
      <c r="Y511" s="3" t="s">
        <v>234</v>
      </c>
      <c r="Z511" s="99">
        <v>1</v>
      </c>
      <c r="AA511" s="95">
        <v>1</v>
      </c>
      <c r="AB511" s="95">
        <v>1</v>
      </c>
      <c r="AC511" s="95">
        <v>1</v>
      </c>
      <c r="AD511" s="95">
        <v>0</v>
      </c>
      <c r="AE511" s="95">
        <v>0</v>
      </c>
      <c r="AF511" s="95">
        <v>0</v>
      </c>
      <c r="AG511" s="95">
        <v>0</v>
      </c>
      <c r="AH511" s="95">
        <v>0</v>
      </c>
      <c r="AI511" s="95">
        <v>0</v>
      </c>
      <c r="AJ511" s="3">
        <f>INT(VLOOKUP(U511,模板计算相关数据!A:N,4,0)*VLOOKUP(U511,模板计算相关数据!A:N,14,0)*(1+MAX(0,(VLOOKUP(U511,模板计算相关数据!A:N,7,0)-AQ511))*VLOOKUP(U511,模板计算相关数据!A:N,8,0))*(1-(AL511+AM511)*0.5/((AL511+AM511)*0.5+(VLOOKUP(U511,模板计算相关数据!A:N,2,0)+模板计算相关数据!$AC$27)*模板计算相关数据!$AC$28))*Q511*Z511)</f>
        <v>487</v>
      </c>
      <c r="AK511" s="3">
        <f>INT(VLOOKUP(U511,模板计算相关数据!A:N,3,0)/模板计算相关数据!$W$35/(1+MAX(0,(AO511/10000-VLOOKUP(U511,模板计算相关数据!A:N,9,0)))*AP511/10000)/(1-VLOOKUP(U511,模板计算相关数据!A:N,5,0)/(VLOOKUP(U511,模板计算相关数据!A:N,5,0)+(VLOOKUP(U511,模板计算相关数据!A:N,2,0)+模板计算相关数据!$AC$27)*模板计算相关数据!$AC$28))/S511*AA511)</f>
        <v>67</v>
      </c>
      <c r="AL511" s="3">
        <f>INT(VLOOKUP(U511,模板计算相关数据!A:N,5,0)*VLOOKUP(X511,模板计算相关数据!$P$4:$T$7,4,0)*VLOOKUP(Y511,模板计算相关数据!$P$22:$U$30,4,0)*AB511)</f>
        <v>153</v>
      </c>
      <c r="AM511" s="3">
        <f>INT(VLOOKUP(U511,模板计算相关数据!A:N,6,0)*VLOOKUP(X511,模板计算相关数据!$P$4:$T$7,4,0)*VLOOKUP(Y511,模板计算相关数据!$P$22:$U$30,5,0)*AC511)</f>
        <v>277</v>
      </c>
      <c r="AN511" s="3">
        <f>VLOOKUP(U511,模板计算相关数据!A:N,10,0)*0.5*VLOOKUP(Y511,模板计算相关数据!$P$22:$U$30,6,0)+AD511</f>
        <v>225</v>
      </c>
      <c r="AO511" s="3">
        <f>VLOOKUP(INT(VLOOKUP(U511,模板计算相关数据!A:N,2,0)/30)+1,模板计算相关数据!$O$35:$U$40,3,0)+AE511</f>
        <v>0</v>
      </c>
      <c r="AP511" s="3">
        <f>VLOOKUP(INT(VLOOKUP(U511,模板计算相关数据!A:N,2,0)/30)+1,模板计算相关数据!$O$35:$U$40,4,0)+AF511</f>
        <v>5000</v>
      </c>
      <c r="AQ511" s="3">
        <f>VLOOKUP(INT(VLOOKUP(U511,模板计算相关数据!A:N,2,0)/30)+1,模板计算相关数据!$O$35:$U$40,5,0)+AG511</f>
        <v>0</v>
      </c>
      <c r="AR511" s="3">
        <f>VLOOKUP(INT(VLOOKUP(U511,模板计算相关数据!A:N,2,0)/30)+1,模板计算相关数据!$O$35:$U$40,6,0)+AH511</f>
        <v>0</v>
      </c>
      <c r="AS511" s="3">
        <f>VLOOKUP(INT(VLOOKUP(U511,模板计算相关数据!A:N,2,0)/30)+1,模板计算相关数据!$O$35:$U$40,7,0)+AI511</f>
        <v>0</v>
      </c>
      <c r="AT511" s="3">
        <f>VLOOKUP(INT(VLOOKUP(U511,模板计算相关数据!A:N,2,0)/30)+1,模板计算相关数据!$O$35:$V$40,8,0)</f>
        <v>0</v>
      </c>
      <c r="AU511" s="2"/>
    </row>
    <row r="512" spans="1:47" x14ac:dyDescent="0.2">
      <c r="A512" s="3">
        <v>307113</v>
      </c>
      <c r="B512" s="3"/>
      <c r="C512" s="2" t="s">
        <v>332</v>
      </c>
      <c r="D512" s="2" t="s">
        <v>1121</v>
      </c>
      <c r="E512" s="2"/>
      <c r="F512" s="127">
        <v>3</v>
      </c>
      <c r="G512" s="127">
        <v>101</v>
      </c>
      <c r="H512" s="3">
        <v>2</v>
      </c>
      <c r="I512" s="127">
        <v>5</v>
      </c>
      <c r="J512" s="127">
        <v>1</v>
      </c>
      <c r="K512" s="3"/>
      <c r="L512" s="2" t="s">
        <v>335</v>
      </c>
      <c r="M512" s="2"/>
      <c r="N512" s="2">
        <v>1</v>
      </c>
      <c r="O512" s="2"/>
      <c r="P512" s="3" t="s">
        <v>1615</v>
      </c>
      <c r="Q512" s="95">
        <f t="shared" si="58"/>
        <v>6.9411764705882364</v>
      </c>
      <c r="R512" s="133">
        <f>IF(P512=模板计算相关数据!$AB$24,VLOOKUP(X512,模板计算相关数据!$P$47:$T$50,2,0),VLOOKUP(X512,模板计算相关数据!$P$4:$U$7,3,0))*VLOOKUP(Y512,模板计算相关数据!$P$22:$X$30,8,0)</f>
        <v>6.9411764705882364</v>
      </c>
      <c r="S512" s="62">
        <f t="shared" si="59"/>
        <v>8.2943498888557112</v>
      </c>
      <c r="T512" s="133">
        <f>IF(P512=模板计算相关数据!$AB$24,VLOOKUP(X512,模板计算相关数据!$P$47:$T$50,5,0),VLOOKUP(X512,模板计算相关数据!$P$4:$U$7,6,0))*VLOOKUP(Y512,模板计算相关数据!$P$22:$X$30,9,0)</f>
        <v>8.2943498888557112</v>
      </c>
      <c r="U512" s="98">
        <v>1</v>
      </c>
      <c r="V512" s="95">
        <f t="shared" si="60"/>
        <v>4</v>
      </c>
      <c r="W512" s="29">
        <f>VLOOKUP(U512,模板计算相关数据!A:N,2,0)</f>
        <v>1</v>
      </c>
      <c r="X512" s="3" t="s">
        <v>151</v>
      </c>
      <c r="Y512" s="3" t="s">
        <v>234</v>
      </c>
      <c r="Z512" s="99">
        <v>1</v>
      </c>
      <c r="AA512" s="95">
        <v>1</v>
      </c>
      <c r="AB512" s="95">
        <v>1</v>
      </c>
      <c r="AC512" s="95">
        <v>1</v>
      </c>
      <c r="AD512" s="95">
        <v>0</v>
      </c>
      <c r="AE512" s="95">
        <v>0</v>
      </c>
      <c r="AF512" s="95">
        <v>0</v>
      </c>
      <c r="AG512" s="95">
        <v>0</v>
      </c>
      <c r="AH512" s="95">
        <v>0</v>
      </c>
      <c r="AI512" s="95">
        <v>0</v>
      </c>
      <c r="AJ512" s="3">
        <f>INT(VLOOKUP(U512,模板计算相关数据!A:N,4,0)*VLOOKUP(U512,模板计算相关数据!A:N,14,0)*(1+MAX(0,(VLOOKUP(U512,模板计算相关数据!A:N,7,0)-AQ512))*VLOOKUP(U512,模板计算相关数据!A:N,8,0))*(1-(AL512+AM512)*0.5/((AL512+AM512)*0.5+(VLOOKUP(U512,模板计算相关数据!A:N,2,0)+模板计算相关数据!$AC$27)*模板计算相关数据!$AC$28))*Q512*Z512)</f>
        <v>487</v>
      </c>
      <c r="AK512" s="3">
        <f>INT(VLOOKUP(U512,模板计算相关数据!A:N,3,0)/模板计算相关数据!$W$35/(1+MAX(0,(AO512/10000-VLOOKUP(U512,模板计算相关数据!A:N,9,0)))*AP512/10000)/(1-VLOOKUP(U512,模板计算相关数据!A:N,5,0)/(VLOOKUP(U512,模板计算相关数据!A:N,5,0)+(VLOOKUP(U512,模板计算相关数据!A:N,2,0)+模板计算相关数据!$AC$27)*模板计算相关数据!$AC$28))/S512*AA512)</f>
        <v>67</v>
      </c>
      <c r="AL512" s="3">
        <f>INT(VLOOKUP(U512,模板计算相关数据!A:N,5,0)*VLOOKUP(X512,模板计算相关数据!$P$4:$T$7,4,0)*VLOOKUP(Y512,模板计算相关数据!$P$22:$U$30,4,0)*AB512)</f>
        <v>153</v>
      </c>
      <c r="AM512" s="3">
        <f>INT(VLOOKUP(U512,模板计算相关数据!A:N,6,0)*VLOOKUP(X512,模板计算相关数据!$P$4:$T$7,4,0)*VLOOKUP(Y512,模板计算相关数据!$P$22:$U$30,5,0)*AC512)</f>
        <v>277</v>
      </c>
      <c r="AN512" s="3">
        <f>VLOOKUP(U512,模板计算相关数据!A:N,10,0)*0.5*VLOOKUP(Y512,模板计算相关数据!$P$22:$U$30,6,0)+AD512</f>
        <v>225</v>
      </c>
      <c r="AO512" s="3">
        <f>VLOOKUP(INT(VLOOKUP(U512,模板计算相关数据!A:N,2,0)/30)+1,模板计算相关数据!$O$35:$U$40,3,0)+AE512</f>
        <v>0</v>
      </c>
      <c r="AP512" s="3">
        <f>VLOOKUP(INT(VLOOKUP(U512,模板计算相关数据!A:N,2,0)/30)+1,模板计算相关数据!$O$35:$U$40,4,0)+AF512</f>
        <v>5000</v>
      </c>
      <c r="AQ512" s="3">
        <f>VLOOKUP(INT(VLOOKUP(U512,模板计算相关数据!A:N,2,0)/30)+1,模板计算相关数据!$O$35:$U$40,5,0)+AG512</f>
        <v>0</v>
      </c>
      <c r="AR512" s="3">
        <f>VLOOKUP(INT(VLOOKUP(U512,模板计算相关数据!A:N,2,0)/30)+1,模板计算相关数据!$O$35:$U$40,6,0)+AH512</f>
        <v>0</v>
      </c>
      <c r="AS512" s="3">
        <f>VLOOKUP(INT(VLOOKUP(U512,模板计算相关数据!A:N,2,0)/30)+1,模板计算相关数据!$O$35:$U$40,7,0)+AI512</f>
        <v>0</v>
      </c>
      <c r="AT512" s="3">
        <f>VLOOKUP(INT(VLOOKUP(U512,模板计算相关数据!A:N,2,0)/30)+1,模板计算相关数据!$O$35:$V$40,8,0)</f>
        <v>0</v>
      </c>
      <c r="AU512" s="2"/>
    </row>
    <row r="513" spans="1:47" x14ac:dyDescent="0.2">
      <c r="A513" s="3">
        <v>307114</v>
      </c>
      <c r="B513" s="3"/>
      <c r="C513" s="2" t="s">
        <v>332</v>
      </c>
      <c r="D513" s="2" t="s">
        <v>1122</v>
      </c>
      <c r="E513" s="2"/>
      <c r="F513" s="127">
        <v>3</v>
      </c>
      <c r="G513" s="127">
        <v>101</v>
      </c>
      <c r="H513" s="3">
        <v>2</v>
      </c>
      <c r="I513" s="127">
        <v>5</v>
      </c>
      <c r="J513" s="127">
        <v>1</v>
      </c>
      <c r="K513" s="3"/>
      <c r="L513" s="2" t="s">
        <v>336</v>
      </c>
      <c r="M513" s="2"/>
      <c r="N513" s="2">
        <v>1</v>
      </c>
      <c r="O513" s="2"/>
      <c r="P513" s="3" t="s">
        <v>1615</v>
      </c>
      <c r="Q513" s="95">
        <f t="shared" si="58"/>
        <v>6.9411764705882364</v>
      </c>
      <c r="R513" s="133">
        <f>IF(P513=模板计算相关数据!$AB$24,VLOOKUP(X513,模板计算相关数据!$P$47:$T$50,2,0),VLOOKUP(X513,模板计算相关数据!$P$4:$U$7,3,0))*VLOOKUP(Y513,模板计算相关数据!$P$22:$X$30,8,0)</f>
        <v>6.9411764705882364</v>
      </c>
      <c r="S513" s="62">
        <f t="shared" si="59"/>
        <v>8.2943498888557112</v>
      </c>
      <c r="T513" s="133">
        <f>IF(P513=模板计算相关数据!$AB$24,VLOOKUP(X513,模板计算相关数据!$P$47:$T$50,5,0),VLOOKUP(X513,模板计算相关数据!$P$4:$U$7,6,0))*VLOOKUP(Y513,模板计算相关数据!$P$22:$X$30,9,0)</f>
        <v>8.2943498888557112</v>
      </c>
      <c r="U513" s="98">
        <v>1</v>
      </c>
      <c r="V513" s="95">
        <f t="shared" si="60"/>
        <v>4</v>
      </c>
      <c r="W513" s="29">
        <f>VLOOKUP(U513,模板计算相关数据!A:N,2,0)</f>
        <v>1</v>
      </c>
      <c r="X513" s="3" t="s">
        <v>151</v>
      </c>
      <c r="Y513" s="3" t="s">
        <v>234</v>
      </c>
      <c r="Z513" s="99">
        <v>1</v>
      </c>
      <c r="AA513" s="95">
        <v>1</v>
      </c>
      <c r="AB513" s="95">
        <v>1</v>
      </c>
      <c r="AC513" s="95">
        <v>1</v>
      </c>
      <c r="AD513" s="95">
        <v>0</v>
      </c>
      <c r="AE513" s="95">
        <v>0</v>
      </c>
      <c r="AF513" s="95">
        <v>0</v>
      </c>
      <c r="AG513" s="95">
        <v>0</v>
      </c>
      <c r="AH513" s="95">
        <v>0</v>
      </c>
      <c r="AI513" s="95">
        <v>0</v>
      </c>
      <c r="AJ513" s="3">
        <f>INT(VLOOKUP(U513,模板计算相关数据!A:N,4,0)*VLOOKUP(U513,模板计算相关数据!A:N,14,0)*(1+MAX(0,(VLOOKUP(U513,模板计算相关数据!A:N,7,0)-AQ513))*VLOOKUP(U513,模板计算相关数据!A:N,8,0))*(1-(AL513+AM513)*0.5/((AL513+AM513)*0.5+(VLOOKUP(U513,模板计算相关数据!A:N,2,0)+模板计算相关数据!$AC$27)*模板计算相关数据!$AC$28))*Q513*Z513)</f>
        <v>487</v>
      </c>
      <c r="AK513" s="3">
        <f>INT(VLOOKUP(U513,模板计算相关数据!A:N,3,0)/模板计算相关数据!$W$35/(1+MAX(0,(AO513/10000-VLOOKUP(U513,模板计算相关数据!A:N,9,0)))*AP513/10000)/(1-VLOOKUP(U513,模板计算相关数据!A:N,5,0)/(VLOOKUP(U513,模板计算相关数据!A:N,5,0)+(VLOOKUP(U513,模板计算相关数据!A:N,2,0)+模板计算相关数据!$AC$27)*模板计算相关数据!$AC$28))/S513*AA513)</f>
        <v>67</v>
      </c>
      <c r="AL513" s="3">
        <f>INT(VLOOKUP(U513,模板计算相关数据!A:N,5,0)*VLOOKUP(X513,模板计算相关数据!$P$4:$T$7,4,0)*VLOOKUP(Y513,模板计算相关数据!$P$22:$U$30,4,0)*AB513)</f>
        <v>153</v>
      </c>
      <c r="AM513" s="3">
        <f>INT(VLOOKUP(U513,模板计算相关数据!A:N,6,0)*VLOOKUP(X513,模板计算相关数据!$P$4:$T$7,4,0)*VLOOKUP(Y513,模板计算相关数据!$P$22:$U$30,5,0)*AC513)</f>
        <v>277</v>
      </c>
      <c r="AN513" s="3">
        <f>VLOOKUP(U513,模板计算相关数据!A:N,10,0)*0.5*VLOOKUP(Y513,模板计算相关数据!$P$22:$U$30,6,0)+AD513</f>
        <v>225</v>
      </c>
      <c r="AO513" s="3">
        <f>VLOOKUP(INT(VLOOKUP(U513,模板计算相关数据!A:N,2,0)/30)+1,模板计算相关数据!$O$35:$U$40,3,0)+AE513</f>
        <v>0</v>
      </c>
      <c r="AP513" s="3">
        <f>VLOOKUP(INT(VLOOKUP(U513,模板计算相关数据!A:N,2,0)/30)+1,模板计算相关数据!$O$35:$U$40,4,0)+AF513</f>
        <v>5000</v>
      </c>
      <c r="AQ513" s="3">
        <f>VLOOKUP(INT(VLOOKUP(U513,模板计算相关数据!A:N,2,0)/30)+1,模板计算相关数据!$O$35:$U$40,5,0)+AG513</f>
        <v>0</v>
      </c>
      <c r="AR513" s="3">
        <f>VLOOKUP(INT(VLOOKUP(U513,模板计算相关数据!A:N,2,0)/30)+1,模板计算相关数据!$O$35:$U$40,6,0)+AH513</f>
        <v>0</v>
      </c>
      <c r="AS513" s="3">
        <f>VLOOKUP(INT(VLOOKUP(U513,模板计算相关数据!A:N,2,0)/30)+1,模板计算相关数据!$O$35:$U$40,7,0)+AI513</f>
        <v>0</v>
      </c>
      <c r="AT513" s="3">
        <f>VLOOKUP(INT(VLOOKUP(U513,模板计算相关数据!A:N,2,0)/30)+1,模板计算相关数据!$O$35:$V$40,8,0)</f>
        <v>0</v>
      </c>
      <c r="AU513" s="2"/>
    </row>
    <row r="514" spans="1:47" x14ac:dyDescent="0.2">
      <c r="A514" s="17">
        <v>307115</v>
      </c>
      <c r="B514" s="17"/>
      <c r="C514" s="24" t="s">
        <v>337</v>
      </c>
      <c r="D514" s="25" t="s">
        <v>1123</v>
      </c>
      <c r="E514" s="17"/>
      <c r="F514" s="152">
        <v>3</v>
      </c>
      <c r="G514" s="152">
        <v>101</v>
      </c>
      <c r="H514" s="43">
        <v>1</v>
      </c>
      <c r="I514" s="152">
        <v>5</v>
      </c>
      <c r="J514" s="152">
        <v>1</v>
      </c>
      <c r="K514" s="43"/>
      <c r="L514" s="2" t="s">
        <v>338</v>
      </c>
      <c r="M514" s="2"/>
      <c r="N514" s="2">
        <v>1</v>
      </c>
      <c r="O514" s="2"/>
      <c r="P514" s="3" t="s">
        <v>1615</v>
      </c>
      <c r="Q514" s="95">
        <f t="shared" si="58"/>
        <v>4.417254901960785</v>
      </c>
      <c r="R514" s="133">
        <f>IF(P514=模板计算相关数据!$AB$24,VLOOKUP(X514,模板计算相关数据!$P$47:$T$50,2,0),VLOOKUP(X514,模板计算相关数据!$P$4:$U$7,3,0))*VLOOKUP(Y514,模板计算相关数据!$P$22:$X$30,8,0)</f>
        <v>4.417254901960785</v>
      </c>
      <c r="S514" s="62">
        <f t="shared" si="59"/>
        <v>5.4285280003474252</v>
      </c>
      <c r="T514" s="133">
        <f>IF(P514=模板计算相关数据!$AB$24,VLOOKUP(X514,模板计算相关数据!$P$47:$T$50,5,0),VLOOKUP(X514,模板计算相关数据!$P$4:$U$7,6,0))*VLOOKUP(Y514,模板计算相关数据!$P$22:$X$30,9,0)</f>
        <v>5.4285280003474252</v>
      </c>
      <c r="U514" s="98">
        <v>1</v>
      </c>
      <c r="V514" s="95">
        <f t="shared" si="60"/>
        <v>4</v>
      </c>
      <c r="W514" s="29">
        <f>VLOOKUP(U514,模板计算相关数据!A:N,2,0)</f>
        <v>1</v>
      </c>
      <c r="X514" s="3" t="s">
        <v>151</v>
      </c>
      <c r="Y514" s="3" t="s">
        <v>152</v>
      </c>
      <c r="Z514" s="99">
        <v>1</v>
      </c>
      <c r="AA514" s="95">
        <v>1</v>
      </c>
      <c r="AB514" s="95">
        <v>1</v>
      </c>
      <c r="AC514" s="95">
        <v>1</v>
      </c>
      <c r="AD514" s="95">
        <v>0</v>
      </c>
      <c r="AE514" s="95">
        <v>0</v>
      </c>
      <c r="AF514" s="95">
        <v>0</v>
      </c>
      <c r="AG514" s="95">
        <v>0</v>
      </c>
      <c r="AH514" s="95">
        <v>0</v>
      </c>
      <c r="AI514" s="95">
        <v>0</v>
      </c>
      <c r="AJ514" s="3">
        <f>INT(VLOOKUP(U514,模板计算相关数据!A:N,4,0)*VLOOKUP(U514,模板计算相关数据!A:N,14,0)*(1+MAX(0,(VLOOKUP(U514,模板计算相关数据!A:N,7,0)-AQ514))*VLOOKUP(U514,模板计算相关数据!A:N,8,0))*(1-(AL514+AM514)*0.5/((AL514+AM514)*0.5+(VLOOKUP(U514,模板计算相关数据!A:N,2,0)+模板计算相关数据!$AC$27)*模板计算相关数据!$AC$28))*Q514*Z514)</f>
        <v>325</v>
      </c>
      <c r="AK514" s="3">
        <f>INT(VLOOKUP(U514,模板计算相关数据!A:N,3,0)/模板计算相关数据!$W$35/(1+MAX(0,(AO514/10000-VLOOKUP(U514,模板计算相关数据!A:N,9,0)))*AP514/10000)/(1-VLOOKUP(U514,模板计算相关数据!A:N,5,0)/(VLOOKUP(U514,模板计算相关数据!A:N,5,0)+(VLOOKUP(U514,模板计算相关数据!A:N,2,0)+模板计算相关数据!$AC$27)*模板计算相关数据!$AC$28))/S514*AA514)</f>
        <v>102</v>
      </c>
      <c r="AL514" s="3">
        <f>INT(VLOOKUP(U514,模板计算相关数据!A:N,5,0)*VLOOKUP(X514,模板计算相关数据!$P$4:$T$7,4,0)*VLOOKUP(Y514,模板计算相关数据!$P$22:$U$30,4,0)*AB514)</f>
        <v>230</v>
      </c>
      <c r="AM514" s="3">
        <f>INT(VLOOKUP(U514,模板计算相关数据!A:N,6,0)*VLOOKUP(X514,模板计算相关数据!$P$4:$T$7,4,0)*VLOOKUP(Y514,模板计算相关数据!$P$22:$U$30,5,0)*AC514)</f>
        <v>136</v>
      </c>
      <c r="AN514" s="3">
        <f>VLOOKUP(U514,模板计算相关数据!A:N,10,0)*0.5*VLOOKUP(Y514,模板计算相关数据!$P$22:$U$30,6,0)+AD514</f>
        <v>250</v>
      </c>
      <c r="AO514" s="3">
        <f>VLOOKUP(INT(VLOOKUP(U514,模板计算相关数据!A:N,2,0)/30)+1,模板计算相关数据!$O$35:$U$40,3,0)+AE514</f>
        <v>0</v>
      </c>
      <c r="AP514" s="3">
        <f>VLOOKUP(INT(VLOOKUP(U514,模板计算相关数据!A:N,2,0)/30)+1,模板计算相关数据!$O$35:$U$40,4,0)+AF514</f>
        <v>5000</v>
      </c>
      <c r="AQ514" s="3">
        <f>VLOOKUP(INT(VLOOKUP(U514,模板计算相关数据!A:N,2,0)/30)+1,模板计算相关数据!$O$35:$U$40,5,0)+AG514</f>
        <v>0</v>
      </c>
      <c r="AR514" s="3">
        <f>VLOOKUP(INT(VLOOKUP(U514,模板计算相关数据!A:N,2,0)/30)+1,模板计算相关数据!$O$35:$U$40,6,0)+AH514</f>
        <v>0</v>
      </c>
      <c r="AS514" s="3">
        <f>VLOOKUP(INT(VLOOKUP(U514,模板计算相关数据!A:N,2,0)/30)+1,模板计算相关数据!$O$35:$U$40,7,0)+AI514</f>
        <v>0</v>
      </c>
      <c r="AT514" s="3">
        <f>VLOOKUP(INT(VLOOKUP(U514,模板计算相关数据!A:N,2,0)/30)+1,模板计算相关数据!$O$35:$V$40,8,0)</f>
        <v>0</v>
      </c>
      <c r="AU514" s="2"/>
    </row>
    <row r="515" spans="1:47" x14ac:dyDescent="0.2">
      <c r="A515" s="2">
        <v>307116</v>
      </c>
      <c r="B515" s="2"/>
      <c r="C515" s="2" t="s">
        <v>152</v>
      </c>
      <c r="D515" s="69" t="s">
        <v>1124</v>
      </c>
      <c r="E515" s="2"/>
      <c r="F515" s="127">
        <v>3</v>
      </c>
      <c r="G515" s="127">
        <v>101</v>
      </c>
      <c r="H515" s="3">
        <v>1</v>
      </c>
      <c r="I515" s="127">
        <v>5</v>
      </c>
      <c r="J515" s="127">
        <v>1</v>
      </c>
      <c r="K515" s="3"/>
      <c r="L515" s="2" t="s">
        <v>339</v>
      </c>
      <c r="M515" s="2"/>
      <c r="N515" s="2">
        <v>1</v>
      </c>
      <c r="O515" s="2"/>
      <c r="P515" s="3" t="s">
        <v>1615</v>
      </c>
      <c r="Q515" s="95">
        <f t="shared" si="58"/>
        <v>4.417254901960785</v>
      </c>
      <c r="R515" s="133">
        <f>IF(P515=模板计算相关数据!$AB$24,VLOOKUP(X515,模板计算相关数据!$P$47:$T$50,2,0),VLOOKUP(X515,模板计算相关数据!$P$4:$U$7,3,0))*VLOOKUP(Y515,模板计算相关数据!$P$22:$X$30,8,0)</f>
        <v>4.417254901960785</v>
      </c>
      <c r="S515" s="62">
        <f t="shared" si="59"/>
        <v>5.4285280003474252</v>
      </c>
      <c r="T515" s="133">
        <f>IF(P515=模板计算相关数据!$AB$24,VLOOKUP(X515,模板计算相关数据!$P$47:$T$50,5,0),VLOOKUP(X515,模板计算相关数据!$P$4:$U$7,6,0))*VLOOKUP(Y515,模板计算相关数据!$P$22:$X$30,9,0)</f>
        <v>5.4285280003474252</v>
      </c>
      <c r="U515" s="98">
        <v>1</v>
      </c>
      <c r="V515" s="95">
        <f t="shared" si="60"/>
        <v>4</v>
      </c>
      <c r="W515" s="29">
        <f>VLOOKUP(U515,模板计算相关数据!A:N,2,0)</f>
        <v>1</v>
      </c>
      <c r="X515" s="3" t="s">
        <v>151</v>
      </c>
      <c r="Y515" s="3" t="s">
        <v>152</v>
      </c>
      <c r="Z515" s="99">
        <v>1</v>
      </c>
      <c r="AA515" s="95">
        <v>1</v>
      </c>
      <c r="AB515" s="95">
        <v>1</v>
      </c>
      <c r="AC515" s="95">
        <v>1</v>
      </c>
      <c r="AD515" s="95">
        <v>0</v>
      </c>
      <c r="AE515" s="95">
        <v>0</v>
      </c>
      <c r="AF515" s="95">
        <v>0</v>
      </c>
      <c r="AG515" s="95">
        <v>0</v>
      </c>
      <c r="AH515" s="95">
        <v>0</v>
      </c>
      <c r="AI515" s="95">
        <v>0</v>
      </c>
      <c r="AJ515" s="3">
        <f>INT(VLOOKUP(U515,模板计算相关数据!A:N,4,0)*VLOOKUP(U515,模板计算相关数据!A:N,14,0)*(1+MAX(0,(VLOOKUP(U515,模板计算相关数据!A:N,7,0)-AQ515))*VLOOKUP(U515,模板计算相关数据!A:N,8,0))*(1-(AL515+AM515)*0.5/((AL515+AM515)*0.5+(VLOOKUP(U515,模板计算相关数据!A:N,2,0)+模板计算相关数据!$AC$27)*模板计算相关数据!$AC$28))*Q515*Z515)</f>
        <v>325</v>
      </c>
      <c r="AK515" s="3">
        <f>INT(VLOOKUP(U515,模板计算相关数据!A:N,3,0)/模板计算相关数据!$W$35/(1+MAX(0,(AO515/10000-VLOOKUP(U515,模板计算相关数据!A:N,9,0)))*AP515/10000)/(1-VLOOKUP(U515,模板计算相关数据!A:N,5,0)/(VLOOKUP(U515,模板计算相关数据!A:N,5,0)+(VLOOKUP(U515,模板计算相关数据!A:N,2,0)+模板计算相关数据!$AC$27)*模板计算相关数据!$AC$28))/S515*AA515)</f>
        <v>102</v>
      </c>
      <c r="AL515" s="3">
        <f>INT(VLOOKUP(U515,模板计算相关数据!A:N,5,0)*VLOOKUP(X515,模板计算相关数据!$P$4:$T$7,4,0)*VLOOKUP(Y515,模板计算相关数据!$P$22:$U$30,4,0)*AB515)</f>
        <v>230</v>
      </c>
      <c r="AM515" s="3">
        <f>INT(VLOOKUP(U515,模板计算相关数据!A:N,6,0)*VLOOKUP(X515,模板计算相关数据!$P$4:$T$7,4,0)*VLOOKUP(Y515,模板计算相关数据!$P$22:$U$30,5,0)*AC515)</f>
        <v>136</v>
      </c>
      <c r="AN515" s="3">
        <f>VLOOKUP(U515,模板计算相关数据!A:N,10,0)*0.5*VLOOKUP(Y515,模板计算相关数据!$P$22:$U$30,6,0)+AD515</f>
        <v>250</v>
      </c>
      <c r="AO515" s="3">
        <f>VLOOKUP(INT(VLOOKUP(U515,模板计算相关数据!A:N,2,0)/30)+1,模板计算相关数据!$O$35:$U$40,3,0)+AE515</f>
        <v>0</v>
      </c>
      <c r="AP515" s="3">
        <f>VLOOKUP(INT(VLOOKUP(U515,模板计算相关数据!A:N,2,0)/30)+1,模板计算相关数据!$O$35:$U$40,4,0)+AF515</f>
        <v>5000</v>
      </c>
      <c r="AQ515" s="3">
        <f>VLOOKUP(INT(VLOOKUP(U515,模板计算相关数据!A:N,2,0)/30)+1,模板计算相关数据!$O$35:$U$40,5,0)+AG515</f>
        <v>0</v>
      </c>
      <c r="AR515" s="3">
        <f>VLOOKUP(INT(VLOOKUP(U515,模板计算相关数据!A:N,2,0)/30)+1,模板计算相关数据!$O$35:$U$40,6,0)+AH515</f>
        <v>0</v>
      </c>
      <c r="AS515" s="3">
        <f>VLOOKUP(INT(VLOOKUP(U515,模板计算相关数据!A:N,2,0)/30)+1,模板计算相关数据!$O$35:$U$40,7,0)+AI515</f>
        <v>0</v>
      </c>
      <c r="AT515" s="3">
        <f>VLOOKUP(INT(VLOOKUP(U515,模板计算相关数据!A:N,2,0)/30)+1,模板计算相关数据!$O$35:$V$40,8,0)</f>
        <v>0</v>
      </c>
      <c r="AU515" s="2"/>
    </row>
    <row r="516" spans="1:47" x14ac:dyDescent="0.2">
      <c r="A516" s="2">
        <v>307117</v>
      </c>
      <c r="B516" s="2"/>
      <c r="C516" s="2" t="s">
        <v>152</v>
      </c>
      <c r="D516" s="69" t="s">
        <v>1125</v>
      </c>
      <c r="E516" s="2"/>
      <c r="F516" s="127">
        <v>3</v>
      </c>
      <c r="G516" s="127">
        <v>101</v>
      </c>
      <c r="H516" s="3">
        <v>1</v>
      </c>
      <c r="I516" s="127">
        <v>5</v>
      </c>
      <c r="J516" s="127">
        <v>1</v>
      </c>
      <c r="K516" s="3"/>
      <c r="L516" s="2" t="s">
        <v>340</v>
      </c>
      <c r="M516" s="2"/>
      <c r="N516" s="2">
        <v>1</v>
      </c>
      <c r="O516" s="2"/>
      <c r="P516" s="3" t="s">
        <v>1615</v>
      </c>
      <c r="Q516" s="95">
        <f t="shared" si="58"/>
        <v>4.417254901960785</v>
      </c>
      <c r="R516" s="133">
        <f>IF(P516=模板计算相关数据!$AB$24,VLOOKUP(X516,模板计算相关数据!$P$47:$T$50,2,0),VLOOKUP(X516,模板计算相关数据!$P$4:$U$7,3,0))*VLOOKUP(Y516,模板计算相关数据!$P$22:$X$30,8,0)</f>
        <v>4.417254901960785</v>
      </c>
      <c r="S516" s="62">
        <f t="shared" si="59"/>
        <v>5.4285280003474252</v>
      </c>
      <c r="T516" s="133">
        <f>IF(P516=模板计算相关数据!$AB$24,VLOOKUP(X516,模板计算相关数据!$P$47:$T$50,5,0),VLOOKUP(X516,模板计算相关数据!$P$4:$U$7,6,0))*VLOOKUP(Y516,模板计算相关数据!$P$22:$X$30,9,0)</f>
        <v>5.4285280003474252</v>
      </c>
      <c r="U516" s="98">
        <v>1</v>
      </c>
      <c r="V516" s="95">
        <f t="shared" si="60"/>
        <v>4</v>
      </c>
      <c r="W516" s="29">
        <f>VLOOKUP(U516,模板计算相关数据!A:N,2,0)</f>
        <v>1</v>
      </c>
      <c r="X516" s="3" t="s">
        <v>151</v>
      </c>
      <c r="Y516" s="3" t="s">
        <v>152</v>
      </c>
      <c r="Z516" s="99">
        <v>1</v>
      </c>
      <c r="AA516" s="95">
        <v>1</v>
      </c>
      <c r="AB516" s="95">
        <v>1</v>
      </c>
      <c r="AC516" s="95">
        <v>1</v>
      </c>
      <c r="AD516" s="95">
        <v>0</v>
      </c>
      <c r="AE516" s="95">
        <v>0</v>
      </c>
      <c r="AF516" s="95">
        <v>0</v>
      </c>
      <c r="AG516" s="95">
        <v>0</v>
      </c>
      <c r="AH516" s="95">
        <v>0</v>
      </c>
      <c r="AI516" s="95">
        <v>0</v>
      </c>
      <c r="AJ516" s="3">
        <f>INT(VLOOKUP(U516,模板计算相关数据!A:N,4,0)*VLOOKUP(U516,模板计算相关数据!A:N,14,0)*(1+MAX(0,(VLOOKUP(U516,模板计算相关数据!A:N,7,0)-AQ516))*VLOOKUP(U516,模板计算相关数据!A:N,8,0))*(1-(AL516+AM516)*0.5/((AL516+AM516)*0.5+(VLOOKUP(U516,模板计算相关数据!A:N,2,0)+模板计算相关数据!$AC$27)*模板计算相关数据!$AC$28))*Q516*Z516)</f>
        <v>325</v>
      </c>
      <c r="AK516" s="3">
        <f>INT(VLOOKUP(U516,模板计算相关数据!A:N,3,0)/模板计算相关数据!$W$35/(1+MAX(0,(AO516/10000-VLOOKUP(U516,模板计算相关数据!A:N,9,0)))*AP516/10000)/(1-VLOOKUP(U516,模板计算相关数据!A:N,5,0)/(VLOOKUP(U516,模板计算相关数据!A:N,5,0)+(VLOOKUP(U516,模板计算相关数据!A:N,2,0)+模板计算相关数据!$AC$27)*模板计算相关数据!$AC$28))/S516*AA516)</f>
        <v>102</v>
      </c>
      <c r="AL516" s="3">
        <f>INT(VLOOKUP(U516,模板计算相关数据!A:N,5,0)*VLOOKUP(X516,模板计算相关数据!$P$4:$T$7,4,0)*VLOOKUP(Y516,模板计算相关数据!$P$22:$U$30,4,0)*AB516)</f>
        <v>230</v>
      </c>
      <c r="AM516" s="3">
        <f>INT(VLOOKUP(U516,模板计算相关数据!A:N,6,0)*VLOOKUP(X516,模板计算相关数据!$P$4:$T$7,4,0)*VLOOKUP(Y516,模板计算相关数据!$P$22:$U$30,5,0)*AC516)</f>
        <v>136</v>
      </c>
      <c r="AN516" s="3">
        <f>VLOOKUP(U516,模板计算相关数据!A:N,10,0)*0.5*VLOOKUP(Y516,模板计算相关数据!$P$22:$U$30,6,0)+AD516</f>
        <v>250</v>
      </c>
      <c r="AO516" s="3">
        <f>VLOOKUP(INT(VLOOKUP(U516,模板计算相关数据!A:N,2,0)/30)+1,模板计算相关数据!$O$35:$U$40,3,0)+AE516</f>
        <v>0</v>
      </c>
      <c r="AP516" s="3">
        <f>VLOOKUP(INT(VLOOKUP(U516,模板计算相关数据!A:N,2,0)/30)+1,模板计算相关数据!$O$35:$U$40,4,0)+AF516</f>
        <v>5000</v>
      </c>
      <c r="AQ516" s="3">
        <f>VLOOKUP(INT(VLOOKUP(U516,模板计算相关数据!A:N,2,0)/30)+1,模板计算相关数据!$O$35:$U$40,5,0)+AG516</f>
        <v>0</v>
      </c>
      <c r="AR516" s="3">
        <f>VLOOKUP(INT(VLOOKUP(U516,模板计算相关数据!A:N,2,0)/30)+1,模板计算相关数据!$O$35:$U$40,6,0)+AH516</f>
        <v>0</v>
      </c>
      <c r="AS516" s="3">
        <f>VLOOKUP(INT(VLOOKUP(U516,模板计算相关数据!A:N,2,0)/30)+1,模板计算相关数据!$O$35:$U$40,7,0)+AI516</f>
        <v>0</v>
      </c>
      <c r="AT516" s="3">
        <f>VLOOKUP(INT(VLOOKUP(U516,模板计算相关数据!A:N,2,0)/30)+1,模板计算相关数据!$O$35:$V$40,8,0)</f>
        <v>0</v>
      </c>
      <c r="AU516" s="2"/>
    </row>
    <row r="517" spans="1:47" x14ac:dyDescent="0.2">
      <c r="A517" s="2">
        <v>307118</v>
      </c>
      <c r="B517" s="2"/>
      <c r="C517" s="2" t="s">
        <v>152</v>
      </c>
      <c r="D517" s="69" t="s">
        <v>1126</v>
      </c>
      <c r="E517" s="2"/>
      <c r="F517" s="127">
        <v>3</v>
      </c>
      <c r="G517" s="127">
        <v>101</v>
      </c>
      <c r="H517" s="3">
        <v>1</v>
      </c>
      <c r="I517" s="127">
        <v>5</v>
      </c>
      <c r="J517" s="127">
        <v>1</v>
      </c>
      <c r="K517" s="3"/>
      <c r="L517" s="2" t="s">
        <v>341</v>
      </c>
      <c r="M517" s="2"/>
      <c r="N517" s="2">
        <v>1</v>
      </c>
      <c r="O517" s="2"/>
      <c r="P517" s="3" t="s">
        <v>1615</v>
      </c>
      <c r="Q517" s="95">
        <f t="shared" si="58"/>
        <v>4.417254901960785</v>
      </c>
      <c r="R517" s="133">
        <f>IF(P517=模板计算相关数据!$AB$24,VLOOKUP(X517,模板计算相关数据!$P$47:$T$50,2,0),VLOOKUP(X517,模板计算相关数据!$P$4:$U$7,3,0))*VLOOKUP(Y517,模板计算相关数据!$P$22:$X$30,8,0)</f>
        <v>4.417254901960785</v>
      </c>
      <c r="S517" s="62">
        <f t="shared" si="59"/>
        <v>5.4285280003474252</v>
      </c>
      <c r="T517" s="133">
        <f>IF(P517=模板计算相关数据!$AB$24,VLOOKUP(X517,模板计算相关数据!$P$47:$T$50,5,0),VLOOKUP(X517,模板计算相关数据!$P$4:$U$7,6,0))*VLOOKUP(Y517,模板计算相关数据!$P$22:$X$30,9,0)</f>
        <v>5.4285280003474252</v>
      </c>
      <c r="U517" s="98">
        <v>1</v>
      </c>
      <c r="V517" s="95">
        <f t="shared" si="60"/>
        <v>4</v>
      </c>
      <c r="W517" s="29">
        <f>VLOOKUP(U517,模板计算相关数据!A:N,2,0)</f>
        <v>1</v>
      </c>
      <c r="X517" s="3" t="s">
        <v>151</v>
      </c>
      <c r="Y517" s="3" t="s">
        <v>152</v>
      </c>
      <c r="Z517" s="99">
        <v>1</v>
      </c>
      <c r="AA517" s="95">
        <v>1</v>
      </c>
      <c r="AB517" s="95">
        <v>1</v>
      </c>
      <c r="AC517" s="95">
        <v>1</v>
      </c>
      <c r="AD517" s="95">
        <v>0</v>
      </c>
      <c r="AE517" s="95">
        <v>0</v>
      </c>
      <c r="AF517" s="95">
        <v>0</v>
      </c>
      <c r="AG517" s="95">
        <v>0</v>
      </c>
      <c r="AH517" s="95">
        <v>0</v>
      </c>
      <c r="AI517" s="95">
        <v>0</v>
      </c>
      <c r="AJ517" s="3">
        <f>INT(VLOOKUP(U517,模板计算相关数据!A:N,4,0)*VLOOKUP(U517,模板计算相关数据!A:N,14,0)*(1+MAX(0,(VLOOKUP(U517,模板计算相关数据!A:N,7,0)-AQ517))*VLOOKUP(U517,模板计算相关数据!A:N,8,0))*(1-(AL517+AM517)*0.5/((AL517+AM517)*0.5+(VLOOKUP(U517,模板计算相关数据!A:N,2,0)+模板计算相关数据!$AC$27)*模板计算相关数据!$AC$28))*Q517*Z517)</f>
        <v>325</v>
      </c>
      <c r="AK517" s="3">
        <f>INT(VLOOKUP(U517,模板计算相关数据!A:N,3,0)/模板计算相关数据!$W$35/(1+MAX(0,(AO517/10000-VLOOKUP(U517,模板计算相关数据!A:N,9,0)))*AP517/10000)/(1-VLOOKUP(U517,模板计算相关数据!A:N,5,0)/(VLOOKUP(U517,模板计算相关数据!A:N,5,0)+(VLOOKUP(U517,模板计算相关数据!A:N,2,0)+模板计算相关数据!$AC$27)*模板计算相关数据!$AC$28))/S517*AA517)</f>
        <v>102</v>
      </c>
      <c r="AL517" s="3">
        <f>INT(VLOOKUP(U517,模板计算相关数据!A:N,5,0)*VLOOKUP(X517,模板计算相关数据!$P$4:$T$7,4,0)*VLOOKUP(Y517,模板计算相关数据!$P$22:$U$30,4,0)*AB517)</f>
        <v>230</v>
      </c>
      <c r="AM517" s="3">
        <f>INT(VLOOKUP(U517,模板计算相关数据!A:N,6,0)*VLOOKUP(X517,模板计算相关数据!$P$4:$T$7,4,0)*VLOOKUP(Y517,模板计算相关数据!$P$22:$U$30,5,0)*AC517)</f>
        <v>136</v>
      </c>
      <c r="AN517" s="3">
        <f>VLOOKUP(U517,模板计算相关数据!A:N,10,0)*0.5*VLOOKUP(Y517,模板计算相关数据!$P$22:$U$30,6,0)+AD517</f>
        <v>250</v>
      </c>
      <c r="AO517" s="3">
        <f>VLOOKUP(INT(VLOOKUP(U517,模板计算相关数据!A:N,2,0)/30)+1,模板计算相关数据!$O$35:$U$40,3,0)+AE517</f>
        <v>0</v>
      </c>
      <c r="AP517" s="3">
        <f>VLOOKUP(INT(VLOOKUP(U517,模板计算相关数据!A:N,2,0)/30)+1,模板计算相关数据!$O$35:$U$40,4,0)+AF517</f>
        <v>5000</v>
      </c>
      <c r="AQ517" s="3">
        <f>VLOOKUP(INT(VLOOKUP(U517,模板计算相关数据!A:N,2,0)/30)+1,模板计算相关数据!$O$35:$U$40,5,0)+AG517</f>
        <v>0</v>
      </c>
      <c r="AR517" s="3">
        <f>VLOOKUP(INT(VLOOKUP(U517,模板计算相关数据!A:N,2,0)/30)+1,模板计算相关数据!$O$35:$U$40,6,0)+AH517</f>
        <v>0</v>
      </c>
      <c r="AS517" s="3">
        <f>VLOOKUP(INT(VLOOKUP(U517,模板计算相关数据!A:N,2,0)/30)+1,模板计算相关数据!$O$35:$U$40,7,0)+AI517</f>
        <v>0</v>
      </c>
      <c r="AT517" s="3">
        <f>VLOOKUP(INT(VLOOKUP(U517,模板计算相关数据!A:N,2,0)/30)+1,模板计算相关数据!$O$35:$V$40,8,0)</f>
        <v>0</v>
      </c>
      <c r="AU517" s="2"/>
    </row>
    <row r="518" spans="1:47" x14ac:dyDescent="0.2">
      <c r="A518" s="2">
        <v>307119</v>
      </c>
      <c r="B518" s="2"/>
      <c r="C518" s="2" t="s">
        <v>152</v>
      </c>
      <c r="D518" s="69" t="s">
        <v>1127</v>
      </c>
      <c r="E518" s="2"/>
      <c r="F518" s="127">
        <v>3</v>
      </c>
      <c r="G518" s="127">
        <v>101</v>
      </c>
      <c r="H518" s="3">
        <v>1</v>
      </c>
      <c r="I518" s="127">
        <v>5</v>
      </c>
      <c r="J518" s="127">
        <v>1</v>
      </c>
      <c r="K518" s="3"/>
      <c r="L518" s="2" t="s">
        <v>342</v>
      </c>
      <c r="M518" s="2"/>
      <c r="N518" s="2">
        <v>1</v>
      </c>
      <c r="O518" s="2"/>
      <c r="P518" s="3" t="s">
        <v>1615</v>
      </c>
      <c r="Q518" s="95">
        <f t="shared" si="58"/>
        <v>4.417254901960785</v>
      </c>
      <c r="R518" s="133">
        <f>IF(P518=模板计算相关数据!$AB$24,VLOOKUP(X518,模板计算相关数据!$P$47:$T$50,2,0),VLOOKUP(X518,模板计算相关数据!$P$4:$U$7,3,0))*VLOOKUP(Y518,模板计算相关数据!$P$22:$X$30,8,0)</f>
        <v>4.417254901960785</v>
      </c>
      <c r="S518" s="62">
        <f t="shared" si="59"/>
        <v>5.4285280003474252</v>
      </c>
      <c r="T518" s="133">
        <f>IF(P518=模板计算相关数据!$AB$24,VLOOKUP(X518,模板计算相关数据!$P$47:$T$50,5,0),VLOOKUP(X518,模板计算相关数据!$P$4:$U$7,6,0))*VLOOKUP(Y518,模板计算相关数据!$P$22:$X$30,9,0)</f>
        <v>5.4285280003474252</v>
      </c>
      <c r="U518" s="98">
        <v>1</v>
      </c>
      <c r="V518" s="95">
        <f t="shared" si="60"/>
        <v>4</v>
      </c>
      <c r="W518" s="29">
        <f>VLOOKUP(U518,模板计算相关数据!A:N,2,0)</f>
        <v>1</v>
      </c>
      <c r="X518" s="3" t="s">
        <v>151</v>
      </c>
      <c r="Y518" s="3" t="s">
        <v>152</v>
      </c>
      <c r="Z518" s="99">
        <v>1</v>
      </c>
      <c r="AA518" s="95">
        <v>1</v>
      </c>
      <c r="AB518" s="95">
        <v>1</v>
      </c>
      <c r="AC518" s="95">
        <v>1</v>
      </c>
      <c r="AD518" s="95">
        <v>0</v>
      </c>
      <c r="AE518" s="95">
        <v>0</v>
      </c>
      <c r="AF518" s="95">
        <v>0</v>
      </c>
      <c r="AG518" s="95">
        <v>0</v>
      </c>
      <c r="AH518" s="95">
        <v>0</v>
      </c>
      <c r="AI518" s="95">
        <v>0</v>
      </c>
      <c r="AJ518" s="3">
        <f>INT(VLOOKUP(U518,模板计算相关数据!A:N,4,0)*VLOOKUP(U518,模板计算相关数据!A:N,14,0)*(1+MAX(0,(VLOOKUP(U518,模板计算相关数据!A:N,7,0)-AQ518))*VLOOKUP(U518,模板计算相关数据!A:N,8,0))*(1-(AL518+AM518)*0.5/((AL518+AM518)*0.5+(VLOOKUP(U518,模板计算相关数据!A:N,2,0)+模板计算相关数据!$AC$27)*模板计算相关数据!$AC$28))*Q518*Z518)</f>
        <v>325</v>
      </c>
      <c r="AK518" s="3">
        <f>INT(VLOOKUP(U518,模板计算相关数据!A:N,3,0)/模板计算相关数据!$W$35/(1+MAX(0,(AO518/10000-VLOOKUP(U518,模板计算相关数据!A:N,9,0)))*AP518/10000)/(1-VLOOKUP(U518,模板计算相关数据!A:N,5,0)/(VLOOKUP(U518,模板计算相关数据!A:N,5,0)+(VLOOKUP(U518,模板计算相关数据!A:N,2,0)+模板计算相关数据!$AC$27)*模板计算相关数据!$AC$28))/S518*AA518)</f>
        <v>102</v>
      </c>
      <c r="AL518" s="3">
        <f>INT(VLOOKUP(U518,模板计算相关数据!A:N,5,0)*VLOOKUP(X518,模板计算相关数据!$P$4:$T$7,4,0)*VLOOKUP(Y518,模板计算相关数据!$P$22:$U$30,4,0)*AB518)</f>
        <v>230</v>
      </c>
      <c r="AM518" s="3">
        <f>INT(VLOOKUP(U518,模板计算相关数据!A:N,6,0)*VLOOKUP(X518,模板计算相关数据!$P$4:$T$7,4,0)*VLOOKUP(Y518,模板计算相关数据!$P$22:$U$30,5,0)*AC518)</f>
        <v>136</v>
      </c>
      <c r="AN518" s="3">
        <f>VLOOKUP(U518,模板计算相关数据!A:N,10,0)*0.5*VLOOKUP(Y518,模板计算相关数据!$P$22:$U$30,6,0)+AD518</f>
        <v>250</v>
      </c>
      <c r="AO518" s="3">
        <f>VLOOKUP(INT(VLOOKUP(U518,模板计算相关数据!A:N,2,0)/30)+1,模板计算相关数据!$O$35:$U$40,3,0)+AE518</f>
        <v>0</v>
      </c>
      <c r="AP518" s="3">
        <f>VLOOKUP(INT(VLOOKUP(U518,模板计算相关数据!A:N,2,0)/30)+1,模板计算相关数据!$O$35:$U$40,4,0)+AF518</f>
        <v>5000</v>
      </c>
      <c r="AQ518" s="3">
        <f>VLOOKUP(INT(VLOOKUP(U518,模板计算相关数据!A:N,2,0)/30)+1,模板计算相关数据!$O$35:$U$40,5,0)+AG518</f>
        <v>0</v>
      </c>
      <c r="AR518" s="3">
        <f>VLOOKUP(INT(VLOOKUP(U518,模板计算相关数据!A:N,2,0)/30)+1,模板计算相关数据!$O$35:$U$40,6,0)+AH518</f>
        <v>0</v>
      </c>
      <c r="AS518" s="3">
        <f>VLOOKUP(INT(VLOOKUP(U518,模板计算相关数据!A:N,2,0)/30)+1,模板计算相关数据!$O$35:$U$40,7,0)+AI518</f>
        <v>0</v>
      </c>
      <c r="AT518" s="3">
        <f>VLOOKUP(INT(VLOOKUP(U518,模板计算相关数据!A:N,2,0)/30)+1,模板计算相关数据!$O$35:$V$40,8,0)</f>
        <v>0</v>
      </c>
      <c r="AU518" s="2"/>
    </row>
    <row r="519" spans="1:47" x14ac:dyDescent="0.2">
      <c r="A519" s="2">
        <v>307120</v>
      </c>
      <c r="B519" s="2"/>
      <c r="C519" s="2" t="s">
        <v>343</v>
      </c>
      <c r="D519" s="69" t="s">
        <v>1124</v>
      </c>
      <c r="E519" s="2"/>
      <c r="F519" s="127">
        <v>3</v>
      </c>
      <c r="G519" s="127">
        <v>101</v>
      </c>
      <c r="H519" s="3">
        <v>3</v>
      </c>
      <c r="I519" s="127">
        <v>5</v>
      </c>
      <c r="J519" s="127">
        <v>1</v>
      </c>
      <c r="K519" s="3"/>
      <c r="L519" s="2" t="s">
        <v>344</v>
      </c>
      <c r="M519" s="2"/>
      <c r="N519" s="2">
        <v>1</v>
      </c>
      <c r="O519" s="2"/>
      <c r="P519" s="3" t="s">
        <v>1615</v>
      </c>
      <c r="Q519" s="95">
        <f t="shared" si="58"/>
        <v>5.6000000000000014</v>
      </c>
      <c r="R519" s="133">
        <f>IF(P519=模板计算相关数据!$AB$24,VLOOKUP(X519,模板计算相关数据!$P$47:$T$50,2,0),VLOOKUP(X519,模板计算相关数据!$P$4:$U$7,3,0))*VLOOKUP(Y519,模板计算相关数据!$P$22:$X$30,8,0)</f>
        <v>5.6000000000000014</v>
      </c>
      <c r="S519" s="62">
        <f t="shared" si="59"/>
        <v>6.6693344004268367</v>
      </c>
      <c r="T519" s="133">
        <f>IF(P519=模板计算相关数据!$AB$24,VLOOKUP(X519,模板计算相关数据!$P$47:$T$50,5,0),VLOOKUP(X519,模板计算相关数据!$P$4:$U$7,6,0))*VLOOKUP(Y519,模板计算相关数据!$P$22:$X$30,9,0)</f>
        <v>6.6693344004268367</v>
      </c>
      <c r="U519" s="98">
        <v>1</v>
      </c>
      <c r="V519" s="95">
        <f t="shared" si="60"/>
        <v>4</v>
      </c>
      <c r="W519" s="29">
        <f>VLOOKUP(U519,模板计算相关数据!A:N,2,0)</f>
        <v>1</v>
      </c>
      <c r="X519" s="3" t="s">
        <v>151</v>
      </c>
      <c r="Y519" s="3" t="s">
        <v>255</v>
      </c>
      <c r="Z519" s="99">
        <v>1</v>
      </c>
      <c r="AA519" s="95">
        <v>1</v>
      </c>
      <c r="AB519" s="95">
        <v>1</v>
      </c>
      <c r="AC519" s="95">
        <v>1</v>
      </c>
      <c r="AD519" s="95">
        <v>0</v>
      </c>
      <c r="AE519" s="95">
        <v>0</v>
      </c>
      <c r="AF519" s="95">
        <v>0</v>
      </c>
      <c r="AG519" s="95">
        <v>0</v>
      </c>
      <c r="AH519" s="95">
        <v>0</v>
      </c>
      <c r="AI519" s="95">
        <v>0</v>
      </c>
      <c r="AJ519" s="3">
        <f>INT(VLOOKUP(U519,模板计算相关数据!A:N,4,0)*VLOOKUP(U519,模板计算相关数据!A:N,14,0)*(1+MAX(0,(VLOOKUP(U519,模板计算相关数据!A:N,7,0)-AQ519))*VLOOKUP(U519,模板计算相关数据!A:N,8,0))*(1-(AL519+AM519)*0.5/((AL519+AM519)*0.5+(VLOOKUP(U519,模板计算相关数据!A:N,2,0)+模板计算相关数据!$AC$27)*模板计算相关数据!$AC$28))*Q519*Z519)</f>
        <v>394</v>
      </c>
      <c r="AK519" s="3">
        <f>INT(VLOOKUP(U519,模板计算相关数据!A:N,3,0)/模板计算相关数据!$W$35/(1+MAX(0,(AO519/10000-VLOOKUP(U519,模板计算相关数据!A:N,9,0)))*AP519/10000)/(1-VLOOKUP(U519,模板计算相关数据!A:N,5,0)/(VLOOKUP(U519,模板计算相关数据!A:N,5,0)+(VLOOKUP(U519,模板计算相关数据!A:N,2,0)+模板计算相关数据!$AC$27)*模板计算相关数据!$AC$28))/S519*AA519)</f>
        <v>83</v>
      </c>
      <c r="AL519" s="3">
        <f>INT(VLOOKUP(U519,模板计算相关数据!A:N,5,0)*VLOOKUP(X519,模板计算相关数据!$P$4:$T$7,4,0)*VLOOKUP(Y519,模板计算相关数据!$P$22:$U$30,4,0)*AB519)</f>
        <v>149</v>
      </c>
      <c r="AM519" s="3">
        <f>INT(VLOOKUP(U519,模板计算相关数据!A:N,6,0)*VLOOKUP(X519,模板计算相关数据!$P$4:$T$7,4,0)*VLOOKUP(Y519,模板计算相关数据!$P$22:$U$30,5,0)*AC519)</f>
        <v>277</v>
      </c>
      <c r="AN519" s="3">
        <f>VLOOKUP(U519,模板计算相关数据!A:N,10,0)*0.5*VLOOKUP(Y519,模板计算相关数据!$P$22:$U$30,6,0)+AD519</f>
        <v>225</v>
      </c>
      <c r="AO519" s="3">
        <f>VLOOKUP(INT(VLOOKUP(U519,模板计算相关数据!A:N,2,0)/30)+1,模板计算相关数据!$O$35:$U$40,3,0)+AE519</f>
        <v>0</v>
      </c>
      <c r="AP519" s="3">
        <f>VLOOKUP(INT(VLOOKUP(U519,模板计算相关数据!A:N,2,0)/30)+1,模板计算相关数据!$O$35:$U$40,4,0)+AF519</f>
        <v>5000</v>
      </c>
      <c r="AQ519" s="3">
        <f>VLOOKUP(INT(VLOOKUP(U519,模板计算相关数据!A:N,2,0)/30)+1,模板计算相关数据!$O$35:$U$40,5,0)+AG519</f>
        <v>0</v>
      </c>
      <c r="AR519" s="3">
        <f>VLOOKUP(INT(VLOOKUP(U519,模板计算相关数据!A:N,2,0)/30)+1,模板计算相关数据!$O$35:$U$40,6,0)+AH519</f>
        <v>0</v>
      </c>
      <c r="AS519" s="3">
        <f>VLOOKUP(INT(VLOOKUP(U519,模板计算相关数据!A:N,2,0)/30)+1,模板计算相关数据!$O$35:$U$40,7,0)+AI519</f>
        <v>0</v>
      </c>
      <c r="AT519" s="3">
        <f>VLOOKUP(INT(VLOOKUP(U519,模板计算相关数据!A:N,2,0)/30)+1,模板计算相关数据!$O$35:$V$40,8,0)</f>
        <v>0</v>
      </c>
      <c r="AU519" s="2"/>
    </row>
    <row r="520" spans="1:47" x14ac:dyDescent="0.2">
      <c r="A520" s="2">
        <v>307121</v>
      </c>
      <c r="B520" s="2"/>
      <c r="C520" s="2" t="s">
        <v>343</v>
      </c>
      <c r="D520" s="69" t="s">
        <v>1125</v>
      </c>
      <c r="E520" s="2"/>
      <c r="F520" s="127">
        <v>3</v>
      </c>
      <c r="G520" s="127">
        <v>101</v>
      </c>
      <c r="H520" s="3">
        <v>3</v>
      </c>
      <c r="I520" s="127">
        <v>5</v>
      </c>
      <c r="J520" s="127">
        <v>1</v>
      </c>
      <c r="K520" s="3"/>
      <c r="L520" s="2" t="s">
        <v>345</v>
      </c>
      <c r="M520" s="2"/>
      <c r="N520" s="2">
        <v>1</v>
      </c>
      <c r="O520" s="2"/>
      <c r="P520" s="3" t="s">
        <v>1615</v>
      </c>
      <c r="Q520" s="95">
        <f t="shared" si="58"/>
        <v>5.6000000000000014</v>
      </c>
      <c r="R520" s="133">
        <f>IF(P520=模板计算相关数据!$AB$24,VLOOKUP(X520,模板计算相关数据!$P$47:$T$50,2,0),VLOOKUP(X520,模板计算相关数据!$P$4:$U$7,3,0))*VLOOKUP(Y520,模板计算相关数据!$P$22:$X$30,8,0)</f>
        <v>5.6000000000000014</v>
      </c>
      <c r="S520" s="62">
        <f t="shared" si="59"/>
        <v>6.6693344004268367</v>
      </c>
      <c r="T520" s="133">
        <f>IF(P520=模板计算相关数据!$AB$24,VLOOKUP(X520,模板计算相关数据!$P$47:$T$50,5,0),VLOOKUP(X520,模板计算相关数据!$P$4:$U$7,6,0))*VLOOKUP(Y520,模板计算相关数据!$P$22:$X$30,9,0)</f>
        <v>6.6693344004268367</v>
      </c>
      <c r="U520" s="98">
        <v>1</v>
      </c>
      <c r="V520" s="95">
        <f t="shared" si="60"/>
        <v>4</v>
      </c>
      <c r="W520" s="29">
        <f>VLOOKUP(U520,模板计算相关数据!A:N,2,0)</f>
        <v>1</v>
      </c>
      <c r="X520" s="3" t="s">
        <v>151</v>
      </c>
      <c r="Y520" s="3" t="s">
        <v>255</v>
      </c>
      <c r="Z520" s="99">
        <v>1</v>
      </c>
      <c r="AA520" s="95">
        <v>1</v>
      </c>
      <c r="AB520" s="95">
        <v>1</v>
      </c>
      <c r="AC520" s="95">
        <v>1</v>
      </c>
      <c r="AD520" s="95">
        <v>0</v>
      </c>
      <c r="AE520" s="95">
        <v>0</v>
      </c>
      <c r="AF520" s="95">
        <v>0</v>
      </c>
      <c r="AG520" s="95">
        <v>0</v>
      </c>
      <c r="AH520" s="95">
        <v>0</v>
      </c>
      <c r="AI520" s="95">
        <v>0</v>
      </c>
      <c r="AJ520" s="3">
        <f>INT(VLOOKUP(U520,模板计算相关数据!A:N,4,0)*VLOOKUP(U520,模板计算相关数据!A:N,14,0)*(1+MAX(0,(VLOOKUP(U520,模板计算相关数据!A:N,7,0)-AQ520))*VLOOKUP(U520,模板计算相关数据!A:N,8,0))*(1-(AL520+AM520)*0.5/((AL520+AM520)*0.5+(VLOOKUP(U520,模板计算相关数据!A:N,2,0)+模板计算相关数据!$AC$27)*模板计算相关数据!$AC$28))*Q520*Z520)</f>
        <v>394</v>
      </c>
      <c r="AK520" s="3">
        <f>INT(VLOOKUP(U520,模板计算相关数据!A:N,3,0)/模板计算相关数据!$W$35/(1+MAX(0,(AO520/10000-VLOOKUP(U520,模板计算相关数据!A:N,9,0)))*AP520/10000)/(1-VLOOKUP(U520,模板计算相关数据!A:N,5,0)/(VLOOKUP(U520,模板计算相关数据!A:N,5,0)+(VLOOKUP(U520,模板计算相关数据!A:N,2,0)+模板计算相关数据!$AC$27)*模板计算相关数据!$AC$28))/S520*AA520)</f>
        <v>83</v>
      </c>
      <c r="AL520" s="3">
        <f>INT(VLOOKUP(U520,模板计算相关数据!A:N,5,0)*VLOOKUP(X520,模板计算相关数据!$P$4:$T$7,4,0)*VLOOKUP(Y520,模板计算相关数据!$P$22:$U$30,4,0)*AB520)</f>
        <v>149</v>
      </c>
      <c r="AM520" s="3">
        <f>INT(VLOOKUP(U520,模板计算相关数据!A:N,6,0)*VLOOKUP(X520,模板计算相关数据!$P$4:$T$7,4,0)*VLOOKUP(Y520,模板计算相关数据!$P$22:$U$30,5,0)*AC520)</f>
        <v>277</v>
      </c>
      <c r="AN520" s="3">
        <f>VLOOKUP(U520,模板计算相关数据!A:N,10,0)*0.5*VLOOKUP(Y520,模板计算相关数据!$P$22:$U$30,6,0)+AD520</f>
        <v>225</v>
      </c>
      <c r="AO520" s="3">
        <f>VLOOKUP(INT(VLOOKUP(U520,模板计算相关数据!A:N,2,0)/30)+1,模板计算相关数据!$O$35:$U$40,3,0)+AE520</f>
        <v>0</v>
      </c>
      <c r="AP520" s="3">
        <f>VLOOKUP(INT(VLOOKUP(U520,模板计算相关数据!A:N,2,0)/30)+1,模板计算相关数据!$O$35:$U$40,4,0)+AF520</f>
        <v>5000</v>
      </c>
      <c r="AQ520" s="3">
        <f>VLOOKUP(INT(VLOOKUP(U520,模板计算相关数据!A:N,2,0)/30)+1,模板计算相关数据!$O$35:$U$40,5,0)+AG520</f>
        <v>0</v>
      </c>
      <c r="AR520" s="3">
        <f>VLOOKUP(INT(VLOOKUP(U520,模板计算相关数据!A:N,2,0)/30)+1,模板计算相关数据!$O$35:$U$40,6,0)+AH520</f>
        <v>0</v>
      </c>
      <c r="AS520" s="3">
        <f>VLOOKUP(INT(VLOOKUP(U520,模板计算相关数据!A:N,2,0)/30)+1,模板计算相关数据!$O$35:$U$40,7,0)+AI520</f>
        <v>0</v>
      </c>
      <c r="AT520" s="3">
        <f>VLOOKUP(INT(VLOOKUP(U520,模板计算相关数据!A:N,2,0)/30)+1,模板计算相关数据!$O$35:$V$40,8,0)</f>
        <v>0</v>
      </c>
      <c r="AU520" s="2"/>
    </row>
    <row r="521" spans="1:47" x14ac:dyDescent="0.2">
      <c r="A521" s="2">
        <v>307122</v>
      </c>
      <c r="B521" s="2"/>
      <c r="C521" s="2" t="s">
        <v>343</v>
      </c>
      <c r="D521" s="69" t="s">
        <v>1126</v>
      </c>
      <c r="E521" s="2"/>
      <c r="F521" s="127">
        <v>3</v>
      </c>
      <c r="G521" s="127">
        <v>101</v>
      </c>
      <c r="H521" s="3">
        <v>3</v>
      </c>
      <c r="I521" s="127">
        <v>5</v>
      </c>
      <c r="J521" s="127">
        <v>1</v>
      </c>
      <c r="K521" s="3"/>
      <c r="L521" s="2" t="s">
        <v>346</v>
      </c>
      <c r="M521" s="2"/>
      <c r="N521" s="2">
        <v>1</v>
      </c>
      <c r="O521" s="2"/>
      <c r="P521" s="3" t="s">
        <v>1615</v>
      </c>
      <c r="Q521" s="95">
        <f t="shared" si="58"/>
        <v>5.6000000000000014</v>
      </c>
      <c r="R521" s="133">
        <f>IF(P521=模板计算相关数据!$AB$24,VLOOKUP(X521,模板计算相关数据!$P$47:$T$50,2,0),VLOOKUP(X521,模板计算相关数据!$P$4:$U$7,3,0))*VLOOKUP(Y521,模板计算相关数据!$P$22:$X$30,8,0)</f>
        <v>5.6000000000000014</v>
      </c>
      <c r="S521" s="62">
        <f t="shared" si="59"/>
        <v>6.6693344004268367</v>
      </c>
      <c r="T521" s="133">
        <f>IF(P521=模板计算相关数据!$AB$24,VLOOKUP(X521,模板计算相关数据!$P$47:$T$50,5,0),VLOOKUP(X521,模板计算相关数据!$P$4:$U$7,6,0))*VLOOKUP(Y521,模板计算相关数据!$P$22:$X$30,9,0)</f>
        <v>6.6693344004268367</v>
      </c>
      <c r="U521" s="98">
        <v>1</v>
      </c>
      <c r="V521" s="95">
        <f t="shared" si="60"/>
        <v>4</v>
      </c>
      <c r="W521" s="29">
        <f>VLOOKUP(U521,模板计算相关数据!A:N,2,0)</f>
        <v>1</v>
      </c>
      <c r="X521" s="3" t="s">
        <v>151</v>
      </c>
      <c r="Y521" s="3" t="s">
        <v>255</v>
      </c>
      <c r="Z521" s="99">
        <v>1</v>
      </c>
      <c r="AA521" s="95">
        <v>1</v>
      </c>
      <c r="AB521" s="95">
        <v>1</v>
      </c>
      <c r="AC521" s="95">
        <v>1</v>
      </c>
      <c r="AD521" s="95">
        <v>0</v>
      </c>
      <c r="AE521" s="95">
        <v>0</v>
      </c>
      <c r="AF521" s="95">
        <v>0</v>
      </c>
      <c r="AG521" s="95">
        <v>0</v>
      </c>
      <c r="AH521" s="95">
        <v>0</v>
      </c>
      <c r="AI521" s="95">
        <v>0</v>
      </c>
      <c r="AJ521" s="3">
        <f>INT(VLOOKUP(U521,模板计算相关数据!A:N,4,0)*VLOOKUP(U521,模板计算相关数据!A:N,14,0)*(1+MAX(0,(VLOOKUP(U521,模板计算相关数据!A:N,7,0)-AQ521))*VLOOKUP(U521,模板计算相关数据!A:N,8,0))*(1-(AL521+AM521)*0.5/((AL521+AM521)*0.5+(VLOOKUP(U521,模板计算相关数据!A:N,2,0)+模板计算相关数据!$AC$27)*模板计算相关数据!$AC$28))*Q521*Z521)</f>
        <v>394</v>
      </c>
      <c r="AK521" s="3">
        <f>INT(VLOOKUP(U521,模板计算相关数据!A:N,3,0)/模板计算相关数据!$W$35/(1+MAX(0,(AO521/10000-VLOOKUP(U521,模板计算相关数据!A:N,9,0)))*AP521/10000)/(1-VLOOKUP(U521,模板计算相关数据!A:N,5,0)/(VLOOKUP(U521,模板计算相关数据!A:N,5,0)+(VLOOKUP(U521,模板计算相关数据!A:N,2,0)+模板计算相关数据!$AC$27)*模板计算相关数据!$AC$28))/S521*AA521)</f>
        <v>83</v>
      </c>
      <c r="AL521" s="3">
        <f>INT(VLOOKUP(U521,模板计算相关数据!A:N,5,0)*VLOOKUP(X521,模板计算相关数据!$P$4:$T$7,4,0)*VLOOKUP(Y521,模板计算相关数据!$P$22:$U$30,4,0)*AB521)</f>
        <v>149</v>
      </c>
      <c r="AM521" s="3">
        <f>INT(VLOOKUP(U521,模板计算相关数据!A:N,6,0)*VLOOKUP(X521,模板计算相关数据!$P$4:$T$7,4,0)*VLOOKUP(Y521,模板计算相关数据!$P$22:$U$30,5,0)*AC521)</f>
        <v>277</v>
      </c>
      <c r="AN521" s="3">
        <f>VLOOKUP(U521,模板计算相关数据!A:N,10,0)*0.5*VLOOKUP(Y521,模板计算相关数据!$P$22:$U$30,6,0)+AD521</f>
        <v>225</v>
      </c>
      <c r="AO521" s="3">
        <f>VLOOKUP(INT(VLOOKUP(U521,模板计算相关数据!A:N,2,0)/30)+1,模板计算相关数据!$O$35:$U$40,3,0)+AE521</f>
        <v>0</v>
      </c>
      <c r="AP521" s="3">
        <f>VLOOKUP(INT(VLOOKUP(U521,模板计算相关数据!A:N,2,0)/30)+1,模板计算相关数据!$O$35:$U$40,4,0)+AF521</f>
        <v>5000</v>
      </c>
      <c r="AQ521" s="3">
        <f>VLOOKUP(INT(VLOOKUP(U521,模板计算相关数据!A:N,2,0)/30)+1,模板计算相关数据!$O$35:$U$40,5,0)+AG521</f>
        <v>0</v>
      </c>
      <c r="AR521" s="3">
        <f>VLOOKUP(INT(VLOOKUP(U521,模板计算相关数据!A:N,2,0)/30)+1,模板计算相关数据!$O$35:$U$40,6,0)+AH521</f>
        <v>0</v>
      </c>
      <c r="AS521" s="3">
        <f>VLOOKUP(INT(VLOOKUP(U521,模板计算相关数据!A:N,2,0)/30)+1,模板计算相关数据!$O$35:$U$40,7,0)+AI521</f>
        <v>0</v>
      </c>
      <c r="AT521" s="3">
        <f>VLOOKUP(INT(VLOOKUP(U521,模板计算相关数据!A:N,2,0)/30)+1,模板计算相关数据!$O$35:$V$40,8,0)</f>
        <v>0</v>
      </c>
      <c r="AU521" s="2"/>
    </row>
    <row r="522" spans="1:47" x14ac:dyDescent="0.2">
      <c r="A522" s="2">
        <v>307123</v>
      </c>
      <c r="B522" s="2"/>
      <c r="C522" s="2" t="s">
        <v>343</v>
      </c>
      <c r="D522" s="69" t="s">
        <v>1127</v>
      </c>
      <c r="E522" s="2"/>
      <c r="F522" s="127">
        <v>3</v>
      </c>
      <c r="G522" s="127">
        <v>101</v>
      </c>
      <c r="H522" s="3">
        <v>3</v>
      </c>
      <c r="I522" s="127">
        <v>5</v>
      </c>
      <c r="J522" s="127">
        <v>1</v>
      </c>
      <c r="K522" s="3"/>
      <c r="L522" s="2" t="s">
        <v>347</v>
      </c>
      <c r="M522" s="2"/>
      <c r="N522" s="2">
        <v>1</v>
      </c>
      <c r="O522" s="2"/>
      <c r="P522" s="3" t="s">
        <v>1615</v>
      </c>
      <c r="Q522" s="95">
        <f t="shared" si="58"/>
        <v>5.6000000000000014</v>
      </c>
      <c r="R522" s="133">
        <f>IF(P522=模板计算相关数据!$AB$24,VLOOKUP(X522,模板计算相关数据!$P$47:$T$50,2,0),VLOOKUP(X522,模板计算相关数据!$P$4:$U$7,3,0))*VLOOKUP(Y522,模板计算相关数据!$P$22:$X$30,8,0)</f>
        <v>5.6000000000000014</v>
      </c>
      <c r="S522" s="62">
        <f t="shared" si="59"/>
        <v>6.6693344004268367</v>
      </c>
      <c r="T522" s="133">
        <f>IF(P522=模板计算相关数据!$AB$24,VLOOKUP(X522,模板计算相关数据!$P$47:$T$50,5,0),VLOOKUP(X522,模板计算相关数据!$P$4:$U$7,6,0))*VLOOKUP(Y522,模板计算相关数据!$P$22:$X$30,9,0)</f>
        <v>6.6693344004268367</v>
      </c>
      <c r="U522" s="98">
        <v>1</v>
      </c>
      <c r="V522" s="95">
        <f t="shared" si="60"/>
        <v>4</v>
      </c>
      <c r="W522" s="29">
        <f>VLOOKUP(U522,模板计算相关数据!A:N,2,0)</f>
        <v>1</v>
      </c>
      <c r="X522" s="3" t="s">
        <v>151</v>
      </c>
      <c r="Y522" s="3" t="s">
        <v>255</v>
      </c>
      <c r="Z522" s="99">
        <v>1</v>
      </c>
      <c r="AA522" s="95">
        <v>1</v>
      </c>
      <c r="AB522" s="95">
        <v>1</v>
      </c>
      <c r="AC522" s="95">
        <v>1</v>
      </c>
      <c r="AD522" s="95">
        <v>0</v>
      </c>
      <c r="AE522" s="95">
        <v>0</v>
      </c>
      <c r="AF522" s="95">
        <v>0</v>
      </c>
      <c r="AG522" s="95">
        <v>0</v>
      </c>
      <c r="AH522" s="95">
        <v>0</v>
      </c>
      <c r="AI522" s="95">
        <v>0</v>
      </c>
      <c r="AJ522" s="3">
        <f>INT(VLOOKUP(U522,模板计算相关数据!A:N,4,0)*VLOOKUP(U522,模板计算相关数据!A:N,14,0)*(1+MAX(0,(VLOOKUP(U522,模板计算相关数据!A:N,7,0)-AQ522))*VLOOKUP(U522,模板计算相关数据!A:N,8,0))*(1-(AL522+AM522)*0.5/((AL522+AM522)*0.5+(VLOOKUP(U522,模板计算相关数据!A:N,2,0)+模板计算相关数据!$AC$27)*模板计算相关数据!$AC$28))*Q522*Z522)</f>
        <v>394</v>
      </c>
      <c r="AK522" s="3">
        <f>INT(VLOOKUP(U522,模板计算相关数据!A:N,3,0)/模板计算相关数据!$W$35/(1+MAX(0,(AO522/10000-VLOOKUP(U522,模板计算相关数据!A:N,9,0)))*AP522/10000)/(1-VLOOKUP(U522,模板计算相关数据!A:N,5,0)/(VLOOKUP(U522,模板计算相关数据!A:N,5,0)+(VLOOKUP(U522,模板计算相关数据!A:N,2,0)+模板计算相关数据!$AC$27)*模板计算相关数据!$AC$28))/S522*AA522)</f>
        <v>83</v>
      </c>
      <c r="AL522" s="3">
        <f>INT(VLOOKUP(U522,模板计算相关数据!A:N,5,0)*VLOOKUP(X522,模板计算相关数据!$P$4:$T$7,4,0)*VLOOKUP(Y522,模板计算相关数据!$P$22:$U$30,4,0)*AB522)</f>
        <v>149</v>
      </c>
      <c r="AM522" s="3">
        <f>INT(VLOOKUP(U522,模板计算相关数据!A:N,6,0)*VLOOKUP(X522,模板计算相关数据!$P$4:$T$7,4,0)*VLOOKUP(Y522,模板计算相关数据!$P$22:$U$30,5,0)*AC522)</f>
        <v>277</v>
      </c>
      <c r="AN522" s="3">
        <f>VLOOKUP(U522,模板计算相关数据!A:N,10,0)*0.5*VLOOKUP(Y522,模板计算相关数据!$P$22:$U$30,6,0)+AD522</f>
        <v>225</v>
      </c>
      <c r="AO522" s="3">
        <f>VLOOKUP(INT(VLOOKUP(U522,模板计算相关数据!A:N,2,0)/30)+1,模板计算相关数据!$O$35:$U$40,3,0)+AE522</f>
        <v>0</v>
      </c>
      <c r="AP522" s="3">
        <f>VLOOKUP(INT(VLOOKUP(U522,模板计算相关数据!A:N,2,0)/30)+1,模板计算相关数据!$O$35:$U$40,4,0)+AF522</f>
        <v>5000</v>
      </c>
      <c r="AQ522" s="3">
        <f>VLOOKUP(INT(VLOOKUP(U522,模板计算相关数据!A:N,2,0)/30)+1,模板计算相关数据!$O$35:$U$40,5,0)+AG522</f>
        <v>0</v>
      </c>
      <c r="AR522" s="3">
        <f>VLOOKUP(INT(VLOOKUP(U522,模板计算相关数据!A:N,2,0)/30)+1,模板计算相关数据!$O$35:$U$40,6,0)+AH522</f>
        <v>0</v>
      </c>
      <c r="AS522" s="3">
        <f>VLOOKUP(INT(VLOOKUP(U522,模板计算相关数据!A:N,2,0)/30)+1,模板计算相关数据!$O$35:$U$40,7,0)+AI522</f>
        <v>0</v>
      </c>
      <c r="AT522" s="3">
        <f>VLOOKUP(INT(VLOOKUP(U522,模板计算相关数据!A:N,2,0)/30)+1,模板计算相关数据!$O$35:$V$40,8,0)</f>
        <v>0</v>
      </c>
      <c r="AU522" s="2"/>
    </row>
    <row r="523" spans="1:47" x14ac:dyDescent="0.2">
      <c r="A523" s="2">
        <v>307124</v>
      </c>
      <c r="B523" s="2"/>
      <c r="C523" s="69" t="s">
        <v>754</v>
      </c>
      <c r="D523" s="69" t="s">
        <v>1128</v>
      </c>
      <c r="E523" s="2"/>
      <c r="F523" s="127">
        <v>3</v>
      </c>
      <c r="G523" s="127">
        <v>101</v>
      </c>
      <c r="H523" s="3">
        <v>4</v>
      </c>
      <c r="I523" s="127">
        <v>5</v>
      </c>
      <c r="J523" s="127">
        <v>1</v>
      </c>
      <c r="K523" s="3"/>
      <c r="L523" s="2" t="s">
        <v>348</v>
      </c>
      <c r="M523" s="2"/>
      <c r="N523" s="2">
        <v>1</v>
      </c>
      <c r="O523" s="2"/>
      <c r="P523" s="3" t="s">
        <v>1615</v>
      </c>
      <c r="Q523" s="95">
        <f t="shared" si="58"/>
        <v>4.4674509803921572</v>
      </c>
      <c r="R523" s="133">
        <f>IF(P523=模板计算相关数据!$AB$24,VLOOKUP(X523,模板计算相关数据!$P$47:$T$50,2,0),VLOOKUP(X523,模板计算相关数据!$P$4:$U$7,3,0))*VLOOKUP(Y523,模板计算相关数据!$P$22:$X$30,8,0)</f>
        <v>4.4674509803921572</v>
      </c>
      <c r="S523" s="62">
        <f t="shared" si="59"/>
        <v>5.4739930589768004</v>
      </c>
      <c r="T523" s="133">
        <f>IF(P523=模板计算相关数据!$AB$24,VLOOKUP(X523,模板计算相关数据!$P$47:$T$50,5,0),VLOOKUP(X523,模板计算相关数据!$P$4:$U$7,6,0))*VLOOKUP(Y523,模板计算相关数据!$P$22:$X$30,9,0)</f>
        <v>5.4739930589768004</v>
      </c>
      <c r="U523" s="98">
        <v>1</v>
      </c>
      <c r="V523" s="95">
        <f t="shared" si="60"/>
        <v>4</v>
      </c>
      <c r="W523" s="29">
        <f>VLOOKUP(U523,模板计算相关数据!A:N,2,0)</f>
        <v>1</v>
      </c>
      <c r="X523" s="3" t="s">
        <v>151</v>
      </c>
      <c r="Y523" s="3" t="s">
        <v>162</v>
      </c>
      <c r="Z523" s="99">
        <v>1</v>
      </c>
      <c r="AA523" s="95">
        <v>1</v>
      </c>
      <c r="AB523" s="95">
        <v>1</v>
      </c>
      <c r="AC523" s="95">
        <v>1</v>
      </c>
      <c r="AD523" s="95">
        <v>0</v>
      </c>
      <c r="AE523" s="95">
        <v>0</v>
      </c>
      <c r="AF523" s="95">
        <v>0</v>
      </c>
      <c r="AG523" s="95">
        <v>0</v>
      </c>
      <c r="AH523" s="95">
        <v>0</v>
      </c>
      <c r="AI523" s="95">
        <v>0</v>
      </c>
      <c r="AJ523" s="3">
        <f>INT(VLOOKUP(U523,模板计算相关数据!A:N,4,0)*VLOOKUP(U523,模板计算相关数据!A:N,14,0)*(1+MAX(0,(VLOOKUP(U523,模板计算相关数据!A:N,7,0)-AQ523))*VLOOKUP(U523,模板计算相关数据!A:N,8,0))*(1-(AL523+AM523)*0.5/((AL523+AM523)*0.5+(VLOOKUP(U523,模板计算相关数据!A:N,2,0)+模板计算相关数据!$AC$27)*模板计算相关数据!$AC$28))*Q523*Z523)</f>
        <v>328</v>
      </c>
      <c r="AK523" s="3">
        <f>INT(VLOOKUP(U523,模板计算相关数据!A:N,3,0)/模板计算相关数据!$W$35/(1+MAX(0,(AO523/10000-VLOOKUP(U523,模板计算相关数据!A:N,9,0)))*AP523/10000)/(1-VLOOKUP(U523,模板计算相关数据!A:N,5,0)/(VLOOKUP(U523,模板计算相关数据!A:N,5,0)+(VLOOKUP(U523,模板计算相关数据!A:N,2,0)+模板计算相关数据!$AC$27)*模板计算相关数据!$AC$28))/S523*AA523)</f>
        <v>101</v>
      </c>
      <c r="AL523" s="3">
        <f>INT(VLOOKUP(U523,模板计算相关数据!A:N,5,0)*VLOOKUP(X523,模板计算相关数据!$P$4:$T$7,4,0)*VLOOKUP(Y523,模板计算相关数据!$P$22:$U$30,4,0)*AB523)</f>
        <v>136</v>
      </c>
      <c r="AM523" s="3">
        <f>INT(VLOOKUP(U523,模板计算相关数据!A:N,6,0)*VLOOKUP(X523,模板计算相关数据!$P$4:$T$7,4,0)*VLOOKUP(Y523,模板计算相关数据!$P$22:$U$30,5,0)*AC523)</f>
        <v>230</v>
      </c>
      <c r="AN523" s="3">
        <f>VLOOKUP(U523,模板计算相关数据!A:N,10,0)*0.5*VLOOKUP(Y523,模板计算相关数据!$P$22:$U$30,6,0)+AD523</f>
        <v>250</v>
      </c>
      <c r="AO523" s="3">
        <f>VLOOKUP(INT(VLOOKUP(U523,模板计算相关数据!A:N,2,0)/30)+1,模板计算相关数据!$O$35:$U$40,3,0)+AE523</f>
        <v>0</v>
      </c>
      <c r="AP523" s="3">
        <f>VLOOKUP(INT(VLOOKUP(U523,模板计算相关数据!A:N,2,0)/30)+1,模板计算相关数据!$O$35:$U$40,4,0)+AF523</f>
        <v>5000</v>
      </c>
      <c r="AQ523" s="3">
        <f>VLOOKUP(INT(VLOOKUP(U523,模板计算相关数据!A:N,2,0)/30)+1,模板计算相关数据!$O$35:$U$40,5,0)+AG523</f>
        <v>0</v>
      </c>
      <c r="AR523" s="3">
        <f>VLOOKUP(INT(VLOOKUP(U523,模板计算相关数据!A:N,2,0)/30)+1,模板计算相关数据!$O$35:$U$40,6,0)+AH523</f>
        <v>0</v>
      </c>
      <c r="AS523" s="3">
        <f>VLOOKUP(INT(VLOOKUP(U523,模板计算相关数据!A:N,2,0)/30)+1,模板计算相关数据!$O$35:$U$40,7,0)+AI523</f>
        <v>0</v>
      </c>
      <c r="AT523" s="3">
        <f>VLOOKUP(INT(VLOOKUP(U523,模板计算相关数据!A:N,2,0)/30)+1,模板计算相关数据!$O$35:$V$40,8,0)</f>
        <v>0</v>
      </c>
      <c r="AU523" s="2"/>
    </row>
    <row r="524" spans="1:47" x14ac:dyDescent="0.2">
      <c r="A524" s="2">
        <v>307125</v>
      </c>
      <c r="B524" s="2"/>
      <c r="C524" s="69" t="s">
        <v>754</v>
      </c>
      <c r="D524" s="69" t="s">
        <v>1129</v>
      </c>
      <c r="E524" s="2"/>
      <c r="F524" s="127">
        <v>3</v>
      </c>
      <c r="G524" s="127">
        <v>101</v>
      </c>
      <c r="H524" s="3">
        <v>4</v>
      </c>
      <c r="I524" s="127">
        <v>5</v>
      </c>
      <c r="J524" s="127">
        <v>1</v>
      </c>
      <c r="K524" s="3"/>
      <c r="L524" s="2" t="s">
        <v>349</v>
      </c>
      <c r="M524" s="2"/>
      <c r="N524" s="2">
        <v>1</v>
      </c>
      <c r="O524" s="2"/>
      <c r="P524" s="3" t="s">
        <v>1615</v>
      </c>
      <c r="Q524" s="95">
        <f t="shared" si="58"/>
        <v>4.4674509803921572</v>
      </c>
      <c r="R524" s="133">
        <f>IF(P524=模板计算相关数据!$AB$24,VLOOKUP(X524,模板计算相关数据!$P$47:$T$50,2,0),VLOOKUP(X524,模板计算相关数据!$P$4:$U$7,3,0))*VLOOKUP(Y524,模板计算相关数据!$P$22:$X$30,8,0)</f>
        <v>4.4674509803921572</v>
      </c>
      <c r="S524" s="62">
        <f t="shared" si="59"/>
        <v>5.4739930589768004</v>
      </c>
      <c r="T524" s="133">
        <f>IF(P524=模板计算相关数据!$AB$24,VLOOKUP(X524,模板计算相关数据!$P$47:$T$50,5,0),VLOOKUP(X524,模板计算相关数据!$P$4:$U$7,6,0))*VLOOKUP(Y524,模板计算相关数据!$P$22:$X$30,9,0)</f>
        <v>5.4739930589768004</v>
      </c>
      <c r="U524" s="98">
        <v>1</v>
      </c>
      <c r="V524" s="95">
        <f t="shared" si="60"/>
        <v>4</v>
      </c>
      <c r="W524" s="29">
        <f>VLOOKUP(U524,模板计算相关数据!A:N,2,0)</f>
        <v>1</v>
      </c>
      <c r="X524" s="3" t="s">
        <v>151</v>
      </c>
      <c r="Y524" s="3" t="s">
        <v>162</v>
      </c>
      <c r="Z524" s="99">
        <v>1</v>
      </c>
      <c r="AA524" s="95">
        <v>1</v>
      </c>
      <c r="AB524" s="95">
        <v>1</v>
      </c>
      <c r="AC524" s="95">
        <v>1</v>
      </c>
      <c r="AD524" s="95">
        <v>0</v>
      </c>
      <c r="AE524" s="95">
        <v>0</v>
      </c>
      <c r="AF524" s="95">
        <v>0</v>
      </c>
      <c r="AG524" s="95">
        <v>0</v>
      </c>
      <c r="AH524" s="95">
        <v>0</v>
      </c>
      <c r="AI524" s="95">
        <v>0</v>
      </c>
      <c r="AJ524" s="3">
        <f>INT(VLOOKUP(U524,模板计算相关数据!A:N,4,0)*VLOOKUP(U524,模板计算相关数据!A:N,14,0)*(1+MAX(0,(VLOOKUP(U524,模板计算相关数据!A:N,7,0)-AQ524))*VLOOKUP(U524,模板计算相关数据!A:N,8,0))*(1-(AL524+AM524)*0.5/((AL524+AM524)*0.5+(VLOOKUP(U524,模板计算相关数据!A:N,2,0)+模板计算相关数据!$AC$27)*模板计算相关数据!$AC$28))*Q524*Z524)</f>
        <v>328</v>
      </c>
      <c r="AK524" s="3">
        <f>INT(VLOOKUP(U524,模板计算相关数据!A:N,3,0)/模板计算相关数据!$W$35/(1+MAX(0,(AO524/10000-VLOOKUP(U524,模板计算相关数据!A:N,9,0)))*AP524/10000)/(1-VLOOKUP(U524,模板计算相关数据!A:N,5,0)/(VLOOKUP(U524,模板计算相关数据!A:N,5,0)+(VLOOKUP(U524,模板计算相关数据!A:N,2,0)+模板计算相关数据!$AC$27)*模板计算相关数据!$AC$28))/S524*AA524)</f>
        <v>101</v>
      </c>
      <c r="AL524" s="3">
        <f>INT(VLOOKUP(U524,模板计算相关数据!A:N,5,0)*VLOOKUP(X524,模板计算相关数据!$P$4:$T$7,4,0)*VLOOKUP(Y524,模板计算相关数据!$P$22:$U$30,4,0)*AB524)</f>
        <v>136</v>
      </c>
      <c r="AM524" s="3">
        <f>INT(VLOOKUP(U524,模板计算相关数据!A:N,6,0)*VLOOKUP(X524,模板计算相关数据!$P$4:$T$7,4,0)*VLOOKUP(Y524,模板计算相关数据!$P$22:$U$30,5,0)*AC524)</f>
        <v>230</v>
      </c>
      <c r="AN524" s="3">
        <f>VLOOKUP(U524,模板计算相关数据!A:N,10,0)*0.5*VLOOKUP(Y524,模板计算相关数据!$P$22:$U$30,6,0)+AD524</f>
        <v>250</v>
      </c>
      <c r="AO524" s="3">
        <f>VLOOKUP(INT(VLOOKUP(U524,模板计算相关数据!A:N,2,0)/30)+1,模板计算相关数据!$O$35:$U$40,3,0)+AE524</f>
        <v>0</v>
      </c>
      <c r="AP524" s="3">
        <f>VLOOKUP(INT(VLOOKUP(U524,模板计算相关数据!A:N,2,0)/30)+1,模板计算相关数据!$O$35:$U$40,4,0)+AF524</f>
        <v>5000</v>
      </c>
      <c r="AQ524" s="3">
        <f>VLOOKUP(INT(VLOOKUP(U524,模板计算相关数据!A:N,2,0)/30)+1,模板计算相关数据!$O$35:$U$40,5,0)+AG524</f>
        <v>0</v>
      </c>
      <c r="AR524" s="3">
        <f>VLOOKUP(INT(VLOOKUP(U524,模板计算相关数据!A:N,2,0)/30)+1,模板计算相关数据!$O$35:$U$40,6,0)+AH524</f>
        <v>0</v>
      </c>
      <c r="AS524" s="3">
        <f>VLOOKUP(INT(VLOOKUP(U524,模板计算相关数据!A:N,2,0)/30)+1,模板计算相关数据!$O$35:$U$40,7,0)+AI524</f>
        <v>0</v>
      </c>
      <c r="AT524" s="3">
        <f>VLOOKUP(INT(VLOOKUP(U524,模板计算相关数据!A:N,2,0)/30)+1,模板计算相关数据!$O$35:$V$40,8,0)</f>
        <v>0</v>
      </c>
      <c r="AU524" s="2"/>
    </row>
    <row r="525" spans="1:47" x14ac:dyDescent="0.2">
      <c r="A525" s="2">
        <v>307126</v>
      </c>
      <c r="B525" s="2"/>
      <c r="C525" s="69" t="s">
        <v>754</v>
      </c>
      <c r="D525" s="69" t="s">
        <v>1130</v>
      </c>
      <c r="E525" s="2"/>
      <c r="F525" s="127">
        <v>3</v>
      </c>
      <c r="G525" s="127">
        <v>101</v>
      </c>
      <c r="H525" s="3">
        <v>4</v>
      </c>
      <c r="I525" s="127">
        <v>5</v>
      </c>
      <c r="J525" s="127">
        <v>1</v>
      </c>
      <c r="K525" s="3"/>
      <c r="L525" s="2" t="s">
        <v>350</v>
      </c>
      <c r="M525" s="2"/>
      <c r="N525" s="2">
        <v>1</v>
      </c>
      <c r="O525" s="2"/>
      <c r="P525" s="3" t="s">
        <v>1615</v>
      </c>
      <c r="Q525" s="95">
        <f t="shared" si="58"/>
        <v>4.4674509803921572</v>
      </c>
      <c r="R525" s="133">
        <f>IF(P525=模板计算相关数据!$AB$24,VLOOKUP(X525,模板计算相关数据!$P$47:$T$50,2,0),VLOOKUP(X525,模板计算相关数据!$P$4:$U$7,3,0))*VLOOKUP(Y525,模板计算相关数据!$P$22:$X$30,8,0)</f>
        <v>4.4674509803921572</v>
      </c>
      <c r="S525" s="62">
        <f t="shared" si="59"/>
        <v>5.4739930589768004</v>
      </c>
      <c r="T525" s="133">
        <f>IF(P525=模板计算相关数据!$AB$24,VLOOKUP(X525,模板计算相关数据!$P$47:$T$50,5,0),VLOOKUP(X525,模板计算相关数据!$P$4:$U$7,6,0))*VLOOKUP(Y525,模板计算相关数据!$P$22:$X$30,9,0)</f>
        <v>5.4739930589768004</v>
      </c>
      <c r="U525" s="98">
        <v>1</v>
      </c>
      <c r="V525" s="95">
        <f t="shared" si="60"/>
        <v>4</v>
      </c>
      <c r="W525" s="29">
        <f>VLOOKUP(U525,模板计算相关数据!A:N,2,0)</f>
        <v>1</v>
      </c>
      <c r="X525" s="3" t="s">
        <v>151</v>
      </c>
      <c r="Y525" s="3" t="s">
        <v>162</v>
      </c>
      <c r="Z525" s="99">
        <v>1</v>
      </c>
      <c r="AA525" s="95">
        <v>1</v>
      </c>
      <c r="AB525" s="95">
        <v>1</v>
      </c>
      <c r="AC525" s="95">
        <v>1</v>
      </c>
      <c r="AD525" s="95">
        <v>0</v>
      </c>
      <c r="AE525" s="95">
        <v>0</v>
      </c>
      <c r="AF525" s="95">
        <v>0</v>
      </c>
      <c r="AG525" s="95">
        <v>0</v>
      </c>
      <c r="AH525" s="95">
        <v>0</v>
      </c>
      <c r="AI525" s="95">
        <v>0</v>
      </c>
      <c r="AJ525" s="3">
        <f>INT(VLOOKUP(U525,模板计算相关数据!A:N,4,0)*VLOOKUP(U525,模板计算相关数据!A:N,14,0)*(1+MAX(0,(VLOOKUP(U525,模板计算相关数据!A:N,7,0)-AQ525))*VLOOKUP(U525,模板计算相关数据!A:N,8,0))*(1-(AL525+AM525)*0.5/((AL525+AM525)*0.5+(VLOOKUP(U525,模板计算相关数据!A:N,2,0)+模板计算相关数据!$AC$27)*模板计算相关数据!$AC$28))*Q525*Z525)</f>
        <v>328</v>
      </c>
      <c r="AK525" s="3">
        <f>INT(VLOOKUP(U525,模板计算相关数据!A:N,3,0)/模板计算相关数据!$W$35/(1+MAX(0,(AO525/10000-VLOOKUP(U525,模板计算相关数据!A:N,9,0)))*AP525/10000)/(1-VLOOKUP(U525,模板计算相关数据!A:N,5,0)/(VLOOKUP(U525,模板计算相关数据!A:N,5,0)+(VLOOKUP(U525,模板计算相关数据!A:N,2,0)+模板计算相关数据!$AC$27)*模板计算相关数据!$AC$28))/S525*AA525)</f>
        <v>101</v>
      </c>
      <c r="AL525" s="3">
        <f>INT(VLOOKUP(U525,模板计算相关数据!A:N,5,0)*VLOOKUP(X525,模板计算相关数据!$P$4:$T$7,4,0)*VLOOKUP(Y525,模板计算相关数据!$P$22:$U$30,4,0)*AB525)</f>
        <v>136</v>
      </c>
      <c r="AM525" s="3">
        <f>INT(VLOOKUP(U525,模板计算相关数据!A:N,6,0)*VLOOKUP(X525,模板计算相关数据!$P$4:$T$7,4,0)*VLOOKUP(Y525,模板计算相关数据!$P$22:$U$30,5,0)*AC525)</f>
        <v>230</v>
      </c>
      <c r="AN525" s="3">
        <f>VLOOKUP(U525,模板计算相关数据!A:N,10,0)*0.5*VLOOKUP(Y525,模板计算相关数据!$P$22:$U$30,6,0)+AD525</f>
        <v>250</v>
      </c>
      <c r="AO525" s="3">
        <f>VLOOKUP(INT(VLOOKUP(U525,模板计算相关数据!A:N,2,0)/30)+1,模板计算相关数据!$O$35:$U$40,3,0)+AE525</f>
        <v>0</v>
      </c>
      <c r="AP525" s="3">
        <f>VLOOKUP(INT(VLOOKUP(U525,模板计算相关数据!A:N,2,0)/30)+1,模板计算相关数据!$O$35:$U$40,4,0)+AF525</f>
        <v>5000</v>
      </c>
      <c r="AQ525" s="3">
        <f>VLOOKUP(INT(VLOOKUP(U525,模板计算相关数据!A:N,2,0)/30)+1,模板计算相关数据!$O$35:$U$40,5,0)+AG525</f>
        <v>0</v>
      </c>
      <c r="AR525" s="3">
        <f>VLOOKUP(INT(VLOOKUP(U525,模板计算相关数据!A:N,2,0)/30)+1,模板计算相关数据!$O$35:$U$40,6,0)+AH525</f>
        <v>0</v>
      </c>
      <c r="AS525" s="3">
        <f>VLOOKUP(INT(VLOOKUP(U525,模板计算相关数据!A:N,2,0)/30)+1,模板计算相关数据!$O$35:$U$40,7,0)+AI525</f>
        <v>0</v>
      </c>
      <c r="AT525" s="3">
        <f>VLOOKUP(INT(VLOOKUP(U525,模板计算相关数据!A:N,2,0)/30)+1,模板计算相关数据!$O$35:$V$40,8,0)</f>
        <v>0</v>
      </c>
      <c r="AU525" s="2"/>
    </row>
    <row r="526" spans="1:47" x14ac:dyDescent="0.2">
      <c r="A526" s="2">
        <v>307127</v>
      </c>
      <c r="B526" s="2"/>
      <c r="C526" s="69" t="s">
        <v>754</v>
      </c>
      <c r="D526" s="69" t="s">
        <v>1131</v>
      </c>
      <c r="E526" s="2"/>
      <c r="F526" s="127">
        <v>3</v>
      </c>
      <c r="G526" s="127">
        <v>101</v>
      </c>
      <c r="H526" s="3">
        <v>4</v>
      </c>
      <c r="I526" s="127">
        <v>5</v>
      </c>
      <c r="J526" s="127">
        <v>1</v>
      </c>
      <c r="K526" s="3"/>
      <c r="L526" s="2" t="s">
        <v>351</v>
      </c>
      <c r="M526" s="2"/>
      <c r="N526" s="2">
        <v>1</v>
      </c>
      <c r="O526" s="2"/>
      <c r="P526" s="3" t="s">
        <v>1615</v>
      </c>
      <c r="Q526" s="95">
        <f t="shared" si="58"/>
        <v>4.4674509803921572</v>
      </c>
      <c r="R526" s="133">
        <f>IF(P526=模板计算相关数据!$AB$24,VLOOKUP(X526,模板计算相关数据!$P$47:$T$50,2,0),VLOOKUP(X526,模板计算相关数据!$P$4:$U$7,3,0))*VLOOKUP(Y526,模板计算相关数据!$P$22:$X$30,8,0)</f>
        <v>4.4674509803921572</v>
      </c>
      <c r="S526" s="62">
        <f t="shared" si="59"/>
        <v>5.4739930589768004</v>
      </c>
      <c r="T526" s="133">
        <f>IF(P526=模板计算相关数据!$AB$24,VLOOKUP(X526,模板计算相关数据!$P$47:$T$50,5,0),VLOOKUP(X526,模板计算相关数据!$P$4:$U$7,6,0))*VLOOKUP(Y526,模板计算相关数据!$P$22:$X$30,9,0)</f>
        <v>5.4739930589768004</v>
      </c>
      <c r="U526" s="98">
        <v>1</v>
      </c>
      <c r="V526" s="95">
        <f t="shared" si="60"/>
        <v>4</v>
      </c>
      <c r="W526" s="29">
        <f>VLOOKUP(U526,模板计算相关数据!A:N,2,0)</f>
        <v>1</v>
      </c>
      <c r="X526" s="3" t="s">
        <v>151</v>
      </c>
      <c r="Y526" s="3" t="s">
        <v>162</v>
      </c>
      <c r="Z526" s="99">
        <v>1</v>
      </c>
      <c r="AA526" s="95">
        <v>1</v>
      </c>
      <c r="AB526" s="95">
        <v>1</v>
      </c>
      <c r="AC526" s="95">
        <v>1</v>
      </c>
      <c r="AD526" s="95">
        <v>0</v>
      </c>
      <c r="AE526" s="95">
        <v>0</v>
      </c>
      <c r="AF526" s="95">
        <v>0</v>
      </c>
      <c r="AG526" s="95">
        <v>0</v>
      </c>
      <c r="AH526" s="95">
        <v>0</v>
      </c>
      <c r="AI526" s="95">
        <v>0</v>
      </c>
      <c r="AJ526" s="3">
        <f>INT(VLOOKUP(U526,模板计算相关数据!A:N,4,0)*VLOOKUP(U526,模板计算相关数据!A:N,14,0)*(1+MAX(0,(VLOOKUP(U526,模板计算相关数据!A:N,7,0)-AQ526))*VLOOKUP(U526,模板计算相关数据!A:N,8,0))*(1-(AL526+AM526)*0.5/((AL526+AM526)*0.5+(VLOOKUP(U526,模板计算相关数据!A:N,2,0)+模板计算相关数据!$AC$27)*模板计算相关数据!$AC$28))*Q526*Z526)</f>
        <v>328</v>
      </c>
      <c r="AK526" s="3">
        <f>INT(VLOOKUP(U526,模板计算相关数据!A:N,3,0)/模板计算相关数据!$W$35/(1+MAX(0,(AO526/10000-VLOOKUP(U526,模板计算相关数据!A:N,9,0)))*AP526/10000)/(1-VLOOKUP(U526,模板计算相关数据!A:N,5,0)/(VLOOKUP(U526,模板计算相关数据!A:N,5,0)+(VLOOKUP(U526,模板计算相关数据!A:N,2,0)+模板计算相关数据!$AC$27)*模板计算相关数据!$AC$28))/S526*AA526)</f>
        <v>101</v>
      </c>
      <c r="AL526" s="3">
        <f>INT(VLOOKUP(U526,模板计算相关数据!A:N,5,0)*VLOOKUP(X526,模板计算相关数据!$P$4:$T$7,4,0)*VLOOKUP(Y526,模板计算相关数据!$P$22:$U$30,4,0)*AB526)</f>
        <v>136</v>
      </c>
      <c r="AM526" s="3">
        <f>INT(VLOOKUP(U526,模板计算相关数据!A:N,6,0)*VLOOKUP(X526,模板计算相关数据!$P$4:$T$7,4,0)*VLOOKUP(Y526,模板计算相关数据!$P$22:$U$30,5,0)*AC526)</f>
        <v>230</v>
      </c>
      <c r="AN526" s="3">
        <f>VLOOKUP(U526,模板计算相关数据!A:N,10,0)*0.5*VLOOKUP(Y526,模板计算相关数据!$P$22:$U$30,6,0)+AD526</f>
        <v>250</v>
      </c>
      <c r="AO526" s="3">
        <f>VLOOKUP(INT(VLOOKUP(U526,模板计算相关数据!A:N,2,0)/30)+1,模板计算相关数据!$O$35:$U$40,3,0)+AE526</f>
        <v>0</v>
      </c>
      <c r="AP526" s="3">
        <f>VLOOKUP(INT(VLOOKUP(U526,模板计算相关数据!A:N,2,0)/30)+1,模板计算相关数据!$O$35:$U$40,4,0)+AF526</f>
        <v>5000</v>
      </c>
      <c r="AQ526" s="3">
        <f>VLOOKUP(INT(VLOOKUP(U526,模板计算相关数据!A:N,2,0)/30)+1,模板计算相关数据!$O$35:$U$40,5,0)+AG526</f>
        <v>0</v>
      </c>
      <c r="AR526" s="3">
        <f>VLOOKUP(INT(VLOOKUP(U526,模板计算相关数据!A:N,2,0)/30)+1,模板计算相关数据!$O$35:$U$40,6,0)+AH526</f>
        <v>0</v>
      </c>
      <c r="AS526" s="3">
        <f>VLOOKUP(INT(VLOOKUP(U526,模板计算相关数据!A:N,2,0)/30)+1,模板计算相关数据!$O$35:$U$40,7,0)+AI526</f>
        <v>0</v>
      </c>
      <c r="AT526" s="3">
        <f>VLOOKUP(INT(VLOOKUP(U526,模板计算相关数据!A:N,2,0)/30)+1,模板计算相关数据!$O$35:$V$40,8,0)</f>
        <v>0</v>
      </c>
      <c r="AU526" s="2"/>
    </row>
    <row r="527" spans="1:47" x14ac:dyDescent="0.2">
      <c r="A527" s="2">
        <v>307128</v>
      </c>
      <c r="B527" s="2"/>
      <c r="C527" s="69" t="s">
        <v>754</v>
      </c>
      <c r="D527" s="69" t="s">
        <v>1132</v>
      </c>
      <c r="E527" s="2"/>
      <c r="F527" s="127">
        <v>3</v>
      </c>
      <c r="G527" s="127">
        <v>101</v>
      </c>
      <c r="H527" s="3">
        <v>4</v>
      </c>
      <c r="I527" s="127">
        <v>5</v>
      </c>
      <c r="J527" s="127">
        <v>1</v>
      </c>
      <c r="K527" s="3"/>
      <c r="L527" s="2" t="s">
        <v>352</v>
      </c>
      <c r="M527" s="2"/>
      <c r="N527" s="2">
        <v>1</v>
      </c>
      <c r="O527" s="2"/>
      <c r="P527" s="3" t="s">
        <v>1615</v>
      </c>
      <c r="Q527" s="95">
        <f t="shared" si="58"/>
        <v>4.4674509803921572</v>
      </c>
      <c r="R527" s="133">
        <f>IF(P527=模板计算相关数据!$AB$24,VLOOKUP(X527,模板计算相关数据!$P$47:$T$50,2,0),VLOOKUP(X527,模板计算相关数据!$P$4:$U$7,3,0))*VLOOKUP(Y527,模板计算相关数据!$P$22:$X$30,8,0)</f>
        <v>4.4674509803921572</v>
      </c>
      <c r="S527" s="62">
        <f t="shared" si="59"/>
        <v>5.4739930589768004</v>
      </c>
      <c r="T527" s="133">
        <f>IF(P527=模板计算相关数据!$AB$24,VLOOKUP(X527,模板计算相关数据!$P$47:$T$50,5,0),VLOOKUP(X527,模板计算相关数据!$P$4:$U$7,6,0))*VLOOKUP(Y527,模板计算相关数据!$P$22:$X$30,9,0)</f>
        <v>5.4739930589768004</v>
      </c>
      <c r="U527" s="98">
        <v>1</v>
      </c>
      <c r="V527" s="95">
        <f t="shared" si="60"/>
        <v>4</v>
      </c>
      <c r="W527" s="29">
        <f>VLOOKUP(U527,模板计算相关数据!A:N,2,0)</f>
        <v>1</v>
      </c>
      <c r="X527" s="3" t="s">
        <v>151</v>
      </c>
      <c r="Y527" s="3" t="s">
        <v>162</v>
      </c>
      <c r="Z527" s="99">
        <v>1</v>
      </c>
      <c r="AA527" s="95">
        <v>1</v>
      </c>
      <c r="AB527" s="95">
        <v>1</v>
      </c>
      <c r="AC527" s="95">
        <v>1</v>
      </c>
      <c r="AD527" s="95">
        <v>0</v>
      </c>
      <c r="AE527" s="95">
        <v>0</v>
      </c>
      <c r="AF527" s="95">
        <v>0</v>
      </c>
      <c r="AG527" s="95">
        <v>0</v>
      </c>
      <c r="AH527" s="95">
        <v>0</v>
      </c>
      <c r="AI527" s="95">
        <v>0</v>
      </c>
      <c r="AJ527" s="3">
        <f>INT(VLOOKUP(U527,模板计算相关数据!A:N,4,0)*VLOOKUP(U527,模板计算相关数据!A:N,14,0)*(1+MAX(0,(VLOOKUP(U527,模板计算相关数据!A:N,7,0)-AQ527))*VLOOKUP(U527,模板计算相关数据!A:N,8,0))*(1-(AL527+AM527)*0.5/((AL527+AM527)*0.5+(VLOOKUP(U527,模板计算相关数据!A:N,2,0)+模板计算相关数据!$AC$27)*模板计算相关数据!$AC$28))*Q527*Z527)</f>
        <v>328</v>
      </c>
      <c r="AK527" s="3">
        <f>INT(VLOOKUP(U527,模板计算相关数据!A:N,3,0)/模板计算相关数据!$W$35/(1+MAX(0,(AO527/10000-VLOOKUP(U527,模板计算相关数据!A:N,9,0)))*AP527/10000)/(1-VLOOKUP(U527,模板计算相关数据!A:N,5,0)/(VLOOKUP(U527,模板计算相关数据!A:N,5,0)+(VLOOKUP(U527,模板计算相关数据!A:N,2,0)+模板计算相关数据!$AC$27)*模板计算相关数据!$AC$28))/S527*AA527)</f>
        <v>101</v>
      </c>
      <c r="AL527" s="3">
        <f>INT(VLOOKUP(U527,模板计算相关数据!A:N,5,0)*VLOOKUP(X527,模板计算相关数据!$P$4:$T$7,4,0)*VLOOKUP(Y527,模板计算相关数据!$P$22:$U$30,4,0)*AB527)</f>
        <v>136</v>
      </c>
      <c r="AM527" s="3">
        <f>INT(VLOOKUP(U527,模板计算相关数据!A:N,6,0)*VLOOKUP(X527,模板计算相关数据!$P$4:$T$7,4,0)*VLOOKUP(Y527,模板计算相关数据!$P$22:$U$30,5,0)*AC527)</f>
        <v>230</v>
      </c>
      <c r="AN527" s="3">
        <f>VLOOKUP(U527,模板计算相关数据!A:N,10,0)*0.5*VLOOKUP(Y527,模板计算相关数据!$P$22:$U$30,6,0)+AD527</f>
        <v>250</v>
      </c>
      <c r="AO527" s="3">
        <f>VLOOKUP(INT(VLOOKUP(U527,模板计算相关数据!A:N,2,0)/30)+1,模板计算相关数据!$O$35:$U$40,3,0)+AE527</f>
        <v>0</v>
      </c>
      <c r="AP527" s="3">
        <f>VLOOKUP(INT(VLOOKUP(U527,模板计算相关数据!A:N,2,0)/30)+1,模板计算相关数据!$O$35:$U$40,4,0)+AF527</f>
        <v>5000</v>
      </c>
      <c r="AQ527" s="3">
        <f>VLOOKUP(INT(VLOOKUP(U527,模板计算相关数据!A:N,2,0)/30)+1,模板计算相关数据!$O$35:$U$40,5,0)+AG527</f>
        <v>0</v>
      </c>
      <c r="AR527" s="3">
        <f>VLOOKUP(INT(VLOOKUP(U527,模板计算相关数据!A:N,2,0)/30)+1,模板计算相关数据!$O$35:$U$40,6,0)+AH527</f>
        <v>0</v>
      </c>
      <c r="AS527" s="3">
        <f>VLOOKUP(INT(VLOOKUP(U527,模板计算相关数据!A:N,2,0)/30)+1,模板计算相关数据!$O$35:$U$40,7,0)+AI527</f>
        <v>0</v>
      </c>
      <c r="AT527" s="3">
        <f>VLOOKUP(INT(VLOOKUP(U527,模板计算相关数据!A:N,2,0)/30)+1,模板计算相关数据!$O$35:$V$40,8,0)</f>
        <v>0</v>
      </c>
      <c r="AU527" s="2"/>
    </row>
    <row r="528" spans="1:47" s="149" customFormat="1" x14ac:dyDescent="0.2">
      <c r="A528" s="17">
        <v>307129</v>
      </c>
      <c r="B528" s="17"/>
      <c r="C528" s="24" t="s">
        <v>353</v>
      </c>
      <c r="D528" s="25" t="s">
        <v>1133</v>
      </c>
      <c r="E528" s="17"/>
      <c r="F528" s="152">
        <v>3</v>
      </c>
      <c r="G528" s="152">
        <v>101</v>
      </c>
      <c r="H528" s="43">
        <v>1</v>
      </c>
      <c r="I528" s="152">
        <v>5</v>
      </c>
      <c r="J528" s="152">
        <v>1</v>
      </c>
      <c r="K528" s="43"/>
      <c r="L528" s="17" t="s">
        <v>354</v>
      </c>
      <c r="M528" s="17"/>
      <c r="N528" s="17">
        <v>1</v>
      </c>
      <c r="O528" s="17"/>
      <c r="P528" s="43" t="s">
        <v>1615</v>
      </c>
      <c r="Q528" s="147">
        <f t="shared" si="58"/>
        <v>4.417254901960785</v>
      </c>
      <c r="R528" s="133">
        <f>IF(P528=模板计算相关数据!$AB$24,VLOOKUP(X528,模板计算相关数据!$P$47:$T$50,2,0),VLOOKUP(X528,模板计算相关数据!$P$4:$U$7,3,0))*VLOOKUP(Y528,模板计算相关数据!$P$22:$X$30,8,0)</f>
        <v>4.417254901960785</v>
      </c>
      <c r="S528" s="42">
        <f t="shared" si="59"/>
        <v>5.4285280003474252</v>
      </c>
      <c r="T528" s="133">
        <f>IF(P528=模板计算相关数据!$AB$24,VLOOKUP(X528,模板计算相关数据!$P$47:$T$50,5,0),VLOOKUP(X528,模板计算相关数据!$P$4:$U$7,6,0))*VLOOKUP(Y528,模板计算相关数据!$P$22:$X$30,9,0)</f>
        <v>5.4285280003474252</v>
      </c>
      <c r="U528" s="150">
        <v>1</v>
      </c>
      <c r="V528" s="95">
        <f t="shared" si="60"/>
        <v>4</v>
      </c>
      <c r="W528" s="29">
        <f>VLOOKUP(U528,模板计算相关数据!A:N,2,0)</f>
        <v>1</v>
      </c>
      <c r="X528" s="43" t="s">
        <v>151</v>
      </c>
      <c r="Y528" s="43" t="s">
        <v>152</v>
      </c>
      <c r="Z528" s="148">
        <v>1</v>
      </c>
      <c r="AA528" s="147">
        <v>1</v>
      </c>
      <c r="AB528" s="147">
        <v>1</v>
      </c>
      <c r="AC528" s="147">
        <v>1</v>
      </c>
      <c r="AD528" s="147">
        <v>0</v>
      </c>
      <c r="AE528" s="147">
        <v>0</v>
      </c>
      <c r="AF528" s="147">
        <v>0</v>
      </c>
      <c r="AG528" s="147">
        <v>0</v>
      </c>
      <c r="AH528" s="147">
        <v>0</v>
      </c>
      <c r="AI528" s="147">
        <v>0</v>
      </c>
      <c r="AJ528" s="43">
        <f>INT(VLOOKUP(U528,模板计算相关数据!A:N,4,0)*VLOOKUP(U528,模板计算相关数据!A:N,14,0)*(1+MAX(0,(VLOOKUP(U528,模板计算相关数据!A:N,7,0)-AQ528))*VLOOKUP(U528,模板计算相关数据!A:N,8,0))*(1-(AL528+AM528)*0.5/((AL528+AM528)*0.5+(VLOOKUP(U528,模板计算相关数据!A:N,2,0)+模板计算相关数据!$AC$27)*模板计算相关数据!$AC$28))*Q528*Z528)</f>
        <v>325</v>
      </c>
      <c r="AK528" s="43">
        <f>INT(VLOOKUP(U528,模板计算相关数据!A:N,3,0)/模板计算相关数据!$W$35/(1+MAX(0,(AO528/10000-VLOOKUP(U528,模板计算相关数据!A:N,9,0)))*AP528/10000)/(1-VLOOKUP(U528,模板计算相关数据!A:N,5,0)/(VLOOKUP(U528,模板计算相关数据!A:N,5,0)+(VLOOKUP(U528,模板计算相关数据!A:N,2,0)+模板计算相关数据!$AC$27)*模板计算相关数据!$AC$28))/S528*AA528)</f>
        <v>102</v>
      </c>
      <c r="AL528" s="43">
        <f>INT(VLOOKUP(U528,模板计算相关数据!A:N,5,0)*VLOOKUP(X528,模板计算相关数据!$P$4:$T$7,4,0)*VLOOKUP(Y528,模板计算相关数据!$P$22:$U$30,4,0)*AB528)</f>
        <v>230</v>
      </c>
      <c r="AM528" s="43">
        <f>INT(VLOOKUP(U528,模板计算相关数据!A:N,6,0)*VLOOKUP(X528,模板计算相关数据!$P$4:$T$7,4,0)*VLOOKUP(Y528,模板计算相关数据!$P$22:$U$30,5,0)*AC528)</f>
        <v>136</v>
      </c>
      <c r="AN528" s="43">
        <f>VLOOKUP(U528,模板计算相关数据!A:N,10,0)*0.5*VLOOKUP(Y528,模板计算相关数据!$P$22:$U$30,6,0)+AD528</f>
        <v>250</v>
      </c>
      <c r="AO528" s="43">
        <f>VLOOKUP(INT(VLOOKUP(U528,模板计算相关数据!A:N,2,0)/30)+1,模板计算相关数据!$O$35:$U$40,3,0)+AE528</f>
        <v>0</v>
      </c>
      <c r="AP528" s="43">
        <f>VLOOKUP(INT(VLOOKUP(U528,模板计算相关数据!A:N,2,0)/30)+1,模板计算相关数据!$O$35:$U$40,4,0)+AF528</f>
        <v>5000</v>
      </c>
      <c r="AQ528" s="43">
        <f>VLOOKUP(INT(VLOOKUP(U528,模板计算相关数据!A:N,2,0)/30)+1,模板计算相关数据!$O$35:$U$40,5,0)+AG528</f>
        <v>0</v>
      </c>
      <c r="AR528" s="43">
        <f>VLOOKUP(INT(VLOOKUP(U528,模板计算相关数据!A:N,2,0)/30)+1,模板计算相关数据!$O$35:$U$40,6,0)+AH528</f>
        <v>0</v>
      </c>
      <c r="AS528" s="43">
        <f>VLOOKUP(INT(VLOOKUP(U528,模板计算相关数据!A:N,2,0)/30)+1,模板计算相关数据!$O$35:$U$40,7,0)+AI528</f>
        <v>0</v>
      </c>
      <c r="AT528" s="43">
        <f>VLOOKUP(INT(VLOOKUP(U528,模板计算相关数据!A:N,2,0)/30)+1,模板计算相关数据!$O$35:$V$40,8,0)</f>
        <v>0</v>
      </c>
      <c r="AU528" s="17"/>
    </row>
    <row r="529" spans="1:47" x14ac:dyDescent="0.2">
      <c r="A529" s="2">
        <v>307130</v>
      </c>
      <c r="B529" s="2"/>
      <c r="C529" s="2" t="s">
        <v>152</v>
      </c>
      <c r="D529" s="69" t="s">
        <v>1134</v>
      </c>
      <c r="E529" s="2"/>
      <c r="F529" s="127">
        <v>3</v>
      </c>
      <c r="G529" s="127">
        <v>101</v>
      </c>
      <c r="H529" s="3">
        <v>1</v>
      </c>
      <c r="I529" s="127">
        <v>5</v>
      </c>
      <c r="J529" s="127">
        <v>1</v>
      </c>
      <c r="K529" s="3"/>
      <c r="L529" s="2" t="s">
        <v>345</v>
      </c>
      <c r="M529" s="2"/>
      <c r="N529" s="2">
        <v>1</v>
      </c>
      <c r="O529" s="2"/>
      <c r="P529" s="3" t="s">
        <v>1615</v>
      </c>
      <c r="Q529" s="95">
        <f t="shared" si="58"/>
        <v>4.417254901960785</v>
      </c>
      <c r="R529" s="133">
        <f>IF(P529=模板计算相关数据!$AB$24,VLOOKUP(X529,模板计算相关数据!$P$47:$T$50,2,0),VLOOKUP(X529,模板计算相关数据!$P$4:$U$7,3,0))*VLOOKUP(Y529,模板计算相关数据!$P$22:$X$30,8,0)</f>
        <v>4.417254901960785</v>
      </c>
      <c r="S529" s="62">
        <f t="shared" si="59"/>
        <v>5.4285280003474252</v>
      </c>
      <c r="T529" s="133">
        <f>IF(P529=模板计算相关数据!$AB$24,VLOOKUP(X529,模板计算相关数据!$P$47:$T$50,5,0),VLOOKUP(X529,模板计算相关数据!$P$4:$U$7,6,0))*VLOOKUP(Y529,模板计算相关数据!$P$22:$X$30,9,0)</f>
        <v>5.4285280003474252</v>
      </c>
      <c r="U529" s="98">
        <v>1</v>
      </c>
      <c r="V529" s="95">
        <f t="shared" si="60"/>
        <v>4</v>
      </c>
      <c r="W529" s="29">
        <f>VLOOKUP(U529,模板计算相关数据!A:N,2,0)</f>
        <v>1</v>
      </c>
      <c r="X529" s="3" t="s">
        <v>151</v>
      </c>
      <c r="Y529" s="3" t="s">
        <v>152</v>
      </c>
      <c r="Z529" s="99">
        <v>1</v>
      </c>
      <c r="AA529" s="95">
        <v>1</v>
      </c>
      <c r="AB529" s="95">
        <v>1</v>
      </c>
      <c r="AC529" s="95">
        <v>1</v>
      </c>
      <c r="AD529" s="95">
        <v>0</v>
      </c>
      <c r="AE529" s="95">
        <v>0</v>
      </c>
      <c r="AF529" s="95">
        <v>0</v>
      </c>
      <c r="AG529" s="95">
        <v>0</v>
      </c>
      <c r="AH529" s="95">
        <v>0</v>
      </c>
      <c r="AI529" s="95">
        <v>0</v>
      </c>
      <c r="AJ529" s="3">
        <f>INT(VLOOKUP(U529,模板计算相关数据!A:N,4,0)*VLOOKUP(U529,模板计算相关数据!A:N,14,0)*(1+MAX(0,(VLOOKUP(U529,模板计算相关数据!A:N,7,0)-AQ529))*VLOOKUP(U529,模板计算相关数据!A:N,8,0))*(1-(AL529+AM529)*0.5/((AL529+AM529)*0.5+(VLOOKUP(U529,模板计算相关数据!A:N,2,0)+模板计算相关数据!$AC$27)*模板计算相关数据!$AC$28))*Q529*Z529)</f>
        <v>325</v>
      </c>
      <c r="AK529" s="3">
        <f>INT(VLOOKUP(U529,模板计算相关数据!A:N,3,0)/模板计算相关数据!$W$35/(1+MAX(0,(AO529/10000-VLOOKUP(U529,模板计算相关数据!A:N,9,0)))*AP529/10000)/(1-VLOOKUP(U529,模板计算相关数据!A:N,5,0)/(VLOOKUP(U529,模板计算相关数据!A:N,5,0)+(VLOOKUP(U529,模板计算相关数据!A:N,2,0)+模板计算相关数据!$AC$27)*模板计算相关数据!$AC$28))/S529*AA529)</f>
        <v>102</v>
      </c>
      <c r="AL529" s="3">
        <f>INT(VLOOKUP(U529,模板计算相关数据!A:N,5,0)*VLOOKUP(X529,模板计算相关数据!$P$4:$T$7,4,0)*VLOOKUP(Y529,模板计算相关数据!$P$22:$U$30,4,0)*AB529)</f>
        <v>230</v>
      </c>
      <c r="AM529" s="3">
        <f>INT(VLOOKUP(U529,模板计算相关数据!A:N,6,0)*VLOOKUP(X529,模板计算相关数据!$P$4:$T$7,4,0)*VLOOKUP(Y529,模板计算相关数据!$P$22:$U$30,5,0)*AC529)</f>
        <v>136</v>
      </c>
      <c r="AN529" s="3">
        <f>VLOOKUP(U529,模板计算相关数据!A:N,10,0)*0.5*VLOOKUP(Y529,模板计算相关数据!$P$22:$U$30,6,0)+AD529</f>
        <v>250</v>
      </c>
      <c r="AO529" s="3">
        <f>VLOOKUP(INT(VLOOKUP(U529,模板计算相关数据!A:N,2,0)/30)+1,模板计算相关数据!$O$35:$U$40,3,0)+AE529</f>
        <v>0</v>
      </c>
      <c r="AP529" s="3">
        <f>VLOOKUP(INT(VLOOKUP(U529,模板计算相关数据!A:N,2,0)/30)+1,模板计算相关数据!$O$35:$U$40,4,0)+AF529</f>
        <v>5000</v>
      </c>
      <c r="AQ529" s="3">
        <f>VLOOKUP(INT(VLOOKUP(U529,模板计算相关数据!A:N,2,0)/30)+1,模板计算相关数据!$O$35:$U$40,5,0)+AG529</f>
        <v>0</v>
      </c>
      <c r="AR529" s="3">
        <f>VLOOKUP(INT(VLOOKUP(U529,模板计算相关数据!A:N,2,0)/30)+1,模板计算相关数据!$O$35:$U$40,6,0)+AH529</f>
        <v>0</v>
      </c>
      <c r="AS529" s="3">
        <f>VLOOKUP(INT(VLOOKUP(U529,模板计算相关数据!A:N,2,0)/30)+1,模板计算相关数据!$O$35:$U$40,7,0)+AI529</f>
        <v>0</v>
      </c>
      <c r="AT529" s="3">
        <f>VLOOKUP(INT(VLOOKUP(U529,模板计算相关数据!A:N,2,0)/30)+1,模板计算相关数据!$O$35:$V$40,8,0)</f>
        <v>0</v>
      </c>
      <c r="AU529" s="2"/>
    </row>
    <row r="530" spans="1:47" x14ac:dyDescent="0.2">
      <c r="A530" s="2">
        <v>307131</v>
      </c>
      <c r="B530" s="2"/>
      <c r="C530" s="2" t="s">
        <v>152</v>
      </c>
      <c r="D530" s="69" t="s">
        <v>1135</v>
      </c>
      <c r="E530" s="2"/>
      <c r="F530" s="127">
        <v>3</v>
      </c>
      <c r="G530" s="127">
        <v>101</v>
      </c>
      <c r="H530" s="3">
        <v>1</v>
      </c>
      <c r="I530" s="127">
        <v>5</v>
      </c>
      <c r="J530" s="127">
        <v>1</v>
      </c>
      <c r="K530" s="3"/>
      <c r="L530" s="2" t="s">
        <v>355</v>
      </c>
      <c r="M530" s="2"/>
      <c r="N530" s="2">
        <v>1</v>
      </c>
      <c r="O530" s="2"/>
      <c r="P530" s="3" t="s">
        <v>1615</v>
      </c>
      <c r="Q530" s="95">
        <f t="shared" si="58"/>
        <v>4.417254901960785</v>
      </c>
      <c r="R530" s="133">
        <f>IF(P530=模板计算相关数据!$AB$24,VLOOKUP(X530,模板计算相关数据!$P$47:$T$50,2,0),VLOOKUP(X530,模板计算相关数据!$P$4:$U$7,3,0))*VLOOKUP(Y530,模板计算相关数据!$P$22:$X$30,8,0)</f>
        <v>4.417254901960785</v>
      </c>
      <c r="S530" s="62">
        <f t="shared" si="59"/>
        <v>5.4285280003474252</v>
      </c>
      <c r="T530" s="133">
        <f>IF(P530=模板计算相关数据!$AB$24,VLOOKUP(X530,模板计算相关数据!$P$47:$T$50,5,0),VLOOKUP(X530,模板计算相关数据!$P$4:$U$7,6,0))*VLOOKUP(Y530,模板计算相关数据!$P$22:$X$30,9,0)</f>
        <v>5.4285280003474252</v>
      </c>
      <c r="U530" s="98">
        <v>1</v>
      </c>
      <c r="V530" s="95">
        <f t="shared" si="60"/>
        <v>4</v>
      </c>
      <c r="W530" s="29">
        <f>VLOOKUP(U530,模板计算相关数据!A:N,2,0)</f>
        <v>1</v>
      </c>
      <c r="X530" s="3" t="s">
        <v>151</v>
      </c>
      <c r="Y530" s="3" t="s">
        <v>152</v>
      </c>
      <c r="Z530" s="99">
        <v>1</v>
      </c>
      <c r="AA530" s="95">
        <v>1</v>
      </c>
      <c r="AB530" s="95">
        <v>1</v>
      </c>
      <c r="AC530" s="95">
        <v>1</v>
      </c>
      <c r="AD530" s="95">
        <v>0</v>
      </c>
      <c r="AE530" s="95">
        <v>0</v>
      </c>
      <c r="AF530" s="95">
        <v>0</v>
      </c>
      <c r="AG530" s="95">
        <v>0</v>
      </c>
      <c r="AH530" s="95">
        <v>0</v>
      </c>
      <c r="AI530" s="95">
        <v>0</v>
      </c>
      <c r="AJ530" s="3">
        <f>INT(VLOOKUP(U530,模板计算相关数据!A:N,4,0)*VLOOKUP(U530,模板计算相关数据!A:N,14,0)*(1+MAX(0,(VLOOKUP(U530,模板计算相关数据!A:N,7,0)-AQ530))*VLOOKUP(U530,模板计算相关数据!A:N,8,0))*(1-(AL530+AM530)*0.5/((AL530+AM530)*0.5+(VLOOKUP(U530,模板计算相关数据!A:N,2,0)+模板计算相关数据!$AC$27)*模板计算相关数据!$AC$28))*Q530*Z530)</f>
        <v>325</v>
      </c>
      <c r="AK530" s="3">
        <f>INT(VLOOKUP(U530,模板计算相关数据!A:N,3,0)/模板计算相关数据!$W$35/(1+MAX(0,(AO530/10000-VLOOKUP(U530,模板计算相关数据!A:N,9,0)))*AP530/10000)/(1-VLOOKUP(U530,模板计算相关数据!A:N,5,0)/(VLOOKUP(U530,模板计算相关数据!A:N,5,0)+(VLOOKUP(U530,模板计算相关数据!A:N,2,0)+模板计算相关数据!$AC$27)*模板计算相关数据!$AC$28))/S530*AA530)</f>
        <v>102</v>
      </c>
      <c r="AL530" s="3">
        <f>INT(VLOOKUP(U530,模板计算相关数据!A:N,5,0)*VLOOKUP(X530,模板计算相关数据!$P$4:$T$7,4,0)*VLOOKUP(Y530,模板计算相关数据!$P$22:$U$30,4,0)*AB530)</f>
        <v>230</v>
      </c>
      <c r="AM530" s="3">
        <f>INT(VLOOKUP(U530,模板计算相关数据!A:N,6,0)*VLOOKUP(X530,模板计算相关数据!$P$4:$T$7,4,0)*VLOOKUP(Y530,模板计算相关数据!$P$22:$U$30,5,0)*AC530)</f>
        <v>136</v>
      </c>
      <c r="AN530" s="3">
        <f>VLOOKUP(U530,模板计算相关数据!A:N,10,0)*0.5*VLOOKUP(Y530,模板计算相关数据!$P$22:$U$30,6,0)+AD530</f>
        <v>250</v>
      </c>
      <c r="AO530" s="3">
        <f>VLOOKUP(INT(VLOOKUP(U530,模板计算相关数据!A:N,2,0)/30)+1,模板计算相关数据!$O$35:$U$40,3,0)+AE530</f>
        <v>0</v>
      </c>
      <c r="AP530" s="3">
        <f>VLOOKUP(INT(VLOOKUP(U530,模板计算相关数据!A:N,2,0)/30)+1,模板计算相关数据!$O$35:$U$40,4,0)+AF530</f>
        <v>5000</v>
      </c>
      <c r="AQ530" s="3">
        <f>VLOOKUP(INT(VLOOKUP(U530,模板计算相关数据!A:N,2,0)/30)+1,模板计算相关数据!$O$35:$U$40,5,0)+AG530</f>
        <v>0</v>
      </c>
      <c r="AR530" s="3">
        <f>VLOOKUP(INT(VLOOKUP(U530,模板计算相关数据!A:N,2,0)/30)+1,模板计算相关数据!$O$35:$U$40,6,0)+AH530</f>
        <v>0</v>
      </c>
      <c r="AS530" s="3">
        <f>VLOOKUP(INT(VLOOKUP(U530,模板计算相关数据!A:N,2,0)/30)+1,模板计算相关数据!$O$35:$U$40,7,0)+AI530</f>
        <v>0</v>
      </c>
      <c r="AT530" s="3">
        <f>VLOOKUP(INT(VLOOKUP(U530,模板计算相关数据!A:N,2,0)/30)+1,模板计算相关数据!$O$35:$V$40,8,0)</f>
        <v>0</v>
      </c>
      <c r="AU530" s="2"/>
    </row>
    <row r="531" spans="1:47" x14ac:dyDescent="0.2">
      <c r="A531" s="2">
        <v>307132</v>
      </c>
      <c r="B531" s="2"/>
      <c r="C531" s="2" t="s">
        <v>326</v>
      </c>
      <c r="D531" s="2" t="s">
        <v>1136</v>
      </c>
      <c r="E531" s="2"/>
      <c r="F531" s="127">
        <v>3</v>
      </c>
      <c r="G531" s="127">
        <v>101</v>
      </c>
      <c r="H531" s="3">
        <v>5</v>
      </c>
      <c r="I531" s="127">
        <v>5</v>
      </c>
      <c r="J531" s="127">
        <v>1</v>
      </c>
      <c r="K531" s="3"/>
      <c r="L531" s="2" t="s">
        <v>356</v>
      </c>
      <c r="M531" s="2"/>
      <c r="N531" s="2">
        <v>1</v>
      </c>
      <c r="O531" s="2"/>
      <c r="P531" s="3" t="s">
        <v>1615</v>
      </c>
      <c r="Q531" s="95">
        <f t="shared" si="58"/>
        <v>5.7709803921568623</v>
      </c>
      <c r="R531" s="133">
        <f>IF(P531=模板计算相关数据!$AB$24,VLOOKUP(X531,模板计算相关数据!$P$47:$T$50,2,0),VLOOKUP(X531,模板计算相关数据!$P$4:$U$7,3,0))*VLOOKUP(Y531,模板计算相关数据!$P$22:$X$30,8,0)</f>
        <v>5.7709803921568623</v>
      </c>
      <c r="S531" s="62">
        <f t="shared" si="59"/>
        <v>6.4077918749199023</v>
      </c>
      <c r="T531" s="133">
        <f>IF(P531=模板计算相关数据!$AB$24,VLOOKUP(X531,模板计算相关数据!$P$47:$T$50,5,0),VLOOKUP(X531,模板计算相关数据!$P$4:$U$7,6,0))*VLOOKUP(Y531,模板计算相关数据!$P$22:$X$30,9,0)</f>
        <v>6.4077918749199023</v>
      </c>
      <c r="U531" s="98">
        <v>1</v>
      </c>
      <c r="V531" s="95">
        <f t="shared" si="60"/>
        <v>4</v>
      </c>
      <c r="W531" s="29">
        <f>VLOOKUP(U531,模板计算相关数据!A:N,2,0)</f>
        <v>1</v>
      </c>
      <c r="X531" s="3" t="s">
        <v>151</v>
      </c>
      <c r="Y531" s="3" t="s">
        <v>243</v>
      </c>
      <c r="Z531" s="99">
        <v>1</v>
      </c>
      <c r="AA531" s="95">
        <v>1</v>
      </c>
      <c r="AB531" s="95">
        <v>1</v>
      </c>
      <c r="AC531" s="95">
        <v>1</v>
      </c>
      <c r="AD531" s="95">
        <v>0</v>
      </c>
      <c r="AE531" s="95">
        <v>0</v>
      </c>
      <c r="AF531" s="95">
        <v>0</v>
      </c>
      <c r="AG531" s="95">
        <v>0</v>
      </c>
      <c r="AH531" s="95">
        <v>0</v>
      </c>
      <c r="AI531" s="95">
        <v>0</v>
      </c>
      <c r="AJ531" s="3">
        <f>INT(VLOOKUP(U531,模板计算相关数据!A:N,4,0)*VLOOKUP(U531,模板计算相关数据!A:N,14,0)*(1+MAX(0,(VLOOKUP(U531,模板计算相关数据!A:N,7,0)-AQ531))*VLOOKUP(U531,模板计算相关数据!A:N,8,0))*(1-(AL531+AM531)*0.5/((AL531+AM531)*0.5+(VLOOKUP(U531,模板计算相关数据!A:N,2,0)+模板计算相关数据!$AC$27)*模板计算相关数据!$AC$28))*Q531*Z531)</f>
        <v>411</v>
      </c>
      <c r="AK531" s="3">
        <f>INT(VLOOKUP(U531,模板计算相关数据!A:N,3,0)/模板计算相关数据!$W$35/(1+MAX(0,(AO531/10000-VLOOKUP(U531,模板计算相关数据!A:N,9,0)))*AP531/10000)/(1-VLOOKUP(U531,模板计算相关数据!A:N,5,0)/(VLOOKUP(U531,模板计算相关数据!A:N,5,0)+(VLOOKUP(U531,模板计算相关数据!A:N,2,0)+模板计算相关数据!$AC$27)*模板计算相关数据!$AC$28))/S531*AA531)</f>
        <v>86</v>
      </c>
      <c r="AL531" s="3">
        <f>INT(VLOOKUP(U531,模板计算相关数据!A:N,5,0)*VLOOKUP(X531,模板计算相关数据!$P$4:$T$7,4,0)*VLOOKUP(Y531,模板计算相关数据!$P$22:$U$30,4,0)*AB531)</f>
        <v>145</v>
      </c>
      <c r="AM531" s="3">
        <f>INT(VLOOKUP(U531,模板计算相关数据!A:N,6,0)*VLOOKUP(X531,模板计算相关数据!$P$4:$T$7,4,0)*VLOOKUP(Y531,模板计算相关数据!$P$22:$U$30,5,0)*AC531)</f>
        <v>264</v>
      </c>
      <c r="AN531" s="3">
        <f>VLOOKUP(U531,模板计算相关数据!A:N,10,0)*0.5*VLOOKUP(Y531,模板计算相关数据!$P$22:$U$30,6,0)+AD531</f>
        <v>275</v>
      </c>
      <c r="AO531" s="3">
        <f>VLOOKUP(INT(VLOOKUP(U531,模板计算相关数据!A:N,2,0)/30)+1,模板计算相关数据!$O$35:$U$40,3,0)+AE531</f>
        <v>0</v>
      </c>
      <c r="AP531" s="3">
        <f>VLOOKUP(INT(VLOOKUP(U531,模板计算相关数据!A:N,2,0)/30)+1,模板计算相关数据!$O$35:$U$40,4,0)+AF531</f>
        <v>5000</v>
      </c>
      <c r="AQ531" s="3">
        <f>VLOOKUP(INT(VLOOKUP(U531,模板计算相关数据!A:N,2,0)/30)+1,模板计算相关数据!$O$35:$U$40,5,0)+AG531</f>
        <v>0</v>
      </c>
      <c r="AR531" s="3">
        <f>VLOOKUP(INT(VLOOKUP(U531,模板计算相关数据!A:N,2,0)/30)+1,模板计算相关数据!$O$35:$U$40,6,0)+AH531</f>
        <v>0</v>
      </c>
      <c r="AS531" s="3">
        <f>VLOOKUP(INT(VLOOKUP(U531,模板计算相关数据!A:N,2,0)/30)+1,模板计算相关数据!$O$35:$U$40,7,0)+AI531</f>
        <v>0</v>
      </c>
      <c r="AT531" s="3">
        <f>VLOOKUP(INT(VLOOKUP(U531,模板计算相关数据!A:N,2,0)/30)+1,模板计算相关数据!$O$35:$V$40,8,0)</f>
        <v>0</v>
      </c>
      <c r="AU531" s="2"/>
    </row>
    <row r="532" spans="1:47" x14ac:dyDescent="0.2">
      <c r="A532" s="2">
        <v>307133</v>
      </c>
      <c r="B532" s="2"/>
      <c r="C532" s="2" t="s">
        <v>326</v>
      </c>
      <c r="D532" s="2" t="s">
        <v>1137</v>
      </c>
      <c r="E532" s="2"/>
      <c r="F532" s="127">
        <v>3</v>
      </c>
      <c r="G532" s="127">
        <v>101</v>
      </c>
      <c r="H532" s="3">
        <v>5</v>
      </c>
      <c r="I532" s="127">
        <v>5</v>
      </c>
      <c r="J532" s="127">
        <v>1</v>
      </c>
      <c r="K532" s="3"/>
      <c r="L532" s="2" t="s">
        <v>357</v>
      </c>
      <c r="M532" s="2"/>
      <c r="N532" s="2">
        <v>1</v>
      </c>
      <c r="O532" s="2"/>
      <c r="P532" s="3" t="s">
        <v>1615</v>
      </c>
      <c r="Q532" s="95">
        <f t="shared" si="58"/>
        <v>5.7709803921568623</v>
      </c>
      <c r="R532" s="133">
        <f>IF(P532=模板计算相关数据!$AB$24,VLOOKUP(X532,模板计算相关数据!$P$47:$T$50,2,0),VLOOKUP(X532,模板计算相关数据!$P$4:$U$7,3,0))*VLOOKUP(Y532,模板计算相关数据!$P$22:$X$30,8,0)</f>
        <v>5.7709803921568623</v>
      </c>
      <c r="S532" s="62">
        <f t="shared" si="59"/>
        <v>6.4077918749199023</v>
      </c>
      <c r="T532" s="133">
        <f>IF(P532=模板计算相关数据!$AB$24,VLOOKUP(X532,模板计算相关数据!$P$47:$T$50,5,0),VLOOKUP(X532,模板计算相关数据!$P$4:$U$7,6,0))*VLOOKUP(Y532,模板计算相关数据!$P$22:$X$30,9,0)</f>
        <v>6.4077918749199023</v>
      </c>
      <c r="U532" s="98">
        <v>1</v>
      </c>
      <c r="V532" s="95">
        <f t="shared" si="60"/>
        <v>4</v>
      </c>
      <c r="W532" s="29">
        <f>VLOOKUP(U532,模板计算相关数据!A:N,2,0)</f>
        <v>1</v>
      </c>
      <c r="X532" s="3" t="s">
        <v>151</v>
      </c>
      <c r="Y532" s="3" t="s">
        <v>243</v>
      </c>
      <c r="Z532" s="99">
        <v>1</v>
      </c>
      <c r="AA532" s="95">
        <v>1</v>
      </c>
      <c r="AB532" s="95">
        <v>1</v>
      </c>
      <c r="AC532" s="95">
        <v>1</v>
      </c>
      <c r="AD532" s="95">
        <v>0</v>
      </c>
      <c r="AE532" s="95">
        <v>0</v>
      </c>
      <c r="AF532" s="95">
        <v>0</v>
      </c>
      <c r="AG532" s="95">
        <v>0</v>
      </c>
      <c r="AH532" s="95">
        <v>0</v>
      </c>
      <c r="AI532" s="95">
        <v>0</v>
      </c>
      <c r="AJ532" s="3">
        <f>INT(VLOOKUP(U532,模板计算相关数据!A:N,4,0)*VLOOKUP(U532,模板计算相关数据!A:N,14,0)*(1+MAX(0,(VLOOKUP(U532,模板计算相关数据!A:N,7,0)-AQ532))*VLOOKUP(U532,模板计算相关数据!A:N,8,0))*(1-(AL532+AM532)*0.5/((AL532+AM532)*0.5+(VLOOKUP(U532,模板计算相关数据!A:N,2,0)+模板计算相关数据!$AC$27)*模板计算相关数据!$AC$28))*Q532*Z532)</f>
        <v>411</v>
      </c>
      <c r="AK532" s="3">
        <f>INT(VLOOKUP(U532,模板计算相关数据!A:N,3,0)/模板计算相关数据!$W$35/(1+MAX(0,(AO532/10000-VLOOKUP(U532,模板计算相关数据!A:N,9,0)))*AP532/10000)/(1-VLOOKUP(U532,模板计算相关数据!A:N,5,0)/(VLOOKUP(U532,模板计算相关数据!A:N,5,0)+(VLOOKUP(U532,模板计算相关数据!A:N,2,0)+模板计算相关数据!$AC$27)*模板计算相关数据!$AC$28))/S532*AA532)</f>
        <v>86</v>
      </c>
      <c r="AL532" s="3">
        <f>INT(VLOOKUP(U532,模板计算相关数据!A:N,5,0)*VLOOKUP(X532,模板计算相关数据!$P$4:$T$7,4,0)*VLOOKUP(Y532,模板计算相关数据!$P$22:$U$30,4,0)*AB532)</f>
        <v>145</v>
      </c>
      <c r="AM532" s="3">
        <f>INT(VLOOKUP(U532,模板计算相关数据!A:N,6,0)*VLOOKUP(X532,模板计算相关数据!$P$4:$T$7,4,0)*VLOOKUP(Y532,模板计算相关数据!$P$22:$U$30,5,0)*AC532)</f>
        <v>264</v>
      </c>
      <c r="AN532" s="3">
        <f>VLOOKUP(U532,模板计算相关数据!A:N,10,0)*0.5*VLOOKUP(Y532,模板计算相关数据!$P$22:$U$30,6,0)+AD532</f>
        <v>275</v>
      </c>
      <c r="AO532" s="3">
        <f>VLOOKUP(INT(VLOOKUP(U532,模板计算相关数据!A:N,2,0)/30)+1,模板计算相关数据!$O$35:$U$40,3,0)+AE532</f>
        <v>0</v>
      </c>
      <c r="AP532" s="3">
        <f>VLOOKUP(INT(VLOOKUP(U532,模板计算相关数据!A:N,2,0)/30)+1,模板计算相关数据!$O$35:$U$40,4,0)+AF532</f>
        <v>5000</v>
      </c>
      <c r="AQ532" s="3">
        <f>VLOOKUP(INT(VLOOKUP(U532,模板计算相关数据!A:N,2,0)/30)+1,模板计算相关数据!$O$35:$U$40,5,0)+AG532</f>
        <v>0</v>
      </c>
      <c r="AR532" s="3">
        <f>VLOOKUP(INT(VLOOKUP(U532,模板计算相关数据!A:N,2,0)/30)+1,模板计算相关数据!$O$35:$U$40,6,0)+AH532</f>
        <v>0</v>
      </c>
      <c r="AS532" s="3">
        <f>VLOOKUP(INT(VLOOKUP(U532,模板计算相关数据!A:N,2,0)/30)+1,模板计算相关数据!$O$35:$U$40,7,0)+AI532</f>
        <v>0</v>
      </c>
      <c r="AT532" s="3">
        <f>VLOOKUP(INT(VLOOKUP(U532,模板计算相关数据!A:N,2,0)/30)+1,模板计算相关数据!$O$35:$V$40,8,0)</f>
        <v>0</v>
      </c>
      <c r="AU532" s="2"/>
    </row>
    <row r="533" spans="1:47" x14ac:dyDescent="0.2">
      <c r="A533" s="2">
        <v>307134</v>
      </c>
      <c r="B533" s="2"/>
      <c r="C533" s="2" t="s">
        <v>326</v>
      </c>
      <c r="D533" s="2" t="s">
        <v>1138</v>
      </c>
      <c r="E533" s="2"/>
      <c r="F533" s="127">
        <v>3</v>
      </c>
      <c r="G533" s="127">
        <v>101</v>
      </c>
      <c r="H533" s="3">
        <v>5</v>
      </c>
      <c r="I533" s="127">
        <v>5</v>
      </c>
      <c r="J533" s="127">
        <v>1</v>
      </c>
      <c r="K533" s="3"/>
      <c r="L533" s="2" t="s">
        <v>358</v>
      </c>
      <c r="M533" s="2"/>
      <c r="N533" s="2">
        <v>1</v>
      </c>
      <c r="O533" s="2"/>
      <c r="P533" s="3" t="s">
        <v>1615</v>
      </c>
      <c r="Q533" s="95">
        <f t="shared" si="58"/>
        <v>5.7709803921568623</v>
      </c>
      <c r="R533" s="133">
        <f>IF(P533=模板计算相关数据!$AB$24,VLOOKUP(X533,模板计算相关数据!$P$47:$T$50,2,0),VLOOKUP(X533,模板计算相关数据!$P$4:$U$7,3,0))*VLOOKUP(Y533,模板计算相关数据!$P$22:$X$30,8,0)</f>
        <v>5.7709803921568623</v>
      </c>
      <c r="S533" s="62">
        <f t="shared" si="59"/>
        <v>6.4077918749199023</v>
      </c>
      <c r="T533" s="133">
        <f>IF(P533=模板计算相关数据!$AB$24,VLOOKUP(X533,模板计算相关数据!$P$47:$T$50,5,0),VLOOKUP(X533,模板计算相关数据!$P$4:$U$7,6,0))*VLOOKUP(Y533,模板计算相关数据!$P$22:$X$30,9,0)</f>
        <v>6.4077918749199023</v>
      </c>
      <c r="U533" s="98">
        <v>1</v>
      </c>
      <c r="V533" s="95">
        <f t="shared" si="60"/>
        <v>4</v>
      </c>
      <c r="W533" s="29">
        <f>VLOOKUP(U533,模板计算相关数据!A:N,2,0)</f>
        <v>1</v>
      </c>
      <c r="X533" s="3" t="s">
        <v>151</v>
      </c>
      <c r="Y533" s="3" t="s">
        <v>243</v>
      </c>
      <c r="Z533" s="99">
        <v>1</v>
      </c>
      <c r="AA533" s="95">
        <v>1</v>
      </c>
      <c r="AB533" s="95">
        <v>1</v>
      </c>
      <c r="AC533" s="95">
        <v>1</v>
      </c>
      <c r="AD533" s="95">
        <v>0</v>
      </c>
      <c r="AE533" s="95">
        <v>0</v>
      </c>
      <c r="AF533" s="95">
        <v>0</v>
      </c>
      <c r="AG533" s="95">
        <v>0</v>
      </c>
      <c r="AH533" s="95">
        <v>0</v>
      </c>
      <c r="AI533" s="95">
        <v>0</v>
      </c>
      <c r="AJ533" s="3">
        <f>INT(VLOOKUP(U533,模板计算相关数据!A:N,4,0)*VLOOKUP(U533,模板计算相关数据!A:N,14,0)*(1+MAX(0,(VLOOKUP(U533,模板计算相关数据!A:N,7,0)-AQ533))*VLOOKUP(U533,模板计算相关数据!A:N,8,0))*(1-(AL533+AM533)*0.5/((AL533+AM533)*0.5+(VLOOKUP(U533,模板计算相关数据!A:N,2,0)+模板计算相关数据!$AC$27)*模板计算相关数据!$AC$28))*Q533*Z533)</f>
        <v>411</v>
      </c>
      <c r="AK533" s="3">
        <f>INT(VLOOKUP(U533,模板计算相关数据!A:N,3,0)/模板计算相关数据!$W$35/(1+MAX(0,(AO533/10000-VLOOKUP(U533,模板计算相关数据!A:N,9,0)))*AP533/10000)/(1-VLOOKUP(U533,模板计算相关数据!A:N,5,0)/(VLOOKUP(U533,模板计算相关数据!A:N,5,0)+(VLOOKUP(U533,模板计算相关数据!A:N,2,0)+模板计算相关数据!$AC$27)*模板计算相关数据!$AC$28))/S533*AA533)</f>
        <v>86</v>
      </c>
      <c r="AL533" s="3">
        <f>INT(VLOOKUP(U533,模板计算相关数据!A:N,5,0)*VLOOKUP(X533,模板计算相关数据!$P$4:$T$7,4,0)*VLOOKUP(Y533,模板计算相关数据!$P$22:$U$30,4,0)*AB533)</f>
        <v>145</v>
      </c>
      <c r="AM533" s="3">
        <f>INT(VLOOKUP(U533,模板计算相关数据!A:N,6,0)*VLOOKUP(X533,模板计算相关数据!$P$4:$T$7,4,0)*VLOOKUP(Y533,模板计算相关数据!$P$22:$U$30,5,0)*AC533)</f>
        <v>264</v>
      </c>
      <c r="AN533" s="3">
        <f>VLOOKUP(U533,模板计算相关数据!A:N,10,0)*0.5*VLOOKUP(Y533,模板计算相关数据!$P$22:$U$30,6,0)+AD533</f>
        <v>275</v>
      </c>
      <c r="AO533" s="3">
        <f>VLOOKUP(INT(VLOOKUP(U533,模板计算相关数据!A:N,2,0)/30)+1,模板计算相关数据!$O$35:$U$40,3,0)+AE533</f>
        <v>0</v>
      </c>
      <c r="AP533" s="3">
        <f>VLOOKUP(INT(VLOOKUP(U533,模板计算相关数据!A:N,2,0)/30)+1,模板计算相关数据!$O$35:$U$40,4,0)+AF533</f>
        <v>5000</v>
      </c>
      <c r="AQ533" s="3">
        <f>VLOOKUP(INT(VLOOKUP(U533,模板计算相关数据!A:N,2,0)/30)+1,模板计算相关数据!$O$35:$U$40,5,0)+AG533</f>
        <v>0</v>
      </c>
      <c r="AR533" s="3">
        <f>VLOOKUP(INT(VLOOKUP(U533,模板计算相关数据!A:N,2,0)/30)+1,模板计算相关数据!$O$35:$U$40,6,0)+AH533</f>
        <v>0</v>
      </c>
      <c r="AS533" s="3">
        <f>VLOOKUP(INT(VLOOKUP(U533,模板计算相关数据!A:N,2,0)/30)+1,模板计算相关数据!$O$35:$U$40,7,0)+AI533</f>
        <v>0</v>
      </c>
      <c r="AT533" s="3">
        <f>VLOOKUP(INT(VLOOKUP(U533,模板计算相关数据!A:N,2,0)/30)+1,模板计算相关数据!$O$35:$V$40,8,0)</f>
        <v>0</v>
      </c>
      <c r="AU533" s="2"/>
    </row>
    <row r="534" spans="1:47" x14ac:dyDescent="0.2">
      <c r="A534" s="2">
        <v>307135</v>
      </c>
      <c r="B534" s="2"/>
      <c r="C534" s="2" t="s">
        <v>343</v>
      </c>
      <c r="D534" s="2" t="s">
        <v>1136</v>
      </c>
      <c r="E534" s="2"/>
      <c r="F534" s="127">
        <v>3</v>
      </c>
      <c r="G534" s="127">
        <v>101</v>
      </c>
      <c r="H534" s="3">
        <v>3</v>
      </c>
      <c r="I534" s="127">
        <v>5</v>
      </c>
      <c r="J534" s="127">
        <v>1</v>
      </c>
      <c r="K534" s="3"/>
      <c r="L534" s="2" t="s">
        <v>359</v>
      </c>
      <c r="M534" s="2"/>
      <c r="N534" s="2">
        <v>1</v>
      </c>
      <c r="O534" s="2"/>
      <c r="P534" s="3" t="s">
        <v>1615</v>
      </c>
      <c r="Q534" s="95">
        <f t="shared" si="58"/>
        <v>5.6000000000000014</v>
      </c>
      <c r="R534" s="133">
        <f>IF(P534=模板计算相关数据!$AB$24,VLOOKUP(X534,模板计算相关数据!$P$47:$T$50,2,0),VLOOKUP(X534,模板计算相关数据!$P$4:$U$7,3,0))*VLOOKUP(Y534,模板计算相关数据!$P$22:$X$30,8,0)</f>
        <v>5.6000000000000014</v>
      </c>
      <c r="S534" s="62">
        <f t="shared" si="59"/>
        <v>6.6693344004268367</v>
      </c>
      <c r="T534" s="133">
        <f>IF(P534=模板计算相关数据!$AB$24,VLOOKUP(X534,模板计算相关数据!$P$47:$T$50,5,0),VLOOKUP(X534,模板计算相关数据!$P$4:$U$7,6,0))*VLOOKUP(Y534,模板计算相关数据!$P$22:$X$30,9,0)</f>
        <v>6.6693344004268367</v>
      </c>
      <c r="U534" s="98">
        <v>1</v>
      </c>
      <c r="V534" s="95">
        <f t="shared" si="60"/>
        <v>4</v>
      </c>
      <c r="W534" s="29">
        <f>VLOOKUP(U534,模板计算相关数据!A:N,2,0)</f>
        <v>1</v>
      </c>
      <c r="X534" s="3" t="s">
        <v>151</v>
      </c>
      <c r="Y534" s="3" t="s">
        <v>255</v>
      </c>
      <c r="Z534" s="99">
        <v>1</v>
      </c>
      <c r="AA534" s="95">
        <v>1</v>
      </c>
      <c r="AB534" s="95">
        <v>1</v>
      </c>
      <c r="AC534" s="95">
        <v>1</v>
      </c>
      <c r="AD534" s="95">
        <v>0</v>
      </c>
      <c r="AE534" s="95">
        <v>0</v>
      </c>
      <c r="AF534" s="95">
        <v>0</v>
      </c>
      <c r="AG534" s="95">
        <v>0</v>
      </c>
      <c r="AH534" s="95">
        <v>0</v>
      </c>
      <c r="AI534" s="95">
        <v>0</v>
      </c>
      <c r="AJ534" s="3">
        <f>INT(VLOOKUP(U534,模板计算相关数据!A:N,4,0)*VLOOKUP(U534,模板计算相关数据!A:N,14,0)*(1+MAX(0,(VLOOKUP(U534,模板计算相关数据!A:N,7,0)-AQ534))*VLOOKUP(U534,模板计算相关数据!A:N,8,0))*(1-(AL534+AM534)*0.5/((AL534+AM534)*0.5+(VLOOKUP(U534,模板计算相关数据!A:N,2,0)+模板计算相关数据!$AC$27)*模板计算相关数据!$AC$28))*Q534*Z534)</f>
        <v>394</v>
      </c>
      <c r="AK534" s="3">
        <f>INT(VLOOKUP(U534,模板计算相关数据!A:N,3,0)/模板计算相关数据!$W$35/(1+MAX(0,(AO534/10000-VLOOKUP(U534,模板计算相关数据!A:N,9,0)))*AP534/10000)/(1-VLOOKUP(U534,模板计算相关数据!A:N,5,0)/(VLOOKUP(U534,模板计算相关数据!A:N,5,0)+(VLOOKUP(U534,模板计算相关数据!A:N,2,0)+模板计算相关数据!$AC$27)*模板计算相关数据!$AC$28))/S534*AA534)</f>
        <v>83</v>
      </c>
      <c r="AL534" s="3">
        <f>INT(VLOOKUP(U534,模板计算相关数据!A:N,5,0)*VLOOKUP(X534,模板计算相关数据!$P$4:$T$7,4,0)*VLOOKUP(Y534,模板计算相关数据!$P$22:$U$30,4,0)*AB534)</f>
        <v>149</v>
      </c>
      <c r="AM534" s="3">
        <f>INT(VLOOKUP(U534,模板计算相关数据!A:N,6,0)*VLOOKUP(X534,模板计算相关数据!$P$4:$T$7,4,0)*VLOOKUP(Y534,模板计算相关数据!$P$22:$U$30,5,0)*AC534)</f>
        <v>277</v>
      </c>
      <c r="AN534" s="3">
        <f>VLOOKUP(U534,模板计算相关数据!A:N,10,0)*0.5*VLOOKUP(Y534,模板计算相关数据!$P$22:$U$30,6,0)+AD534</f>
        <v>225</v>
      </c>
      <c r="AO534" s="3">
        <f>VLOOKUP(INT(VLOOKUP(U534,模板计算相关数据!A:N,2,0)/30)+1,模板计算相关数据!$O$35:$U$40,3,0)+AE534</f>
        <v>0</v>
      </c>
      <c r="AP534" s="3">
        <f>VLOOKUP(INT(VLOOKUP(U534,模板计算相关数据!A:N,2,0)/30)+1,模板计算相关数据!$O$35:$U$40,4,0)+AF534</f>
        <v>5000</v>
      </c>
      <c r="AQ534" s="3">
        <f>VLOOKUP(INT(VLOOKUP(U534,模板计算相关数据!A:N,2,0)/30)+1,模板计算相关数据!$O$35:$U$40,5,0)+AG534</f>
        <v>0</v>
      </c>
      <c r="AR534" s="3">
        <f>VLOOKUP(INT(VLOOKUP(U534,模板计算相关数据!A:N,2,0)/30)+1,模板计算相关数据!$O$35:$U$40,6,0)+AH534</f>
        <v>0</v>
      </c>
      <c r="AS534" s="3">
        <f>VLOOKUP(INT(VLOOKUP(U534,模板计算相关数据!A:N,2,0)/30)+1,模板计算相关数据!$O$35:$U$40,7,0)+AI534</f>
        <v>0</v>
      </c>
      <c r="AT534" s="3">
        <f>VLOOKUP(INT(VLOOKUP(U534,模板计算相关数据!A:N,2,0)/30)+1,模板计算相关数据!$O$35:$V$40,8,0)</f>
        <v>0</v>
      </c>
      <c r="AU534" s="2"/>
    </row>
    <row r="535" spans="1:47" x14ac:dyDescent="0.2">
      <c r="A535" s="2">
        <v>307136</v>
      </c>
      <c r="B535" s="2"/>
      <c r="C535" s="2" t="s">
        <v>343</v>
      </c>
      <c r="D535" s="2" t="s">
        <v>1137</v>
      </c>
      <c r="E535" s="2"/>
      <c r="F535" s="127">
        <v>3</v>
      </c>
      <c r="G535" s="127">
        <v>101</v>
      </c>
      <c r="H535" s="3">
        <v>3</v>
      </c>
      <c r="I535" s="127">
        <v>5</v>
      </c>
      <c r="J535" s="127">
        <v>1</v>
      </c>
      <c r="K535" s="3"/>
      <c r="L535" s="2" t="s">
        <v>360</v>
      </c>
      <c r="M535" s="2"/>
      <c r="N535" s="2">
        <v>1</v>
      </c>
      <c r="O535" s="2"/>
      <c r="P535" s="3" t="s">
        <v>1615</v>
      </c>
      <c r="Q535" s="95">
        <f t="shared" ref="Q535:Q598" si="61">R535</f>
        <v>5.6000000000000014</v>
      </c>
      <c r="R535" s="133">
        <f>IF(P535=模板计算相关数据!$AB$24,VLOOKUP(X535,模板计算相关数据!$P$47:$T$50,2,0),VLOOKUP(X535,模板计算相关数据!$P$4:$U$7,3,0))*VLOOKUP(Y535,模板计算相关数据!$P$22:$X$30,8,0)</f>
        <v>5.6000000000000014</v>
      </c>
      <c r="S535" s="62">
        <f t="shared" ref="S535:S598" si="62">T535</f>
        <v>6.6693344004268367</v>
      </c>
      <c r="T535" s="133">
        <f>IF(P535=模板计算相关数据!$AB$24,VLOOKUP(X535,模板计算相关数据!$P$47:$T$50,5,0),VLOOKUP(X535,模板计算相关数据!$P$4:$U$7,6,0))*VLOOKUP(Y535,模板计算相关数据!$P$22:$X$30,9,0)</f>
        <v>6.6693344004268367</v>
      </c>
      <c r="U535" s="98">
        <v>1</v>
      </c>
      <c r="V535" s="95">
        <f t="shared" si="60"/>
        <v>4</v>
      </c>
      <c r="W535" s="29">
        <f>VLOOKUP(U535,模板计算相关数据!A:N,2,0)</f>
        <v>1</v>
      </c>
      <c r="X535" s="3" t="s">
        <v>151</v>
      </c>
      <c r="Y535" s="3" t="s">
        <v>255</v>
      </c>
      <c r="Z535" s="99">
        <v>1</v>
      </c>
      <c r="AA535" s="95">
        <v>1</v>
      </c>
      <c r="AB535" s="95">
        <v>1</v>
      </c>
      <c r="AC535" s="95">
        <v>1</v>
      </c>
      <c r="AD535" s="95">
        <v>0</v>
      </c>
      <c r="AE535" s="95">
        <v>0</v>
      </c>
      <c r="AF535" s="95">
        <v>0</v>
      </c>
      <c r="AG535" s="95">
        <v>0</v>
      </c>
      <c r="AH535" s="95">
        <v>0</v>
      </c>
      <c r="AI535" s="95">
        <v>0</v>
      </c>
      <c r="AJ535" s="3">
        <f>INT(VLOOKUP(U535,模板计算相关数据!A:N,4,0)*VLOOKUP(U535,模板计算相关数据!A:N,14,0)*(1+MAX(0,(VLOOKUP(U535,模板计算相关数据!A:N,7,0)-AQ535))*VLOOKUP(U535,模板计算相关数据!A:N,8,0))*(1-(AL535+AM535)*0.5/((AL535+AM535)*0.5+(VLOOKUP(U535,模板计算相关数据!A:N,2,0)+模板计算相关数据!$AC$27)*模板计算相关数据!$AC$28))*Q535*Z535)</f>
        <v>394</v>
      </c>
      <c r="AK535" s="3">
        <f>INT(VLOOKUP(U535,模板计算相关数据!A:N,3,0)/模板计算相关数据!$W$35/(1+MAX(0,(AO535/10000-VLOOKUP(U535,模板计算相关数据!A:N,9,0)))*AP535/10000)/(1-VLOOKUP(U535,模板计算相关数据!A:N,5,0)/(VLOOKUP(U535,模板计算相关数据!A:N,5,0)+(VLOOKUP(U535,模板计算相关数据!A:N,2,0)+模板计算相关数据!$AC$27)*模板计算相关数据!$AC$28))/S535*AA535)</f>
        <v>83</v>
      </c>
      <c r="AL535" s="3">
        <f>INT(VLOOKUP(U535,模板计算相关数据!A:N,5,0)*VLOOKUP(X535,模板计算相关数据!$P$4:$T$7,4,0)*VLOOKUP(Y535,模板计算相关数据!$P$22:$U$30,4,0)*AB535)</f>
        <v>149</v>
      </c>
      <c r="AM535" s="3">
        <f>INT(VLOOKUP(U535,模板计算相关数据!A:N,6,0)*VLOOKUP(X535,模板计算相关数据!$P$4:$T$7,4,0)*VLOOKUP(Y535,模板计算相关数据!$P$22:$U$30,5,0)*AC535)</f>
        <v>277</v>
      </c>
      <c r="AN535" s="3">
        <f>VLOOKUP(U535,模板计算相关数据!A:N,10,0)*0.5*VLOOKUP(Y535,模板计算相关数据!$P$22:$U$30,6,0)+AD535</f>
        <v>225</v>
      </c>
      <c r="AO535" s="3">
        <f>VLOOKUP(INT(VLOOKUP(U535,模板计算相关数据!A:N,2,0)/30)+1,模板计算相关数据!$O$35:$U$40,3,0)+AE535</f>
        <v>0</v>
      </c>
      <c r="AP535" s="3">
        <f>VLOOKUP(INT(VLOOKUP(U535,模板计算相关数据!A:N,2,0)/30)+1,模板计算相关数据!$O$35:$U$40,4,0)+AF535</f>
        <v>5000</v>
      </c>
      <c r="AQ535" s="3">
        <f>VLOOKUP(INT(VLOOKUP(U535,模板计算相关数据!A:N,2,0)/30)+1,模板计算相关数据!$O$35:$U$40,5,0)+AG535</f>
        <v>0</v>
      </c>
      <c r="AR535" s="3">
        <f>VLOOKUP(INT(VLOOKUP(U535,模板计算相关数据!A:N,2,0)/30)+1,模板计算相关数据!$O$35:$U$40,6,0)+AH535</f>
        <v>0</v>
      </c>
      <c r="AS535" s="3">
        <f>VLOOKUP(INT(VLOOKUP(U535,模板计算相关数据!A:N,2,0)/30)+1,模板计算相关数据!$O$35:$U$40,7,0)+AI535</f>
        <v>0</v>
      </c>
      <c r="AT535" s="3">
        <f>VLOOKUP(INT(VLOOKUP(U535,模板计算相关数据!A:N,2,0)/30)+1,模板计算相关数据!$O$35:$V$40,8,0)</f>
        <v>0</v>
      </c>
      <c r="AU535" s="2"/>
    </row>
    <row r="536" spans="1:47" x14ac:dyDescent="0.2">
      <c r="A536" s="2">
        <v>307137</v>
      </c>
      <c r="B536" s="2"/>
      <c r="C536" s="2" t="s">
        <v>343</v>
      </c>
      <c r="D536" s="2" t="s">
        <v>1138</v>
      </c>
      <c r="E536" s="2"/>
      <c r="F536" s="127">
        <v>3</v>
      </c>
      <c r="G536" s="127">
        <v>101</v>
      </c>
      <c r="H536" s="3">
        <v>3</v>
      </c>
      <c r="I536" s="127">
        <v>5</v>
      </c>
      <c r="J536" s="127">
        <v>1</v>
      </c>
      <c r="K536" s="3"/>
      <c r="L536" s="2" t="s">
        <v>361</v>
      </c>
      <c r="M536" s="2"/>
      <c r="N536" s="2">
        <v>1</v>
      </c>
      <c r="O536" s="2"/>
      <c r="P536" s="3" t="s">
        <v>1615</v>
      </c>
      <c r="Q536" s="95">
        <f t="shared" si="61"/>
        <v>5.6000000000000014</v>
      </c>
      <c r="R536" s="133">
        <f>IF(P536=模板计算相关数据!$AB$24,VLOOKUP(X536,模板计算相关数据!$P$47:$T$50,2,0),VLOOKUP(X536,模板计算相关数据!$P$4:$U$7,3,0))*VLOOKUP(Y536,模板计算相关数据!$P$22:$X$30,8,0)</f>
        <v>5.6000000000000014</v>
      </c>
      <c r="S536" s="62">
        <f t="shared" si="62"/>
        <v>6.6693344004268367</v>
      </c>
      <c r="T536" s="133">
        <f>IF(P536=模板计算相关数据!$AB$24,VLOOKUP(X536,模板计算相关数据!$P$47:$T$50,5,0),VLOOKUP(X536,模板计算相关数据!$P$4:$U$7,6,0))*VLOOKUP(Y536,模板计算相关数据!$P$22:$X$30,9,0)</f>
        <v>6.6693344004268367</v>
      </c>
      <c r="U536" s="98">
        <v>1</v>
      </c>
      <c r="V536" s="95">
        <f t="shared" si="60"/>
        <v>4</v>
      </c>
      <c r="W536" s="29">
        <f>VLOOKUP(U536,模板计算相关数据!A:N,2,0)</f>
        <v>1</v>
      </c>
      <c r="X536" s="3" t="s">
        <v>151</v>
      </c>
      <c r="Y536" s="3" t="s">
        <v>255</v>
      </c>
      <c r="Z536" s="99">
        <v>1</v>
      </c>
      <c r="AA536" s="95">
        <v>1</v>
      </c>
      <c r="AB536" s="95">
        <v>1</v>
      </c>
      <c r="AC536" s="95">
        <v>1</v>
      </c>
      <c r="AD536" s="95">
        <v>0</v>
      </c>
      <c r="AE536" s="95">
        <v>0</v>
      </c>
      <c r="AF536" s="95">
        <v>0</v>
      </c>
      <c r="AG536" s="95">
        <v>0</v>
      </c>
      <c r="AH536" s="95">
        <v>0</v>
      </c>
      <c r="AI536" s="95">
        <v>0</v>
      </c>
      <c r="AJ536" s="3">
        <f>INT(VLOOKUP(U536,模板计算相关数据!A:N,4,0)*VLOOKUP(U536,模板计算相关数据!A:N,14,0)*(1+MAX(0,(VLOOKUP(U536,模板计算相关数据!A:N,7,0)-AQ536))*VLOOKUP(U536,模板计算相关数据!A:N,8,0))*(1-(AL536+AM536)*0.5/((AL536+AM536)*0.5+(VLOOKUP(U536,模板计算相关数据!A:N,2,0)+模板计算相关数据!$AC$27)*模板计算相关数据!$AC$28))*Q536*Z536)</f>
        <v>394</v>
      </c>
      <c r="AK536" s="3">
        <f>INT(VLOOKUP(U536,模板计算相关数据!A:N,3,0)/模板计算相关数据!$W$35/(1+MAX(0,(AO536/10000-VLOOKUP(U536,模板计算相关数据!A:N,9,0)))*AP536/10000)/(1-VLOOKUP(U536,模板计算相关数据!A:N,5,0)/(VLOOKUP(U536,模板计算相关数据!A:N,5,0)+(VLOOKUP(U536,模板计算相关数据!A:N,2,0)+模板计算相关数据!$AC$27)*模板计算相关数据!$AC$28))/S536*AA536)</f>
        <v>83</v>
      </c>
      <c r="AL536" s="3">
        <f>INT(VLOOKUP(U536,模板计算相关数据!A:N,5,0)*VLOOKUP(X536,模板计算相关数据!$P$4:$T$7,4,0)*VLOOKUP(Y536,模板计算相关数据!$P$22:$U$30,4,0)*AB536)</f>
        <v>149</v>
      </c>
      <c r="AM536" s="3">
        <f>INT(VLOOKUP(U536,模板计算相关数据!A:N,6,0)*VLOOKUP(X536,模板计算相关数据!$P$4:$T$7,4,0)*VLOOKUP(Y536,模板计算相关数据!$P$22:$U$30,5,0)*AC536)</f>
        <v>277</v>
      </c>
      <c r="AN536" s="3">
        <f>VLOOKUP(U536,模板计算相关数据!A:N,10,0)*0.5*VLOOKUP(Y536,模板计算相关数据!$P$22:$U$30,6,0)+AD536</f>
        <v>225</v>
      </c>
      <c r="AO536" s="3">
        <f>VLOOKUP(INT(VLOOKUP(U536,模板计算相关数据!A:N,2,0)/30)+1,模板计算相关数据!$O$35:$U$40,3,0)+AE536</f>
        <v>0</v>
      </c>
      <c r="AP536" s="3">
        <f>VLOOKUP(INT(VLOOKUP(U536,模板计算相关数据!A:N,2,0)/30)+1,模板计算相关数据!$O$35:$U$40,4,0)+AF536</f>
        <v>5000</v>
      </c>
      <c r="AQ536" s="3">
        <f>VLOOKUP(INT(VLOOKUP(U536,模板计算相关数据!A:N,2,0)/30)+1,模板计算相关数据!$O$35:$U$40,5,0)+AG536</f>
        <v>0</v>
      </c>
      <c r="AR536" s="3">
        <f>VLOOKUP(INT(VLOOKUP(U536,模板计算相关数据!A:N,2,0)/30)+1,模板计算相关数据!$O$35:$U$40,6,0)+AH536</f>
        <v>0</v>
      </c>
      <c r="AS536" s="3">
        <f>VLOOKUP(INT(VLOOKUP(U536,模板计算相关数据!A:N,2,0)/30)+1,模板计算相关数据!$O$35:$U$40,7,0)+AI536</f>
        <v>0</v>
      </c>
      <c r="AT536" s="3">
        <f>VLOOKUP(INT(VLOOKUP(U536,模板计算相关数据!A:N,2,0)/30)+1,模板计算相关数据!$O$35:$V$40,8,0)</f>
        <v>0</v>
      </c>
      <c r="AU536" s="2"/>
    </row>
    <row r="537" spans="1:47" x14ac:dyDescent="0.2">
      <c r="A537" s="17">
        <v>307138</v>
      </c>
      <c r="B537" s="17"/>
      <c r="C537" s="24" t="s">
        <v>362</v>
      </c>
      <c r="D537" s="153" t="s">
        <v>1139</v>
      </c>
      <c r="E537" s="17"/>
      <c r="F537" s="152">
        <v>3</v>
      </c>
      <c r="G537" s="152">
        <v>101</v>
      </c>
      <c r="H537" s="43">
        <v>4</v>
      </c>
      <c r="I537" s="152">
        <v>5</v>
      </c>
      <c r="J537" s="152">
        <v>1</v>
      </c>
      <c r="K537" s="3"/>
      <c r="L537" s="2" t="s">
        <v>363</v>
      </c>
      <c r="M537" s="2"/>
      <c r="N537" s="2">
        <v>1</v>
      </c>
      <c r="O537" s="2"/>
      <c r="P537" s="3" t="s">
        <v>1615</v>
      </c>
      <c r="Q537" s="95">
        <f t="shared" si="61"/>
        <v>4.4674509803921572</v>
      </c>
      <c r="R537" s="133">
        <f>IF(P537=模板计算相关数据!$AB$24,VLOOKUP(X537,模板计算相关数据!$P$47:$T$50,2,0),VLOOKUP(X537,模板计算相关数据!$P$4:$U$7,3,0))*VLOOKUP(Y537,模板计算相关数据!$P$22:$X$30,8,0)</f>
        <v>4.4674509803921572</v>
      </c>
      <c r="S537" s="62">
        <f t="shared" si="62"/>
        <v>5.4739930589768004</v>
      </c>
      <c r="T537" s="133">
        <f>IF(P537=模板计算相关数据!$AB$24,VLOOKUP(X537,模板计算相关数据!$P$47:$T$50,5,0),VLOOKUP(X537,模板计算相关数据!$P$4:$U$7,6,0))*VLOOKUP(Y537,模板计算相关数据!$P$22:$X$30,9,0)</f>
        <v>5.4739930589768004</v>
      </c>
      <c r="U537" s="98">
        <v>1</v>
      </c>
      <c r="V537" s="95">
        <f t="shared" si="60"/>
        <v>4</v>
      </c>
      <c r="W537" s="29">
        <f>VLOOKUP(U537,模板计算相关数据!A:N,2,0)</f>
        <v>1</v>
      </c>
      <c r="X537" s="3" t="s">
        <v>151</v>
      </c>
      <c r="Y537" s="3" t="s">
        <v>162</v>
      </c>
      <c r="Z537" s="99">
        <v>1</v>
      </c>
      <c r="AA537" s="95">
        <v>1</v>
      </c>
      <c r="AB537" s="95">
        <v>1</v>
      </c>
      <c r="AC537" s="95">
        <v>1</v>
      </c>
      <c r="AD537" s="95">
        <v>0</v>
      </c>
      <c r="AE537" s="95">
        <v>0</v>
      </c>
      <c r="AF537" s="95">
        <v>0</v>
      </c>
      <c r="AG537" s="95">
        <v>0</v>
      </c>
      <c r="AH537" s="95">
        <v>0</v>
      </c>
      <c r="AI537" s="95">
        <v>0</v>
      </c>
      <c r="AJ537" s="3">
        <f>INT(VLOOKUP(U537,模板计算相关数据!A:N,4,0)*VLOOKUP(U537,模板计算相关数据!A:N,14,0)*(1+MAX(0,(VLOOKUP(U537,模板计算相关数据!A:N,7,0)-AQ537))*VLOOKUP(U537,模板计算相关数据!A:N,8,0))*(1-(AL537+AM537)*0.5/((AL537+AM537)*0.5+(VLOOKUP(U537,模板计算相关数据!A:N,2,0)+模板计算相关数据!$AC$27)*模板计算相关数据!$AC$28))*Q537*Z537)</f>
        <v>328</v>
      </c>
      <c r="AK537" s="3">
        <f>INT(VLOOKUP(U537,模板计算相关数据!A:N,3,0)/模板计算相关数据!$W$35/(1+MAX(0,(AO537/10000-VLOOKUP(U537,模板计算相关数据!A:N,9,0)))*AP537/10000)/(1-VLOOKUP(U537,模板计算相关数据!A:N,5,0)/(VLOOKUP(U537,模板计算相关数据!A:N,5,0)+(VLOOKUP(U537,模板计算相关数据!A:N,2,0)+模板计算相关数据!$AC$27)*模板计算相关数据!$AC$28))/S537*AA537)</f>
        <v>101</v>
      </c>
      <c r="AL537" s="3">
        <f>INT(VLOOKUP(U537,模板计算相关数据!A:N,5,0)*VLOOKUP(X537,模板计算相关数据!$P$4:$T$7,4,0)*VLOOKUP(Y537,模板计算相关数据!$P$22:$U$30,4,0)*AB537)</f>
        <v>136</v>
      </c>
      <c r="AM537" s="3">
        <f>INT(VLOOKUP(U537,模板计算相关数据!A:N,6,0)*VLOOKUP(X537,模板计算相关数据!$P$4:$T$7,4,0)*VLOOKUP(Y537,模板计算相关数据!$P$22:$U$30,5,0)*AC537)</f>
        <v>230</v>
      </c>
      <c r="AN537" s="3">
        <f>VLOOKUP(U537,模板计算相关数据!A:N,10,0)*0.5*VLOOKUP(Y537,模板计算相关数据!$P$22:$U$30,6,0)+AD537</f>
        <v>250</v>
      </c>
      <c r="AO537" s="3">
        <f>VLOOKUP(INT(VLOOKUP(U537,模板计算相关数据!A:N,2,0)/30)+1,模板计算相关数据!$O$35:$U$40,3,0)+AE537</f>
        <v>0</v>
      </c>
      <c r="AP537" s="3">
        <f>VLOOKUP(INT(VLOOKUP(U537,模板计算相关数据!A:N,2,0)/30)+1,模板计算相关数据!$O$35:$U$40,4,0)+AF537</f>
        <v>5000</v>
      </c>
      <c r="AQ537" s="3">
        <f>VLOOKUP(INT(VLOOKUP(U537,模板计算相关数据!A:N,2,0)/30)+1,模板计算相关数据!$O$35:$U$40,5,0)+AG537</f>
        <v>0</v>
      </c>
      <c r="AR537" s="3">
        <f>VLOOKUP(INT(VLOOKUP(U537,模板计算相关数据!A:N,2,0)/30)+1,模板计算相关数据!$O$35:$U$40,6,0)+AH537</f>
        <v>0</v>
      </c>
      <c r="AS537" s="3">
        <f>VLOOKUP(INT(VLOOKUP(U537,模板计算相关数据!A:N,2,0)/30)+1,模板计算相关数据!$O$35:$U$40,7,0)+AI537</f>
        <v>0</v>
      </c>
      <c r="AT537" s="3">
        <f>VLOOKUP(INT(VLOOKUP(U537,模板计算相关数据!A:N,2,0)/30)+1,模板计算相关数据!$O$35:$V$40,8,0)</f>
        <v>0</v>
      </c>
      <c r="AU537" s="2"/>
    </row>
    <row r="538" spans="1:47" x14ac:dyDescent="0.2">
      <c r="A538" s="2">
        <v>307139</v>
      </c>
      <c r="B538" s="2"/>
      <c r="C538" s="2" t="s">
        <v>364</v>
      </c>
      <c r="D538" s="69" t="s">
        <v>1140</v>
      </c>
      <c r="E538" s="2"/>
      <c r="F538" s="127">
        <v>3</v>
      </c>
      <c r="G538" s="127">
        <v>101</v>
      </c>
      <c r="H538" s="3">
        <v>4</v>
      </c>
      <c r="I538" s="127">
        <v>5</v>
      </c>
      <c r="J538" s="127">
        <v>1</v>
      </c>
      <c r="K538" s="3"/>
      <c r="L538" s="2" t="s">
        <v>365</v>
      </c>
      <c r="M538" s="2"/>
      <c r="N538" s="2">
        <v>1</v>
      </c>
      <c r="O538" s="2"/>
      <c r="P538" s="3" t="s">
        <v>1615</v>
      </c>
      <c r="Q538" s="95">
        <f t="shared" si="61"/>
        <v>4.4674509803921572</v>
      </c>
      <c r="R538" s="133">
        <f>IF(P538=模板计算相关数据!$AB$24,VLOOKUP(X538,模板计算相关数据!$P$47:$T$50,2,0),VLOOKUP(X538,模板计算相关数据!$P$4:$U$7,3,0))*VLOOKUP(Y538,模板计算相关数据!$P$22:$X$30,8,0)</f>
        <v>4.4674509803921572</v>
      </c>
      <c r="S538" s="62">
        <f t="shared" si="62"/>
        <v>5.4739930589768004</v>
      </c>
      <c r="T538" s="133">
        <f>IF(P538=模板计算相关数据!$AB$24,VLOOKUP(X538,模板计算相关数据!$P$47:$T$50,5,0),VLOOKUP(X538,模板计算相关数据!$P$4:$U$7,6,0))*VLOOKUP(Y538,模板计算相关数据!$P$22:$X$30,9,0)</f>
        <v>5.4739930589768004</v>
      </c>
      <c r="U538" s="98">
        <v>1</v>
      </c>
      <c r="V538" s="95">
        <f t="shared" si="60"/>
        <v>4</v>
      </c>
      <c r="W538" s="29">
        <f>VLOOKUP(U538,模板计算相关数据!A:N,2,0)</f>
        <v>1</v>
      </c>
      <c r="X538" s="3" t="s">
        <v>151</v>
      </c>
      <c r="Y538" s="3" t="s">
        <v>162</v>
      </c>
      <c r="Z538" s="99">
        <v>1</v>
      </c>
      <c r="AA538" s="95">
        <v>1</v>
      </c>
      <c r="AB538" s="95">
        <v>1</v>
      </c>
      <c r="AC538" s="95">
        <v>1</v>
      </c>
      <c r="AD538" s="95">
        <v>0</v>
      </c>
      <c r="AE538" s="95">
        <v>0</v>
      </c>
      <c r="AF538" s="95">
        <v>0</v>
      </c>
      <c r="AG538" s="95">
        <v>0</v>
      </c>
      <c r="AH538" s="95">
        <v>0</v>
      </c>
      <c r="AI538" s="95">
        <v>0</v>
      </c>
      <c r="AJ538" s="3">
        <f>INT(VLOOKUP(U538,模板计算相关数据!A:N,4,0)*VLOOKUP(U538,模板计算相关数据!A:N,14,0)*(1+MAX(0,(VLOOKUP(U538,模板计算相关数据!A:N,7,0)-AQ538))*VLOOKUP(U538,模板计算相关数据!A:N,8,0))*(1-(AL538+AM538)*0.5/((AL538+AM538)*0.5+(VLOOKUP(U538,模板计算相关数据!A:N,2,0)+模板计算相关数据!$AC$27)*模板计算相关数据!$AC$28))*Q538*Z538)</f>
        <v>328</v>
      </c>
      <c r="AK538" s="3">
        <f>INT(VLOOKUP(U538,模板计算相关数据!A:N,3,0)/模板计算相关数据!$W$35/(1+MAX(0,(AO538/10000-VLOOKUP(U538,模板计算相关数据!A:N,9,0)))*AP538/10000)/(1-VLOOKUP(U538,模板计算相关数据!A:N,5,0)/(VLOOKUP(U538,模板计算相关数据!A:N,5,0)+(VLOOKUP(U538,模板计算相关数据!A:N,2,0)+模板计算相关数据!$AC$27)*模板计算相关数据!$AC$28))/S538*AA538)</f>
        <v>101</v>
      </c>
      <c r="AL538" s="3">
        <f>INT(VLOOKUP(U538,模板计算相关数据!A:N,5,0)*VLOOKUP(X538,模板计算相关数据!$P$4:$T$7,4,0)*VLOOKUP(Y538,模板计算相关数据!$P$22:$U$30,4,0)*AB538)</f>
        <v>136</v>
      </c>
      <c r="AM538" s="3">
        <f>INT(VLOOKUP(U538,模板计算相关数据!A:N,6,0)*VLOOKUP(X538,模板计算相关数据!$P$4:$T$7,4,0)*VLOOKUP(Y538,模板计算相关数据!$P$22:$U$30,5,0)*AC538)</f>
        <v>230</v>
      </c>
      <c r="AN538" s="3">
        <f>VLOOKUP(U538,模板计算相关数据!A:N,10,0)*0.5*VLOOKUP(Y538,模板计算相关数据!$P$22:$U$30,6,0)+AD538</f>
        <v>250</v>
      </c>
      <c r="AO538" s="3">
        <f>VLOOKUP(INT(VLOOKUP(U538,模板计算相关数据!A:N,2,0)/30)+1,模板计算相关数据!$O$35:$U$40,3,0)+AE538</f>
        <v>0</v>
      </c>
      <c r="AP538" s="3">
        <f>VLOOKUP(INT(VLOOKUP(U538,模板计算相关数据!A:N,2,0)/30)+1,模板计算相关数据!$O$35:$U$40,4,0)+AF538</f>
        <v>5000</v>
      </c>
      <c r="AQ538" s="3">
        <f>VLOOKUP(INT(VLOOKUP(U538,模板计算相关数据!A:N,2,0)/30)+1,模板计算相关数据!$O$35:$U$40,5,0)+AG538</f>
        <v>0</v>
      </c>
      <c r="AR538" s="3">
        <f>VLOOKUP(INT(VLOOKUP(U538,模板计算相关数据!A:N,2,0)/30)+1,模板计算相关数据!$O$35:$U$40,6,0)+AH538</f>
        <v>0</v>
      </c>
      <c r="AS538" s="3">
        <f>VLOOKUP(INT(VLOOKUP(U538,模板计算相关数据!A:N,2,0)/30)+1,模板计算相关数据!$O$35:$U$40,7,0)+AI538</f>
        <v>0</v>
      </c>
      <c r="AT538" s="3">
        <f>VLOOKUP(INT(VLOOKUP(U538,模板计算相关数据!A:N,2,0)/30)+1,模板计算相关数据!$O$35:$V$40,8,0)</f>
        <v>0</v>
      </c>
      <c r="AU538" s="2"/>
    </row>
    <row r="539" spans="1:47" x14ac:dyDescent="0.2">
      <c r="A539" s="2">
        <v>307140</v>
      </c>
      <c r="B539" s="2"/>
      <c r="C539" s="2" t="s">
        <v>364</v>
      </c>
      <c r="D539" s="69" t="s">
        <v>1141</v>
      </c>
      <c r="E539" s="2"/>
      <c r="F539" s="127">
        <v>3</v>
      </c>
      <c r="G539" s="127">
        <v>101</v>
      </c>
      <c r="H539" s="3">
        <v>4</v>
      </c>
      <c r="I539" s="127">
        <v>5</v>
      </c>
      <c r="J539" s="127">
        <v>1</v>
      </c>
      <c r="K539" s="3"/>
      <c r="L539" s="2" t="s">
        <v>366</v>
      </c>
      <c r="M539" s="2"/>
      <c r="N539" s="2">
        <v>1</v>
      </c>
      <c r="O539" s="2"/>
      <c r="P539" s="3" t="s">
        <v>1615</v>
      </c>
      <c r="Q539" s="95">
        <f t="shared" si="61"/>
        <v>4.4674509803921572</v>
      </c>
      <c r="R539" s="133">
        <f>IF(P539=模板计算相关数据!$AB$24,VLOOKUP(X539,模板计算相关数据!$P$47:$T$50,2,0),VLOOKUP(X539,模板计算相关数据!$P$4:$U$7,3,0))*VLOOKUP(Y539,模板计算相关数据!$P$22:$X$30,8,0)</f>
        <v>4.4674509803921572</v>
      </c>
      <c r="S539" s="62">
        <f t="shared" si="62"/>
        <v>5.4739930589768004</v>
      </c>
      <c r="T539" s="133">
        <f>IF(P539=模板计算相关数据!$AB$24,VLOOKUP(X539,模板计算相关数据!$P$47:$T$50,5,0),VLOOKUP(X539,模板计算相关数据!$P$4:$U$7,6,0))*VLOOKUP(Y539,模板计算相关数据!$P$22:$X$30,9,0)</f>
        <v>5.4739930589768004</v>
      </c>
      <c r="U539" s="98">
        <v>1</v>
      </c>
      <c r="V539" s="95">
        <f t="shared" si="60"/>
        <v>4</v>
      </c>
      <c r="W539" s="29">
        <f>VLOOKUP(U539,模板计算相关数据!A:N,2,0)</f>
        <v>1</v>
      </c>
      <c r="X539" s="3" t="s">
        <v>151</v>
      </c>
      <c r="Y539" s="3" t="s">
        <v>162</v>
      </c>
      <c r="Z539" s="99">
        <v>1</v>
      </c>
      <c r="AA539" s="95">
        <v>1</v>
      </c>
      <c r="AB539" s="95">
        <v>1</v>
      </c>
      <c r="AC539" s="95">
        <v>1</v>
      </c>
      <c r="AD539" s="95">
        <v>0</v>
      </c>
      <c r="AE539" s="95">
        <v>0</v>
      </c>
      <c r="AF539" s="95">
        <v>0</v>
      </c>
      <c r="AG539" s="95">
        <v>0</v>
      </c>
      <c r="AH539" s="95">
        <v>0</v>
      </c>
      <c r="AI539" s="95">
        <v>0</v>
      </c>
      <c r="AJ539" s="3">
        <f>INT(VLOOKUP(U539,模板计算相关数据!A:N,4,0)*VLOOKUP(U539,模板计算相关数据!A:N,14,0)*(1+MAX(0,(VLOOKUP(U539,模板计算相关数据!A:N,7,0)-AQ539))*VLOOKUP(U539,模板计算相关数据!A:N,8,0))*(1-(AL539+AM539)*0.5/((AL539+AM539)*0.5+(VLOOKUP(U539,模板计算相关数据!A:N,2,0)+模板计算相关数据!$AC$27)*模板计算相关数据!$AC$28))*Q539*Z539)</f>
        <v>328</v>
      </c>
      <c r="AK539" s="3">
        <f>INT(VLOOKUP(U539,模板计算相关数据!A:N,3,0)/模板计算相关数据!$W$35/(1+MAX(0,(AO539/10000-VLOOKUP(U539,模板计算相关数据!A:N,9,0)))*AP539/10000)/(1-VLOOKUP(U539,模板计算相关数据!A:N,5,0)/(VLOOKUP(U539,模板计算相关数据!A:N,5,0)+(VLOOKUP(U539,模板计算相关数据!A:N,2,0)+模板计算相关数据!$AC$27)*模板计算相关数据!$AC$28))/S539*AA539)</f>
        <v>101</v>
      </c>
      <c r="AL539" s="3">
        <f>INT(VLOOKUP(U539,模板计算相关数据!A:N,5,0)*VLOOKUP(X539,模板计算相关数据!$P$4:$T$7,4,0)*VLOOKUP(Y539,模板计算相关数据!$P$22:$U$30,4,0)*AB539)</f>
        <v>136</v>
      </c>
      <c r="AM539" s="3">
        <f>INT(VLOOKUP(U539,模板计算相关数据!A:N,6,0)*VLOOKUP(X539,模板计算相关数据!$P$4:$T$7,4,0)*VLOOKUP(Y539,模板计算相关数据!$P$22:$U$30,5,0)*AC539)</f>
        <v>230</v>
      </c>
      <c r="AN539" s="3">
        <f>VLOOKUP(U539,模板计算相关数据!A:N,10,0)*0.5*VLOOKUP(Y539,模板计算相关数据!$P$22:$U$30,6,0)+AD539</f>
        <v>250</v>
      </c>
      <c r="AO539" s="3">
        <f>VLOOKUP(INT(VLOOKUP(U539,模板计算相关数据!A:N,2,0)/30)+1,模板计算相关数据!$O$35:$U$40,3,0)+AE539</f>
        <v>0</v>
      </c>
      <c r="AP539" s="3">
        <f>VLOOKUP(INT(VLOOKUP(U539,模板计算相关数据!A:N,2,0)/30)+1,模板计算相关数据!$O$35:$U$40,4,0)+AF539</f>
        <v>5000</v>
      </c>
      <c r="AQ539" s="3">
        <f>VLOOKUP(INT(VLOOKUP(U539,模板计算相关数据!A:N,2,0)/30)+1,模板计算相关数据!$O$35:$U$40,5,0)+AG539</f>
        <v>0</v>
      </c>
      <c r="AR539" s="3">
        <f>VLOOKUP(INT(VLOOKUP(U539,模板计算相关数据!A:N,2,0)/30)+1,模板计算相关数据!$O$35:$U$40,6,0)+AH539</f>
        <v>0</v>
      </c>
      <c r="AS539" s="3">
        <f>VLOOKUP(INT(VLOOKUP(U539,模板计算相关数据!A:N,2,0)/30)+1,模板计算相关数据!$O$35:$U$40,7,0)+AI539</f>
        <v>0</v>
      </c>
      <c r="AT539" s="3">
        <f>VLOOKUP(INT(VLOOKUP(U539,模板计算相关数据!A:N,2,0)/30)+1,模板计算相关数据!$O$35:$V$40,8,0)</f>
        <v>0</v>
      </c>
      <c r="AU539" s="2"/>
    </row>
    <row r="540" spans="1:47" x14ac:dyDescent="0.2">
      <c r="A540" s="2">
        <v>307141</v>
      </c>
      <c r="B540" s="2"/>
      <c r="C540" s="2" t="s">
        <v>326</v>
      </c>
      <c r="D540" s="2" t="s">
        <v>1142</v>
      </c>
      <c r="E540" s="2"/>
      <c r="F540" s="127">
        <v>3</v>
      </c>
      <c r="G540" s="127">
        <v>101</v>
      </c>
      <c r="H540" s="3">
        <v>5</v>
      </c>
      <c r="I540" s="127">
        <v>5</v>
      </c>
      <c r="J540" s="127">
        <v>1</v>
      </c>
      <c r="K540" s="3"/>
      <c r="L540" s="2" t="s">
        <v>367</v>
      </c>
      <c r="M540" s="2"/>
      <c r="N540" s="2">
        <v>1</v>
      </c>
      <c r="O540" s="2"/>
      <c r="P540" s="3" t="s">
        <v>1615</v>
      </c>
      <c r="Q540" s="95">
        <f t="shared" si="61"/>
        <v>5.7709803921568623</v>
      </c>
      <c r="R540" s="133">
        <f>IF(P540=模板计算相关数据!$AB$24,VLOOKUP(X540,模板计算相关数据!$P$47:$T$50,2,0),VLOOKUP(X540,模板计算相关数据!$P$4:$U$7,3,0))*VLOOKUP(Y540,模板计算相关数据!$P$22:$X$30,8,0)</f>
        <v>5.7709803921568623</v>
      </c>
      <c r="S540" s="62">
        <f t="shared" si="62"/>
        <v>6.4077918749199023</v>
      </c>
      <c r="T540" s="133">
        <f>IF(P540=模板计算相关数据!$AB$24,VLOOKUP(X540,模板计算相关数据!$P$47:$T$50,5,0),VLOOKUP(X540,模板计算相关数据!$P$4:$U$7,6,0))*VLOOKUP(Y540,模板计算相关数据!$P$22:$X$30,9,0)</f>
        <v>6.4077918749199023</v>
      </c>
      <c r="U540" s="98">
        <v>1</v>
      </c>
      <c r="V540" s="95">
        <f t="shared" si="60"/>
        <v>4</v>
      </c>
      <c r="W540" s="29">
        <f>VLOOKUP(U540,模板计算相关数据!A:N,2,0)</f>
        <v>1</v>
      </c>
      <c r="X540" s="3" t="s">
        <v>151</v>
      </c>
      <c r="Y540" s="3" t="s">
        <v>243</v>
      </c>
      <c r="Z540" s="99">
        <v>1</v>
      </c>
      <c r="AA540" s="95">
        <v>1</v>
      </c>
      <c r="AB540" s="95">
        <v>1</v>
      </c>
      <c r="AC540" s="95">
        <v>1</v>
      </c>
      <c r="AD540" s="95">
        <v>0</v>
      </c>
      <c r="AE540" s="95">
        <v>0</v>
      </c>
      <c r="AF540" s="95">
        <v>0</v>
      </c>
      <c r="AG540" s="95">
        <v>0</v>
      </c>
      <c r="AH540" s="95">
        <v>0</v>
      </c>
      <c r="AI540" s="95">
        <v>0</v>
      </c>
      <c r="AJ540" s="3">
        <f>INT(VLOOKUP(U540,模板计算相关数据!A:N,4,0)*VLOOKUP(U540,模板计算相关数据!A:N,14,0)*(1+MAX(0,(VLOOKUP(U540,模板计算相关数据!A:N,7,0)-AQ540))*VLOOKUP(U540,模板计算相关数据!A:N,8,0))*(1-(AL540+AM540)*0.5/((AL540+AM540)*0.5+(VLOOKUP(U540,模板计算相关数据!A:N,2,0)+模板计算相关数据!$AC$27)*模板计算相关数据!$AC$28))*Q540*Z540)</f>
        <v>411</v>
      </c>
      <c r="AK540" s="3">
        <f>INT(VLOOKUP(U540,模板计算相关数据!A:N,3,0)/模板计算相关数据!$W$35/(1+MAX(0,(AO540/10000-VLOOKUP(U540,模板计算相关数据!A:N,9,0)))*AP540/10000)/(1-VLOOKUP(U540,模板计算相关数据!A:N,5,0)/(VLOOKUP(U540,模板计算相关数据!A:N,5,0)+(VLOOKUP(U540,模板计算相关数据!A:N,2,0)+模板计算相关数据!$AC$27)*模板计算相关数据!$AC$28))/S540*AA540)</f>
        <v>86</v>
      </c>
      <c r="AL540" s="3">
        <f>INT(VLOOKUP(U540,模板计算相关数据!A:N,5,0)*VLOOKUP(X540,模板计算相关数据!$P$4:$T$7,4,0)*VLOOKUP(Y540,模板计算相关数据!$P$22:$U$30,4,0)*AB540)</f>
        <v>145</v>
      </c>
      <c r="AM540" s="3">
        <f>INT(VLOOKUP(U540,模板计算相关数据!A:N,6,0)*VLOOKUP(X540,模板计算相关数据!$P$4:$T$7,4,0)*VLOOKUP(Y540,模板计算相关数据!$P$22:$U$30,5,0)*AC540)</f>
        <v>264</v>
      </c>
      <c r="AN540" s="3">
        <f>VLOOKUP(U540,模板计算相关数据!A:N,10,0)*0.5*VLOOKUP(Y540,模板计算相关数据!$P$22:$U$30,6,0)+AD540</f>
        <v>275</v>
      </c>
      <c r="AO540" s="3">
        <f>VLOOKUP(INT(VLOOKUP(U540,模板计算相关数据!A:N,2,0)/30)+1,模板计算相关数据!$O$35:$U$40,3,0)+AE540</f>
        <v>0</v>
      </c>
      <c r="AP540" s="3">
        <f>VLOOKUP(INT(VLOOKUP(U540,模板计算相关数据!A:N,2,0)/30)+1,模板计算相关数据!$O$35:$U$40,4,0)+AF540</f>
        <v>5000</v>
      </c>
      <c r="AQ540" s="3">
        <f>VLOOKUP(INT(VLOOKUP(U540,模板计算相关数据!A:N,2,0)/30)+1,模板计算相关数据!$O$35:$U$40,5,0)+AG540</f>
        <v>0</v>
      </c>
      <c r="AR540" s="3">
        <f>VLOOKUP(INT(VLOOKUP(U540,模板计算相关数据!A:N,2,0)/30)+1,模板计算相关数据!$O$35:$U$40,6,0)+AH540</f>
        <v>0</v>
      </c>
      <c r="AS540" s="3">
        <f>VLOOKUP(INT(VLOOKUP(U540,模板计算相关数据!A:N,2,0)/30)+1,模板计算相关数据!$O$35:$U$40,7,0)+AI540</f>
        <v>0</v>
      </c>
      <c r="AT540" s="3">
        <f>VLOOKUP(INT(VLOOKUP(U540,模板计算相关数据!A:N,2,0)/30)+1,模板计算相关数据!$O$35:$V$40,8,0)</f>
        <v>0</v>
      </c>
      <c r="AU540" s="2"/>
    </row>
    <row r="541" spans="1:47" x14ac:dyDescent="0.2">
      <c r="A541" s="2">
        <v>307142</v>
      </c>
      <c r="B541" s="2"/>
      <c r="C541" s="2" t="s">
        <v>326</v>
      </c>
      <c r="D541" s="2" t="s">
        <v>1143</v>
      </c>
      <c r="E541" s="2"/>
      <c r="F541" s="127">
        <v>3</v>
      </c>
      <c r="G541" s="127">
        <v>101</v>
      </c>
      <c r="H541" s="3">
        <v>5</v>
      </c>
      <c r="I541" s="127">
        <v>5</v>
      </c>
      <c r="J541" s="127">
        <v>1</v>
      </c>
      <c r="K541" s="3"/>
      <c r="L541" s="2" t="s">
        <v>368</v>
      </c>
      <c r="M541" s="2"/>
      <c r="N541" s="2">
        <v>1</v>
      </c>
      <c r="O541" s="2"/>
      <c r="P541" s="3" t="s">
        <v>1615</v>
      </c>
      <c r="Q541" s="95">
        <f t="shared" si="61"/>
        <v>5.7709803921568623</v>
      </c>
      <c r="R541" s="133">
        <f>IF(P541=模板计算相关数据!$AB$24,VLOOKUP(X541,模板计算相关数据!$P$47:$T$50,2,0),VLOOKUP(X541,模板计算相关数据!$P$4:$U$7,3,0))*VLOOKUP(Y541,模板计算相关数据!$P$22:$X$30,8,0)</f>
        <v>5.7709803921568623</v>
      </c>
      <c r="S541" s="62">
        <f t="shared" si="62"/>
        <v>6.4077918749199023</v>
      </c>
      <c r="T541" s="133">
        <f>IF(P541=模板计算相关数据!$AB$24,VLOOKUP(X541,模板计算相关数据!$P$47:$T$50,5,0),VLOOKUP(X541,模板计算相关数据!$P$4:$U$7,6,0))*VLOOKUP(Y541,模板计算相关数据!$P$22:$X$30,9,0)</f>
        <v>6.4077918749199023</v>
      </c>
      <c r="U541" s="98">
        <v>1</v>
      </c>
      <c r="V541" s="95">
        <f t="shared" si="60"/>
        <v>4</v>
      </c>
      <c r="W541" s="29">
        <f>VLOOKUP(U541,模板计算相关数据!A:N,2,0)</f>
        <v>1</v>
      </c>
      <c r="X541" s="3" t="s">
        <v>151</v>
      </c>
      <c r="Y541" s="3" t="s">
        <v>243</v>
      </c>
      <c r="Z541" s="99">
        <v>1</v>
      </c>
      <c r="AA541" s="95">
        <v>1</v>
      </c>
      <c r="AB541" s="95">
        <v>1</v>
      </c>
      <c r="AC541" s="95">
        <v>1</v>
      </c>
      <c r="AD541" s="95">
        <v>0</v>
      </c>
      <c r="AE541" s="95">
        <v>0</v>
      </c>
      <c r="AF541" s="95">
        <v>0</v>
      </c>
      <c r="AG541" s="95">
        <v>0</v>
      </c>
      <c r="AH541" s="95">
        <v>0</v>
      </c>
      <c r="AI541" s="95">
        <v>0</v>
      </c>
      <c r="AJ541" s="3">
        <f>INT(VLOOKUP(U541,模板计算相关数据!A:N,4,0)*VLOOKUP(U541,模板计算相关数据!A:N,14,0)*(1+MAX(0,(VLOOKUP(U541,模板计算相关数据!A:N,7,0)-AQ541))*VLOOKUP(U541,模板计算相关数据!A:N,8,0))*(1-(AL541+AM541)*0.5/((AL541+AM541)*0.5+(VLOOKUP(U541,模板计算相关数据!A:N,2,0)+模板计算相关数据!$AC$27)*模板计算相关数据!$AC$28))*Q541*Z541)</f>
        <v>411</v>
      </c>
      <c r="AK541" s="3">
        <f>INT(VLOOKUP(U541,模板计算相关数据!A:N,3,0)/模板计算相关数据!$W$35/(1+MAX(0,(AO541/10000-VLOOKUP(U541,模板计算相关数据!A:N,9,0)))*AP541/10000)/(1-VLOOKUP(U541,模板计算相关数据!A:N,5,0)/(VLOOKUP(U541,模板计算相关数据!A:N,5,0)+(VLOOKUP(U541,模板计算相关数据!A:N,2,0)+模板计算相关数据!$AC$27)*模板计算相关数据!$AC$28))/S541*AA541)</f>
        <v>86</v>
      </c>
      <c r="AL541" s="3">
        <f>INT(VLOOKUP(U541,模板计算相关数据!A:N,5,0)*VLOOKUP(X541,模板计算相关数据!$P$4:$T$7,4,0)*VLOOKUP(Y541,模板计算相关数据!$P$22:$U$30,4,0)*AB541)</f>
        <v>145</v>
      </c>
      <c r="AM541" s="3">
        <f>INT(VLOOKUP(U541,模板计算相关数据!A:N,6,0)*VLOOKUP(X541,模板计算相关数据!$P$4:$T$7,4,0)*VLOOKUP(Y541,模板计算相关数据!$P$22:$U$30,5,0)*AC541)</f>
        <v>264</v>
      </c>
      <c r="AN541" s="3">
        <f>VLOOKUP(U541,模板计算相关数据!A:N,10,0)*0.5*VLOOKUP(Y541,模板计算相关数据!$P$22:$U$30,6,0)+AD541</f>
        <v>275</v>
      </c>
      <c r="AO541" s="3">
        <f>VLOOKUP(INT(VLOOKUP(U541,模板计算相关数据!A:N,2,0)/30)+1,模板计算相关数据!$O$35:$U$40,3,0)+AE541</f>
        <v>0</v>
      </c>
      <c r="AP541" s="3">
        <f>VLOOKUP(INT(VLOOKUP(U541,模板计算相关数据!A:N,2,0)/30)+1,模板计算相关数据!$O$35:$U$40,4,0)+AF541</f>
        <v>5000</v>
      </c>
      <c r="AQ541" s="3">
        <f>VLOOKUP(INT(VLOOKUP(U541,模板计算相关数据!A:N,2,0)/30)+1,模板计算相关数据!$O$35:$U$40,5,0)+AG541</f>
        <v>0</v>
      </c>
      <c r="AR541" s="3">
        <f>VLOOKUP(INT(VLOOKUP(U541,模板计算相关数据!A:N,2,0)/30)+1,模板计算相关数据!$O$35:$U$40,6,0)+AH541</f>
        <v>0</v>
      </c>
      <c r="AS541" s="3">
        <f>VLOOKUP(INT(VLOOKUP(U541,模板计算相关数据!A:N,2,0)/30)+1,模板计算相关数据!$O$35:$U$40,7,0)+AI541</f>
        <v>0</v>
      </c>
      <c r="AT541" s="3">
        <f>VLOOKUP(INT(VLOOKUP(U541,模板计算相关数据!A:N,2,0)/30)+1,模板计算相关数据!$O$35:$V$40,8,0)</f>
        <v>0</v>
      </c>
      <c r="AU541" s="2"/>
    </row>
    <row r="542" spans="1:47" x14ac:dyDescent="0.2">
      <c r="A542" s="2">
        <v>307143</v>
      </c>
      <c r="B542" s="2"/>
      <c r="C542" s="2" t="s">
        <v>326</v>
      </c>
      <c r="D542" s="2" t="s">
        <v>1144</v>
      </c>
      <c r="E542" s="2"/>
      <c r="F542" s="127">
        <v>3</v>
      </c>
      <c r="G542" s="127">
        <v>101</v>
      </c>
      <c r="H542" s="3">
        <v>5</v>
      </c>
      <c r="I542" s="127">
        <v>5</v>
      </c>
      <c r="J542" s="127">
        <v>1</v>
      </c>
      <c r="K542" s="3"/>
      <c r="L542" s="2" t="s">
        <v>369</v>
      </c>
      <c r="M542" s="2"/>
      <c r="N542" s="2">
        <v>1</v>
      </c>
      <c r="O542" s="2"/>
      <c r="P542" s="3" t="s">
        <v>1615</v>
      </c>
      <c r="Q542" s="95">
        <f t="shared" si="61"/>
        <v>5.7709803921568623</v>
      </c>
      <c r="R542" s="133">
        <f>IF(P542=模板计算相关数据!$AB$24,VLOOKUP(X542,模板计算相关数据!$P$47:$T$50,2,0),VLOOKUP(X542,模板计算相关数据!$P$4:$U$7,3,0))*VLOOKUP(Y542,模板计算相关数据!$P$22:$X$30,8,0)</f>
        <v>5.7709803921568623</v>
      </c>
      <c r="S542" s="62">
        <f t="shared" si="62"/>
        <v>6.4077918749199023</v>
      </c>
      <c r="T542" s="133">
        <f>IF(P542=模板计算相关数据!$AB$24,VLOOKUP(X542,模板计算相关数据!$P$47:$T$50,5,0),VLOOKUP(X542,模板计算相关数据!$P$4:$U$7,6,0))*VLOOKUP(Y542,模板计算相关数据!$P$22:$X$30,9,0)</f>
        <v>6.4077918749199023</v>
      </c>
      <c r="U542" s="98">
        <v>1</v>
      </c>
      <c r="V542" s="95">
        <f t="shared" si="60"/>
        <v>4</v>
      </c>
      <c r="W542" s="29">
        <f>VLOOKUP(U542,模板计算相关数据!A:N,2,0)</f>
        <v>1</v>
      </c>
      <c r="X542" s="3" t="s">
        <v>151</v>
      </c>
      <c r="Y542" s="3" t="s">
        <v>243</v>
      </c>
      <c r="Z542" s="99">
        <v>1</v>
      </c>
      <c r="AA542" s="95">
        <v>1</v>
      </c>
      <c r="AB542" s="95">
        <v>1</v>
      </c>
      <c r="AC542" s="95">
        <v>1</v>
      </c>
      <c r="AD542" s="95">
        <v>0</v>
      </c>
      <c r="AE542" s="95">
        <v>0</v>
      </c>
      <c r="AF542" s="95">
        <v>0</v>
      </c>
      <c r="AG542" s="95">
        <v>0</v>
      </c>
      <c r="AH542" s="95">
        <v>0</v>
      </c>
      <c r="AI542" s="95">
        <v>0</v>
      </c>
      <c r="AJ542" s="3">
        <f>INT(VLOOKUP(U542,模板计算相关数据!A:N,4,0)*VLOOKUP(U542,模板计算相关数据!A:N,14,0)*(1+MAX(0,(VLOOKUP(U542,模板计算相关数据!A:N,7,0)-AQ542))*VLOOKUP(U542,模板计算相关数据!A:N,8,0))*(1-(AL542+AM542)*0.5/((AL542+AM542)*0.5+(VLOOKUP(U542,模板计算相关数据!A:N,2,0)+模板计算相关数据!$AC$27)*模板计算相关数据!$AC$28))*Q542*Z542)</f>
        <v>411</v>
      </c>
      <c r="AK542" s="3">
        <f>INT(VLOOKUP(U542,模板计算相关数据!A:N,3,0)/模板计算相关数据!$W$35/(1+MAX(0,(AO542/10000-VLOOKUP(U542,模板计算相关数据!A:N,9,0)))*AP542/10000)/(1-VLOOKUP(U542,模板计算相关数据!A:N,5,0)/(VLOOKUP(U542,模板计算相关数据!A:N,5,0)+(VLOOKUP(U542,模板计算相关数据!A:N,2,0)+模板计算相关数据!$AC$27)*模板计算相关数据!$AC$28))/S542*AA542)</f>
        <v>86</v>
      </c>
      <c r="AL542" s="3">
        <f>INT(VLOOKUP(U542,模板计算相关数据!A:N,5,0)*VLOOKUP(X542,模板计算相关数据!$P$4:$T$7,4,0)*VLOOKUP(Y542,模板计算相关数据!$P$22:$U$30,4,0)*AB542)</f>
        <v>145</v>
      </c>
      <c r="AM542" s="3">
        <f>INT(VLOOKUP(U542,模板计算相关数据!A:N,6,0)*VLOOKUP(X542,模板计算相关数据!$P$4:$T$7,4,0)*VLOOKUP(Y542,模板计算相关数据!$P$22:$U$30,5,0)*AC542)</f>
        <v>264</v>
      </c>
      <c r="AN542" s="3">
        <f>VLOOKUP(U542,模板计算相关数据!A:N,10,0)*0.5*VLOOKUP(Y542,模板计算相关数据!$P$22:$U$30,6,0)+AD542</f>
        <v>275</v>
      </c>
      <c r="AO542" s="3">
        <f>VLOOKUP(INT(VLOOKUP(U542,模板计算相关数据!A:N,2,0)/30)+1,模板计算相关数据!$O$35:$U$40,3,0)+AE542</f>
        <v>0</v>
      </c>
      <c r="AP542" s="3">
        <f>VLOOKUP(INT(VLOOKUP(U542,模板计算相关数据!A:N,2,0)/30)+1,模板计算相关数据!$O$35:$U$40,4,0)+AF542</f>
        <v>5000</v>
      </c>
      <c r="AQ542" s="3">
        <f>VLOOKUP(INT(VLOOKUP(U542,模板计算相关数据!A:N,2,0)/30)+1,模板计算相关数据!$O$35:$U$40,5,0)+AG542</f>
        <v>0</v>
      </c>
      <c r="AR542" s="3">
        <f>VLOOKUP(INT(VLOOKUP(U542,模板计算相关数据!A:N,2,0)/30)+1,模板计算相关数据!$O$35:$U$40,6,0)+AH542</f>
        <v>0</v>
      </c>
      <c r="AS542" s="3">
        <f>VLOOKUP(INT(VLOOKUP(U542,模板计算相关数据!A:N,2,0)/30)+1,模板计算相关数据!$O$35:$U$40,7,0)+AI542</f>
        <v>0</v>
      </c>
      <c r="AT542" s="3">
        <f>VLOOKUP(INT(VLOOKUP(U542,模板计算相关数据!A:N,2,0)/30)+1,模板计算相关数据!$O$35:$V$40,8,0)</f>
        <v>0</v>
      </c>
      <c r="AU542" s="2"/>
    </row>
    <row r="543" spans="1:47" x14ac:dyDescent="0.2">
      <c r="A543" s="2">
        <v>307144</v>
      </c>
      <c r="B543" s="2"/>
      <c r="C543" s="2" t="s">
        <v>370</v>
      </c>
      <c r="D543" s="2" t="s">
        <v>1142</v>
      </c>
      <c r="E543" s="2"/>
      <c r="F543" s="127">
        <v>3</v>
      </c>
      <c r="G543" s="127">
        <v>101</v>
      </c>
      <c r="H543" s="3">
        <v>4</v>
      </c>
      <c r="I543" s="127">
        <v>5</v>
      </c>
      <c r="J543" s="127">
        <v>1</v>
      </c>
      <c r="K543" s="3"/>
      <c r="L543" s="2" t="s">
        <v>371</v>
      </c>
      <c r="M543" s="2"/>
      <c r="N543" s="2">
        <v>1</v>
      </c>
      <c r="O543" s="2"/>
      <c r="P543" s="3" t="s">
        <v>1615</v>
      </c>
      <c r="Q543" s="95">
        <f t="shared" si="61"/>
        <v>4.4674509803921572</v>
      </c>
      <c r="R543" s="133">
        <f>IF(P543=模板计算相关数据!$AB$24,VLOOKUP(X543,模板计算相关数据!$P$47:$T$50,2,0),VLOOKUP(X543,模板计算相关数据!$P$4:$U$7,3,0))*VLOOKUP(Y543,模板计算相关数据!$P$22:$X$30,8,0)</f>
        <v>4.4674509803921572</v>
      </c>
      <c r="S543" s="62">
        <f t="shared" si="62"/>
        <v>5.4739930589768004</v>
      </c>
      <c r="T543" s="133">
        <f>IF(P543=模板计算相关数据!$AB$24,VLOOKUP(X543,模板计算相关数据!$P$47:$T$50,5,0),VLOOKUP(X543,模板计算相关数据!$P$4:$U$7,6,0))*VLOOKUP(Y543,模板计算相关数据!$P$22:$X$30,9,0)</f>
        <v>5.4739930589768004</v>
      </c>
      <c r="U543" s="98">
        <v>1</v>
      </c>
      <c r="V543" s="95">
        <f t="shared" si="60"/>
        <v>4</v>
      </c>
      <c r="W543" s="29">
        <f>VLOOKUP(U543,模板计算相关数据!A:N,2,0)</f>
        <v>1</v>
      </c>
      <c r="X543" s="3" t="s">
        <v>151</v>
      </c>
      <c r="Y543" s="3" t="s">
        <v>162</v>
      </c>
      <c r="Z543" s="99">
        <v>1</v>
      </c>
      <c r="AA543" s="95">
        <v>1</v>
      </c>
      <c r="AB543" s="95">
        <v>1</v>
      </c>
      <c r="AC543" s="95">
        <v>1</v>
      </c>
      <c r="AD543" s="95">
        <v>0</v>
      </c>
      <c r="AE543" s="95">
        <v>0</v>
      </c>
      <c r="AF543" s="95">
        <v>0</v>
      </c>
      <c r="AG543" s="95">
        <v>0</v>
      </c>
      <c r="AH543" s="95">
        <v>0</v>
      </c>
      <c r="AI543" s="95">
        <v>0</v>
      </c>
      <c r="AJ543" s="3">
        <f>INT(VLOOKUP(U543,模板计算相关数据!A:N,4,0)*VLOOKUP(U543,模板计算相关数据!A:N,14,0)*(1+MAX(0,(VLOOKUP(U543,模板计算相关数据!A:N,7,0)-AQ543))*VLOOKUP(U543,模板计算相关数据!A:N,8,0))*(1-(AL543+AM543)*0.5/((AL543+AM543)*0.5+(VLOOKUP(U543,模板计算相关数据!A:N,2,0)+模板计算相关数据!$AC$27)*模板计算相关数据!$AC$28))*Q543*Z543)</f>
        <v>328</v>
      </c>
      <c r="AK543" s="3">
        <f>INT(VLOOKUP(U543,模板计算相关数据!A:N,3,0)/模板计算相关数据!$W$35/(1+MAX(0,(AO543/10000-VLOOKUP(U543,模板计算相关数据!A:N,9,0)))*AP543/10000)/(1-VLOOKUP(U543,模板计算相关数据!A:N,5,0)/(VLOOKUP(U543,模板计算相关数据!A:N,5,0)+(VLOOKUP(U543,模板计算相关数据!A:N,2,0)+模板计算相关数据!$AC$27)*模板计算相关数据!$AC$28))/S543*AA543)</f>
        <v>101</v>
      </c>
      <c r="AL543" s="3">
        <f>INT(VLOOKUP(U543,模板计算相关数据!A:N,5,0)*VLOOKUP(X543,模板计算相关数据!$P$4:$T$7,4,0)*VLOOKUP(Y543,模板计算相关数据!$P$22:$U$30,4,0)*AB543)</f>
        <v>136</v>
      </c>
      <c r="AM543" s="3">
        <f>INT(VLOOKUP(U543,模板计算相关数据!A:N,6,0)*VLOOKUP(X543,模板计算相关数据!$P$4:$T$7,4,0)*VLOOKUP(Y543,模板计算相关数据!$P$22:$U$30,5,0)*AC543)</f>
        <v>230</v>
      </c>
      <c r="AN543" s="3">
        <f>VLOOKUP(U543,模板计算相关数据!A:N,10,0)*0.5*VLOOKUP(Y543,模板计算相关数据!$P$22:$U$30,6,0)+AD543</f>
        <v>250</v>
      </c>
      <c r="AO543" s="3">
        <f>VLOOKUP(INT(VLOOKUP(U543,模板计算相关数据!A:N,2,0)/30)+1,模板计算相关数据!$O$35:$U$40,3,0)+AE543</f>
        <v>0</v>
      </c>
      <c r="AP543" s="3">
        <f>VLOOKUP(INT(VLOOKUP(U543,模板计算相关数据!A:N,2,0)/30)+1,模板计算相关数据!$O$35:$U$40,4,0)+AF543</f>
        <v>5000</v>
      </c>
      <c r="AQ543" s="3">
        <f>VLOOKUP(INT(VLOOKUP(U543,模板计算相关数据!A:N,2,0)/30)+1,模板计算相关数据!$O$35:$U$40,5,0)+AG543</f>
        <v>0</v>
      </c>
      <c r="AR543" s="3">
        <f>VLOOKUP(INT(VLOOKUP(U543,模板计算相关数据!A:N,2,0)/30)+1,模板计算相关数据!$O$35:$U$40,6,0)+AH543</f>
        <v>0</v>
      </c>
      <c r="AS543" s="3">
        <f>VLOOKUP(INT(VLOOKUP(U543,模板计算相关数据!A:N,2,0)/30)+1,模板计算相关数据!$O$35:$U$40,7,0)+AI543</f>
        <v>0</v>
      </c>
      <c r="AT543" s="3">
        <f>VLOOKUP(INT(VLOOKUP(U543,模板计算相关数据!A:N,2,0)/30)+1,模板计算相关数据!$O$35:$V$40,8,0)</f>
        <v>0</v>
      </c>
      <c r="AU543" s="2"/>
    </row>
    <row r="544" spans="1:47" x14ac:dyDescent="0.2">
      <c r="A544" s="2">
        <v>307145</v>
      </c>
      <c r="B544" s="2"/>
      <c r="C544" s="2" t="s">
        <v>370</v>
      </c>
      <c r="D544" s="2" t="s">
        <v>1143</v>
      </c>
      <c r="E544" s="2"/>
      <c r="F544" s="127">
        <v>3</v>
      </c>
      <c r="G544" s="127">
        <v>101</v>
      </c>
      <c r="H544" s="3">
        <v>4</v>
      </c>
      <c r="I544" s="127">
        <v>5</v>
      </c>
      <c r="J544" s="127">
        <v>1</v>
      </c>
      <c r="K544" s="3"/>
      <c r="L544" s="2" t="s">
        <v>372</v>
      </c>
      <c r="M544" s="2"/>
      <c r="N544" s="2">
        <v>1</v>
      </c>
      <c r="O544" s="2"/>
      <c r="P544" s="3" t="s">
        <v>1615</v>
      </c>
      <c r="Q544" s="95">
        <f t="shared" si="61"/>
        <v>4.4674509803921572</v>
      </c>
      <c r="R544" s="133">
        <f>IF(P544=模板计算相关数据!$AB$24,VLOOKUP(X544,模板计算相关数据!$P$47:$T$50,2,0),VLOOKUP(X544,模板计算相关数据!$P$4:$U$7,3,0))*VLOOKUP(Y544,模板计算相关数据!$P$22:$X$30,8,0)</f>
        <v>4.4674509803921572</v>
      </c>
      <c r="S544" s="62">
        <f t="shared" si="62"/>
        <v>5.4739930589768004</v>
      </c>
      <c r="T544" s="133">
        <f>IF(P544=模板计算相关数据!$AB$24,VLOOKUP(X544,模板计算相关数据!$P$47:$T$50,5,0),VLOOKUP(X544,模板计算相关数据!$P$4:$U$7,6,0))*VLOOKUP(Y544,模板计算相关数据!$P$22:$X$30,9,0)</f>
        <v>5.4739930589768004</v>
      </c>
      <c r="U544" s="98">
        <v>1</v>
      </c>
      <c r="V544" s="95">
        <f t="shared" si="60"/>
        <v>4</v>
      </c>
      <c r="W544" s="29">
        <f>VLOOKUP(U544,模板计算相关数据!A:N,2,0)</f>
        <v>1</v>
      </c>
      <c r="X544" s="3" t="s">
        <v>151</v>
      </c>
      <c r="Y544" s="3" t="s">
        <v>162</v>
      </c>
      <c r="Z544" s="99">
        <v>1</v>
      </c>
      <c r="AA544" s="95">
        <v>1</v>
      </c>
      <c r="AB544" s="95">
        <v>1</v>
      </c>
      <c r="AC544" s="95">
        <v>1</v>
      </c>
      <c r="AD544" s="95">
        <v>0</v>
      </c>
      <c r="AE544" s="95">
        <v>0</v>
      </c>
      <c r="AF544" s="95">
        <v>0</v>
      </c>
      <c r="AG544" s="95">
        <v>0</v>
      </c>
      <c r="AH544" s="95">
        <v>0</v>
      </c>
      <c r="AI544" s="95">
        <v>0</v>
      </c>
      <c r="AJ544" s="3">
        <f>INT(VLOOKUP(U544,模板计算相关数据!A:N,4,0)*VLOOKUP(U544,模板计算相关数据!A:N,14,0)*(1+MAX(0,(VLOOKUP(U544,模板计算相关数据!A:N,7,0)-AQ544))*VLOOKUP(U544,模板计算相关数据!A:N,8,0))*(1-(AL544+AM544)*0.5/((AL544+AM544)*0.5+(VLOOKUP(U544,模板计算相关数据!A:N,2,0)+模板计算相关数据!$AC$27)*模板计算相关数据!$AC$28))*Q544*Z544)</f>
        <v>328</v>
      </c>
      <c r="AK544" s="3">
        <f>INT(VLOOKUP(U544,模板计算相关数据!A:N,3,0)/模板计算相关数据!$W$35/(1+MAX(0,(AO544/10000-VLOOKUP(U544,模板计算相关数据!A:N,9,0)))*AP544/10000)/(1-VLOOKUP(U544,模板计算相关数据!A:N,5,0)/(VLOOKUP(U544,模板计算相关数据!A:N,5,0)+(VLOOKUP(U544,模板计算相关数据!A:N,2,0)+模板计算相关数据!$AC$27)*模板计算相关数据!$AC$28))/S544*AA544)</f>
        <v>101</v>
      </c>
      <c r="AL544" s="3">
        <f>INT(VLOOKUP(U544,模板计算相关数据!A:N,5,0)*VLOOKUP(X544,模板计算相关数据!$P$4:$T$7,4,0)*VLOOKUP(Y544,模板计算相关数据!$P$22:$U$30,4,0)*AB544)</f>
        <v>136</v>
      </c>
      <c r="AM544" s="3">
        <f>INT(VLOOKUP(U544,模板计算相关数据!A:N,6,0)*VLOOKUP(X544,模板计算相关数据!$P$4:$T$7,4,0)*VLOOKUP(Y544,模板计算相关数据!$P$22:$U$30,5,0)*AC544)</f>
        <v>230</v>
      </c>
      <c r="AN544" s="3">
        <f>VLOOKUP(U544,模板计算相关数据!A:N,10,0)*0.5*VLOOKUP(Y544,模板计算相关数据!$P$22:$U$30,6,0)+AD544</f>
        <v>250</v>
      </c>
      <c r="AO544" s="3">
        <f>VLOOKUP(INT(VLOOKUP(U544,模板计算相关数据!A:N,2,0)/30)+1,模板计算相关数据!$O$35:$U$40,3,0)+AE544</f>
        <v>0</v>
      </c>
      <c r="AP544" s="3">
        <f>VLOOKUP(INT(VLOOKUP(U544,模板计算相关数据!A:N,2,0)/30)+1,模板计算相关数据!$O$35:$U$40,4,0)+AF544</f>
        <v>5000</v>
      </c>
      <c r="AQ544" s="3">
        <f>VLOOKUP(INT(VLOOKUP(U544,模板计算相关数据!A:N,2,0)/30)+1,模板计算相关数据!$O$35:$U$40,5,0)+AG544</f>
        <v>0</v>
      </c>
      <c r="AR544" s="3">
        <f>VLOOKUP(INT(VLOOKUP(U544,模板计算相关数据!A:N,2,0)/30)+1,模板计算相关数据!$O$35:$U$40,6,0)+AH544</f>
        <v>0</v>
      </c>
      <c r="AS544" s="3">
        <f>VLOOKUP(INT(VLOOKUP(U544,模板计算相关数据!A:N,2,0)/30)+1,模板计算相关数据!$O$35:$U$40,7,0)+AI544</f>
        <v>0</v>
      </c>
      <c r="AT544" s="3">
        <f>VLOOKUP(INT(VLOOKUP(U544,模板计算相关数据!A:N,2,0)/30)+1,模板计算相关数据!$O$35:$V$40,8,0)</f>
        <v>0</v>
      </c>
      <c r="AU544" s="2"/>
    </row>
    <row r="545" spans="1:47" x14ac:dyDescent="0.2">
      <c r="A545" s="2">
        <v>307146</v>
      </c>
      <c r="B545" s="2"/>
      <c r="C545" s="2" t="s">
        <v>370</v>
      </c>
      <c r="D545" s="2" t="s">
        <v>1144</v>
      </c>
      <c r="E545" s="2"/>
      <c r="F545" s="127">
        <v>3</v>
      </c>
      <c r="G545" s="127">
        <v>101</v>
      </c>
      <c r="H545" s="3">
        <v>4</v>
      </c>
      <c r="I545" s="127">
        <v>5</v>
      </c>
      <c r="J545" s="127">
        <v>1</v>
      </c>
      <c r="K545" s="3"/>
      <c r="L545" s="2" t="s">
        <v>373</v>
      </c>
      <c r="M545" s="2"/>
      <c r="N545" s="2">
        <v>1</v>
      </c>
      <c r="O545" s="2"/>
      <c r="P545" s="3" t="s">
        <v>1615</v>
      </c>
      <c r="Q545" s="95">
        <f t="shared" si="61"/>
        <v>4.4674509803921572</v>
      </c>
      <c r="R545" s="133">
        <f>IF(P545=模板计算相关数据!$AB$24,VLOOKUP(X545,模板计算相关数据!$P$47:$T$50,2,0),VLOOKUP(X545,模板计算相关数据!$P$4:$U$7,3,0))*VLOOKUP(Y545,模板计算相关数据!$P$22:$X$30,8,0)</f>
        <v>4.4674509803921572</v>
      </c>
      <c r="S545" s="62">
        <f t="shared" si="62"/>
        <v>5.4739930589768004</v>
      </c>
      <c r="T545" s="133">
        <f>IF(P545=模板计算相关数据!$AB$24,VLOOKUP(X545,模板计算相关数据!$P$47:$T$50,5,0),VLOOKUP(X545,模板计算相关数据!$P$4:$U$7,6,0))*VLOOKUP(Y545,模板计算相关数据!$P$22:$X$30,9,0)</f>
        <v>5.4739930589768004</v>
      </c>
      <c r="U545" s="98">
        <v>1</v>
      </c>
      <c r="V545" s="95">
        <f t="shared" si="60"/>
        <v>4</v>
      </c>
      <c r="W545" s="29">
        <f>VLOOKUP(U545,模板计算相关数据!A:N,2,0)</f>
        <v>1</v>
      </c>
      <c r="X545" s="3" t="s">
        <v>151</v>
      </c>
      <c r="Y545" s="3" t="s">
        <v>162</v>
      </c>
      <c r="Z545" s="99">
        <v>1</v>
      </c>
      <c r="AA545" s="95">
        <v>1</v>
      </c>
      <c r="AB545" s="95">
        <v>1</v>
      </c>
      <c r="AC545" s="95">
        <v>1</v>
      </c>
      <c r="AD545" s="95">
        <v>0</v>
      </c>
      <c r="AE545" s="95">
        <v>0</v>
      </c>
      <c r="AF545" s="95">
        <v>0</v>
      </c>
      <c r="AG545" s="95">
        <v>0</v>
      </c>
      <c r="AH545" s="95">
        <v>0</v>
      </c>
      <c r="AI545" s="95">
        <v>0</v>
      </c>
      <c r="AJ545" s="3">
        <f>INT(VLOOKUP(U545,模板计算相关数据!A:N,4,0)*VLOOKUP(U545,模板计算相关数据!A:N,14,0)*(1+MAX(0,(VLOOKUP(U545,模板计算相关数据!A:N,7,0)-AQ545))*VLOOKUP(U545,模板计算相关数据!A:N,8,0))*(1-(AL545+AM545)*0.5/((AL545+AM545)*0.5+(VLOOKUP(U545,模板计算相关数据!A:N,2,0)+模板计算相关数据!$AC$27)*模板计算相关数据!$AC$28))*Q545*Z545)</f>
        <v>328</v>
      </c>
      <c r="AK545" s="3">
        <f>INT(VLOOKUP(U545,模板计算相关数据!A:N,3,0)/模板计算相关数据!$W$35/(1+MAX(0,(AO545/10000-VLOOKUP(U545,模板计算相关数据!A:N,9,0)))*AP545/10000)/(1-VLOOKUP(U545,模板计算相关数据!A:N,5,0)/(VLOOKUP(U545,模板计算相关数据!A:N,5,0)+(VLOOKUP(U545,模板计算相关数据!A:N,2,0)+模板计算相关数据!$AC$27)*模板计算相关数据!$AC$28))/S545*AA545)</f>
        <v>101</v>
      </c>
      <c r="AL545" s="3">
        <f>INT(VLOOKUP(U545,模板计算相关数据!A:N,5,0)*VLOOKUP(X545,模板计算相关数据!$P$4:$T$7,4,0)*VLOOKUP(Y545,模板计算相关数据!$P$22:$U$30,4,0)*AB545)</f>
        <v>136</v>
      </c>
      <c r="AM545" s="3">
        <f>INT(VLOOKUP(U545,模板计算相关数据!A:N,6,0)*VLOOKUP(X545,模板计算相关数据!$P$4:$T$7,4,0)*VLOOKUP(Y545,模板计算相关数据!$P$22:$U$30,5,0)*AC545)</f>
        <v>230</v>
      </c>
      <c r="AN545" s="3">
        <f>VLOOKUP(U545,模板计算相关数据!A:N,10,0)*0.5*VLOOKUP(Y545,模板计算相关数据!$P$22:$U$30,6,0)+AD545</f>
        <v>250</v>
      </c>
      <c r="AO545" s="3">
        <f>VLOOKUP(INT(VLOOKUP(U545,模板计算相关数据!A:N,2,0)/30)+1,模板计算相关数据!$O$35:$U$40,3,0)+AE545</f>
        <v>0</v>
      </c>
      <c r="AP545" s="3">
        <f>VLOOKUP(INT(VLOOKUP(U545,模板计算相关数据!A:N,2,0)/30)+1,模板计算相关数据!$O$35:$U$40,4,0)+AF545</f>
        <v>5000</v>
      </c>
      <c r="AQ545" s="3">
        <f>VLOOKUP(INT(VLOOKUP(U545,模板计算相关数据!A:N,2,0)/30)+1,模板计算相关数据!$O$35:$U$40,5,0)+AG545</f>
        <v>0</v>
      </c>
      <c r="AR545" s="3">
        <f>VLOOKUP(INT(VLOOKUP(U545,模板计算相关数据!A:N,2,0)/30)+1,模板计算相关数据!$O$35:$U$40,6,0)+AH545</f>
        <v>0</v>
      </c>
      <c r="AS545" s="3">
        <f>VLOOKUP(INT(VLOOKUP(U545,模板计算相关数据!A:N,2,0)/30)+1,模板计算相关数据!$O$35:$U$40,7,0)+AI545</f>
        <v>0</v>
      </c>
      <c r="AT545" s="3">
        <f>VLOOKUP(INT(VLOOKUP(U545,模板计算相关数据!A:N,2,0)/30)+1,模板计算相关数据!$O$35:$V$40,8,0)</f>
        <v>0</v>
      </c>
      <c r="AU545" s="2"/>
    </row>
    <row r="546" spans="1:47" x14ac:dyDescent="0.2">
      <c r="A546" s="17">
        <v>307147</v>
      </c>
      <c r="B546" s="17"/>
      <c r="C546" s="153" t="s">
        <v>755</v>
      </c>
      <c r="D546" s="25" t="s">
        <v>1145</v>
      </c>
      <c r="E546" s="17"/>
      <c r="F546" s="152">
        <v>3</v>
      </c>
      <c r="G546" s="152">
        <v>101</v>
      </c>
      <c r="H546" s="3">
        <v>2</v>
      </c>
      <c r="I546" s="127">
        <v>5</v>
      </c>
      <c r="J546" s="127">
        <v>1</v>
      </c>
      <c r="K546" s="3"/>
      <c r="L546" s="69" t="s">
        <v>758</v>
      </c>
      <c r="M546" s="2"/>
      <c r="N546" s="2">
        <v>1</v>
      </c>
      <c r="O546" s="2"/>
      <c r="P546" s="3" t="s">
        <v>1615</v>
      </c>
      <c r="Q546" s="95">
        <f t="shared" si="61"/>
        <v>6.9411764705882364</v>
      </c>
      <c r="R546" s="133">
        <f>IF(P546=模板计算相关数据!$AB$24,VLOOKUP(X546,模板计算相关数据!$P$47:$T$50,2,0),VLOOKUP(X546,模板计算相关数据!$P$4:$U$7,3,0))*VLOOKUP(Y546,模板计算相关数据!$P$22:$X$30,8,0)</f>
        <v>6.9411764705882364</v>
      </c>
      <c r="S546" s="62">
        <f t="shared" si="62"/>
        <v>8.2943498888557112</v>
      </c>
      <c r="T546" s="133">
        <f>IF(P546=模板计算相关数据!$AB$24,VLOOKUP(X546,模板计算相关数据!$P$47:$T$50,5,0),VLOOKUP(X546,模板计算相关数据!$P$4:$U$7,6,0))*VLOOKUP(Y546,模板计算相关数据!$P$22:$X$30,9,0)</f>
        <v>8.2943498888557112</v>
      </c>
      <c r="U546" s="98">
        <v>1</v>
      </c>
      <c r="V546" s="95">
        <f t="shared" si="60"/>
        <v>4</v>
      </c>
      <c r="W546" s="29">
        <f>VLOOKUP(U546,模板计算相关数据!A:N,2,0)</f>
        <v>1</v>
      </c>
      <c r="X546" s="3" t="s">
        <v>151</v>
      </c>
      <c r="Y546" s="3" t="s">
        <v>234</v>
      </c>
      <c r="Z546" s="99">
        <v>1</v>
      </c>
      <c r="AA546" s="95">
        <v>1</v>
      </c>
      <c r="AB546" s="95">
        <v>1</v>
      </c>
      <c r="AC546" s="95">
        <v>1</v>
      </c>
      <c r="AD546" s="95">
        <v>0</v>
      </c>
      <c r="AE546" s="95">
        <v>0</v>
      </c>
      <c r="AF546" s="95">
        <v>0</v>
      </c>
      <c r="AG546" s="95">
        <v>0</v>
      </c>
      <c r="AH546" s="95">
        <v>0</v>
      </c>
      <c r="AI546" s="95">
        <v>0</v>
      </c>
      <c r="AJ546" s="3">
        <f>INT(VLOOKUP(U546,模板计算相关数据!A:N,4,0)*VLOOKUP(U546,模板计算相关数据!A:N,14,0)*(1+MAX(0,(VLOOKUP(U546,模板计算相关数据!A:N,7,0)-AQ546))*VLOOKUP(U546,模板计算相关数据!A:N,8,0))*(1-(AL546+AM546)*0.5/((AL546+AM546)*0.5+(VLOOKUP(U546,模板计算相关数据!A:N,2,0)+模板计算相关数据!$AC$27)*模板计算相关数据!$AC$28))*Q546*Z546)</f>
        <v>487</v>
      </c>
      <c r="AK546" s="3">
        <f>INT(VLOOKUP(U546,模板计算相关数据!A:N,3,0)/模板计算相关数据!$W$35/(1+MAX(0,(AO546/10000-VLOOKUP(U546,模板计算相关数据!A:N,9,0)))*AP546/10000)/(1-VLOOKUP(U546,模板计算相关数据!A:N,5,0)/(VLOOKUP(U546,模板计算相关数据!A:N,5,0)+(VLOOKUP(U546,模板计算相关数据!A:N,2,0)+模板计算相关数据!$AC$27)*模板计算相关数据!$AC$28))/S546*AA546)</f>
        <v>67</v>
      </c>
      <c r="AL546" s="3">
        <f>INT(VLOOKUP(U546,模板计算相关数据!A:N,5,0)*VLOOKUP(X546,模板计算相关数据!$P$4:$T$7,4,0)*VLOOKUP(Y546,模板计算相关数据!$P$22:$U$30,4,0)*AB546)</f>
        <v>153</v>
      </c>
      <c r="AM546" s="3">
        <f>INT(VLOOKUP(U546,模板计算相关数据!A:N,6,0)*VLOOKUP(X546,模板计算相关数据!$P$4:$T$7,4,0)*VLOOKUP(Y546,模板计算相关数据!$P$22:$U$30,5,0)*AC546)</f>
        <v>277</v>
      </c>
      <c r="AN546" s="3">
        <f>VLOOKUP(U546,模板计算相关数据!A:N,10,0)*0.5*VLOOKUP(Y546,模板计算相关数据!$P$22:$U$30,6,0)+AD546</f>
        <v>225</v>
      </c>
      <c r="AO546" s="3">
        <f>VLOOKUP(INT(VLOOKUP(U546,模板计算相关数据!A:N,2,0)/30)+1,模板计算相关数据!$O$35:$U$40,3,0)+AE546</f>
        <v>0</v>
      </c>
      <c r="AP546" s="3">
        <f>VLOOKUP(INT(VLOOKUP(U546,模板计算相关数据!A:N,2,0)/30)+1,模板计算相关数据!$O$35:$U$40,4,0)+AF546</f>
        <v>5000</v>
      </c>
      <c r="AQ546" s="3">
        <f>VLOOKUP(INT(VLOOKUP(U546,模板计算相关数据!A:N,2,0)/30)+1,模板计算相关数据!$O$35:$U$40,5,0)+AG546</f>
        <v>0</v>
      </c>
      <c r="AR546" s="3">
        <f>VLOOKUP(INT(VLOOKUP(U546,模板计算相关数据!A:N,2,0)/30)+1,模板计算相关数据!$O$35:$U$40,6,0)+AH546</f>
        <v>0</v>
      </c>
      <c r="AS546" s="3">
        <f>VLOOKUP(INT(VLOOKUP(U546,模板计算相关数据!A:N,2,0)/30)+1,模板计算相关数据!$O$35:$U$40,7,0)+AI546</f>
        <v>0</v>
      </c>
      <c r="AT546" s="3">
        <f>VLOOKUP(INT(VLOOKUP(U546,模板计算相关数据!A:N,2,0)/30)+1,模板计算相关数据!$O$35:$V$40,8,0)</f>
        <v>0</v>
      </c>
      <c r="AU546" s="2"/>
    </row>
    <row r="547" spans="1:47" x14ac:dyDescent="0.2">
      <c r="A547" s="2">
        <v>307148</v>
      </c>
      <c r="B547" s="2"/>
      <c r="C547" s="2" t="s">
        <v>73</v>
      </c>
      <c r="D547" s="69" t="s">
        <v>1146</v>
      </c>
      <c r="E547" s="2"/>
      <c r="F547" s="127">
        <v>3</v>
      </c>
      <c r="G547" s="127">
        <v>101</v>
      </c>
      <c r="H547" s="3">
        <v>2</v>
      </c>
      <c r="I547" s="127">
        <v>5</v>
      </c>
      <c r="J547" s="127">
        <v>1</v>
      </c>
      <c r="K547" s="3"/>
      <c r="L547" s="69" t="s">
        <v>759</v>
      </c>
      <c r="M547" s="2"/>
      <c r="N547" s="2">
        <v>1</v>
      </c>
      <c r="O547" s="2"/>
      <c r="P547" s="3" t="s">
        <v>1615</v>
      </c>
      <c r="Q547" s="95">
        <f t="shared" si="61"/>
        <v>6.9411764705882364</v>
      </c>
      <c r="R547" s="133">
        <f>IF(P547=模板计算相关数据!$AB$24,VLOOKUP(X547,模板计算相关数据!$P$47:$T$50,2,0),VLOOKUP(X547,模板计算相关数据!$P$4:$U$7,3,0))*VLOOKUP(Y547,模板计算相关数据!$P$22:$X$30,8,0)</f>
        <v>6.9411764705882364</v>
      </c>
      <c r="S547" s="62">
        <f t="shared" si="62"/>
        <v>8.2943498888557112</v>
      </c>
      <c r="T547" s="133">
        <f>IF(P547=模板计算相关数据!$AB$24,VLOOKUP(X547,模板计算相关数据!$P$47:$T$50,5,0),VLOOKUP(X547,模板计算相关数据!$P$4:$U$7,6,0))*VLOOKUP(Y547,模板计算相关数据!$P$22:$X$30,9,0)</f>
        <v>8.2943498888557112</v>
      </c>
      <c r="U547" s="98">
        <v>1</v>
      </c>
      <c r="V547" s="95">
        <f t="shared" si="60"/>
        <v>4</v>
      </c>
      <c r="W547" s="29">
        <f>VLOOKUP(U547,模板计算相关数据!A:N,2,0)</f>
        <v>1</v>
      </c>
      <c r="X547" s="3" t="s">
        <v>151</v>
      </c>
      <c r="Y547" s="3" t="s">
        <v>234</v>
      </c>
      <c r="Z547" s="99">
        <v>1</v>
      </c>
      <c r="AA547" s="95">
        <v>1</v>
      </c>
      <c r="AB547" s="95">
        <v>1</v>
      </c>
      <c r="AC547" s="95">
        <v>1</v>
      </c>
      <c r="AD547" s="95">
        <v>0</v>
      </c>
      <c r="AE547" s="95">
        <v>0</v>
      </c>
      <c r="AF547" s="95">
        <v>0</v>
      </c>
      <c r="AG547" s="95">
        <v>0</v>
      </c>
      <c r="AH547" s="95">
        <v>0</v>
      </c>
      <c r="AI547" s="95">
        <v>0</v>
      </c>
      <c r="AJ547" s="3">
        <f>INT(VLOOKUP(U547,模板计算相关数据!A:N,4,0)*VLOOKUP(U547,模板计算相关数据!A:N,14,0)*(1+MAX(0,(VLOOKUP(U547,模板计算相关数据!A:N,7,0)-AQ547))*VLOOKUP(U547,模板计算相关数据!A:N,8,0))*(1-(AL547+AM547)*0.5/((AL547+AM547)*0.5+(VLOOKUP(U547,模板计算相关数据!A:N,2,0)+模板计算相关数据!$AC$27)*模板计算相关数据!$AC$28))*Q547*Z547)</f>
        <v>487</v>
      </c>
      <c r="AK547" s="3">
        <f>INT(VLOOKUP(U547,模板计算相关数据!A:N,3,0)/模板计算相关数据!$W$35/(1+MAX(0,(AO547/10000-VLOOKUP(U547,模板计算相关数据!A:N,9,0)))*AP547/10000)/(1-VLOOKUP(U547,模板计算相关数据!A:N,5,0)/(VLOOKUP(U547,模板计算相关数据!A:N,5,0)+(VLOOKUP(U547,模板计算相关数据!A:N,2,0)+模板计算相关数据!$AC$27)*模板计算相关数据!$AC$28))/S547*AA547)</f>
        <v>67</v>
      </c>
      <c r="AL547" s="3">
        <f>INT(VLOOKUP(U547,模板计算相关数据!A:N,5,0)*VLOOKUP(X547,模板计算相关数据!$P$4:$T$7,4,0)*VLOOKUP(Y547,模板计算相关数据!$P$22:$U$30,4,0)*AB547)</f>
        <v>153</v>
      </c>
      <c r="AM547" s="3">
        <f>INT(VLOOKUP(U547,模板计算相关数据!A:N,6,0)*VLOOKUP(X547,模板计算相关数据!$P$4:$T$7,4,0)*VLOOKUP(Y547,模板计算相关数据!$P$22:$U$30,5,0)*AC547)</f>
        <v>277</v>
      </c>
      <c r="AN547" s="3">
        <f>VLOOKUP(U547,模板计算相关数据!A:N,10,0)*0.5*VLOOKUP(Y547,模板计算相关数据!$P$22:$U$30,6,0)+AD547</f>
        <v>225</v>
      </c>
      <c r="AO547" s="3">
        <f>VLOOKUP(INT(VLOOKUP(U547,模板计算相关数据!A:N,2,0)/30)+1,模板计算相关数据!$O$35:$U$40,3,0)+AE547</f>
        <v>0</v>
      </c>
      <c r="AP547" s="3">
        <f>VLOOKUP(INT(VLOOKUP(U547,模板计算相关数据!A:N,2,0)/30)+1,模板计算相关数据!$O$35:$U$40,4,0)+AF547</f>
        <v>5000</v>
      </c>
      <c r="AQ547" s="3">
        <f>VLOOKUP(INT(VLOOKUP(U547,模板计算相关数据!A:N,2,0)/30)+1,模板计算相关数据!$O$35:$U$40,5,0)+AG547</f>
        <v>0</v>
      </c>
      <c r="AR547" s="3">
        <f>VLOOKUP(INT(VLOOKUP(U547,模板计算相关数据!A:N,2,0)/30)+1,模板计算相关数据!$O$35:$U$40,6,0)+AH547</f>
        <v>0</v>
      </c>
      <c r="AS547" s="3">
        <f>VLOOKUP(INT(VLOOKUP(U547,模板计算相关数据!A:N,2,0)/30)+1,模板计算相关数据!$O$35:$U$40,7,0)+AI547</f>
        <v>0</v>
      </c>
      <c r="AT547" s="3">
        <f>VLOOKUP(INT(VLOOKUP(U547,模板计算相关数据!A:N,2,0)/30)+1,模板计算相关数据!$O$35:$V$40,8,0)</f>
        <v>0</v>
      </c>
      <c r="AU547" s="2"/>
    </row>
    <row r="548" spans="1:47" x14ac:dyDescent="0.2">
      <c r="A548" s="2">
        <v>307149</v>
      </c>
      <c r="B548" s="2"/>
      <c r="C548" s="2" t="s">
        <v>73</v>
      </c>
      <c r="D548" s="69" t="s">
        <v>1147</v>
      </c>
      <c r="E548" s="2"/>
      <c r="F548" s="127">
        <v>3</v>
      </c>
      <c r="G548" s="127">
        <v>101</v>
      </c>
      <c r="H548" s="3">
        <v>2</v>
      </c>
      <c r="I548" s="127">
        <v>5</v>
      </c>
      <c r="J548" s="127">
        <v>1</v>
      </c>
      <c r="K548" s="3"/>
      <c r="L548" s="69" t="s">
        <v>760</v>
      </c>
      <c r="M548" s="2"/>
      <c r="N548" s="2">
        <v>1</v>
      </c>
      <c r="O548" s="2"/>
      <c r="P548" s="3" t="s">
        <v>1615</v>
      </c>
      <c r="Q548" s="95">
        <f t="shared" si="61"/>
        <v>6.9411764705882364</v>
      </c>
      <c r="R548" s="133">
        <f>IF(P548=模板计算相关数据!$AB$24,VLOOKUP(X548,模板计算相关数据!$P$47:$T$50,2,0),VLOOKUP(X548,模板计算相关数据!$P$4:$U$7,3,0))*VLOOKUP(Y548,模板计算相关数据!$P$22:$X$30,8,0)</f>
        <v>6.9411764705882364</v>
      </c>
      <c r="S548" s="62">
        <f t="shared" si="62"/>
        <v>8.2943498888557112</v>
      </c>
      <c r="T548" s="133">
        <f>IF(P548=模板计算相关数据!$AB$24,VLOOKUP(X548,模板计算相关数据!$P$47:$T$50,5,0),VLOOKUP(X548,模板计算相关数据!$P$4:$U$7,6,0))*VLOOKUP(Y548,模板计算相关数据!$P$22:$X$30,9,0)</f>
        <v>8.2943498888557112</v>
      </c>
      <c r="U548" s="98">
        <v>1</v>
      </c>
      <c r="V548" s="95">
        <f t="shared" si="60"/>
        <v>4</v>
      </c>
      <c r="W548" s="29">
        <f>VLOOKUP(U548,模板计算相关数据!A:N,2,0)</f>
        <v>1</v>
      </c>
      <c r="X548" s="3" t="s">
        <v>151</v>
      </c>
      <c r="Y548" s="3" t="s">
        <v>234</v>
      </c>
      <c r="Z548" s="99">
        <v>1</v>
      </c>
      <c r="AA548" s="95">
        <v>1</v>
      </c>
      <c r="AB548" s="95">
        <v>1</v>
      </c>
      <c r="AC548" s="95">
        <v>1</v>
      </c>
      <c r="AD548" s="95">
        <v>0</v>
      </c>
      <c r="AE548" s="95">
        <v>0</v>
      </c>
      <c r="AF548" s="95">
        <v>0</v>
      </c>
      <c r="AG548" s="95">
        <v>0</v>
      </c>
      <c r="AH548" s="95">
        <v>0</v>
      </c>
      <c r="AI548" s="95">
        <v>0</v>
      </c>
      <c r="AJ548" s="3">
        <f>INT(VLOOKUP(U548,模板计算相关数据!A:N,4,0)*VLOOKUP(U548,模板计算相关数据!A:N,14,0)*(1+MAX(0,(VLOOKUP(U548,模板计算相关数据!A:N,7,0)-AQ548))*VLOOKUP(U548,模板计算相关数据!A:N,8,0))*(1-(AL548+AM548)*0.5/((AL548+AM548)*0.5+(VLOOKUP(U548,模板计算相关数据!A:N,2,0)+模板计算相关数据!$AC$27)*模板计算相关数据!$AC$28))*Q548*Z548)</f>
        <v>487</v>
      </c>
      <c r="AK548" s="3">
        <f>INT(VLOOKUP(U548,模板计算相关数据!A:N,3,0)/模板计算相关数据!$W$35/(1+MAX(0,(AO548/10000-VLOOKUP(U548,模板计算相关数据!A:N,9,0)))*AP548/10000)/(1-VLOOKUP(U548,模板计算相关数据!A:N,5,0)/(VLOOKUP(U548,模板计算相关数据!A:N,5,0)+(VLOOKUP(U548,模板计算相关数据!A:N,2,0)+模板计算相关数据!$AC$27)*模板计算相关数据!$AC$28))/S548*AA548)</f>
        <v>67</v>
      </c>
      <c r="AL548" s="3">
        <f>INT(VLOOKUP(U548,模板计算相关数据!A:N,5,0)*VLOOKUP(X548,模板计算相关数据!$P$4:$T$7,4,0)*VLOOKUP(Y548,模板计算相关数据!$P$22:$U$30,4,0)*AB548)</f>
        <v>153</v>
      </c>
      <c r="AM548" s="3">
        <f>INT(VLOOKUP(U548,模板计算相关数据!A:N,6,0)*VLOOKUP(X548,模板计算相关数据!$P$4:$T$7,4,0)*VLOOKUP(Y548,模板计算相关数据!$P$22:$U$30,5,0)*AC548)</f>
        <v>277</v>
      </c>
      <c r="AN548" s="3">
        <f>VLOOKUP(U548,模板计算相关数据!A:N,10,0)*0.5*VLOOKUP(Y548,模板计算相关数据!$P$22:$U$30,6,0)+AD548</f>
        <v>225</v>
      </c>
      <c r="AO548" s="3">
        <f>VLOOKUP(INT(VLOOKUP(U548,模板计算相关数据!A:N,2,0)/30)+1,模板计算相关数据!$O$35:$U$40,3,0)+AE548</f>
        <v>0</v>
      </c>
      <c r="AP548" s="3">
        <f>VLOOKUP(INT(VLOOKUP(U548,模板计算相关数据!A:N,2,0)/30)+1,模板计算相关数据!$O$35:$U$40,4,0)+AF548</f>
        <v>5000</v>
      </c>
      <c r="AQ548" s="3">
        <f>VLOOKUP(INT(VLOOKUP(U548,模板计算相关数据!A:N,2,0)/30)+1,模板计算相关数据!$O$35:$U$40,5,0)+AG548</f>
        <v>0</v>
      </c>
      <c r="AR548" s="3">
        <f>VLOOKUP(INT(VLOOKUP(U548,模板计算相关数据!A:N,2,0)/30)+1,模板计算相关数据!$O$35:$U$40,6,0)+AH548</f>
        <v>0</v>
      </c>
      <c r="AS548" s="3">
        <f>VLOOKUP(INT(VLOOKUP(U548,模板计算相关数据!A:N,2,0)/30)+1,模板计算相关数据!$O$35:$U$40,7,0)+AI548</f>
        <v>0</v>
      </c>
      <c r="AT548" s="3">
        <f>VLOOKUP(INT(VLOOKUP(U548,模板计算相关数据!A:N,2,0)/30)+1,模板计算相关数据!$O$35:$V$40,8,0)</f>
        <v>0</v>
      </c>
      <c r="AU548" s="2"/>
    </row>
    <row r="549" spans="1:47" x14ac:dyDescent="0.2">
      <c r="A549" s="2">
        <v>307150</v>
      </c>
      <c r="B549" s="2"/>
      <c r="C549" s="2" t="s">
        <v>73</v>
      </c>
      <c r="D549" s="69" t="s">
        <v>1148</v>
      </c>
      <c r="E549" s="2"/>
      <c r="F549" s="127">
        <v>3</v>
      </c>
      <c r="G549" s="127">
        <v>101</v>
      </c>
      <c r="H549" s="3">
        <v>2</v>
      </c>
      <c r="I549" s="127">
        <v>5</v>
      </c>
      <c r="J549" s="127">
        <v>1</v>
      </c>
      <c r="K549" s="3"/>
      <c r="L549" s="69" t="s">
        <v>761</v>
      </c>
      <c r="M549" s="2"/>
      <c r="N549" s="2">
        <v>1</v>
      </c>
      <c r="O549" s="2"/>
      <c r="P549" s="3" t="s">
        <v>1615</v>
      </c>
      <c r="Q549" s="95">
        <f t="shared" si="61"/>
        <v>6.9411764705882364</v>
      </c>
      <c r="R549" s="133">
        <f>IF(P549=模板计算相关数据!$AB$24,VLOOKUP(X549,模板计算相关数据!$P$47:$T$50,2,0),VLOOKUP(X549,模板计算相关数据!$P$4:$U$7,3,0))*VLOOKUP(Y549,模板计算相关数据!$P$22:$X$30,8,0)</f>
        <v>6.9411764705882364</v>
      </c>
      <c r="S549" s="62">
        <f t="shared" si="62"/>
        <v>8.2943498888557112</v>
      </c>
      <c r="T549" s="133">
        <f>IF(P549=模板计算相关数据!$AB$24,VLOOKUP(X549,模板计算相关数据!$P$47:$T$50,5,0),VLOOKUP(X549,模板计算相关数据!$P$4:$U$7,6,0))*VLOOKUP(Y549,模板计算相关数据!$P$22:$X$30,9,0)</f>
        <v>8.2943498888557112</v>
      </c>
      <c r="U549" s="98">
        <v>1</v>
      </c>
      <c r="V549" s="95">
        <f t="shared" si="60"/>
        <v>4</v>
      </c>
      <c r="W549" s="29">
        <f>VLOOKUP(U549,模板计算相关数据!A:N,2,0)</f>
        <v>1</v>
      </c>
      <c r="X549" s="3" t="s">
        <v>151</v>
      </c>
      <c r="Y549" s="3" t="s">
        <v>234</v>
      </c>
      <c r="Z549" s="99">
        <v>1</v>
      </c>
      <c r="AA549" s="95">
        <v>1</v>
      </c>
      <c r="AB549" s="95">
        <v>1</v>
      </c>
      <c r="AC549" s="95">
        <v>1</v>
      </c>
      <c r="AD549" s="95">
        <v>0</v>
      </c>
      <c r="AE549" s="95">
        <v>0</v>
      </c>
      <c r="AF549" s="95">
        <v>0</v>
      </c>
      <c r="AG549" s="95">
        <v>0</v>
      </c>
      <c r="AH549" s="95">
        <v>0</v>
      </c>
      <c r="AI549" s="95">
        <v>0</v>
      </c>
      <c r="AJ549" s="3">
        <f>INT(VLOOKUP(U549,模板计算相关数据!A:N,4,0)*VLOOKUP(U549,模板计算相关数据!A:N,14,0)*(1+MAX(0,(VLOOKUP(U549,模板计算相关数据!A:N,7,0)-AQ549))*VLOOKUP(U549,模板计算相关数据!A:N,8,0))*(1-(AL549+AM549)*0.5/((AL549+AM549)*0.5+(VLOOKUP(U549,模板计算相关数据!A:N,2,0)+模板计算相关数据!$AC$27)*模板计算相关数据!$AC$28))*Q549*Z549)</f>
        <v>487</v>
      </c>
      <c r="AK549" s="3">
        <f>INT(VLOOKUP(U549,模板计算相关数据!A:N,3,0)/模板计算相关数据!$W$35/(1+MAX(0,(AO549/10000-VLOOKUP(U549,模板计算相关数据!A:N,9,0)))*AP549/10000)/(1-VLOOKUP(U549,模板计算相关数据!A:N,5,0)/(VLOOKUP(U549,模板计算相关数据!A:N,5,0)+(VLOOKUP(U549,模板计算相关数据!A:N,2,0)+模板计算相关数据!$AC$27)*模板计算相关数据!$AC$28))/S549*AA549)</f>
        <v>67</v>
      </c>
      <c r="AL549" s="3">
        <f>INT(VLOOKUP(U549,模板计算相关数据!A:N,5,0)*VLOOKUP(X549,模板计算相关数据!$P$4:$T$7,4,0)*VLOOKUP(Y549,模板计算相关数据!$P$22:$U$30,4,0)*AB549)</f>
        <v>153</v>
      </c>
      <c r="AM549" s="3">
        <f>INT(VLOOKUP(U549,模板计算相关数据!A:N,6,0)*VLOOKUP(X549,模板计算相关数据!$P$4:$T$7,4,0)*VLOOKUP(Y549,模板计算相关数据!$P$22:$U$30,5,0)*AC549)</f>
        <v>277</v>
      </c>
      <c r="AN549" s="3">
        <f>VLOOKUP(U549,模板计算相关数据!A:N,10,0)*0.5*VLOOKUP(Y549,模板计算相关数据!$P$22:$U$30,6,0)+AD549</f>
        <v>225</v>
      </c>
      <c r="AO549" s="3">
        <f>VLOOKUP(INT(VLOOKUP(U549,模板计算相关数据!A:N,2,0)/30)+1,模板计算相关数据!$O$35:$U$40,3,0)+AE549</f>
        <v>0</v>
      </c>
      <c r="AP549" s="3">
        <f>VLOOKUP(INT(VLOOKUP(U549,模板计算相关数据!A:N,2,0)/30)+1,模板计算相关数据!$O$35:$U$40,4,0)+AF549</f>
        <v>5000</v>
      </c>
      <c r="AQ549" s="3">
        <f>VLOOKUP(INT(VLOOKUP(U549,模板计算相关数据!A:N,2,0)/30)+1,模板计算相关数据!$O$35:$U$40,5,0)+AG549</f>
        <v>0</v>
      </c>
      <c r="AR549" s="3">
        <f>VLOOKUP(INT(VLOOKUP(U549,模板计算相关数据!A:N,2,0)/30)+1,模板计算相关数据!$O$35:$U$40,6,0)+AH549</f>
        <v>0</v>
      </c>
      <c r="AS549" s="3">
        <f>VLOOKUP(INT(VLOOKUP(U549,模板计算相关数据!A:N,2,0)/30)+1,模板计算相关数据!$O$35:$U$40,7,0)+AI549</f>
        <v>0</v>
      </c>
      <c r="AT549" s="3">
        <f>VLOOKUP(INT(VLOOKUP(U549,模板计算相关数据!A:N,2,0)/30)+1,模板计算相关数据!$O$35:$V$40,8,0)</f>
        <v>0</v>
      </c>
      <c r="AU549" s="2"/>
    </row>
    <row r="550" spans="1:47" x14ac:dyDescent="0.2">
      <c r="A550" s="2">
        <v>307151</v>
      </c>
      <c r="B550" s="2"/>
      <c r="C550" s="2" t="s">
        <v>73</v>
      </c>
      <c r="D550" s="69" t="s">
        <v>1149</v>
      </c>
      <c r="E550" s="2"/>
      <c r="F550" s="127">
        <v>3</v>
      </c>
      <c r="G550" s="127">
        <v>101</v>
      </c>
      <c r="H550" s="3">
        <v>2</v>
      </c>
      <c r="I550" s="127">
        <v>5</v>
      </c>
      <c r="J550" s="127">
        <v>1</v>
      </c>
      <c r="K550" s="3"/>
      <c r="L550" s="69" t="s">
        <v>762</v>
      </c>
      <c r="M550" s="2"/>
      <c r="N550" s="2">
        <v>1</v>
      </c>
      <c r="O550" s="2"/>
      <c r="P550" s="3" t="s">
        <v>1615</v>
      </c>
      <c r="Q550" s="95">
        <f t="shared" si="61"/>
        <v>6.9411764705882364</v>
      </c>
      <c r="R550" s="133">
        <f>IF(P550=模板计算相关数据!$AB$24,VLOOKUP(X550,模板计算相关数据!$P$47:$T$50,2,0),VLOOKUP(X550,模板计算相关数据!$P$4:$U$7,3,0))*VLOOKUP(Y550,模板计算相关数据!$P$22:$X$30,8,0)</f>
        <v>6.9411764705882364</v>
      </c>
      <c r="S550" s="62">
        <f t="shared" si="62"/>
        <v>8.2943498888557112</v>
      </c>
      <c r="T550" s="133">
        <f>IF(P550=模板计算相关数据!$AB$24,VLOOKUP(X550,模板计算相关数据!$P$47:$T$50,5,0),VLOOKUP(X550,模板计算相关数据!$P$4:$U$7,6,0))*VLOOKUP(Y550,模板计算相关数据!$P$22:$X$30,9,0)</f>
        <v>8.2943498888557112</v>
      </c>
      <c r="U550" s="98">
        <v>1</v>
      </c>
      <c r="V550" s="95">
        <f t="shared" si="60"/>
        <v>4</v>
      </c>
      <c r="W550" s="29">
        <f>VLOOKUP(U550,模板计算相关数据!A:N,2,0)</f>
        <v>1</v>
      </c>
      <c r="X550" s="3" t="s">
        <v>151</v>
      </c>
      <c r="Y550" s="3" t="s">
        <v>234</v>
      </c>
      <c r="Z550" s="99">
        <v>1</v>
      </c>
      <c r="AA550" s="95">
        <v>1</v>
      </c>
      <c r="AB550" s="95">
        <v>1</v>
      </c>
      <c r="AC550" s="95">
        <v>1</v>
      </c>
      <c r="AD550" s="95">
        <v>0</v>
      </c>
      <c r="AE550" s="95">
        <v>0</v>
      </c>
      <c r="AF550" s="95">
        <v>0</v>
      </c>
      <c r="AG550" s="95">
        <v>0</v>
      </c>
      <c r="AH550" s="95">
        <v>0</v>
      </c>
      <c r="AI550" s="95">
        <v>0</v>
      </c>
      <c r="AJ550" s="3">
        <f>INT(VLOOKUP(U550,模板计算相关数据!A:N,4,0)*VLOOKUP(U550,模板计算相关数据!A:N,14,0)*(1+MAX(0,(VLOOKUP(U550,模板计算相关数据!A:N,7,0)-AQ550))*VLOOKUP(U550,模板计算相关数据!A:N,8,0))*(1-(AL550+AM550)*0.5/((AL550+AM550)*0.5+(VLOOKUP(U550,模板计算相关数据!A:N,2,0)+模板计算相关数据!$AC$27)*模板计算相关数据!$AC$28))*Q550*Z550)</f>
        <v>487</v>
      </c>
      <c r="AK550" s="3">
        <f>INT(VLOOKUP(U550,模板计算相关数据!A:N,3,0)/模板计算相关数据!$W$35/(1+MAX(0,(AO550/10000-VLOOKUP(U550,模板计算相关数据!A:N,9,0)))*AP550/10000)/(1-VLOOKUP(U550,模板计算相关数据!A:N,5,0)/(VLOOKUP(U550,模板计算相关数据!A:N,5,0)+(VLOOKUP(U550,模板计算相关数据!A:N,2,0)+模板计算相关数据!$AC$27)*模板计算相关数据!$AC$28))/S550*AA550)</f>
        <v>67</v>
      </c>
      <c r="AL550" s="3">
        <f>INT(VLOOKUP(U550,模板计算相关数据!A:N,5,0)*VLOOKUP(X550,模板计算相关数据!$P$4:$T$7,4,0)*VLOOKUP(Y550,模板计算相关数据!$P$22:$U$30,4,0)*AB550)</f>
        <v>153</v>
      </c>
      <c r="AM550" s="3">
        <f>INT(VLOOKUP(U550,模板计算相关数据!A:N,6,0)*VLOOKUP(X550,模板计算相关数据!$P$4:$T$7,4,0)*VLOOKUP(Y550,模板计算相关数据!$P$22:$U$30,5,0)*AC550)</f>
        <v>277</v>
      </c>
      <c r="AN550" s="3">
        <f>VLOOKUP(U550,模板计算相关数据!A:N,10,0)*0.5*VLOOKUP(Y550,模板计算相关数据!$P$22:$U$30,6,0)+AD550</f>
        <v>225</v>
      </c>
      <c r="AO550" s="3">
        <f>VLOOKUP(INT(VLOOKUP(U550,模板计算相关数据!A:N,2,0)/30)+1,模板计算相关数据!$O$35:$U$40,3,0)+AE550</f>
        <v>0</v>
      </c>
      <c r="AP550" s="3">
        <f>VLOOKUP(INT(VLOOKUP(U550,模板计算相关数据!A:N,2,0)/30)+1,模板计算相关数据!$O$35:$U$40,4,0)+AF550</f>
        <v>5000</v>
      </c>
      <c r="AQ550" s="3">
        <f>VLOOKUP(INT(VLOOKUP(U550,模板计算相关数据!A:N,2,0)/30)+1,模板计算相关数据!$O$35:$U$40,5,0)+AG550</f>
        <v>0</v>
      </c>
      <c r="AR550" s="3">
        <f>VLOOKUP(INT(VLOOKUP(U550,模板计算相关数据!A:N,2,0)/30)+1,模板计算相关数据!$O$35:$U$40,6,0)+AH550</f>
        <v>0</v>
      </c>
      <c r="AS550" s="3">
        <f>VLOOKUP(INT(VLOOKUP(U550,模板计算相关数据!A:N,2,0)/30)+1,模板计算相关数据!$O$35:$U$40,7,0)+AI550</f>
        <v>0</v>
      </c>
      <c r="AT550" s="3">
        <f>VLOOKUP(INT(VLOOKUP(U550,模板计算相关数据!A:N,2,0)/30)+1,模板计算相关数据!$O$35:$V$40,8,0)</f>
        <v>0</v>
      </c>
      <c r="AU550" s="2"/>
    </row>
    <row r="551" spans="1:47" x14ac:dyDescent="0.2">
      <c r="A551" s="2">
        <v>307152</v>
      </c>
      <c r="B551" s="2"/>
      <c r="C551" s="69" t="s">
        <v>756</v>
      </c>
      <c r="D551" s="69" t="s">
        <v>1150</v>
      </c>
      <c r="E551" s="2"/>
      <c r="F551" s="127">
        <v>3</v>
      </c>
      <c r="G551" s="127">
        <v>101</v>
      </c>
      <c r="H551" s="3">
        <v>5</v>
      </c>
      <c r="I551" s="127">
        <v>5</v>
      </c>
      <c r="J551" s="127">
        <v>1</v>
      </c>
      <c r="K551" s="3"/>
      <c r="L551" s="69" t="s">
        <v>763</v>
      </c>
      <c r="M551" s="2"/>
      <c r="N551" s="2">
        <v>1</v>
      </c>
      <c r="O551" s="2"/>
      <c r="P551" s="3" t="s">
        <v>1615</v>
      </c>
      <c r="Q551" s="95">
        <f t="shared" si="61"/>
        <v>5.7709803921568623</v>
      </c>
      <c r="R551" s="133">
        <f>IF(P551=模板计算相关数据!$AB$24,VLOOKUP(X551,模板计算相关数据!$P$47:$T$50,2,0),VLOOKUP(X551,模板计算相关数据!$P$4:$U$7,3,0))*VLOOKUP(Y551,模板计算相关数据!$P$22:$X$30,8,0)</f>
        <v>5.7709803921568623</v>
      </c>
      <c r="S551" s="62">
        <f t="shared" si="62"/>
        <v>6.4077918749199023</v>
      </c>
      <c r="T551" s="133">
        <f>IF(P551=模板计算相关数据!$AB$24,VLOOKUP(X551,模板计算相关数据!$P$47:$T$50,5,0),VLOOKUP(X551,模板计算相关数据!$P$4:$U$7,6,0))*VLOOKUP(Y551,模板计算相关数据!$P$22:$X$30,9,0)</f>
        <v>6.4077918749199023</v>
      </c>
      <c r="U551" s="98">
        <v>1</v>
      </c>
      <c r="V551" s="95">
        <f t="shared" si="60"/>
        <v>4</v>
      </c>
      <c r="W551" s="29">
        <f>VLOOKUP(U551,模板计算相关数据!A:N,2,0)</f>
        <v>1</v>
      </c>
      <c r="X551" s="3" t="s">
        <v>151</v>
      </c>
      <c r="Y551" s="3" t="s">
        <v>243</v>
      </c>
      <c r="Z551" s="99">
        <v>1</v>
      </c>
      <c r="AA551" s="95">
        <v>1</v>
      </c>
      <c r="AB551" s="95">
        <v>1</v>
      </c>
      <c r="AC551" s="95">
        <v>1</v>
      </c>
      <c r="AD551" s="95">
        <v>0</v>
      </c>
      <c r="AE551" s="95">
        <v>0</v>
      </c>
      <c r="AF551" s="95">
        <v>0</v>
      </c>
      <c r="AG551" s="95">
        <v>0</v>
      </c>
      <c r="AH551" s="95">
        <v>0</v>
      </c>
      <c r="AI551" s="95">
        <v>0</v>
      </c>
      <c r="AJ551" s="3">
        <f>INT(VLOOKUP(U551,模板计算相关数据!A:N,4,0)*VLOOKUP(U551,模板计算相关数据!A:N,14,0)*(1+MAX(0,(VLOOKUP(U551,模板计算相关数据!A:N,7,0)-AQ551))*VLOOKUP(U551,模板计算相关数据!A:N,8,0))*(1-(AL551+AM551)*0.5/((AL551+AM551)*0.5+(VLOOKUP(U551,模板计算相关数据!A:N,2,0)+模板计算相关数据!$AC$27)*模板计算相关数据!$AC$28))*Q551*Z551)</f>
        <v>411</v>
      </c>
      <c r="AK551" s="3">
        <f>INT(VLOOKUP(U551,模板计算相关数据!A:N,3,0)/模板计算相关数据!$W$35/(1+MAX(0,(AO551/10000-VLOOKUP(U551,模板计算相关数据!A:N,9,0)))*AP551/10000)/(1-VLOOKUP(U551,模板计算相关数据!A:N,5,0)/(VLOOKUP(U551,模板计算相关数据!A:N,5,0)+(VLOOKUP(U551,模板计算相关数据!A:N,2,0)+模板计算相关数据!$AC$27)*模板计算相关数据!$AC$28))/S551*AA551)</f>
        <v>86</v>
      </c>
      <c r="AL551" s="3">
        <f>INT(VLOOKUP(U551,模板计算相关数据!A:N,5,0)*VLOOKUP(X551,模板计算相关数据!$P$4:$T$7,4,0)*VLOOKUP(Y551,模板计算相关数据!$P$22:$U$30,4,0)*AB551)</f>
        <v>145</v>
      </c>
      <c r="AM551" s="3">
        <f>INT(VLOOKUP(U551,模板计算相关数据!A:N,6,0)*VLOOKUP(X551,模板计算相关数据!$P$4:$T$7,4,0)*VLOOKUP(Y551,模板计算相关数据!$P$22:$U$30,5,0)*AC551)</f>
        <v>264</v>
      </c>
      <c r="AN551" s="3">
        <f>VLOOKUP(U551,模板计算相关数据!A:N,10,0)*0.5*VLOOKUP(Y551,模板计算相关数据!$P$22:$U$30,6,0)+AD551</f>
        <v>275</v>
      </c>
      <c r="AO551" s="3">
        <f>VLOOKUP(INT(VLOOKUP(U551,模板计算相关数据!A:N,2,0)/30)+1,模板计算相关数据!$O$35:$U$40,3,0)+AE551</f>
        <v>0</v>
      </c>
      <c r="AP551" s="3">
        <f>VLOOKUP(INT(VLOOKUP(U551,模板计算相关数据!A:N,2,0)/30)+1,模板计算相关数据!$O$35:$U$40,4,0)+AF551</f>
        <v>5000</v>
      </c>
      <c r="AQ551" s="3">
        <f>VLOOKUP(INT(VLOOKUP(U551,模板计算相关数据!A:N,2,0)/30)+1,模板计算相关数据!$O$35:$U$40,5,0)+AG551</f>
        <v>0</v>
      </c>
      <c r="AR551" s="3">
        <f>VLOOKUP(INT(VLOOKUP(U551,模板计算相关数据!A:N,2,0)/30)+1,模板计算相关数据!$O$35:$U$40,6,0)+AH551</f>
        <v>0</v>
      </c>
      <c r="AS551" s="3">
        <f>VLOOKUP(INT(VLOOKUP(U551,模板计算相关数据!A:N,2,0)/30)+1,模板计算相关数据!$O$35:$U$40,7,0)+AI551</f>
        <v>0</v>
      </c>
      <c r="AT551" s="3">
        <f>VLOOKUP(INT(VLOOKUP(U551,模板计算相关数据!A:N,2,0)/30)+1,模板计算相关数据!$O$35:$V$40,8,0)</f>
        <v>0</v>
      </c>
      <c r="AU551" s="2"/>
    </row>
    <row r="552" spans="1:47" x14ac:dyDescent="0.2">
      <c r="A552" s="2">
        <v>307153</v>
      </c>
      <c r="B552" s="2"/>
      <c r="C552" s="69" t="s">
        <v>756</v>
      </c>
      <c r="D552" s="69" t="s">
        <v>1151</v>
      </c>
      <c r="E552" s="2"/>
      <c r="F552" s="127">
        <v>3</v>
      </c>
      <c r="G552" s="127">
        <v>101</v>
      </c>
      <c r="H552" s="3">
        <v>5</v>
      </c>
      <c r="I552" s="127">
        <v>5</v>
      </c>
      <c r="J552" s="127">
        <v>1</v>
      </c>
      <c r="K552" s="3"/>
      <c r="L552" s="69" t="s">
        <v>764</v>
      </c>
      <c r="M552" s="2"/>
      <c r="N552" s="2">
        <v>1</v>
      </c>
      <c r="O552" s="2"/>
      <c r="P552" s="3" t="s">
        <v>1615</v>
      </c>
      <c r="Q552" s="95">
        <f t="shared" si="61"/>
        <v>5.7709803921568623</v>
      </c>
      <c r="R552" s="133">
        <f>IF(P552=模板计算相关数据!$AB$24,VLOOKUP(X552,模板计算相关数据!$P$47:$T$50,2,0),VLOOKUP(X552,模板计算相关数据!$P$4:$U$7,3,0))*VLOOKUP(Y552,模板计算相关数据!$P$22:$X$30,8,0)</f>
        <v>5.7709803921568623</v>
      </c>
      <c r="S552" s="62">
        <f t="shared" si="62"/>
        <v>6.4077918749199023</v>
      </c>
      <c r="T552" s="133">
        <f>IF(P552=模板计算相关数据!$AB$24,VLOOKUP(X552,模板计算相关数据!$P$47:$T$50,5,0),VLOOKUP(X552,模板计算相关数据!$P$4:$U$7,6,0))*VLOOKUP(Y552,模板计算相关数据!$P$22:$X$30,9,0)</f>
        <v>6.4077918749199023</v>
      </c>
      <c r="U552" s="98">
        <v>1</v>
      </c>
      <c r="V552" s="95">
        <f t="shared" si="60"/>
        <v>4</v>
      </c>
      <c r="W552" s="29">
        <f>VLOOKUP(U552,模板计算相关数据!A:N,2,0)</f>
        <v>1</v>
      </c>
      <c r="X552" s="3" t="s">
        <v>151</v>
      </c>
      <c r="Y552" s="3" t="s">
        <v>243</v>
      </c>
      <c r="Z552" s="99">
        <v>1</v>
      </c>
      <c r="AA552" s="95">
        <v>1</v>
      </c>
      <c r="AB552" s="95">
        <v>1</v>
      </c>
      <c r="AC552" s="95">
        <v>1</v>
      </c>
      <c r="AD552" s="95">
        <v>0</v>
      </c>
      <c r="AE552" s="95">
        <v>0</v>
      </c>
      <c r="AF552" s="95">
        <v>0</v>
      </c>
      <c r="AG552" s="95">
        <v>0</v>
      </c>
      <c r="AH552" s="95">
        <v>0</v>
      </c>
      <c r="AI552" s="95">
        <v>0</v>
      </c>
      <c r="AJ552" s="3">
        <f>INT(VLOOKUP(U552,模板计算相关数据!A:N,4,0)*VLOOKUP(U552,模板计算相关数据!A:N,14,0)*(1+MAX(0,(VLOOKUP(U552,模板计算相关数据!A:N,7,0)-AQ552))*VLOOKUP(U552,模板计算相关数据!A:N,8,0))*(1-(AL552+AM552)*0.5/((AL552+AM552)*0.5+(VLOOKUP(U552,模板计算相关数据!A:N,2,0)+模板计算相关数据!$AC$27)*模板计算相关数据!$AC$28))*Q552*Z552)</f>
        <v>411</v>
      </c>
      <c r="AK552" s="3">
        <f>INT(VLOOKUP(U552,模板计算相关数据!A:N,3,0)/模板计算相关数据!$W$35/(1+MAX(0,(AO552/10000-VLOOKUP(U552,模板计算相关数据!A:N,9,0)))*AP552/10000)/(1-VLOOKUP(U552,模板计算相关数据!A:N,5,0)/(VLOOKUP(U552,模板计算相关数据!A:N,5,0)+(VLOOKUP(U552,模板计算相关数据!A:N,2,0)+模板计算相关数据!$AC$27)*模板计算相关数据!$AC$28))/S552*AA552)</f>
        <v>86</v>
      </c>
      <c r="AL552" s="3">
        <f>INT(VLOOKUP(U552,模板计算相关数据!A:N,5,0)*VLOOKUP(X552,模板计算相关数据!$P$4:$T$7,4,0)*VLOOKUP(Y552,模板计算相关数据!$P$22:$U$30,4,0)*AB552)</f>
        <v>145</v>
      </c>
      <c r="AM552" s="3">
        <f>INT(VLOOKUP(U552,模板计算相关数据!A:N,6,0)*VLOOKUP(X552,模板计算相关数据!$P$4:$T$7,4,0)*VLOOKUP(Y552,模板计算相关数据!$P$22:$U$30,5,0)*AC552)</f>
        <v>264</v>
      </c>
      <c r="AN552" s="3">
        <f>VLOOKUP(U552,模板计算相关数据!A:N,10,0)*0.5*VLOOKUP(Y552,模板计算相关数据!$P$22:$U$30,6,0)+AD552</f>
        <v>275</v>
      </c>
      <c r="AO552" s="3">
        <f>VLOOKUP(INT(VLOOKUP(U552,模板计算相关数据!A:N,2,0)/30)+1,模板计算相关数据!$O$35:$U$40,3,0)+AE552</f>
        <v>0</v>
      </c>
      <c r="AP552" s="3">
        <f>VLOOKUP(INT(VLOOKUP(U552,模板计算相关数据!A:N,2,0)/30)+1,模板计算相关数据!$O$35:$U$40,4,0)+AF552</f>
        <v>5000</v>
      </c>
      <c r="AQ552" s="3">
        <f>VLOOKUP(INT(VLOOKUP(U552,模板计算相关数据!A:N,2,0)/30)+1,模板计算相关数据!$O$35:$U$40,5,0)+AG552</f>
        <v>0</v>
      </c>
      <c r="AR552" s="3">
        <f>VLOOKUP(INT(VLOOKUP(U552,模板计算相关数据!A:N,2,0)/30)+1,模板计算相关数据!$O$35:$U$40,6,0)+AH552</f>
        <v>0</v>
      </c>
      <c r="AS552" s="3">
        <f>VLOOKUP(INT(VLOOKUP(U552,模板计算相关数据!A:N,2,0)/30)+1,模板计算相关数据!$O$35:$U$40,7,0)+AI552</f>
        <v>0</v>
      </c>
      <c r="AT552" s="3">
        <f>VLOOKUP(INT(VLOOKUP(U552,模板计算相关数据!A:N,2,0)/30)+1,模板计算相关数据!$O$35:$V$40,8,0)</f>
        <v>0</v>
      </c>
      <c r="AU552" s="2"/>
    </row>
    <row r="553" spans="1:47" x14ac:dyDescent="0.2">
      <c r="A553" s="2">
        <v>307154</v>
      </c>
      <c r="B553" s="2"/>
      <c r="C553" s="69" t="s">
        <v>756</v>
      </c>
      <c r="D553" s="69" t="s">
        <v>1152</v>
      </c>
      <c r="E553" s="2"/>
      <c r="F553" s="127">
        <v>3</v>
      </c>
      <c r="G553" s="127">
        <v>101</v>
      </c>
      <c r="H553" s="3">
        <v>5</v>
      </c>
      <c r="I553" s="127">
        <v>5</v>
      </c>
      <c r="J553" s="127">
        <v>1</v>
      </c>
      <c r="K553" s="3"/>
      <c r="L553" s="69" t="s">
        <v>765</v>
      </c>
      <c r="M553" s="2"/>
      <c r="N553" s="2">
        <v>1</v>
      </c>
      <c r="O553" s="2"/>
      <c r="P553" s="3" t="s">
        <v>1615</v>
      </c>
      <c r="Q553" s="95">
        <f t="shared" si="61"/>
        <v>5.7709803921568623</v>
      </c>
      <c r="R553" s="133">
        <f>IF(P553=模板计算相关数据!$AB$24,VLOOKUP(X553,模板计算相关数据!$P$47:$T$50,2,0),VLOOKUP(X553,模板计算相关数据!$P$4:$U$7,3,0))*VLOOKUP(Y553,模板计算相关数据!$P$22:$X$30,8,0)</f>
        <v>5.7709803921568623</v>
      </c>
      <c r="S553" s="62">
        <f t="shared" si="62"/>
        <v>6.4077918749199023</v>
      </c>
      <c r="T553" s="133">
        <f>IF(P553=模板计算相关数据!$AB$24,VLOOKUP(X553,模板计算相关数据!$P$47:$T$50,5,0),VLOOKUP(X553,模板计算相关数据!$P$4:$U$7,6,0))*VLOOKUP(Y553,模板计算相关数据!$P$22:$X$30,9,0)</f>
        <v>6.4077918749199023</v>
      </c>
      <c r="U553" s="98">
        <v>1</v>
      </c>
      <c r="V553" s="95">
        <f t="shared" si="60"/>
        <v>4</v>
      </c>
      <c r="W553" s="29">
        <f>VLOOKUP(U553,模板计算相关数据!A:N,2,0)</f>
        <v>1</v>
      </c>
      <c r="X553" s="3" t="s">
        <v>151</v>
      </c>
      <c r="Y553" s="3" t="s">
        <v>243</v>
      </c>
      <c r="Z553" s="99">
        <v>1</v>
      </c>
      <c r="AA553" s="95">
        <v>1</v>
      </c>
      <c r="AB553" s="95">
        <v>1</v>
      </c>
      <c r="AC553" s="95">
        <v>1</v>
      </c>
      <c r="AD553" s="95">
        <v>0</v>
      </c>
      <c r="AE553" s="95">
        <v>0</v>
      </c>
      <c r="AF553" s="95">
        <v>0</v>
      </c>
      <c r="AG553" s="95">
        <v>0</v>
      </c>
      <c r="AH553" s="95">
        <v>0</v>
      </c>
      <c r="AI553" s="95">
        <v>0</v>
      </c>
      <c r="AJ553" s="3">
        <f>INT(VLOOKUP(U553,模板计算相关数据!A:N,4,0)*VLOOKUP(U553,模板计算相关数据!A:N,14,0)*(1+MAX(0,(VLOOKUP(U553,模板计算相关数据!A:N,7,0)-AQ553))*VLOOKUP(U553,模板计算相关数据!A:N,8,0))*(1-(AL553+AM553)*0.5/((AL553+AM553)*0.5+(VLOOKUP(U553,模板计算相关数据!A:N,2,0)+模板计算相关数据!$AC$27)*模板计算相关数据!$AC$28))*Q553*Z553)</f>
        <v>411</v>
      </c>
      <c r="AK553" s="3">
        <f>INT(VLOOKUP(U553,模板计算相关数据!A:N,3,0)/模板计算相关数据!$W$35/(1+MAX(0,(AO553/10000-VLOOKUP(U553,模板计算相关数据!A:N,9,0)))*AP553/10000)/(1-VLOOKUP(U553,模板计算相关数据!A:N,5,0)/(VLOOKUP(U553,模板计算相关数据!A:N,5,0)+(VLOOKUP(U553,模板计算相关数据!A:N,2,0)+模板计算相关数据!$AC$27)*模板计算相关数据!$AC$28))/S553*AA553)</f>
        <v>86</v>
      </c>
      <c r="AL553" s="3">
        <f>INT(VLOOKUP(U553,模板计算相关数据!A:N,5,0)*VLOOKUP(X553,模板计算相关数据!$P$4:$T$7,4,0)*VLOOKUP(Y553,模板计算相关数据!$P$22:$U$30,4,0)*AB553)</f>
        <v>145</v>
      </c>
      <c r="AM553" s="3">
        <f>INT(VLOOKUP(U553,模板计算相关数据!A:N,6,0)*VLOOKUP(X553,模板计算相关数据!$P$4:$T$7,4,0)*VLOOKUP(Y553,模板计算相关数据!$P$22:$U$30,5,0)*AC553)</f>
        <v>264</v>
      </c>
      <c r="AN553" s="3">
        <f>VLOOKUP(U553,模板计算相关数据!A:N,10,0)*0.5*VLOOKUP(Y553,模板计算相关数据!$P$22:$U$30,6,0)+AD553</f>
        <v>275</v>
      </c>
      <c r="AO553" s="3">
        <f>VLOOKUP(INT(VLOOKUP(U553,模板计算相关数据!A:N,2,0)/30)+1,模板计算相关数据!$O$35:$U$40,3,0)+AE553</f>
        <v>0</v>
      </c>
      <c r="AP553" s="3">
        <f>VLOOKUP(INT(VLOOKUP(U553,模板计算相关数据!A:N,2,0)/30)+1,模板计算相关数据!$O$35:$U$40,4,0)+AF553</f>
        <v>5000</v>
      </c>
      <c r="AQ553" s="3">
        <f>VLOOKUP(INT(VLOOKUP(U553,模板计算相关数据!A:N,2,0)/30)+1,模板计算相关数据!$O$35:$U$40,5,0)+AG553</f>
        <v>0</v>
      </c>
      <c r="AR553" s="3">
        <f>VLOOKUP(INT(VLOOKUP(U553,模板计算相关数据!A:N,2,0)/30)+1,模板计算相关数据!$O$35:$U$40,6,0)+AH553</f>
        <v>0</v>
      </c>
      <c r="AS553" s="3">
        <f>VLOOKUP(INT(VLOOKUP(U553,模板计算相关数据!A:N,2,0)/30)+1,模板计算相关数据!$O$35:$U$40,7,0)+AI553</f>
        <v>0</v>
      </c>
      <c r="AT553" s="3">
        <f>VLOOKUP(INT(VLOOKUP(U553,模板计算相关数据!A:N,2,0)/30)+1,模板计算相关数据!$O$35:$V$40,8,0)</f>
        <v>0</v>
      </c>
      <c r="AU553" s="2"/>
    </row>
    <row r="554" spans="1:47" x14ac:dyDescent="0.2">
      <c r="A554" s="2">
        <v>307155</v>
      </c>
      <c r="B554" s="2"/>
      <c r="C554" s="69" t="s">
        <v>756</v>
      </c>
      <c r="D554" s="69" t="s">
        <v>1153</v>
      </c>
      <c r="E554" s="2"/>
      <c r="F554" s="127">
        <v>3</v>
      </c>
      <c r="G554" s="127">
        <v>101</v>
      </c>
      <c r="H554" s="3">
        <v>5</v>
      </c>
      <c r="I554" s="127">
        <v>5</v>
      </c>
      <c r="J554" s="127">
        <v>1</v>
      </c>
      <c r="K554" s="3"/>
      <c r="L554" s="69" t="s">
        <v>766</v>
      </c>
      <c r="M554" s="2"/>
      <c r="N554" s="2">
        <v>1</v>
      </c>
      <c r="O554" s="2"/>
      <c r="P554" s="3" t="s">
        <v>1615</v>
      </c>
      <c r="Q554" s="95">
        <f t="shared" si="61"/>
        <v>5.7709803921568623</v>
      </c>
      <c r="R554" s="133">
        <f>IF(P554=模板计算相关数据!$AB$24,VLOOKUP(X554,模板计算相关数据!$P$47:$T$50,2,0),VLOOKUP(X554,模板计算相关数据!$P$4:$U$7,3,0))*VLOOKUP(Y554,模板计算相关数据!$P$22:$X$30,8,0)</f>
        <v>5.7709803921568623</v>
      </c>
      <c r="S554" s="62">
        <f t="shared" si="62"/>
        <v>6.4077918749199023</v>
      </c>
      <c r="T554" s="133">
        <f>IF(P554=模板计算相关数据!$AB$24,VLOOKUP(X554,模板计算相关数据!$P$47:$T$50,5,0),VLOOKUP(X554,模板计算相关数据!$P$4:$U$7,6,0))*VLOOKUP(Y554,模板计算相关数据!$P$22:$X$30,9,0)</f>
        <v>6.4077918749199023</v>
      </c>
      <c r="U554" s="98">
        <v>1</v>
      </c>
      <c r="V554" s="95">
        <f t="shared" si="60"/>
        <v>4</v>
      </c>
      <c r="W554" s="29">
        <f>VLOOKUP(U554,模板计算相关数据!A:N,2,0)</f>
        <v>1</v>
      </c>
      <c r="X554" s="3" t="s">
        <v>151</v>
      </c>
      <c r="Y554" s="3" t="s">
        <v>243</v>
      </c>
      <c r="Z554" s="99">
        <v>1</v>
      </c>
      <c r="AA554" s="95">
        <v>1</v>
      </c>
      <c r="AB554" s="95">
        <v>1</v>
      </c>
      <c r="AC554" s="95">
        <v>1</v>
      </c>
      <c r="AD554" s="95">
        <v>0</v>
      </c>
      <c r="AE554" s="95">
        <v>0</v>
      </c>
      <c r="AF554" s="95">
        <v>0</v>
      </c>
      <c r="AG554" s="95">
        <v>0</v>
      </c>
      <c r="AH554" s="95">
        <v>0</v>
      </c>
      <c r="AI554" s="95">
        <v>0</v>
      </c>
      <c r="AJ554" s="3">
        <f>INT(VLOOKUP(U554,模板计算相关数据!A:N,4,0)*VLOOKUP(U554,模板计算相关数据!A:N,14,0)*(1+MAX(0,(VLOOKUP(U554,模板计算相关数据!A:N,7,0)-AQ554))*VLOOKUP(U554,模板计算相关数据!A:N,8,0))*(1-(AL554+AM554)*0.5/((AL554+AM554)*0.5+(VLOOKUP(U554,模板计算相关数据!A:N,2,0)+模板计算相关数据!$AC$27)*模板计算相关数据!$AC$28))*Q554*Z554)</f>
        <v>411</v>
      </c>
      <c r="AK554" s="3">
        <f>INT(VLOOKUP(U554,模板计算相关数据!A:N,3,0)/模板计算相关数据!$W$35/(1+MAX(0,(AO554/10000-VLOOKUP(U554,模板计算相关数据!A:N,9,0)))*AP554/10000)/(1-VLOOKUP(U554,模板计算相关数据!A:N,5,0)/(VLOOKUP(U554,模板计算相关数据!A:N,5,0)+(VLOOKUP(U554,模板计算相关数据!A:N,2,0)+模板计算相关数据!$AC$27)*模板计算相关数据!$AC$28))/S554*AA554)</f>
        <v>86</v>
      </c>
      <c r="AL554" s="3">
        <f>INT(VLOOKUP(U554,模板计算相关数据!A:N,5,0)*VLOOKUP(X554,模板计算相关数据!$P$4:$T$7,4,0)*VLOOKUP(Y554,模板计算相关数据!$P$22:$U$30,4,0)*AB554)</f>
        <v>145</v>
      </c>
      <c r="AM554" s="3">
        <f>INT(VLOOKUP(U554,模板计算相关数据!A:N,6,0)*VLOOKUP(X554,模板计算相关数据!$P$4:$T$7,4,0)*VLOOKUP(Y554,模板计算相关数据!$P$22:$U$30,5,0)*AC554)</f>
        <v>264</v>
      </c>
      <c r="AN554" s="3">
        <f>VLOOKUP(U554,模板计算相关数据!A:N,10,0)*0.5*VLOOKUP(Y554,模板计算相关数据!$P$22:$U$30,6,0)+AD554</f>
        <v>275</v>
      </c>
      <c r="AO554" s="3">
        <f>VLOOKUP(INT(VLOOKUP(U554,模板计算相关数据!A:N,2,0)/30)+1,模板计算相关数据!$O$35:$U$40,3,0)+AE554</f>
        <v>0</v>
      </c>
      <c r="AP554" s="3">
        <f>VLOOKUP(INT(VLOOKUP(U554,模板计算相关数据!A:N,2,0)/30)+1,模板计算相关数据!$O$35:$U$40,4,0)+AF554</f>
        <v>5000</v>
      </c>
      <c r="AQ554" s="3">
        <f>VLOOKUP(INT(VLOOKUP(U554,模板计算相关数据!A:N,2,0)/30)+1,模板计算相关数据!$O$35:$U$40,5,0)+AG554</f>
        <v>0</v>
      </c>
      <c r="AR554" s="3">
        <f>VLOOKUP(INT(VLOOKUP(U554,模板计算相关数据!A:N,2,0)/30)+1,模板计算相关数据!$O$35:$U$40,6,0)+AH554</f>
        <v>0</v>
      </c>
      <c r="AS554" s="3">
        <f>VLOOKUP(INT(VLOOKUP(U554,模板计算相关数据!A:N,2,0)/30)+1,模板计算相关数据!$O$35:$U$40,7,0)+AI554</f>
        <v>0</v>
      </c>
      <c r="AT554" s="3">
        <f>VLOOKUP(INT(VLOOKUP(U554,模板计算相关数据!A:N,2,0)/30)+1,模板计算相关数据!$O$35:$V$40,8,0)</f>
        <v>0</v>
      </c>
      <c r="AU554" s="2"/>
    </row>
    <row r="555" spans="1:47" x14ac:dyDescent="0.2">
      <c r="A555" s="2">
        <v>307156</v>
      </c>
      <c r="B555" s="2"/>
      <c r="C555" s="69" t="s">
        <v>756</v>
      </c>
      <c r="D555" s="69" t="s">
        <v>1154</v>
      </c>
      <c r="E555" s="2"/>
      <c r="F555" s="127">
        <v>3</v>
      </c>
      <c r="G555" s="127">
        <v>101</v>
      </c>
      <c r="H555" s="3">
        <v>5</v>
      </c>
      <c r="I555" s="127">
        <v>5</v>
      </c>
      <c r="J555" s="127">
        <v>1</v>
      </c>
      <c r="K555" s="3"/>
      <c r="L555" s="69" t="s">
        <v>767</v>
      </c>
      <c r="M555" s="2"/>
      <c r="N555" s="2">
        <v>1</v>
      </c>
      <c r="O555" s="2"/>
      <c r="P555" s="3" t="s">
        <v>1615</v>
      </c>
      <c r="Q555" s="95">
        <f t="shared" si="61"/>
        <v>5.7709803921568623</v>
      </c>
      <c r="R555" s="133">
        <f>IF(P555=模板计算相关数据!$AB$24,VLOOKUP(X555,模板计算相关数据!$P$47:$T$50,2,0),VLOOKUP(X555,模板计算相关数据!$P$4:$U$7,3,0))*VLOOKUP(Y555,模板计算相关数据!$P$22:$X$30,8,0)</f>
        <v>5.7709803921568623</v>
      </c>
      <c r="S555" s="62">
        <f t="shared" si="62"/>
        <v>6.4077918749199023</v>
      </c>
      <c r="T555" s="133">
        <f>IF(P555=模板计算相关数据!$AB$24,VLOOKUP(X555,模板计算相关数据!$P$47:$T$50,5,0),VLOOKUP(X555,模板计算相关数据!$P$4:$U$7,6,0))*VLOOKUP(Y555,模板计算相关数据!$P$22:$X$30,9,0)</f>
        <v>6.4077918749199023</v>
      </c>
      <c r="U555" s="98">
        <v>1</v>
      </c>
      <c r="V555" s="95">
        <f t="shared" si="60"/>
        <v>4</v>
      </c>
      <c r="W555" s="29">
        <f>VLOOKUP(U555,模板计算相关数据!A:N,2,0)</f>
        <v>1</v>
      </c>
      <c r="X555" s="3" t="s">
        <v>151</v>
      </c>
      <c r="Y555" s="3" t="s">
        <v>243</v>
      </c>
      <c r="Z555" s="99">
        <v>1</v>
      </c>
      <c r="AA555" s="95">
        <v>1</v>
      </c>
      <c r="AB555" s="95">
        <v>1</v>
      </c>
      <c r="AC555" s="95">
        <v>1</v>
      </c>
      <c r="AD555" s="95">
        <v>0</v>
      </c>
      <c r="AE555" s="95">
        <v>0</v>
      </c>
      <c r="AF555" s="95">
        <v>0</v>
      </c>
      <c r="AG555" s="95">
        <v>0</v>
      </c>
      <c r="AH555" s="95">
        <v>0</v>
      </c>
      <c r="AI555" s="95">
        <v>0</v>
      </c>
      <c r="AJ555" s="3">
        <f>INT(VLOOKUP(U555,模板计算相关数据!A:N,4,0)*VLOOKUP(U555,模板计算相关数据!A:N,14,0)*(1+MAX(0,(VLOOKUP(U555,模板计算相关数据!A:N,7,0)-AQ555))*VLOOKUP(U555,模板计算相关数据!A:N,8,0))*(1-(AL555+AM555)*0.5/((AL555+AM555)*0.5+(VLOOKUP(U555,模板计算相关数据!A:N,2,0)+模板计算相关数据!$AC$27)*模板计算相关数据!$AC$28))*Q555*Z555)</f>
        <v>411</v>
      </c>
      <c r="AK555" s="3">
        <f>INT(VLOOKUP(U555,模板计算相关数据!A:N,3,0)/模板计算相关数据!$W$35/(1+MAX(0,(AO555/10000-VLOOKUP(U555,模板计算相关数据!A:N,9,0)))*AP555/10000)/(1-VLOOKUP(U555,模板计算相关数据!A:N,5,0)/(VLOOKUP(U555,模板计算相关数据!A:N,5,0)+(VLOOKUP(U555,模板计算相关数据!A:N,2,0)+模板计算相关数据!$AC$27)*模板计算相关数据!$AC$28))/S555*AA555)</f>
        <v>86</v>
      </c>
      <c r="AL555" s="3">
        <f>INT(VLOOKUP(U555,模板计算相关数据!A:N,5,0)*VLOOKUP(X555,模板计算相关数据!$P$4:$T$7,4,0)*VLOOKUP(Y555,模板计算相关数据!$P$22:$U$30,4,0)*AB555)</f>
        <v>145</v>
      </c>
      <c r="AM555" s="3">
        <f>INT(VLOOKUP(U555,模板计算相关数据!A:N,6,0)*VLOOKUP(X555,模板计算相关数据!$P$4:$T$7,4,0)*VLOOKUP(Y555,模板计算相关数据!$P$22:$U$30,5,0)*AC555)</f>
        <v>264</v>
      </c>
      <c r="AN555" s="3">
        <f>VLOOKUP(U555,模板计算相关数据!A:N,10,0)*0.5*VLOOKUP(Y555,模板计算相关数据!$P$22:$U$30,6,0)+AD555</f>
        <v>275</v>
      </c>
      <c r="AO555" s="3">
        <f>VLOOKUP(INT(VLOOKUP(U555,模板计算相关数据!A:N,2,0)/30)+1,模板计算相关数据!$O$35:$U$40,3,0)+AE555</f>
        <v>0</v>
      </c>
      <c r="AP555" s="3">
        <f>VLOOKUP(INT(VLOOKUP(U555,模板计算相关数据!A:N,2,0)/30)+1,模板计算相关数据!$O$35:$U$40,4,0)+AF555</f>
        <v>5000</v>
      </c>
      <c r="AQ555" s="3">
        <f>VLOOKUP(INT(VLOOKUP(U555,模板计算相关数据!A:N,2,0)/30)+1,模板计算相关数据!$O$35:$U$40,5,0)+AG555</f>
        <v>0</v>
      </c>
      <c r="AR555" s="3">
        <f>VLOOKUP(INT(VLOOKUP(U555,模板计算相关数据!A:N,2,0)/30)+1,模板计算相关数据!$O$35:$U$40,6,0)+AH555</f>
        <v>0</v>
      </c>
      <c r="AS555" s="3">
        <f>VLOOKUP(INT(VLOOKUP(U555,模板计算相关数据!A:N,2,0)/30)+1,模板计算相关数据!$O$35:$U$40,7,0)+AI555</f>
        <v>0</v>
      </c>
      <c r="AT555" s="3">
        <f>VLOOKUP(INT(VLOOKUP(U555,模板计算相关数据!A:N,2,0)/30)+1,模板计算相关数据!$O$35:$V$40,8,0)</f>
        <v>0</v>
      </c>
      <c r="AU555" s="2"/>
    </row>
    <row r="556" spans="1:47" x14ac:dyDescent="0.2">
      <c r="A556" s="2">
        <v>307157</v>
      </c>
      <c r="B556" s="2"/>
      <c r="C556" s="69" t="s">
        <v>757</v>
      </c>
      <c r="D556" s="69" t="s">
        <v>1150</v>
      </c>
      <c r="E556" s="2"/>
      <c r="F556" s="127">
        <v>3</v>
      </c>
      <c r="G556" s="127">
        <v>101</v>
      </c>
      <c r="H556" s="3">
        <v>1</v>
      </c>
      <c r="I556" s="127">
        <v>5</v>
      </c>
      <c r="J556" s="127">
        <v>1</v>
      </c>
      <c r="K556" s="3"/>
      <c r="L556" s="69" t="s">
        <v>768</v>
      </c>
      <c r="M556" s="2"/>
      <c r="N556" s="2">
        <v>1</v>
      </c>
      <c r="O556" s="2"/>
      <c r="P556" s="3" t="s">
        <v>1615</v>
      </c>
      <c r="Q556" s="95">
        <f t="shared" si="61"/>
        <v>4.417254901960785</v>
      </c>
      <c r="R556" s="133">
        <f>IF(P556=模板计算相关数据!$AB$24,VLOOKUP(X556,模板计算相关数据!$P$47:$T$50,2,0),VLOOKUP(X556,模板计算相关数据!$P$4:$U$7,3,0))*VLOOKUP(Y556,模板计算相关数据!$P$22:$X$30,8,0)</f>
        <v>4.417254901960785</v>
      </c>
      <c r="S556" s="62">
        <f t="shared" si="62"/>
        <v>5.4285280003474252</v>
      </c>
      <c r="T556" s="133">
        <f>IF(P556=模板计算相关数据!$AB$24,VLOOKUP(X556,模板计算相关数据!$P$47:$T$50,5,0),VLOOKUP(X556,模板计算相关数据!$P$4:$U$7,6,0))*VLOOKUP(Y556,模板计算相关数据!$P$22:$X$30,9,0)</f>
        <v>5.4285280003474252</v>
      </c>
      <c r="U556" s="98">
        <v>1</v>
      </c>
      <c r="V556" s="95">
        <f t="shared" si="60"/>
        <v>4</v>
      </c>
      <c r="W556" s="29">
        <f>VLOOKUP(U556,模板计算相关数据!A:N,2,0)</f>
        <v>1</v>
      </c>
      <c r="X556" s="3" t="s">
        <v>151</v>
      </c>
      <c r="Y556" s="3" t="s">
        <v>152</v>
      </c>
      <c r="Z556" s="99">
        <v>1</v>
      </c>
      <c r="AA556" s="95">
        <v>1</v>
      </c>
      <c r="AB556" s="95">
        <v>1</v>
      </c>
      <c r="AC556" s="95">
        <v>1</v>
      </c>
      <c r="AD556" s="95">
        <v>0</v>
      </c>
      <c r="AE556" s="95">
        <v>0</v>
      </c>
      <c r="AF556" s="95">
        <v>0</v>
      </c>
      <c r="AG556" s="95">
        <v>0</v>
      </c>
      <c r="AH556" s="95">
        <v>0</v>
      </c>
      <c r="AI556" s="95">
        <v>0</v>
      </c>
      <c r="AJ556" s="3">
        <f>INT(VLOOKUP(U556,模板计算相关数据!A:N,4,0)*VLOOKUP(U556,模板计算相关数据!A:N,14,0)*(1+MAX(0,(VLOOKUP(U556,模板计算相关数据!A:N,7,0)-AQ556))*VLOOKUP(U556,模板计算相关数据!A:N,8,0))*(1-(AL556+AM556)*0.5/((AL556+AM556)*0.5+(VLOOKUP(U556,模板计算相关数据!A:N,2,0)+模板计算相关数据!$AC$27)*模板计算相关数据!$AC$28))*Q556*Z556)</f>
        <v>325</v>
      </c>
      <c r="AK556" s="3">
        <f>INT(VLOOKUP(U556,模板计算相关数据!A:N,3,0)/模板计算相关数据!$W$35/(1+MAX(0,(AO556/10000-VLOOKUP(U556,模板计算相关数据!A:N,9,0)))*AP556/10000)/(1-VLOOKUP(U556,模板计算相关数据!A:N,5,0)/(VLOOKUP(U556,模板计算相关数据!A:N,5,0)+(VLOOKUP(U556,模板计算相关数据!A:N,2,0)+模板计算相关数据!$AC$27)*模板计算相关数据!$AC$28))/S556*AA556)</f>
        <v>102</v>
      </c>
      <c r="AL556" s="3">
        <f>INT(VLOOKUP(U556,模板计算相关数据!A:N,5,0)*VLOOKUP(X556,模板计算相关数据!$P$4:$T$7,4,0)*VLOOKUP(Y556,模板计算相关数据!$P$22:$U$30,4,0)*AB556)</f>
        <v>230</v>
      </c>
      <c r="AM556" s="3">
        <f>INT(VLOOKUP(U556,模板计算相关数据!A:N,6,0)*VLOOKUP(X556,模板计算相关数据!$P$4:$T$7,4,0)*VLOOKUP(Y556,模板计算相关数据!$P$22:$U$30,5,0)*AC556)</f>
        <v>136</v>
      </c>
      <c r="AN556" s="3">
        <f>VLOOKUP(U556,模板计算相关数据!A:N,10,0)*0.5*VLOOKUP(Y556,模板计算相关数据!$P$22:$U$30,6,0)+AD556</f>
        <v>250</v>
      </c>
      <c r="AO556" s="3">
        <f>VLOOKUP(INT(VLOOKUP(U556,模板计算相关数据!A:N,2,0)/30)+1,模板计算相关数据!$O$35:$U$40,3,0)+AE556</f>
        <v>0</v>
      </c>
      <c r="AP556" s="3">
        <f>VLOOKUP(INT(VLOOKUP(U556,模板计算相关数据!A:N,2,0)/30)+1,模板计算相关数据!$O$35:$U$40,4,0)+AF556</f>
        <v>5000</v>
      </c>
      <c r="AQ556" s="3">
        <f>VLOOKUP(INT(VLOOKUP(U556,模板计算相关数据!A:N,2,0)/30)+1,模板计算相关数据!$O$35:$U$40,5,0)+AG556</f>
        <v>0</v>
      </c>
      <c r="AR556" s="3">
        <f>VLOOKUP(INT(VLOOKUP(U556,模板计算相关数据!A:N,2,0)/30)+1,模板计算相关数据!$O$35:$U$40,6,0)+AH556</f>
        <v>0</v>
      </c>
      <c r="AS556" s="3">
        <f>VLOOKUP(INT(VLOOKUP(U556,模板计算相关数据!A:N,2,0)/30)+1,模板计算相关数据!$O$35:$U$40,7,0)+AI556</f>
        <v>0</v>
      </c>
      <c r="AT556" s="3">
        <f>VLOOKUP(INT(VLOOKUP(U556,模板计算相关数据!A:N,2,0)/30)+1,模板计算相关数据!$O$35:$V$40,8,0)</f>
        <v>0</v>
      </c>
      <c r="AU556" s="2"/>
    </row>
    <row r="557" spans="1:47" x14ac:dyDescent="0.2">
      <c r="A557" s="2">
        <v>307158</v>
      </c>
      <c r="B557" s="2"/>
      <c r="C557" s="69" t="s">
        <v>757</v>
      </c>
      <c r="D557" s="69" t="s">
        <v>1151</v>
      </c>
      <c r="E557" s="2"/>
      <c r="F557" s="127">
        <v>3</v>
      </c>
      <c r="G557" s="127">
        <v>101</v>
      </c>
      <c r="H557" s="3">
        <v>1</v>
      </c>
      <c r="I557" s="127">
        <v>5</v>
      </c>
      <c r="J557" s="127">
        <v>1</v>
      </c>
      <c r="K557" s="3"/>
      <c r="L557" s="69" t="s">
        <v>769</v>
      </c>
      <c r="M557" s="2"/>
      <c r="N557" s="2">
        <v>1</v>
      </c>
      <c r="O557" s="2"/>
      <c r="P557" s="3" t="s">
        <v>1615</v>
      </c>
      <c r="Q557" s="95">
        <f t="shared" si="61"/>
        <v>4.417254901960785</v>
      </c>
      <c r="R557" s="133">
        <f>IF(P557=模板计算相关数据!$AB$24,VLOOKUP(X557,模板计算相关数据!$P$47:$T$50,2,0),VLOOKUP(X557,模板计算相关数据!$P$4:$U$7,3,0))*VLOOKUP(Y557,模板计算相关数据!$P$22:$X$30,8,0)</f>
        <v>4.417254901960785</v>
      </c>
      <c r="S557" s="62">
        <f t="shared" si="62"/>
        <v>5.4285280003474252</v>
      </c>
      <c r="T557" s="133">
        <f>IF(P557=模板计算相关数据!$AB$24,VLOOKUP(X557,模板计算相关数据!$P$47:$T$50,5,0),VLOOKUP(X557,模板计算相关数据!$P$4:$U$7,6,0))*VLOOKUP(Y557,模板计算相关数据!$P$22:$X$30,9,0)</f>
        <v>5.4285280003474252</v>
      </c>
      <c r="U557" s="98">
        <v>1</v>
      </c>
      <c r="V557" s="95">
        <f t="shared" si="60"/>
        <v>4</v>
      </c>
      <c r="W557" s="29">
        <f>VLOOKUP(U557,模板计算相关数据!A:N,2,0)</f>
        <v>1</v>
      </c>
      <c r="X557" s="3" t="s">
        <v>151</v>
      </c>
      <c r="Y557" s="3" t="s">
        <v>152</v>
      </c>
      <c r="Z557" s="99">
        <v>1</v>
      </c>
      <c r="AA557" s="95">
        <v>1</v>
      </c>
      <c r="AB557" s="95">
        <v>1</v>
      </c>
      <c r="AC557" s="95">
        <v>1</v>
      </c>
      <c r="AD557" s="95">
        <v>0</v>
      </c>
      <c r="AE557" s="95">
        <v>0</v>
      </c>
      <c r="AF557" s="95">
        <v>0</v>
      </c>
      <c r="AG557" s="95">
        <v>0</v>
      </c>
      <c r="AH557" s="95">
        <v>0</v>
      </c>
      <c r="AI557" s="95">
        <v>0</v>
      </c>
      <c r="AJ557" s="3">
        <f>INT(VLOOKUP(U557,模板计算相关数据!A:N,4,0)*VLOOKUP(U557,模板计算相关数据!A:N,14,0)*(1+MAX(0,(VLOOKUP(U557,模板计算相关数据!A:N,7,0)-AQ557))*VLOOKUP(U557,模板计算相关数据!A:N,8,0))*(1-(AL557+AM557)*0.5/((AL557+AM557)*0.5+(VLOOKUP(U557,模板计算相关数据!A:N,2,0)+模板计算相关数据!$AC$27)*模板计算相关数据!$AC$28))*Q557*Z557)</f>
        <v>325</v>
      </c>
      <c r="AK557" s="3">
        <f>INT(VLOOKUP(U557,模板计算相关数据!A:N,3,0)/模板计算相关数据!$W$35/(1+MAX(0,(AO557/10000-VLOOKUP(U557,模板计算相关数据!A:N,9,0)))*AP557/10000)/(1-VLOOKUP(U557,模板计算相关数据!A:N,5,0)/(VLOOKUP(U557,模板计算相关数据!A:N,5,0)+(VLOOKUP(U557,模板计算相关数据!A:N,2,0)+模板计算相关数据!$AC$27)*模板计算相关数据!$AC$28))/S557*AA557)</f>
        <v>102</v>
      </c>
      <c r="AL557" s="3">
        <f>INT(VLOOKUP(U557,模板计算相关数据!A:N,5,0)*VLOOKUP(X557,模板计算相关数据!$P$4:$T$7,4,0)*VLOOKUP(Y557,模板计算相关数据!$P$22:$U$30,4,0)*AB557)</f>
        <v>230</v>
      </c>
      <c r="AM557" s="3">
        <f>INT(VLOOKUP(U557,模板计算相关数据!A:N,6,0)*VLOOKUP(X557,模板计算相关数据!$P$4:$T$7,4,0)*VLOOKUP(Y557,模板计算相关数据!$P$22:$U$30,5,0)*AC557)</f>
        <v>136</v>
      </c>
      <c r="AN557" s="3">
        <f>VLOOKUP(U557,模板计算相关数据!A:N,10,0)*0.5*VLOOKUP(Y557,模板计算相关数据!$P$22:$U$30,6,0)+AD557</f>
        <v>250</v>
      </c>
      <c r="AO557" s="3">
        <f>VLOOKUP(INT(VLOOKUP(U557,模板计算相关数据!A:N,2,0)/30)+1,模板计算相关数据!$O$35:$U$40,3,0)+AE557</f>
        <v>0</v>
      </c>
      <c r="AP557" s="3">
        <f>VLOOKUP(INT(VLOOKUP(U557,模板计算相关数据!A:N,2,0)/30)+1,模板计算相关数据!$O$35:$U$40,4,0)+AF557</f>
        <v>5000</v>
      </c>
      <c r="AQ557" s="3">
        <f>VLOOKUP(INT(VLOOKUP(U557,模板计算相关数据!A:N,2,0)/30)+1,模板计算相关数据!$O$35:$U$40,5,0)+AG557</f>
        <v>0</v>
      </c>
      <c r="AR557" s="3">
        <f>VLOOKUP(INT(VLOOKUP(U557,模板计算相关数据!A:N,2,0)/30)+1,模板计算相关数据!$O$35:$U$40,6,0)+AH557</f>
        <v>0</v>
      </c>
      <c r="AS557" s="3">
        <f>VLOOKUP(INT(VLOOKUP(U557,模板计算相关数据!A:N,2,0)/30)+1,模板计算相关数据!$O$35:$U$40,7,0)+AI557</f>
        <v>0</v>
      </c>
      <c r="AT557" s="3">
        <f>VLOOKUP(INT(VLOOKUP(U557,模板计算相关数据!A:N,2,0)/30)+1,模板计算相关数据!$O$35:$V$40,8,0)</f>
        <v>0</v>
      </c>
      <c r="AU557" s="2"/>
    </row>
    <row r="558" spans="1:47" x14ac:dyDescent="0.2">
      <c r="A558" s="2">
        <v>307159</v>
      </c>
      <c r="B558" s="2"/>
      <c r="C558" s="69" t="s">
        <v>757</v>
      </c>
      <c r="D558" s="69" t="s">
        <v>1152</v>
      </c>
      <c r="E558" s="2"/>
      <c r="F558" s="127">
        <v>3</v>
      </c>
      <c r="G558" s="127">
        <v>101</v>
      </c>
      <c r="H558" s="3">
        <v>1</v>
      </c>
      <c r="I558" s="127">
        <v>5</v>
      </c>
      <c r="J558" s="127">
        <v>1</v>
      </c>
      <c r="K558" s="3"/>
      <c r="L558" s="69" t="s">
        <v>770</v>
      </c>
      <c r="M558" s="2"/>
      <c r="N558" s="2">
        <v>1</v>
      </c>
      <c r="O558" s="2"/>
      <c r="P558" s="3" t="s">
        <v>1615</v>
      </c>
      <c r="Q558" s="95">
        <f t="shared" si="61"/>
        <v>4.417254901960785</v>
      </c>
      <c r="R558" s="133">
        <f>IF(P558=模板计算相关数据!$AB$24,VLOOKUP(X558,模板计算相关数据!$P$47:$T$50,2,0),VLOOKUP(X558,模板计算相关数据!$P$4:$U$7,3,0))*VLOOKUP(Y558,模板计算相关数据!$P$22:$X$30,8,0)</f>
        <v>4.417254901960785</v>
      </c>
      <c r="S558" s="62">
        <f t="shared" si="62"/>
        <v>5.4285280003474252</v>
      </c>
      <c r="T558" s="133">
        <f>IF(P558=模板计算相关数据!$AB$24,VLOOKUP(X558,模板计算相关数据!$P$47:$T$50,5,0),VLOOKUP(X558,模板计算相关数据!$P$4:$U$7,6,0))*VLOOKUP(Y558,模板计算相关数据!$P$22:$X$30,9,0)</f>
        <v>5.4285280003474252</v>
      </c>
      <c r="U558" s="98">
        <v>1</v>
      </c>
      <c r="V558" s="95">
        <f t="shared" si="60"/>
        <v>4</v>
      </c>
      <c r="W558" s="29">
        <f>VLOOKUP(U558,模板计算相关数据!A:N,2,0)</f>
        <v>1</v>
      </c>
      <c r="X558" s="3" t="s">
        <v>151</v>
      </c>
      <c r="Y558" s="3" t="s">
        <v>152</v>
      </c>
      <c r="Z558" s="99">
        <v>1</v>
      </c>
      <c r="AA558" s="95">
        <v>1</v>
      </c>
      <c r="AB558" s="95">
        <v>1</v>
      </c>
      <c r="AC558" s="95">
        <v>1</v>
      </c>
      <c r="AD558" s="95">
        <v>0</v>
      </c>
      <c r="AE558" s="95">
        <v>0</v>
      </c>
      <c r="AF558" s="95">
        <v>0</v>
      </c>
      <c r="AG558" s="95">
        <v>0</v>
      </c>
      <c r="AH558" s="95">
        <v>0</v>
      </c>
      <c r="AI558" s="95">
        <v>0</v>
      </c>
      <c r="AJ558" s="3">
        <f>INT(VLOOKUP(U558,模板计算相关数据!A:N,4,0)*VLOOKUP(U558,模板计算相关数据!A:N,14,0)*(1+MAX(0,(VLOOKUP(U558,模板计算相关数据!A:N,7,0)-AQ558))*VLOOKUP(U558,模板计算相关数据!A:N,8,0))*(1-(AL558+AM558)*0.5/((AL558+AM558)*0.5+(VLOOKUP(U558,模板计算相关数据!A:N,2,0)+模板计算相关数据!$AC$27)*模板计算相关数据!$AC$28))*Q558*Z558)</f>
        <v>325</v>
      </c>
      <c r="AK558" s="3">
        <f>INT(VLOOKUP(U558,模板计算相关数据!A:N,3,0)/模板计算相关数据!$W$35/(1+MAX(0,(AO558/10000-VLOOKUP(U558,模板计算相关数据!A:N,9,0)))*AP558/10000)/(1-VLOOKUP(U558,模板计算相关数据!A:N,5,0)/(VLOOKUP(U558,模板计算相关数据!A:N,5,0)+(VLOOKUP(U558,模板计算相关数据!A:N,2,0)+模板计算相关数据!$AC$27)*模板计算相关数据!$AC$28))/S558*AA558)</f>
        <v>102</v>
      </c>
      <c r="AL558" s="3">
        <f>INT(VLOOKUP(U558,模板计算相关数据!A:N,5,0)*VLOOKUP(X558,模板计算相关数据!$P$4:$T$7,4,0)*VLOOKUP(Y558,模板计算相关数据!$P$22:$U$30,4,0)*AB558)</f>
        <v>230</v>
      </c>
      <c r="AM558" s="3">
        <f>INT(VLOOKUP(U558,模板计算相关数据!A:N,6,0)*VLOOKUP(X558,模板计算相关数据!$P$4:$T$7,4,0)*VLOOKUP(Y558,模板计算相关数据!$P$22:$U$30,5,0)*AC558)</f>
        <v>136</v>
      </c>
      <c r="AN558" s="3">
        <f>VLOOKUP(U558,模板计算相关数据!A:N,10,0)*0.5*VLOOKUP(Y558,模板计算相关数据!$P$22:$U$30,6,0)+AD558</f>
        <v>250</v>
      </c>
      <c r="AO558" s="3">
        <f>VLOOKUP(INT(VLOOKUP(U558,模板计算相关数据!A:N,2,0)/30)+1,模板计算相关数据!$O$35:$U$40,3,0)+AE558</f>
        <v>0</v>
      </c>
      <c r="AP558" s="3">
        <f>VLOOKUP(INT(VLOOKUP(U558,模板计算相关数据!A:N,2,0)/30)+1,模板计算相关数据!$O$35:$U$40,4,0)+AF558</f>
        <v>5000</v>
      </c>
      <c r="AQ558" s="3">
        <f>VLOOKUP(INT(VLOOKUP(U558,模板计算相关数据!A:N,2,0)/30)+1,模板计算相关数据!$O$35:$U$40,5,0)+AG558</f>
        <v>0</v>
      </c>
      <c r="AR558" s="3">
        <f>VLOOKUP(INT(VLOOKUP(U558,模板计算相关数据!A:N,2,0)/30)+1,模板计算相关数据!$O$35:$U$40,6,0)+AH558</f>
        <v>0</v>
      </c>
      <c r="AS558" s="3">
        <f>VLOOKUP(INT(VLOOKUP(U558,模板计算相关数据!A:N,2,0)/30)+1,模板计算相关数据!$O$35:$U$40,7,0)+AI558</f>
        <v>0</v>
      </c>
      <c r="AT558" s="3">
        <f>VLOOKUP(INT(VLOOKUP(U558,模板计算相关数据!A:N,2,0)/30)+1,模板计算相关数据!$O$35:$V$40,8,0)</f>
        <v>0</v>
      </c>
      <c r="AU558" s="2"/>
    </row>
    <row r="559" spans="1:47" x14ac:dyDescent="0.2">
      <c r="A559" s="2">
        <v>307160</v>
      </c>
      <c r="B559" s="2"/>
      <c r="C559" s="69" t="s">
        <v>757</v>
      </c>
      <c r="D559" s="69" t="s">
        <v>1153</v>
      </c>
      <c r="E559" s="2"/>
      <c r="F559" s="127">
        <v>3</v>
      </c>
      <c r="G559" s="127">
        <v>101</v>
      </c>
      <c r="H559" s="3">
        <v>1</v>
      </c>
      <c r="I559" s="127">
        <v>5</v>
      </c>
      <c r="J559" s="127">
        <v>1</v>
      </c>
      <c r="K559" s="3"/>
      <c r="L559" s="69" t="s">
        <v>771</v>
      </c>
      <c r="M559" s="2"/>
      <c r="N559" s="2">
        <v>1</v>
      </c>
      <c r="O559" s="2"/>
      <c r="P559" s="3" t="s">
        <v>1615</v>
      </c>
      <c r="Q559" s="95">
        <f t="shared" si="61"/>
        <v>4.417254901960785</v>
      </c>
      <c r="R559" s="133">
        <f>IF(P559=模板计算相关数据!$AB$24,VLOOKUP(X559,模板计算相关数据!$P$47:$T$50,2,0),VLOOKUP(X559,模板计算相关数据!$P$4:$U$7,3,0))*VLOOKUP(Y559,模板计算相关数据!$P$22:$X$30,8,0)</f>
        <v>4.417254901960785</v>
      </c>
      <c r="S559" s="62">
        <f t="shared" si="62"/>
        <v>5.4285280003474252</v>
      </c>
      <c r="T559" s="133">
        <f>IF(P559=模板计算相关数据!$AB$24,VLOOKUP(X559,模板计算相关数据!$P$47:$T$50,5,0),VLOOKUP(X559,模板计算相关数据!$P$4:$U$7,6,0))*VLOOKUP(Y559,模板计算相关数据!$P$22:$X$30,9,0)</f>
        <v>5.4285280003474252</v>
      </c>
      <c r="U559" s="98">
        <v>1</v>
      </c>
      <c r="V559" s="95">
        <f t="shared" si="60"/>
        <v>4</v>
      </c>
      <c r="W559" s="29">
        <f>VLOOKUP(U559,模板计算相关数据!A:N,2,0)</f>
        <v>1</v>
      </c>
      <c r="X559" s="3" t="s">
        <v>151</v>
      </c>
      <c r="Y559" s="3" t="s">
        <v>152</v>
      </c>
      <c r="Z559" s="99">
        <v>1</v>
      </c>
      <c r="AA559" s="95">
        <v>1</v>
      </c>
      <c r="AB559" s="95">
        <v>1</v>
      </c>
      <c r="AC559" s="95">
        <v>1</v>
      </c>
      <c r="AD559" s="95">
        <v>0</v>
      </c>
      <c r="AE559" s="95">
        <v>0</v>
      </c>
      <c r="AF559" s="95">
        <v>0</v>
      </c>
      <c r="AG559" s="95">
        <v>0</v>
      </c>
      <c r="AH559" s="95">
        <v>0</v>
      </c>
      <c r="AI559" s="95">
        <v>0</v>
      </c>
      <c r="AJ559" s="3">
        <f>INT(VLOOKUP(U559,模板计算相关数据!A:N,4,0)*VLOOKUP(U559,模板计算相关数据!A:N,14,0)*(1+MAX(0,(VLOOKUP(U559,模板计算相关数据!A:N,7,0)-AQ559))*VLOOKUP(U559,模板计算相关数据!A:N,8,0))*(1-(AL559+AM559)*0.5/((AL559+AM559)*0.5+(VLOOKUP(U559,模板计算相关数据!A:N,2,0)+模板计算相关数据!$AC$27)*模板计算相关数据!$AC$28))*Q559*Z559)</f>
        <v>325</v>
      </c>
      <c r="AK559" s="3">
        <f>INT(VLOOKUP(U559,模板计算相关数据!A:N,3,0)/模板计算相关数据!$W$35/(1+MAX(0,(AO559/10000-VLOOKUP(U559,模板计算相关数据!A:N,9,0)))*AP559/10000)/(1-VLOOKUP(U559,模板计算相关数据!A:N,5,0)/(VLOOKUP(U559,模板计算相关数据!A:N,5,0)+(VLOOKUP(U559,模板计算相关数据!A:N,2,0)+模板计算相关数据!$AC$27)*模板计算相关数据!$AC$28))/S559*AA559)</f>
        <v>102</v>
      </c>
      <c r="AL559" s="3">
        <f>INT(VLOOKUP(U559,模板计算相关数据!A:N,5,0)*VLOOKUP(X559,模板计算相关数据!$P$4:$T$7,4,0)*VLOOKUP(Y559,模板计算相关数据!$P$22:$U$30,4,0)*AB559)</f>
        <v>230</v>
      </c>
      <c r="AM559" s="3">
        <f>INT(VLOOKUP(U559,模板计算相关数据!A:N,6,0)*VLOOKUP(X559,模板计算相关数据!$P$4:$T$7,4,0)*VLOOKUP(Y559,模板计算相关数据!$P$22:$U$30,5,0)*AC559)</f>
        <v>136</v>
      </c>
      <c r="AN559" s="3">
        <f>VLOOKUP(U559,模板计算相关数据!A:N,10,0)*0.5*VLOOKUP(Y559,模板计算相关数据!$P$22:$U$30,6,0)+AD559</f>
        <v>250</v>
      </c>
      <c r="AO559" s="3">
        <f>VLOOKUP(INT(VLOOKUP(U559,模板计算相关数据!A:N,2,0)/30)+1,模板计算相关数据!$O$35:$U$40,3,0)+AE559</f>
        <v>0</v>
      </c>
      <c r="AP559" s="3">
        <f>VLOOKUP(INT(VLOOKUP(U559,模板计算相关数据!A:N,2,0)/30)+1,模板计算相关数据!$O$35:$U$40,4,0)+AF559</f>
        <v>5000</v>
      </c>
      <c r="AQ559" s="3">
        <f>VLOOKUP(INT(VLOOKUP(U559,模板计算相关数据!A:N,2,0)/30)+1,模板计算相关数据!$O$35:$U$40,5,0)+AG559</f>
        <v>0</v>
      </c>
      <c r="AR559" s="3">
        <f>VLOOKUP(INT(VLOOKUP(U559,模板计算相关数据!A:N,2,0)/30)+1,模板计算相关数据!$O$35:$U$40,6,0)+AH559</f>
        <v>0</v>
      </c>
      <c r="AS559" s="3">
        <f>VLOOKUP(INT(VLOOKUP(U559,模板计算相关数据!A:N,2,0)/30)+1,模板计算相关数据!$O$35:$U$40,7,0)+AI559</f>
        <v>0</v>
      </c>
      <c r="AT559" s="3">
        <f>VLOOKUP(INT(VLOOKUP(U559,模板计算相关数据!A:N,2,0)/30)+1,模板计算相关数据!$O$35:$V$40,8,0)</f>
        <v>0</v>
      </c>
      <c r="AU559" s="2"/>
    </row>
    <row r="560" spans="1:47" x14ac:dyDescent="0.2">
      <c r="A560" s="2">
        <v>307161</v>
      </c>
      <c r="B560" s="2"/>
      <c r="C560" s="69" t="s">
        <v>757</v>
      </c>
      <c r="D560" s="69" t="s">
        <v>1154</v>
      </c>
      <c r="E560" s="2"/>
      <c r="F560" s="127">
        <v>3</v>
      </c>
      <c r="G560" s="127">
        <v>101</v>
      </c>
      <c r="H560" s="3">
        <v>1</v>
      </c>
      <c r="I560" s="127">
        <v>5</v>
      </c>
      <c r="J560" s="127">
        <v>1</v>
      </c>
      <c r="K560" s="3"/>
      <c r="L560" s="69" t="s">
        <v>772</v>
      </c>
      <c r="M560" s="2"/>
      <c r="N560" s="2">
        <v>1</v>
      </c>
      <c r="O560" s="2"/>
      <c r="P560" s="3" t="s">
        <v>1615</v>
      </c>
      <c r="Q560" s="95">
        <f t="shared" si="61"/>
        <v>4.417254901960785</v>
      </c>
      <c r="R560" s="133">
        <f>IF(P560=模板计算相关数据!$AB$24,VLOOKUP(X560,模板计算相关数据!$P$47:$T$50,2,0),VLOOKUP(X560,模板计算相关数据!$P$4:$U$7,3,0))*VLOOKUP(Y560,模板计算相关数据!$P$22:$X$30,8,0)</f>
        <v>4.417254901960785</v>
      </c>
      <c r="S560" s="62">
        <f t="shared" si="62"/>
        <v>5.4285280003474252</v>
      </c>
      <c r="T560" s="133">
        <f>IF(P560=模板计算相关数据!$AB$24,VLOOKUP(X560,模板计算相关数据!$P$47:$T$50,5,0),VLOOKUP(X560,模板计算相关数据!$P$4:$U$7,6,0))*VLOOKUP(Y560,模板计算相关数据!$P$22:$X$30,9,0)</f>
        <v>5.4285280003474252</v>
      </c>
      <c r="U560" s="98">
        <v>1</v>
      </c>
      <c r="V560" s="95">
        <f t="shared" ref="V560:V623" si="63">W560+3</f>
        <v>4</v>
      </c>
      <c r="W560" s="29">
        <f>VLOOKUP(U560,模板计算相关数据!A:N,2,0)</f>
        <v>1</v>
      </c>
      <c r="X560" s="3" t="s">
        <v>151</v>
      </c>
      <c r="Y560" s="3" t="s">
        <v>152</v>
      </c>
      <c r="Z560" s="99">
        <v>1</v>
      </c>
      <c r="AA560" s="95">
        <v>1</v>
      </c>
      <c r="AB560" s="95">
        <v>1</v>
      </c>
      <c r="AC560" s="95">
        <v>1</v>
      </c>
      <c r="AD560" s="95">
        <v>0</v>
      </c>
      <c r="AE560" s="95">
        <v>0</v>
      </c>
      <c r="AF560" s="95">
        <v>0</v>
      </c>
      <c r="AG560" s="95">
        <v>0</v>
      </c>
      <c r="AH560" s="95">
        <v>0</v>
      </c>
      <c r="AI560" s="95">
        <v>0</v>
      </c>
      <c r="AJ560" s="3">
        <f>INT(VLOOKUP(U560,模板计算相关数据!A:N,4,0)*VLOOKUP(U560,模板计算相关数据!A:N,14,0)*(1+MAX(0,(VLOOKUP(U560,模板计算相关数据!A:N,7,0)-AQ560))*VLOOKUP(U560,模板计算相关数据!A:N,8,0))*(1-(AL560+AM560)*0.5/((AL560+AM560)*0.5+(VLOOKUP(U560,模板计算相关数据!A:N,2,0)+模板计算相关数据!$AC$27)*模板计算相关数据!$AC$28))*Q560*Z560)</f>
        <v>325</v>
      </c>
      <c r="AK560" s="3">
        <f>INT(VLOOKUP(U560,模板计算相关数据!A:N,3,0)/模板计算相关数据!$W$35/(1+MAX(0,(AO560/10000-VLOOKUP(U560,模板计算相关数据!A:N,9,0)))*AP560/10000)/(1-VLOOKUP(U560,模板计算相关数据!A:N,5,0)/(VLOOKUP(U560,模板计算相关数据!A:N,5,0)+(VLOOKUP(U560,模板计算相关数据!A:N,2,0)+模板计算相关数据!$AC$27)*模板计算相关数据!$AC$28))/S560*AA560)</f>
        <v>102</v>
      </c>
      <c r="AL560" s="3">
        <f>INT(VLOOKUP(U560,模板计算相关数据!A:N,5,0)*VLOOKUP(X560,模板计算相关数据!$P$4:$T$7,4,0)*VLOOKUP(Y560,模板计算相关数据!$P$22:$U$30,4,0)*AB560)</f>
        <v>230</v>
      </c>
      <c r="AM560" s="3">
        <f>INT(VLOOKUP(U560,模板计算相关数据!A:N,6,0)*VLOOKUP(X560,模板计算相关数据!$P$4:$T$7,4,0)*VLOOKUP(Y560,模板计算相关数据!$P$22:$U$30,5,0)*AC560)</f>
        <v>136</v>
      </c>
      <c r="AN560" s="3">
        <f>VLOOKUP(U560,模板计算相关数据!A:N,10,0)*0.5*VLOOKUP(Y560,模板计算相关数据!$P$22:$U$30,6,0)+AD560</f>
        <v>250</v>
      </c>
      <c r="AO560" s="3">
        <f>VLOOKUP(INT(VLOOKUP(U560,模板计算相关数据!A:N,2,0)/30)+1,模板计算相关数据!$O$35:$U$40,3,0)+AE560</f>
        <v>0</v>
      </c>
      <c r="AP560" s="3">
        <f>VLOOKUP(INT(VLOOKUP(U560,模板计算相关数据!A:N,2,0)/30)+1,模板计算相关数据!$O$35:$U$40,4,0)+AF560</f>
        <v>5000</v>
      </c>
      <c r="AQ560" s="3">
        <f>VLOOKUP(INT(VLOOKUP(U560,模板计算相关数据!A:N,2,0)/30)+1,模板计算相关数据!$O$35:$U$40,5,0)+AG560</f>
        <v>0</v>
      </c>
      <c r="AR560" s="3">
        <f>VLOOKUP(INT(VLOOKUP(U560,模板计算相关数据!A:N,2,0)/30)+1,模板计算相关数据!$O$35:$U$40,6,0)+AH560</f>
        <v>0</v>
      </c>
      <c r="AS560" s="3">
        <f>VLOOKUP(INT(VLOOKUP(U560,模板计算相关数据!A:N,2,0)/30)+1,模板计算相关数据!$O$35:$U$40,7,0)+AI560</f>
        <v>0</v>
      </c>
      <c r="AT560" s="3">
        <f>VLOOKUP(INT(VLOOKUP(U560,模板计算相关数据!A:N,2,0)/30)+1,模板计算相关数据!$O$35:$V$40,8,0)</f>
        <v>0</v>
      </c>
      <c r="AU560" s="2"/>
    </row>
    <row r="561" spans="1:47" x14ac:dyDescent="0.2">
      <c r="A561" s="17">
        <v>307501</v>
      </c>
      <c r="B561" s="17"/>
      <c r="C561" s="153" t="s">
        <v>773</v>
      </c>
      <c r="D561" s="25" t="s">
        <v>1155</v>
      </c>
      <c r="E561" s="17"/>
      <c r="F561" s="152">
        <v>3</v>
      </c>
      <c r="G561" s="152">
        <v>101</v>
      </c>
      <c r="H561" s="43">
        <v>1</v>
      </c>
      <c r="I561" s="152">
        <v>5</v>
      </c>
      <c r="J561" s="152">
        <v>1</v>
      </c>
      <c r="K561" s="3"/>
      <c r="L561" s="69" t="s">
        <v>779</v>
      </c>
      <c r="M561" s="2"/>
      <c r="N561" s="2">
        <v>1</v>
      </c>
      <c r="O561" s="2"/>
      <c r="P561" s="3" t="s">
        <v>1615</v>
      </c>
      <c r="Q561" s="95">
        <f t="shared" si="61"/>
        <v>4.417254901960785</v>
      </c>
      <c r="R561" s="133">
        <f>IF(P561=模板计算相关数据!$AB$24,VLOOKUP(X561,模板计算相关数据!$P$47:$T$50,2,0),VLOOKUP(X561,模板计算相关数据!$P$4:$U$7,3,0))*VLOOKUP(Y561,模板计算相关数据!$P$22:$X$30,8,0)</f>
        <v>4.417254901960785</v>
      </c>
      <c r="S561" s="62">
        <f t="shared" si="62"/>
        <v>5.4285280003474252</v>
      </c>
      <c r="T561" s="133">
        <f>IF(P561=模板计算相关数据!$AB$24,VLOOKUP(X561,模板计算相关数据!$P$47:$T$50,5,0),VLOOKUP(X561,模板计算相关数据!$P$4:$U$7,6,0))*VLOOKUP(Y561,模板计算相关数据!$P$22:$X$30,9,0)</f>
        <v>5.4285280003474252</v>
      </c>
      <c r="U561" s="98">
        <v>1</v>
      </c>
      <c r="V561" s="95">
        <f t="shared" si="63"/>
        <v>4</v>
      </c>
      <c r="W561" s="29">
        <f>VLOOKUP(U561,模板计算相关数据!A:N,2,0)</f>
        <v>1</v>
      </c>
      <c r="X561" s="3" t="s">
        <v>151</v>
      </c>
      <c r="Y561" s="3" t="s">
        <v>152</v>
      </c>
      <c r="Z561" s="99">
        <v>1</v>
      </c>
      <c r="AA561" s="95">
        <v>1</v>
      </c>
      <c r="AB561" s="95">
        <v>1</v>
      </c>
      <c r="AC561" s="95">
        <v>1</v>
      </c>
      <c r="AD561" s="95">
        <v>0</v>
      </c>
      <c r="AE561" s="95">
        <v>0</v>
      </c>
      <c r="AF561" s="95">
        <v>0</v>
      </c>
      <c r="AG561" s="95">
        <v>0</v>
      </c>
      <c r="AH561" s="95">
        <v>0</v>
      </c>
      <c r="AI561" s="95">
        <v>0</v>
      </c>
      <c r="AJ561" s="3">
        <f>INT(VLOOKUP(U561,模板计算相关数据!A:N,4,0)*VLOOKUP(U561,模板计算相关数据!A:N,14,0)*(1+MAX(0,(VLOOKUP(U561,模板计算相关数据!A:N,7,0)-AQ561))*VLOOKUP(U561,模板计算相关数据!A:N,8,0))*(1-(AL561+AM561)*0.5/((AL561+AM561)*0.5+(VLOOKUP(U561,模板计算相关数据!A:N,2,0)+模板计算相关数据!$AC$27)*模板计算相关数据!$AC$28))*Q561*Z561)</f>
        <v>325</v>
      </c>
      <c r="AK561" s="3">
        <f>INT(VLOOKUP(U561,模板计算相关数据!A:N,3,0)/模板计算相关数据!$W$35/(1+MAX(0,(AO561/10000-VLOOKUP(U561,模板计算相关数据!A:N,9,0)))*AP561/10000)/(1-VLOOKUP(U561,模板计算相关数据!A:N,5,0)/(VLOOKUP(U561,模板计算相关数据!A:N,5,0)+(VLOOKUP(U561,模板计算相关数据!A:N,2,0)+模板计算相关数据!$AC$27)*模板计算相关数据!$AC$28))/S561*AA561)</f>
        <v>102</v>
      </c>
      <c r="AL561" s="3">
        <f>INT(VLOOKUP(U561,模板计算相关数据!A:N,5,0)*VLOOKUP(X561,模板计算相关数据!$P$4:$T$7,4,0)*VLOOKUP(Y561,模板计算相关数据!$P$22:$U$30,4,0)*AB561)</f>
        <v>230</v>
      </c>
      <c r="AM561" s="3">
        <f>INT(VLOOKUP(U561,模板计算相关数据!A:N,6,0)*VLOOKUP(X561,模板计算相关数据!$P$4:$T$7,4,0)*VLOOKUP(Y561,模板计算相关数据!$P$22:$U$30,5,0)*AC561)</f>
        <v>136</v>
      </c>
      <c r="AN561" s="3">
        <f>VLOOKUP(U561,模板计算相关数据!A:N,10,0)*0.5*VLOOKUP(Y561,模板计算相关数据!$P$22:$U$30,6,0)+AD561</f>
        <v>250</v>
      </c>
      <c r="AO561" s="3">
        <f>VLOOKUP(INT(VLOOKUP(U561,模板计算相关数据!A:N,2,0)/30)+1,模板计算相关数据!$O$35:$U$40,3,0)+AE561</f>
        <v>0</v>
      </c>
      <c r="AP561" s="3">
        <f>VLOOKUP(INT(VLOOKUP(U561,模板计算相关数据!A:N,2,0)/30)+1,模板计算相关数据!$O$35:$U$40,4,0)+AF561</f>
        <v>5000</v>
      </c>
      <c r="AQ561" s="3">
        <f>VLOOKUP(INT(VLOOKUP(U561,模板计算相关数据!A:N,2,0)/30)+1,模板计算相关数据!$O$35:$U$40,5,0)+AG561</f>
        <v>0</v>
      </c>
      <c r="AR561" s="3">
        <f>VLOOKUP(INT(VLOOKUP(U561,模板计算相关数据!A:N,2,0)/30)+1,模板计算相关数据!$O$35:$U$40,6,0)+AH561</f>
        <v>0</v>
      </c>
      <c r="AS561" s="3">
        <f>VLOOKUP(INT(VLOOKUP(U561,模板计算相关数据!A:N,2,0)/30)+1,模板计算相关数据!$O$35:$U$40,7,0)+AI561</f>
        <v>0</v>
      </c>
      <c r="AT561" s="3">
        <f>VLOOKUP(INT(VLOOKUP(U561,模板计算相关数据!A:N,2,0)/30)+1,模板计算相关数据!$O$35:$V$40,8,0)</f>
        <v>0</v>
      </c>
      <c r="AU561" s="2"/>
    </row>
    <row r="562" spans="1:47" x14ac:dyDescent="0.2">
      <c r="A562" s="2">
        <v>307502</v>
      </c>
      <c r="B562" s="2"/>
      <c r="C562" s="69" t="s">
        <v>774</v>
      </c>
      <c r="D562" s="69" t="s">
        <v>1156</v>
      </c>
      <c r="E562" s="2"/>
      <c r="F562" s="127">
        <v>3</v>
      </c>
      <c r="G562" s="127">
        <v>101</v>
      </c>
      <c r="H562" s="3">
        <v>1</v>
      </c>
      <c r="I562" s="127">
        <v>5</v>
      </c>
      <c r="J562" s="127">
        <v>1</v>
      </c>
      <c r="K562" s="3"/>
      <c r="L562" s="69" t="s">
        <v>780</v>
      </c>
      <c r="M562" s="2"/>
      <c r="N562" s="2">
        <v>1</v>
      </c>
      <c r="O562" s="2"/>
      <c r="P562" s="3" t="s">
        <v>1615</v>
      </c>
      <c r="Q562" s="95">
        <f t="shared" si="61"/>
        <v>4.417254901960785</v>
      </c>
      <c r="R562" s="133">
        <f>IF(P562=模板计算相关数据!$AB$24,VLOOKUP(X562,模板计算相关数据!$P$47:$T$50,2,0),VLOOKUP(X562,模板计算相关数据!$P$4:$U$7,3,0))*VLOOKUP(Y562,模板计算相关数据!$P$22:$X$30,8,0)</f>
        <v>4.417254901960785</v>
      </c>
      <c r="S562" s="62">
        <f t="shared" si="62"/>
        <v>5.4285280003474252</v>
      </c>
      <c r="T562" s="133">
        <f>IF(P562=模板计算相关数据!$AB$24,VLOOKUP(X562,模板计算相关数据!$P$47:$T$50,5,0),VLOOKUP(X562,模板计算相关数据!$P$4:$U$7,6,0))*VLOOKUP(Y562,模板计算相关数据!$P$22:$X$30,9,0)</f>
        <v>5.4285280003474252</v>
      </c>
      <c r="U562" s="98">
        <v>1</v>
      </c>
      <c r="V562" s="95">
        <f t="shared" si="63"/>
        <v>4</v>
      </c>
      <c r="W562" s="29">
        <f>VLOOKUP(U562,模板计算相关数据!A:N,2,0)</f>
        <v>1</v>
      </c>
      <c r="X562" s="3" t="s">
        <v>151</v>
      </c>
      <c r="Y562" s="3" t="s">
        <v>152</v>
      </c>
      <c r="Z562" s="99">
        <v>1</v>
      </c>
      <c r="AA562" s="95">
        <v>1</v>
      </c>
      <c r="AB562" s="95">
        <v>1</v>
      </c>
      <c r="AC562" s="95">
        <v>1</v>
      </c>
      <c r="AD562" s="95">
        <v>0</v>
      </c>
      <c r="AE562" s="95">
        <v>0</v>
      </c>
      <c r="AF562" s="95">
        <v>0</v>
      </c>
      <c r="AG562" s="95">
        <v>0</v>
      </c>
      <c r="AH562" s="95">
        <v>0</v>
      </c>
      <c r="AI562" s="95">
        <v>0</v>
      </c>
      <c r="AJ562" s="3">
        <f>INT(VLOOKUP(U562,模板计算相关数据!A:N,4,0)*VLOOKUP(U562,模板计算相关数据!A:N,14,0)*(1+MAX(0,(VLOOKUP(U562,模板计算相关数据!A:N,7,0)-AQ562))*VLOOKUP(U562,模板计算相关数据!A:N,8,0))*(1-(AL562+AM562)*0.5/((AL562+AM562)*0.5+(VLOOKUP(U562,模板计算相关数据!A:N,2,0)+模板计算相关数据!$AC$27)*模板计算相关数据!$AC$28))*Q562*Z562)</f>
        <v>325</v>
      </c>
      <c r="AK562" s="3">
        <f>INT(VLOOKUP(U562,模板计算相关数据!A:N,3,0)/模板计算相关数据!$W$35/(1+MAX(0,(AO562/10000-VLOOKUP(U562,模板计算相关数据!A:N,9,0)))*AP562/10000)/(1-VLOOKUP(U562,模板计算相关数据!A:N,5,0)/(VLOOKUP(U562,模板计算相关数据!A:N,5,0)+(VLOOKUP(U562,模板计算相关数据!A:N,2,0)+模板计算相关数据!$AC$27)*模板计算相关数据!$AC$28))/S562*AA562)</f>
        <v>102</v>
      </c>
      <c r="AL562" s="3">
        <f>INT(VLOOKUP(U562,模板计算相关数据!A:N,5,0)*VLOOKUP(X562,模板计算相关数据!$P$4:$T$7,4,0)*VLOOKUP(Y562,模板计算相关数据!$P$22:$U$30,4,0)*AB562)</f>
        <v>230</v>
      </c>
      <c r="AM562" s="3">
        <f>INT(VLOOKUP(U562,模板计算相关数据!A:N,6,0)*VLOOKUP(X562,模板计算相关数据!$P$4:$T$7,4,0)*VLOOKUP(Y562,模板计算相关数据!$P$22:$U$30,5,0)*AC562)</f>
        <v>136</v>
      </c>
      <c r="AN562" s="3">
        <f>VLOOKUP(U562,模板计算相关数据!A:N,10,0)*0.5*VLOOKUP(Y562,模板计算相关数据!$P$22:$U$30,6,0)+AD562</f>
        <v>250</v>
      </c>
      <c r="AO562" s="3">
        <f>VLOOKUP(INT(VLOOKUP(U562,模板计算相关数据!A:N,2,0)/30)+1,模板计算相关数据!$O$35:$U$40,3,0)+AE562</f>
        <v>0</v>
      </c>
      <c r="AP562" s="3">
        <f>VLOOKUP(INT(VLOOKUP(U562,模板计算相关数据!A:N,2,0)/30)+1,模板计算相关数据!$O$35:$U$40,4,0)+AF562</f>
        <v>5000</v>
      </c>
      <c r="AQ562" s="3">
        <f>VLOOKUP(INT(VLOOKUP(U562,模板计算相关数据!A:N,2,0)/30)+1,模板计算相关数据!$O$35:$U$40,5,0)+AG562</f>
        <v>0</v>
      </c>
      <c r="AR562" s="3">
        <f>VLOOKUP(INT(VLOOKUP(U562,模板计算相关数据!A:N,2,0)/30)+1,模板计算相关数据!$O$35:$U$40,6,0)+AH562</f>
        <v>0</v>
      </c>
      <c r="AS562" s="3">
        <f>VLOOKUP(INT(VLOOKUP(U562,模板计算相关数据!A:N,2,0)/30)+1,模板计算相关数据!$O$35:$U$40,7,0)+AI562</f>
        <v>0</v>
      </c>
      <c r="AT562" s="3">
        <f>VLOOKUP(INT(VLOOKUP(U562,模板计算相关数据!A:N,2,0)/30)+1,模板计算相关数据!$O$35:$V$40,8,0)</f>
        <v>0</v>
      </c>
      <c r="AU562" s="2"/>
    </row>
    <row r="563" spans="1:47" x14ac:dyDescent="0.2">
      <c r="A563" s="2">
        <v>307503</v>
      </c>
      <c r="B563" s="2"/>
      <c r="C563" s="69" t="s">
        <v>774</v>
      </c>
      <c r="D563" s="69" t="s">
        <v>1157</v>
      </c>
      <c r="E563" s="2"/>
      <c r="F563" s="127">
        <v>3</v>
      </c>
      <c r="G563" s="127">
        <v>101</v>
      </c>
      <c r="H563" s="3">
        <v>1</v>
      </c>
      <c r="I563" s="127">
        <v>5</v>
      </c>
      <c r="J563" s="127">
        <v>1</v>
      </c>
      <c r="K563" s="3"/>
      <c r="L563" s="69" t="s">
        <v>781</v>
      </c>
      <c r="M563" s="2"/>
      <c r="N563" s="2">
        <v>1</v>
      </c>
      <c r="O563" s="2"/>
      <c r="P563" s="3" t="s">
        <v>1615</v>
      </c>
      <c r="Q563" s="95">
        <f t="shared" si="61"/>
        <v>4.417254901960785</v>
      </c>
      <c r="R563" s="133">
        <f>IF(P563=模板计算相关数据!$AB$24,VLOOKUP(X563,模板计算相关数据!$P$47:$T$50,2,0),VLOOKUP(X563,模板计算相关数据!$P$4:$U$7,3,0))*VLOOKUP(Y563,模板计算相关数据!$P$22:$X$30,8,0)</f>
        <v>4.417254901960785</v>
      </c>
      <c r="S563" s="62">
        <f t="shared" si="62"/>
        <v>5.4285280003474252</v>
      </c>
      <c r="T563" s="133">
        <f>IF(P563=模板计算相关数据!$AB$24,VLOOKUP(X563,模板计算相关数据!$P$47:$T$50,5,0),VLOOKUP(X563,模板计算相关数据!$P$4:$U$7,6,0))*VLOOKUP(Y563,模板计算相关数据!$P$22:$X$30,9,0)</f>
        <v>5.4285280003474252</v>
      </c>
      <c r="U563" s="98">
        <v>1</v>
      </c>
      <c r="V563" s="95">
        <f t="shared" si="63"/>
        <v>4</v>
      </c>
      <c r="W563" s="29">
        <f>VLOOKUP(U563,模板计算相关数据!A:N,2,0)</f>
        <v>1</v>
      </c>
      <c r="X563" s="3" t="s">
        <v>151</v>
      </c>
      <c r="Y563" s="3" t="s">
        <v>152</v>
      </c>
      <c r="Z563" s="99">
        <v>1</v>
      </c>
      <c r="AA563" s="95">
        <v>1</v>
      </c>
      <c r="AB563" s="95">
        <v>1</v>
      </c>
      <c r="AC563" s="95">
        <v>1</v>
      </c>
      <c r="AD563" s="95">
        <v>0</v>
      </c>
      <c r="AE563" s="95">
        <v>0</v>
      </c>
      <c r="AF563" s="95">
        <v>0</v>
      </c>
      <c r="AG563" s="95">
        <v>0</v>
      </c>
      <c r="AH563" s="95">
        <v>0</v>
      </c>
      <c r="AI563" s="95">
        <v>0</v>
      </c>
      <c r="AJ563" s="3">
        <f>INT(VLOOKUP(U563,模板计算相关数据!A:N,4,0)*VLOOKUP(U563,模板计算相关数据!A:N,14,0)*(1+MAX(0,(VLOOKUP(U563,模板计算相关数据!A:N,7,0)-AQ563))*VLOOKUP(U563,模板计算相关数据!A:N,8,0))*(1-(AL563+AM563)*0.5/((AL563+AM563)*0.5+(VLOOKUP(U563,模板计算相关数据!A:N,2,0)+模板计算相关数据!$AC$27)*模板计算相关数据!$AC$28))*Q563*Z563)</f>
        <v>325</v>
      </c>
      <c r="AK563" s="3">
        <f>INT(VLOOKUP(U563,模板计算相关数据!A:N,3,0)/模板计算相关数据!$W$35/(1+MAX(0,(AO563/10000-VLOOKUP(U563,模板计算相关数据!A:N,9,0)))*AP563/10000)/(1-VLOOKUP(U563,模板计算相关数据!A:N,5,0)/(VLOOKUP(U563,模板计算相关数据!A:N,5,0)+(VLOOKUP(U563,模板计算相关数据!A:N,2,0)+模板计算相关数据!$AC$27)*模板计算相关数据!$AC$28))/S563*AA563)</f>
        <v>102</v>
      </c>
      <c r="AL563" s="3">
        <f>INT(VLOOKUP(U563,模板计算相关数据!A:N,5,0)*VLOOKUP(X563,模板计算相关数据!$P$4:$T$7,4,0)*VLOOKUP(Y563,模板计算相关数据!$P$22:$U$30,4,0)*AB563)</f>
        <v>230</v>
      </c>
      <c r="AM563" s="3">
        <f>INT(VLOOKUP(U563,模板计算相关数据!A:N,6,0)*VLOOKUP(X563,模板计算相关数据!$P$4:$T$7,4,0)*VLOOKUP(Y563,模板计算相关数据!$P$22:$U$30,5,0)*AC563)</f>
        <v>136</v>
      </c>
      <c r="AN563" s="3">
        <f>VLOOKUP(U563,模板计算相关数据!A:N,10,0)*0.5*VLOOKUP(Y563,模板计算相关数据!$P$22:$U$30,6,0)+AD563</f>
        <v>250</v>
      </c>
      <c r="AO563" s="3">
        <f>VLOOKUP(INT(VLOOKUP(U563,模板计算相关数据!A:N,2,0)/30)+1,模板计算相关数据!$O$35:$U$40,3,0)+AE563</f>
        <v>0</v>
      </c>
      <c r="AP563" s="3">
        <f>VLOOKUP(INT(VLOOKUP(U563,模板计算相关数据!A:N,2,0)/30)+1,模板计算相关数据!$O$35:$U$40,4,0)+AF563</f>
        <v>5000</v>
      </c>
      <c r="AQ563" s="3">
        <f>VLOOKUP(INT(VLOOKUP(U563,模板计算相关数据!A:N,2,0)/30)+1,模板计算相关数据!$O$35:$U$40,5,0)+AG563</f>
        <v>0</v>
      </c>
      <c r="AR563" s="3">
        <f>VLOOKUP(INT(VLOOKUP(U563,模板计算相关数据!A:N,2,0)/30)+1,模板计算相关数据!$O$35:$U$40,6,0)+AH563</f>
        <v>0</v>
      </c>
      <c r="AS563" s="3">
        <f>VLOOKUP(INT(VLOOKUP(U563,模板计算相关数据!A:N,2,0)/30)+1,模板计算相关数据!$O$35:$U$40,7,0)+AI563</f>
        <v>0</v>
      </c>
      <c r="AT563" s="3">
        <f>VLOOKUP(INT(VLOOKUP(U563,模板计算相关数据!A:N,2,0)/30)+1,模板计算相关数据!$O$35:$V$40,8,0)</f>
        <v>0</v>
      </c>
      <c r="AU563" s="2"/>
    </row>
    <row r="564" spans="1:47" x14ac:dyDescent="0.2">
      <c r="A564" s="2">
        <v>307504</v>
      </c>
      <c r="B564" s="2"/>
      <c r="C564" s="69" t="s">
        <v>774</v>
      </c>
      <c r="D564" s="69" t="s">
        <v>1158</v>
      </c>
      <c r="E564" s="2"/>
      <c r="F564" s="127">
        <v>3</v>
      </c>
      <c r="G564" s="127">
        <v>101</v>
      </c>
      <c r="H564" s="3">
        <v>1</v>
      </c>
      <c r="I564" s="127">
        <v>5</v>
      </c>
      <c r="J564" s="127">
        <v>1</v>
      </c>
      <c r="K564" s="3"/>
      <c r="L564" s="69" t="s">
        <v>782</v>
      </c>
      <c r="M564" s="2"/>
      <c r="N564" s="2">
        <v>1</v>
      </c>
      <c r="O564" s="2"/>
      <c r="P564" s="3" t="s">
        <v>1615</v>
      </c>
      <c r="Q564" s="95">
        <f t="shared" si="61"/>
        <v>4.417254901960785</v>
      </c>
      <c r="R564" s="133">
        <f>IF(P564=模板计算相关数据!$AB$24,VLOOKUP(X564,模板计算相关数据!$P$47:$T$50,2,0),VLOOKUP(X564,模板计算相关数据!$P$4:$U$7,3,0))*VLOOKUP(Y564,模板计算相关数据!$P$22:$X$30,8,0)</f>
        <v>4.417254901960785</v>
      </c>
      <c r="S564" s="62">
        <f t="shared" si="62"/>
        <v>5.4285280003474252</v>
      </c>
      <c r="T564" s="133">
        <f>IF(P564=模板计算相关数据!$AB$24,VLOOKUP(X564,模板计算相关数据!$P$47:$T$50,5,0),VLOOKUP(X564,模板计算相关数据!$P$4:$U$7,6,0))*VLOOKUP(Y564,模板计算相关数据!$P$22:$X$30,9,0)</f>
        <v>5.4285280003474252</v>
      </c>
      <c r="U564" s="98">
        <v>1</v>
      </c>
      <c r="V564" s="95">
        <f t="shared" si="63"/>
        <v>4</v>
      </c>
      <c r="W564" s="29">
        <f>VLOOKUP(U564,模板计算相关数据!A:N,2,0)</f>
        <v>1</v>
      </c>
      <c r="X564" s="3" t="s">
        <v>151</v>
      </c>
      <c r="Y564" s="3" t="s">
        <v>152</v>
      </c>
      <c r="Z564" s="99">
        <v>1</v>
      </c>
      <c r="AA564" s="95">
        <v>1</v>
      </c>
      <c r="AB564" s="95">
        <v>1</v>
      </c>
      <c r="AC564" s="95">
        <v>1</v>
      </c>
      <c r="AD564" s="95">
        <v>0</v>
      </c>
      <c r="AE564" s="95">
        <v>0</v>
      </c>
      <c r="AF564" s="95">
        <v>0</v>
      </c>
      <c r="AG564" s="95">
        <v>0</v>
      </c>
      <c r="AH564" s="95">
        <v>0</v>
      </c>
      <c r="AI564" s="95">
        <v>0</v>
      </c>
      <c r="AJ564" s="3">
        <f>INT(VLOOKUP(U564,模板计算相关数据!A:N,4,0)*VLOOKUP(U564,模板计算相关数据!A:N,14,0)*(1+MAX(0,(VLOOKUP(U564,模板计算相关数据!A:N,7,0)-AQ564))*VLOOKUP(U564,模板计算相关数据!A:N,8,0))*(1-(AL564+AM564)*0.5/((AL564+AM564)*0.5+(VLOOKUP(U564,模板计算相关数据!A:N,2,0)+模板计算相关数据!$AC$27)*模板计算相关数据!$AC$28))*Q564*Z564)</f>
        <v>325</v>
      </c>
      <c r="AK564" s="3">
        <f>INT(VLOOKUP(U564,模板计算相关数据!A:N,3,0)/模板计算相关数据!$W$35/(1+MAX(0,(AO564/10000-VLOOKUP(U564,模板计算相关数据!A:N,9,0)))*AP564/10000)/(1-VLOOKUP(U564,模板计算相关数据!A:N,5,0)/(VLOOKUP(U564,模板计算相关数据!A:N,5,0)+(VLOOKUP(U564,模板计算相关数据!A:N,2,0)+模板计算相关数据!$AC$27)*模板计算相关数据!$AC$28))/S564*AA564)</f>
        <v>102</v>
      </c>
      <c r="AL564" s="3">
        <f>INT(VLOOKUP(U564,模板计算相关数据!A:N,5,0)*VLOOKUP(X564,模板计算相关数据!$P$4:$T$7,4,0)*VLOOKUP(Y564,模板计算相关数据!$P$22:$U$30,4,0)*AB564)</f>
        <v>230</v>
      </c>
      <c r="AM564" s="3">
        <f>INT(VLOOKUP(U564,模板计算相关数据!A:N,6,0)*VLOOKUP(X564,模板计算相关数据!$P$4:$T$7,4,0)*VLOOKUP(Y564,模板计算相关数据!$P$22:$U$30,5,0)*AC564)</f>
        <v>136</v>
      </c>
      <c r="AN564" s="3">
        <f>VLOOKUP(U564,模板计算相关数据!A:N,10,0)*0.5*VLOOKUP(Y564,模板计算相关数据!$P$22:$U$30,6,0)+AD564</f>
        <v>250</v>
      </c>
      <c r="AO564" s="3">
        <f>VLOOKUP(INT(VLOOKUP(U564,模板计算相关数据!A:N,2,0)/30)+1,模板计算相关数据!$O$35:$U$40,3,0)+AE564</f>
        <v>0</v>
      </c>
      <c r="AP564" s="3">
        <f>VLOOKUP(INT(VLOOKUP(U564,模板计算相关数据!A:N,2,0)/30)+1,模板计算相关数据!$O$35:$U$40,4,0)+AF564</f>
        <v>5000</v>
      </c>
      <c r="AQ564" s="3">
        <f>VLOOKUP(INT(VLOOKUP(U564,模板计算相关数据!A:N,2,0)/30)+1,模板计算相关数据!$O$35:$U$40,5,0)+AG564</f>
        <v>0</v>
      </c>
      <c r="AR564" s="3">
        <f>VLOOKUP(INT(VLOOKUP(U564,模板计算相关数据!A:N,2,0)/30)+1,模板计算相关数据!$O$35:$U$40,6,0)+AH564</f>
        <v>0</v>
      </c>
      <c r="AS564" s="3">
        <f>VLOOKUP(INT(VLOOKUP(U564,模板计算相关数据!A:N,2,0)/30)+1,模板计算相关数据!$O$35:$U$40,7,0)+AI564</f>
        <v>0</v>
      </c>
      <c r="AT564" s="3">
        <f>VLOOKUP(INT(VLOOKUP(U564,模板计算相关数据!A:N,2,0)/30)+1,模板计算相关数据!$O$35:$V$40,8,0)</f>
        <v>0</v>
      </c>
      <c r="AU564" s="2"/>
    </row>
    <row r="565" spans="1:47" x14ac:dyDescent="0.2">
      <c r="A565" s="2">
        <v>307505</v>
      </c>
      <c r="B565" s="2"/>
      <c r="C565" s="69" t="s">
        <v>774</v>
      </c>
      <c r="D565" s="69" t="s">
        <v>1159</v>
      </c>
      <c r="E565" s="2"/>
      <c r="F565" s="127">
        <v>3</v>
      </c>
      <c r="G565" s="127">
        <v>101</v>
      </c>
      <c r="H565" s="3">
        <v>1</v>
      </c>
      <c r="I565" s="127">
        <v>5</v>
      </c>
      <c r="J565" s="127">
        <v>1</v>
      </c>
      <c r="K565" s="3"/>
      <c r="L565" s="69" t="s">
        <v>783</v>
      </c>
      <c r="M565" s="2"/>
      <c r="N565" s="2">
        <v>1</v>
      </c>
      <c r="O565" s="2"/>
      <c r="P565" s="3" t="s">
        <v>1615</v>
      </c>
      <c r="Q565" s="95">
        <f t="shared" si="61"/>
        <v>4.417254901960785</v>
      </c>
      <c r="R565" s="133">
        <f>IF(P565=模板计算相关数据!$AB$24,VLOOKUP(X565,模板计算相关数据!$P$47:$T$50,2,0),VLOOKUP(X565,模板计算相关数据!$P$4:$U$7,3,0))*VLOOKUP(Y565,模板计算相关数据!$P$22:$X$30,8,0)</f>
        <v>4.417254901960785</v>
      </c>
      <c r="S565" s="62">
        <f t="shared" si="62"/>
        <v>5.4285280003474252</v>
      </c>
      <c r="T565" s="133">
        <f>IF(P565=模板计算相关数据!$AB$24,VLOOKUP(X565,模板计算相关数据!$P$47:$T$50,5,0),VLOOKUP(X565,模板计算相关数据!$P$4:$U$7,6,0))*VLOOKUP(Y565,模板计算相关数据!$P$22:$X$30,9,0)</f>
        <v>5.4285280003474252</v>
      </c>
      <c r="U565" s="98">
        <v>1</v>
      </c>
      <c r="V565" s="95">
        <f t="shared" si="63"/>
        <v>4</v>
      </c>
      <c r="W565" s="29">
        <f>VLOOKUP(U565,模板计算相关数据!A:N,2,0)</f>
        <v>1</v>
      </c>
      <c r="X565" s="3" t="s">
        <v>151</v>
      </c>
      <c r="Y565" s="3" t="s">
        <v>152</v>
      </c>
      <c r="Z565" s="99">
        <v>1</v>
      </c>
      <c r="AA565" s="95">
        <v>1</v>
      </c>
      <c r="AB565" s="95">
        <v>1</v>
      </c>
      <c r="AC565" s="95">
        <v>1</v>
      </c>
      <c r="AD565" s="95">
        <v>0</v>
      </c>
      <c r="AE565" s="95">
        <v>0</v>
      </c>
      <c r="AF565" s="95">
        <v>0</v>
      </c>
      <c r="AG565" s="95">
        <v>0</v>
      </c>
      <c r="AH565" s="95">
        <v>0</v>
      </c>
      <c r="AI565" s="95">
        <v>0</v>
      </c>
      <c r="AJ565" s="3">
        <f>INT(VLOOKUP(U565,模板计算相关数据!A:N,4,0)*VLOOKUP(U565,模板计算相关数据!A:N,14,0)*(1+MAX(0,(VLOOKUP(U565,模板计算相关数据!A:N,7,0)-AQ565))*VLOOKUP(U565,模板计算相关数据!A:N,8,0))*(1-(AL565+AM565)*0.5/((AL565+AM565)*0.5+(VLOOKUP(U565,模板计算相关数据!A:N,2,0)+模板计算相关数据!$AC$27)*模板计算相关数据!$AC$28))*Q565*Z565)</f>
        <v>325</v>
      </c>
      <c r="AK565" s="3">
        <f>INT(VLOOKUP(U565,模板计算相关数据!A:N,3,0)/模板计算相关数据!$W$35/(1+MAX(0,(AO565/10000-VLOOKUP(U565,模板计算相关数据!A:N,9,0)))*AP565/10000)/(1-VLOOKUP(U565,模板计算相关数据!A:N,5,0)/(VLOOKUP(U565,模板计算相关数据!A:N,5,0)+(VLOOKUP(U565,模板计算相关数据!A:N,2,0)+模板计算相关数据!$AC$27)*模板计算相关数据!$AC$28))/S565*AA565)</f>
        <v>102</v>
      </c>
      <c r="AL565" s="3">
        <f>INT(VLOOKUP(U565,模板计算相关数据!A:N,5,0)*VLOOKUP(X565,模板计算相关数据!$P$4:$T$7,4,0)*VLOOKUP(Y565,模板计算相关数据!$P$22:$U$30,4,0)*AB565)</f>
        <v>230</v>
      </c>
      <c r="AM565" s="3">
        <f>INT(VLOOKUP(U565,模板计算相关数据!A:N,6,0)*VLOOKUP(X565,模板计算相关数据!$P$4:$T$7,4,0)*VLOOKUP(Y565,模板计算相关数据!$P$22:$U$30,5,0)*AC565)</f>
        <v>136</v>
      </c>
      <c r="AN565" s="3">
        <f>VLOOKUP(U565,模板计算相关数据!A:N,10,0)*0.5*VLOOKUP(Y565,模板计算相关数据!$P$22:$U$30,6,0)+AD565</f>
        <v>250</v>
      </c>
      <c r="AO565" s="3">
        <f>VLOOKUP(INT(VLOOKUP(U565,模板计算相关数据!A:N,2,0)/30)+1,模板计算相关数据!$O$35:$U$40,3,0)+AE565</f>
        <v>0</v>
      </c>
      <c r="AP565" s="3">
        <f>VLOOKUP(INT(VLOOKUP(U565,模板计算相关数据!A:N,2,0)/30)+1,模板计算相关数据!$O$35:$U$40,4,0)+AF565</f>
        <v>5000</v>
      </c>
      <c r="AQ565" s="3">
        <f>VLOOKUP(INT(VLOOKUP(U565,模板计算相关数据!A:N,2,0)/30)+1,模板计算相关数据!$O$35:$U$40,5,0)+AG565</f>
        <v>0</v>
      </c>
      <c r="AR565" s="3">
        <f>VLOOKUP(INT(VLOOKUP(U565,模板计算相关数据!A:N,2,0)/30)+1,模板计算相关数据!$O$35:$U$40,6,0)+AH565</f>
        <v>0</v>
      </c>
      <c r="AS565" s="3">
        <f>VLOOKUP(INT(VLOOKUP(U565,模板计算相关数据!A:N,2,0)/30)+1,模板计算相关数据!$O$35:$U$40,7,0)+AI565</f>
        <v>0</v>
      </c>
      <c r="AT565" s="3">
        <f>VLOOKUP(INT(VLOOKUP(U565,模板计算相关数据!A:N,2,0)/30)+1,模板计算相关数据!$O$35:$V$40,8,0)</f>
        <v>0</v>
      </c>
      <c r="AU565" s="2"/>
    </row>
    <row r="566" spans="1:47" x14ac:dyDescent="0.2">
      <c r="A566" s="2">
        <v>307506</v>
      </c>
      <c r="B566" s="2"/>
      <c r="C566" s="2" t="s">
        <v>162</v>
      </c>
      <c r="D566" s="2" t="s">
        <v>1160</v>
      </c>
      <c r="E566" s="2"/>
      <c r="F566" s="127">
        <v>3</v>
      </c>
      <c r="G566" s="127">
        <v>101</v>
      </c>
      <c r="H566" s="3">
        <v>4</v>
      </c>
      <c r="I566" s="127">
        <v>5</v>
      </c>
      <c r="J566" s="127">
        <v>1</v>
      </c>
      <c r="K566" s="3"/>
      <c r="L566" s="2" t="s">
        <v>374</v>
      </c>
      <c r="M566" s="2"/>
      <c r="N566" s="2">
        <v>1</v>
      </c>
      <c r="O566" s="2"/>
      <c r="P566" s="3" t="s">
        <v>1615</v>
      </c>
      <c r="Q566" s="95">
        <f t="shared" si="61"/>
        <v>4.4674509803921572</v>
      </c>
      <c r="R566" s="133">
        <f>IF(P566=模板计算相关数据!$AB$24,VLOOKUP(X566,模板计算相关数据!$P$47:$T$50,2,0),VLOOKUP(X566,模板计算相关数据!$P$4:$U$7,3,0))*VLOOKUP(Y566,模板计算相关数据!$P$22:$X$30,8,0)</f>
        <v>4.4674509803921572</v>
      </c>
      <c r="S566" s="62">
        <f t="shared" si="62"/>
        <v>5.4739930589768004</v>
      </c>
      <c r="T566" s="133">
        <f>IF(P566=模板计算相关数据!$AB$24,VLOOKUP(X566,模板计算相关数据!$P$47:$T$50,5,0),VLOOKUP(X566,模板计算相关数据!$P$4:$U$7,6,0))*VLOOKUP(Y566,模板计算相关数据!$P$22:$X$30,9,0)</f>
        <v>5.4739930589768004</v>
      </c>
      <c r="U566" s="98">
        <v>1</v>
      </c>
      <c r="V566" s="95">
        <f t="shared" si="63"/>
        <v>4</v>
      </c>
      <c r="W566" s="29">
        <f>VLOOKUP(U566,模板计算相关数据!A:N,2,0)</f>
        <v>1</v>
      </c>
      <c r="X566" s="3" t="s">
        <v>151</v>
      </c>
      <c r="Y566" s="3" t="s">
        <v>162</v>
      </c>
      <c r="Z566" s="99">
        <v>1</v>
      </c>
      <c r="AA566" s="95">
        <v>1</v>
      </c>
      <c r="AB566" s="95">
        <v>1</v>
      </c>
      <c r="AC566" s="95">
        <v>1</v>
      </c>
      <c r="AD566" s="95">
        <v>0</v>
      </c>
      <c r="AE566" s="95">
        <v>0</v>
      </c>
      <c r="AF566" s="95">
        <v>0</v>
      </c>
      <c r="AG566" s="95">
        <v>0</v>
      </c>
      <c r="AH566" s="95">
        <v>0</v>
      </c>
      <c r="AI566" s="95">
        <v>0</v>
      </c>
      <c r="AJ566" s="3">
        <f>INT(VLOOKUP(U566,模板计算相关数据!A:N,4,0)*VLOOKUP(U566,模板计算相关数据!A:N,14,0)*(1+MAX(0,(VLOOKUP(U566,模板计算相关数据!A:N,7,0)-AQ566))*VLOOKUP(U566,模板计算相关数据!A:N,8,0))*(1-(AL566+AM566)*0.5/((AL566+AM566)*0.5+(VLOOKUP(U566,模板计算相关数据!A:N,2,0)+模板计算相关数据!$AC$27)*模板计算相关数据!$AC$28))*Q566*Z566)</f>
        <v>328</v>
      </c>
      <c r="AK566" s="3">
        <f>INT(VLOOKUP(U566,模板计算相关数据!A:N,3,0)/模板计算相关数据!$W$35/(1+MAX(0,(AO566/10000-VLOOKUP(U566,模板计算相关数据!A:N,9,0)))*AP566/10000)/(1-VLOOKUP(U566,模板计算相关数据!A:N,5,0)/(VLOOKUP(U566,模板计算相关数据!A:N,5,0)+(VLOOKUP(U566,模板计算相关数据!A:N,2,0)+模板计算相关数据!$AC$27)*模板计算相关数据!$AC$28))/S566*AA566)</f>
        <v>101</v>
      </c>
      <c r="AL566" s="3">
        <f>INT(VLOOKUP(U566,模板计算相关数据!A:N,5,0)*VLOOKUP(X566,模板计算相关数据!$P$4:$T$7,4,0)*VLOOKUP(Y566,模板计算相关数据!$P$22:$U$30,4,0)*AB566)</f>
        <v>136</v>
      </c>
      <c r="AM566" s="3">
        <f>INT(VLOOKUP(U566,模板计算相关数据!A:N,6,0)*VLOOKUP(X566,模板计算相关数据!$P$4:$T$7,4,0)*VLOOKUP(Y566,模板计算相关数据!$P$22:$U$30,5,0)*AC566)</f>
        <v>230</v>
      </c>
      <c r="AN566" s="3">
        <f>VLOOKUP(U566,模板计算相关数据!A:N,10,0)*0.5*VLOOKUP(Y566,模板计算相关数据!$P$22:$U$30,6,0)+AD566</f>
        <v>250</v>
      </c>
      <c r="AO566" s="3">
        <f>VLOOKUP(INT(VLOOKUP(U566,模板计算相关数据!A:N,2,0)/30)+1,模板计算相关数据!$O$35:$U$40,3,0)+AE566</f>
        <v>0</v>
      </c>
      <c r="AP566" s="3">
        <f>VLOOKUP(INT(VLOOKUP(U566,模板计算相关数据!A:N,2,0)/30)+1,模板计算相关数据!$O$35:$U$40,4,0)+AF566</f>
        <v>5000</v>
      </c>
      <c r="AQ566" s="3">
        <f>VLOOKUP(INT(VLOOKUP(U566,模板计算相关数据!A:N,2,0)/30)+1,模板计算相关数据!$O$35:$U$40,5,0)+AG566</f>
        <v>0</v>
      </c>
      <c r="AR566" s="3">
        <f>VLOOKUP(INT(VLOOKUP(U566,模板计算相关数据!A:N,2,0)/30)+1,模板计算相关数据!$O$35:$U$40,6,0)+AH566</f>
        <v>0</v>
      </c>
      <c r="AS566" s="3">
        <f>VLOOKUP(INT(VLOOKUP(U566,模板计算相关数据!A:N,2,0)/30)+1,模板计算相关数据!$O$35:$U$40,7,0)+AI566</f>
        <v>0</v>
      </c>
      <c r="AT566" s="3">
        <f>VLOOKUP(INT(VLOOKUP(U566,模板计算相关数据!A:N,2,0)/30)+1,模板计算相关数据!$O$35:$V$40,8,0)</f>
        <v>0</v>
      </c>
      <c r="AU566" s="2"/>
    </row>
    <row r="567" spans="1:47" x14ac:dyDescent="0.2">
      <c r="A567" s="2">
        <v>307507</v>
      </c>
      <c r="B567" s="2"/>
      <c r="C567" s="2" t="s">
        <v>162</v>
      </c>
      <c r="D567" s="2" t="s">
        <v>1161</v>
      </c>
      <c r="E567" s="2"/>
      <c r="F567" s="127">
        <v>3</v>
      </c>
      <c r="G567" s="127">
        <v>101</v>
      </c>
      <c r="H567" s="3">
        <v>4</v>
      </c>
      <c r="I567" s="127">
        <v>5</v>
      </c>
      <c r="J567" s="127">
        <v>1</v>
      </c>
      <c r="K567" s="3"/>
      <c r="L567" s="2" t="s">
        <v>375</v>
      </c>
      <c r="M567" s="2"/>
      <c r="N567" s="2">
        <v>1</v>
      </c>
      <c r="O567" s="2"/>
      <c r="P567" s="3" t="s">
        <v>1615</v>
      </c>
      <c r="Q567" s="95">
        <f t="shared" si="61"/>
        <v>4.4674509803921572</v>
      </c>
      <c r="R567" s="133">
        <f>IF(P567=模板计算相关数据!$AB$24,VLOOKUP(X567,模板计算相关数据!$P$47:$T$50,2,0),VLOOKUP(X567,模板计算相关数据!$P$4:$U$7,3,0))*VLOOKUP(Y567,模板计算相关数据!$P$22:$X$30,8,0)</f>
        <v>4.4674509803921572</v>
      </c>
      <c r="S567" s="62">
        <f t="shared" si="62"/>
        <v>5.4739930589768004</v>
      </c>
      <c r="T567" s="133">
        <f>IF(P567=模板计算相关数据!$AB$24,VLOOKUP(X567,模板计算相关数据!$P$47:$T$50,5,0),VLOOKUP(X567,模板计算相关数据!$P$4:$U$7,6,0))*VLOOKUP(Y567,模板计算相关数据!$P$22:$X$30,9,0)</f>
        <v>5.4739930589768004</v>
      </c>
      <c r="U567" s="98">
        <v>1</v>
      </c>
      <c r="V567" s="95">
        <f t="shared" si="63"/>
        <v>4</v>
      </c>
      <c r="W567" s="29">
        <f>VLOOKUP(U567,模板计算相关数据!A:N,2,0)</f>
        <v>1</v>
      </c>
      <c r="X567" s="3" t="s">
        <v>151</v>
      </c>
      <c r="Y567" s="3" t="s">
        <v>162</v>
      </c>
      <c r="Z567" s="99">
        <v>1</v>
      </c>
      <c r="AA567" s="95">
        <v>1</v>
      </c>
      <c r="AB567" s="95">
        <v>1</v>
      </c>
      <c r="AC567" s="95">
        <v>1</v>
      </c>
      <c r="AD567" s="95">
        <v>0</v>
      </c>
      <c r="AE567" s="95">
        <v>0</v>
      </c>
      <c r="AF567" s="95">
        <v>0</v>
      </c>
      <c r="AG567" s="95">
        <v>0</v>
      </c>
      <c r="AH567" s="95">
        <v>0</v>
      </c>
      <c r="AI567" s="95">
        <v>0</v>
      </c>
      <c r="AJ567" s="3">
        <f>INT(VLOOKUP(U567,模板计算相关数据!A:N,4,0)*VLOOKUP(U567,模板计算相关数据!A:N,14,0)*(1+MAX(0,(VLOOKUP(U567,模板计算相关数据!A:N,7,0)-AQ567))*VLOOKUP(U567,模板计算相关数据!A:N,8,0))*(1-(AL567+AM567)*0.5/((AL567+AM567)*0.5+(VLOOKUP(U567,模板计算相关数据!A:N,2,0)+模板计算相关数据!$AC$27)*模板计算相关数据!$AC$28))*Q567*Z567)</f>
        <v>328</v>
      </c>
      <c r="AK567" s="3">
        <f>INT(VLOOKUP(U567,模板计算相关数据!A:N,3,0)/模板计算相关数据!$W$35/(1+MAX(0,(AO567/10000-VLOOKUP(U567,模板计算相关数据!A:N,9,0)))*AP567/10000)/(1-VLOOKUP(U567,模板计算相关数据!A:N,5,0)/(VLOOKUP(U567,模板计算相关数据!A:N,5,0)+(VLOOKUP(U567,模板计算相关数据!A:N,2,0)+模板计算相关数据!$AC$27)*模板计算相关数据!$AC$28))/S567*AA567)</f>
        <v>101</v>
      </c>
      <c r="AL567" s="3">
        <f>INT(VLOOKUP(U567,模板计算相关数据!A:N,5,0)*VLOOKUP(X567,模板计算相关数据!$P$4:$T$7,4,0)*VLOOKUP(Y567,模板计算相关数据!$P$22:$U$30,4,0)*AB567)</f>
        <v>136</v>
      </c>
      <c r="AM567" s="3">
        <f>INT(VLOOKUP(U567,模板计算相关数据!A:N,6,0)*VLOOKUP(X567,模板计算相关数据!$P$4:$T$7,4,0)*VLOOKUP(Y567,模板计算相关数据!$P$22:$U$30,5,0)*AC567)</f>
        <v>230</v>
      </c>
      <c r="AN567" s="3">
        <f>VLOOKUP(U567,模板计算相关数据!A:N,10,0)*0.5*VLOOKUP(Y567,模板计算相关数据!$P$22:$U$30,6,0)+AD567</f>
        <v>250</v>
      </c>
      <c r="AO567" s="3">
        <f>VLOOKUP(INT(VLOOKUP(U567,模板计算相关数据!A:N,2,0)/30)+1,模板计算相关数据!$O$35:$U$40,3,0)+AE567</f>
        <v>0</v>
      </c>
      <c r="AP567" s="3">
        <f>VLOOKUP(INT(VLOOKUP(U567,模板计算相关数据!A:N,2,0)/30)+1,模板计算相关数据!$O$35:$U$40,4,0)+AF567</f>
        <v>5000</v>
      </c>
      <c r="AQ567" s="3">
        <f>VLOOKUP(INT(VLOOKUP(U567,模板计算相关数据!A:N,2,0)/30)+1,模板计算相关数据!$O$35:$U$40,5,0)+AG567</f>
        <v>0</v>
      </c>
      <c r="AR567" s="3">
        <f>VLOOKUP(INT(VLOOKUP(U567,模板计算相关数据!A:N,2,0)/30)+1,模板计算相关数据!$O$35:$U$40,6,0)+AH567</f>
        <v>0</v>
      </c>
      <c r="AS567" s="3">
        <f>VLOOKUP(INT(VLOOKUP(U567,模板计算相关数据!A:N,2,0)/30)+1,模板计算相关数据!$O$35:$U$40,7,0)+AI567</f>
        <v>0</v>
      </c>
      <c r="AT567" s="3">
        <f>VLOOKUP(INT(VLOOKUP(U567,模板计算相关数据!A:N,2,0)/30)+1,模板计算相关数据!$O$35:$V$40,8,0)</f>
        <v>0</v>
      </c>
      <c r="AU567" s="2"/>
    </row>
    <row r="568" spans="1:47" x14ac:dyDescent="0.2">
      <c r="A568" s="2">
        <v>307508</v>
      </c>
      <c r="B568" s="2"/>
      <c r="C568" s="2" t="s">
        <v>162</v>
      </c>
      <c r="D568" s="2" t="s">
        <v>1157</v>
      </c>
      <c r="E568" s="2"/>
      <c r="F568" s="127">
        <v>3</v>
      </c>
      <c r="G568" s="127">
        <v>101</v>
      </c>
      <c r="H568" s="3">
        <v>4</v>
      </c>
      <c r="I568" s="127">
        <v>5</v>
      </c>
      <c r="J568" s="127">
        <v>1</v>
      </c>
      <c r="K568" s="3"/>
      <c r="L568" s="2" t="s">
        <v>376</v>
      </c>
      <c r="M568" s="2"/>
      <c r="N568" s="2">
        <v>1</v>
      </c>
      <c r="O568" s="2"/>
      <c r="P568" s="3" t="s">
        <v>1615</v>
      </c>
      <c r="Q568" s="95">
        <f t="shared" si="61"/>
        <v>4.4674509803921572</v>
      </c>
      <c r="R568" s="133">
        <f>IF(P568=模板计算相关数据!$AB$24,VLOOKUP(X568,模板计算相关数据!$P$47:$T$50,2,0),VLOOKUP(X568,模板计算相关数据!$P$4:$U$7,3,0))*VLOOKUP(Y568,模板计算相关数据!$P$22:$X$30,8,0)</f>
        <v>4.4674509803921572</v>
      </c>
      <c r="S568" s="62">
        <f t="shared" si="62"/>
        <v>5.4739930589768004</v>
      </c>
      <c r="T568" s="133">
        <f>IF(P568=模板计算相关数据!$AB$24,VLOOKUP(X568,模板计算相关数据!$P$47:$T$50,5,0),VLOOKUP(X568,模板计算相关数据!$P$4:$U$7,6,0))*VLOOKUP(Y568,模板计算相关数据!$P$22:$X$30,9,0)</f>
        <v>5.4739930589768004</v>
      </c>
      <c r="U568" s="98">
        <v>1</v>
      </c>
      <c r="V568" s="95">
        <f t="shared" si="63"/>
        <v>4</v>
      </c>
      <c r="W568" s="29">
        <f>VLOOKUP(U568,模板计算相关数据!A:N,2,0)</f>
        <v>1</v>
      </c>
      <c r="X568" s="3" t="s">
        <v>151</v>
      </c>
      <c r="Y568" s="3" t="s">
        <v>162</v>
      </c>
      <c r="Z568" s="99">
        <v>1</v>
      </c>
      <c r="AA568" s="95">
        <v>1</v>
      </c>
      <c r="AB568" s="95">
        <v>1</v>
      </c>
      <c r="AC568" s="95">
        <v>1</v>
      </c>
      <c r="AD568" s="95">
        <v>0</v>
      </c>
      <c r="AE568" s="95">
        <v>0</v>
      </c>
      <c r="AF568" s="95">
        <v>0</v>
      </c>
      <c r="AG568" s="95">
        <v>0</v>
      </c>
      <c r="AH568" s="95">
        <v>0</v>
      </c>
      <c r="AI568" s="95">
        <v>0</v>
      </c>
      <c r="AJ568" s="3">
        <f>INT(VLOOKUP(U568,模板计算相关数据!A:N,4,0)*VLOOKUP(U568,模板计算相关数据!A:N,14,0)*(1+MAX(0,(VLOOKUP(U568,模板计算相关数据!A:N,7,0)-AQ568))*VLOOKUP(U568,模板计算相关数据!A:N,8,0))*(1-(AL568+AM568)*0.5/((AL568+AM568)*0.5+(VLOOKUP(U568,模板计算相关数据!A:N,2,0)+模板计算相关数据!$AC$27)*模板计算相关数据!$AC$28))*Q568*Z568)</f>
        <v>328</v>
      </c>
      <c r="AK568" s="3">
        <f>INT(VLOOKUP(U568,模板计算相关数据!A:N,3,0)/模板计算相关数据!$W$35/(1+MAX(0,(AO568/10000-VLOOKUP(U568,模板计算相关数据!A:N,9,0)))*AP568/10000)/(1-VLOOKUP(U568,模板计算相关数据!A:N,5,0)/(VLOOKUP(U568,模板计算相关数据!A:N,5,0)+(VLOOKUP(U568,模板计算相关数据!A:N,2,0)+模板计算相关数据!$AC$27)*模板计算相关数据!$AC$28))/S568*AA568)</f>
        <v>101</v>
      </c>
      <c r="AL568" s="3">
        <f>INT(VLOOKUP(U568,模板计算相关数据!A:N,5,0)*VLOOKUP(X568,模板计算相关数据!$P$4:$T$7,4,0)*VLOOKUP(Y568,模板计算相关数据!$P$22:$U$30,4,0)*AB568)</f>
        <v>136</v>
      </c>
      <c r="AM568" s="3">
        <f>INT(VLOOKUP(U568,模板计算相关数据!A:N,6,0)*VLOOKUP(X568,模板计算相关数据!$P$4:$T$7,4,0)*VLOOKUP(Y568,模板计算相关数据!$P$22:$U$30,5,0)*AC568)</f>
        <v>230</v>
      </c>
      <c r="AN568" s="3">
        <f>VLOOKUP(U568,模板计算相关数据!A:N,10,0)*0.5*VLOOKUP(Y568,模板计算相关数据!$P$22:$U$30,6,0)+AD568</f>
        <v>250</v>
      </c>
      <c r="AO568" s="3">
        <f>VLOOKUP(INT(VLOOKUP(U568,模板计算相关数据!A:N,2,0)/30)+1,模板计算相关数据!$O$35:$U$40,3,0)+AE568</f>
        <v>0</v>
      </c>
      <c r="AP568" s="3">
        <f>VLOOKUP(INT(VLOOKUP(U568,模板计算相关数据!A:N,2,0)/30)+1,模板计算相关数据!$O$35:$U$40,4,0)+AF568</f>
        <v>5000</v>
      </c>
      <c r="AQ568" s="3">
        <f>VLOOKUP(INT(VLOOKUP(U568,模板计算相关数据!A:N,2,0)/30)+1,模板计算相关数据!$O$35:$U$40,5,0)+AG568</f>
        <v>0</v>
      </c>
      <c r="AR568" s="3">
        <f>VLOOKUP(INT(VLOOKUP(U568,模板计算相关数据!A:N,2,0)/30)+1,模板计算相关数据!$O$35:$U$40,6,0)+AH568</f>
        <v>0</v>
      </c>
      <c r="AS568" s="3">
        <f>VLOOKUP(INT(VLOOKUP(U568,模板计算相关数据!A:N,2,0)/30)+1,模板计算相关数据!$O$35:$U$40,7,0)+AI568</f>
        <v>0</v>
      </c>
      <c r="AT568" s="3">
        <f>VLOOKUP(INT(VLOOKUP(U568,模板计算相关数据!A:N,2,0)/30)+1,模板计算相关数据!$O$35:$V$40,8,0)</f>
        <v>0</v>
      </c>
      <c r="AU568" s="2"/>
    </row>
    <row r="569" spans="1:47" x14ac:dyDescent="0.2">
      <c r="A569" s="2">
        <v>307509</v>
      </c>
      <c r="B569" s="2"/>
      <c r="C569" s="2" t="s">
        <v>162</v>
      </c>
      <c r="D569" s="2" t="s">
        <v>1158</v>
      </c>
      <c r="E569" s="2"/>
      <c r="F569" s="127">
        <v>3</v>
      </c>
      <c r="G569" s="127">
        <v>101</v>
      </c>
      <c r="H569" s="3">
        <v>4</v>
      </c>
      <c r="I569" s="127">
        <v>5</v>
      </c>
      <c r="J569" s="127">
        <v>1</v>
      </c>
      <c r="K569" s="3"/>
      <c r="L569" s="2" t="s">
        <v>377</v>
      </c>
      <c r="M569" s="2"/>
      <c r="N569" s="2">
        <v>1</v>
      </c>
      <c r="O569" s="2"/>
      <c r="P569" s="3" t="s">
        <v>1615</v>
      </c>
      <c r="Q569" s="95">
        <f t="shared" si="61"/>
        <v>4.4674509803921572</v>
      </c>
      <c r="R569" s="133">
        <f>IF(P569=模板计算相关数据!$AB$24,VLOOKUP(X569,模板计算相关数据!$P$47:$T$50,2,0),VLOOKUP(X569,模板计算相关数据!$P$4:$U$7,3,0))*VLOOKUP(Y569,模板计算相关数据!$P$22:$X$30,8,0)</f>
        <v>4.4674509803921572</v>
      </c>
      <c r="S569" s="62">
        <f t="shared" si="62"/>
        <v>5.4739930589768004</v>
      </c>
      <c r="T569" s="133">
        <f>IF(P569=模板计算相关数据!$AB$24,VLOOKUP(X569,模板计算相关数据!$P$47:$T$50,5,0),VLOOKUP(X569,模板计算相关数据!$P$4:$U$7,6,0))*VLOOKUP(Y569,模板计算相关数据!$P$22:$X$30,9,0)</f>
        <v>5.4739930589768004</v>
      </c>
      <c r="U569" s="98">
        <v>1</v>
      </c>
      <c r="V569" s="95">
        <f t="shared" si="63"/>
        <v>4</v>
      </c>
      <c r="W569" s="29">
        <f>VLOOKUP(U569,模板计算相关数据!A:N,2,0)</f>
        <v>1</v>
      </c>
      <c r="X569" s="3" t="s">
        <v>151</v>
      </c>
      <c r="Y569" s="3" t="s">
        <v>162</v>
      </c>
      <c r="Z569" s="99">
        <v>1</v>
      </c>
      <c r="AA569" s="95">
        <v>1</v>
      </c>
      <c r="AB569" s="95">
        <v>1</v>
      </c>
      <c r="AC569" s="95">
        <v>1</v>
      </c>
      <c r="AD569" s="95">
        <v>0</v>
      </c>
      <c r="AE569" s="95">
        <v>0</v>
      </c>
      <c r="AF569" s="95">
        <v>0</v>
      </c>
      <c r="AG569" s="95">
        <v>0</v>
      </c>
      <c r="AH569" s="95">
        <v>0</v>
      </c>
      <c r="AI569" s="95">
        <v>0</v>
      </c>
      <c r="AJ569" s="3">
        <f>INT(VLOOKUP(U569,模板计算相关数据!A:N,4,0)*VLOOKUP(U569,模板计算相关数据!A:N,14,0)*(1+MAX(0,(VLOOKUP(U569,模板计算相关数据!A:N,7,0)-AQ569))*VLOOKUP(U569,模板计算相关数据!A:N,8,0))*(1-(AL569+AM569)*0.5/((AL569+AM569)*0.5+(VLOOKUP(U569,模板计算相关数据!A:N,2,0)+模板计算相关数据!$AC$27)*模板计算相关数据!$AC$28))*Q569*Z569)</f>
        <v>328</v>
      </c>
      <c r="AK569" s="3">
        <f>INT(VLOOKUP(U569,模板计算相关数据!A:N,3,0)/模板计算相关数据!$W$35/(1+MAX(0,(AO569/10000-VLOOKUP(U569,模板计算相关数据!A:N,9,0)))*AP569/10000)/(1-VLOOKUP(U569,模板计算相关数据!A:N,5,0)/(VLOOKUP(U569,模板计算相关数据!A:N,5,0)+(VLOOKUP(U569,模板计算相关数据!A:N,2,0)+模板计算相关数据!$AC$27)*模板计算相关数据!$AC$28))/S569*AA569)</f>
        <v>101</v>
      </c>
      <c r="AL569" s="3">
        <f>INT(VLOOKUP(U569,模板计算相关数据!A:N,5,0)*VLOOKUP(X569,模板计算相关数据!$P$4:$T$7,4,0)*VLOOKUP(Y569,模板计算相关数据!$P$22:$U$30,4,0)*AB569)</f>
        <v>136</v>
      </c>
      <c r="AM569" s="3">
        <f>INT(VLOOKUP(U569,模板计算相关数据!A:N,6,0)*VLOOKUP(X569,模板计算相关数据!$P$4:$T$7,4,0)*VLOOKUP(Y569,模板计算相关数据!$P$22:$U$30,5,0)*AC569)</f>
        <v>230</v>
      </c>
      <c r="AN569" s="3">
        <f>VLOOKUP(U569,模板计算相关数据!A:N,10,0)*0.5*VLOOKUP(Y569,模板计算相关数据!$P$22:$U$30,6,0)+AD569</f>
        <v>250</v>
      </c>
      <c r="AO569" s="3">
        <f>VLOOKUP(INT(VLOOKUP(U569,模板计算相关数据!A:N,2,0)/30)+1,模板计算相关数据!$O$35:$U$40,3,0)+AE569</f>
        <v>0</v>
      </c>
      <c r="AP569" s="3">
        <f>VLOOKUP(INT(VLOOKUP(U569,模板计算相关数据!A:N,2,0)/30)+1,模板计算相关数据!$O$35:$U$40,4,0)+AF569</f>
        <v>5000</v>
      </c>
      <c r="AQ569" s="3">
        <f>VLOOKUP(INT(VLOOKUP(U569,模板计算相关数据!A:N,2,0)/30)+1,模板计算相关数据!$O$35:$U$40,5,0)+AG569</f>
        <v>0</v>
      </c>
      <c r="AR569" s="3">
        <f>VLOOKUP(INT(VLOOKUP(U569,模板计算相关数据!A:N,2,0)/30)+1,模板计算相关数据!$O$35:$U$40,6,0)+AH569</f>
        <v>0</v>
      </c>
      <c r="AS569" s="3">
        <f>VLOOKUP(INT(VLOOKUP(U569,模板计算相关数据!A:N,2,0)/30)+1,模板计算相关数据!$O$35:$U$40,7,0)+AI569</f>
        <v>0</v>
      </c>
      <c r="AT569" s="3">
        <f>VLOOKUP(INT(VLOOKUP(U569,模板计算相关数据!A:N,2,0)/30)+1,模板计算相关数据!$O$35:$V$40,8,0)</f>
        <v>0</v>
      </c>
      <c r="AU569" s="2"/>
    </row>
    <row r="570" spans="1:47" x14ac:dyDescent="0.2">
      <c r="A570" s="2">
        <v>307510</v>
      </c>
      <c r="B570" s="2"/>
      <c r="C570" s="2" t="s">
        <v>162</v>
      </c>
      <c r="D570" s="2" t="s">
        <v>1159</v>
      </c>
      <c r="E570" s="2"/>
      <c r="F570" s="127">
        <v>3</v>
      </c>
      <c r="G570" s="127">
        <v>101</v>
      </c>
      <c r="H570" s="3">
        <v>4</v>
      </c>
      <c r="I570" s="127">
        <v>5</v>
      </c>
      <c r="J570" s="127">
        <v>1</v>
      </c>
      <c r="K570" s="3"/>
      <c r="L570" s="2" t="s">
        <v>378</v>
      </c>
      <c r="M570" s="2"/>
      <c r="N570" s="2">
        <v>1</v>
      </c>
      <c r="O570" s="2"/>
      <c r="P570" s="3" t="s">
        <v>1615</v>
      </c>
      <c r="Q570" s="95">
        <f t="shared" si="61"/>
        <v>4.4674509803921572</v>
      </c>
      <c r="R570" s="133">
        <f>IF(P570=模板计算相关数据!$AB$24,VLOOKUP(X570,模板计算相关数据!$P$47:$T$50,2,0),VLOOKUP(X570,模板计算相关数据!$P$4:$U$7,3,0))*VLOOKUP(Y570,模板计算相关数据!$P$22:$X$30,8,0)</f>
        <v>4.4674509803921572</v>
      </c>
      <c r="S570" s="62">
        <f t="shared" si="62"/>
        <v>5.4739930589768004</v>
      </c>
      <c r="T570" s="133">
        <f>IF(P570=模板计算相关数据!$AB$24,VLOOKUP(X570,模板计算相关数据!$P$47:$T$50,5,0),VLOOKUP(X570,模板计算相关数据!$P$4:$U$7,6,0))*VLOOKUP(Y570,模板计算相关数据!$P$22:$X$30,9,0)</f>
        <v>5.4739930589768004</v>
      </c>
      <c r="U570" s="98">
        <v>1</v>
      </c>
      <c r="V570" s="95">
        <f t="shared" si="63"/>
        <v>4</v>
      </c>
      <c r="W570" s="29">
        <f>VLOOKUP(U570,模板计算相关数据!A:N,2,0)</f>
        <v>1</v>
      </c>
      <c r="X570" s="3" t="s">
        <v>151</v>
      </c>
      <c r="Y570" s="3" t="s">
        <v>162</v>
      </c>
      <c r="Z570" s="99">
        <v>1</v>
      </c>
      <c r="AA570" s="95">
        <v>1</v>
      </c>
      <c r="AB570" s="95">
        <v>1</v>
      </c>
      <c r="AC570" s="95">
        <v>1</v>
      </c>
      <c r="AD570" s="95">
        <v>0</v>
      </c>
      <c r="AE570" s="95">
        <v>0</v>
      </c>
      <c r="AF570" s="95">
        <v>0</v>
      </c>
      <c r="AG570" s="95">
        <v>0</v>
      </c>
      <c r="AH570" s="95">
        <v>0</v>
      </c>
      <c r="AI570" s="95">
        <v>0</v>
      </c>
      <c r="AJ570" s="3">
        <f>INT(VLOOKUP(U570,模板计算相关数据!A:N,4,0)*VLOOKUP(U570,模板计算相关数据!A:N,14,0)*(1+MAX(0,(VLOOKUP(U570,模板计算相关数据!A:N,7,0)-AQ570))*VLOOKUP(U570,模板计算相关数据!A:N,8,0))*(1-(AL570+AM570)*0.5/((AL570+AM570)*0.5+(VLOOKUP(U570,模板计算相关数据!A:N,2,0)+模板计算相关数据!$AC$27)*模板计算相关数据!$AC$28))*Q570*Z570)</f>
        <v>328</v>
      </c>
      <c r="AK570" s="3">
        <f>INT(VLOOKUP(U570,模板计算相关数据!A:N,3,0)/模板计算相关数据!$W$35/(1+MAX(0,(AO570/10000-VLOOKUP(U570,模板计算相关数据!A:N,9,0)))*AP570/10000)/(1-VLOOKUP(U570,模板计算相关数据!A:N,5,0)/(VLOOKUP(U570,模板计算相关数据!A:N,5,0)+(VLOOKUP(U570,模板计算相关数据!A:N,2,0)+模板计算相关数据!$AC$27)*模板计算相关数据!$AC$28))/S570*AA570)</f>
        <v>101</v>
      </c>
      <c r="AL570" s="3">
        <f>INT(VLOOKUP(U570,模板计算相关数据!A:N,5,0)*VLOOKUP(X570,模板计算相关数据!$P$4:$T$7,4,0)*VLOOKUP(Y570,模板计算相关数据!$P$22:$U$30,4,0)*AB570)</f>
        <v>136</v>
      </c>
      <c r="AM570" s="3">
        <f>INT(VLOOKUP(U570,模板计算相关数据!A:N,6,0)*VLOOKUP(X570,模板计算相关数据!$P$4:$T$7,4,0)*VLOOKUP(Y570,模板计算相关数据!$P$22:$U$30,5,0)*AC570)</f>
        <v>230</v>
      </c>
      <c r="AN570" s="3">
        <f>VLOOKUP(U570,模板计算相关数据!A:N,10,0)*0.5*VLOOKUP(Y570,模板计算相关数据!$P$22:$U$30,6,0)+AD570</f>
        <v>250</v>
      </c>
      <c r="AO570" s="3">
        <f>VLOOKUP(INT(VLOOKUP(U570,模板计算相关数据!A:N,2,0)/30)+1,模板计算相关数据!$O$35:$U$40,3,0)+AE570</f>
        <v>0</v>
      </c>
      <c r="AP570" s="3">
        <f>VLOOKUP(INT(VLOOKUP(U570,模板计算相关数据!A:N,2,0)/30)+1,模板计算相关数据!$O$35:$U$40,4,0)+AF570</f>
        <v>5000</v>
      </c>
      <c r="AQ570" s="3">
        <f>VLOOKUP(INT(VLOOKUP(U570,模板计算相关数据!A:N,2,0)/30)+1,模板计算相关数据!$O$35:$U$40,5,0)+AG570</f>
        <v>0</v>
      </c>
      <c r="AR570" s="3">
        <f>VLOOKUP(INT(VLOOKUP(U570,模板计算相关数据!A:N,2,0)/30)+1,模板计算相关数据!$O$35:$U$40,6,0)+AH570</f>
        <v>0</v>
      </c>
      <c r="AS570" s="3">
        <f>VLOOKUP(INT(VLOOKUP(U570,模板计算相关数据!A:N,2,0)/30)+1,模板计算相关数据!$O$35:$U$40,7,0)+AI570</f>
        <v>0</v>
      </c>
      <c r="AT570" s="3">
        <f>VLOOKUP(INT(VLOOKUP(U570,模板计算相关数据!A:N,2,0)/30)+1,模板计算相关数据!$O$35:$V$40,8,0)</f>
        <v>0</v>
      </c>
      <c r="AU570" s="2"/>
    </row>
    <row r="571" spans="1:47" x14ac:dyDescent="0.2">
      <c r="A571" s="2">
        <v>307511</v>
      </c>
      <c r="B571" s="2"/>
      <c r="C571" s="2" t="s">
        <v>343</v>
      </c>
      <c r="D571" s="2" t="s">
        <v>1161</v>
      </c>
      <c r="E571" s="2"/>
      <c r="F571" s="127">
        <v>3</v>
      </c>
      <c r="G571" s="127">
        <v>101</v>
      </c>
      <c r="H571" s="3">
        <v>3</v>
      </c>
      <c r="I571" s="127">
        <v>5</v>
      </c>
      <c r="J571" s="127">
        <v>1</v>
      </c>
      <c r="K571" s="3"/>
      <c r="L571" s="2" t="s">
        <v>379</v>
      </c>
      <c r="M571" s="2"/>
      <c r="N571" s="2">
        <v>1</v>
      </c>
      <c r="O571" s="2"/>
      <c r="P571" s="3" t="s">
        <v>1615</v>
      </c>
      <c r="Q571" s="95">
        <f t="shared" si="61"/>
        <v>5.6000000000000014</v>
      </c>
      <c r="R571" s="133">
        <f>IF(P571=模板计算相关数据!$AB$24,VLOOKUP(X571,模板计算相关数据!$P$47:$T$50,2,0),VLOOKUP(X571,模板计算相关数据!$P$4:$U$7,3,0))*VLOOKUP(Y571,模板计算相关数据!$P$22:$X$30,8,0)</f>
        <v>5.6000000000000014</v>
      </c>
      <c r="S571" s="62">
        <f t="shared" si="62"/>
        <v>6.6693344004268367</v>
      </c>
      <c r="T571" s="133">
        <f>IF(P571=模板计算相关数据!$AB$24,VLOOKUP(X571,模板计算相关数据!$P$47:$T$50,5,0),VLOOKUP(X571,模板计算相关数据!$P$4:$U$7,6,0))*VLOOKUP(Y571,模板计算相关数据!$P$22:$X$30,9,0)</f>
        <v>6.6693344004268367</v>
      </c>
      <c r="U571" s="98">
        <v>1</v>
      </c>
      <c r="V571" s="95">
        <f t="shared" si="63"/>
        <v>4</v>
      </c>
      <c r="W571" s="29">
        <f>VLOOKUP(U571,模板计算相关数据!A:N,2,0)</f>
        <v>1</v>
      </c>
      <c r="X571" s="3" t="s">
        <v>151</v>
      </c>
      <c r="Y571" s="3" t="s">
        <v>255</v>
      </c>
      <c r="Z571" s="99">
        <v>1</v>
      </c>
      <c r="AA571" s="95">
        <v>1</v>
      </c>
      <c r="AB571" s="95">
        <v>1</v>
      </c>
      <c r="AC571" s="95">
        <v>1</v>
      </c>
      <c r="AD571" s="95">
        <v>0</v>
      </c>
      <c r="AE571" s="95">
        <v>0</v>
      </c>
      <c r="AF571" s="95">
        <v>0</v>
      </c>
      <c r="AG571" s="95">
        <v>0</v>
      </c>
      <c r="AH571" s="95">
        <v>0</v>
      </c>
      <c r="AI571" s="95">
        <v>0</v>
      </c>
      <c r="AJ571" s="3">
        <f>INT(VLOOKUP(U571,模板计算相关数据!A:N,4,0)*VLOOKUP(U571,模板计算相关数据!A:N,14,0)*(1+MAX(0,(VLOOKUP(U571,模板计算相关数据!A:N,7,0)-AQ571))*VLOOKUP(U571,模板计算相关数据!A:N,8,0))*(1-(AL571+AM571)*0.5/((AL571+AM571)*0.5+(VLOOKUP(U571,模板计算相关数据!A:N,2,0)+模板计算相关数据!$AC$27)*模板计算相关数据!$AC$28))*Q571*Z571)</f>
        <v>394</v>
      </c>
      <c r="AK571" s="3">
        <f>INT(VLOOKUP(U571,模板计算相关数据!A:N,3,0)/模板计算相关数据!$W$35/(1+MAX(0,(AO571/10000-VLOOKUP(U571,模板计算相关数据!A:N,9,0)))*AP571/10000)/(1-VLOOKUP(U571,模板计算相关数据!A:N,5,0)/(VLOOKUP(U571,模板计算相关数据!A:N,5,0)+(VLOOKUP(U571,模板计算相关数据!A:N,2,0)+模板计算相关数据!$AC$27)*模板计算相关数据!$AC$28))/S571*AA571)</f>
        <v>83</v>
      </c>
      <c r="AL571" s="3">
        <f>INT(VLOOKUP(U571,模板计算相关数据!A:N,5,0)*VLOOKUP(X571,模板计算相关数据!$P$4:$T$7,4,0)*VLOOKUP(Y571,模板计算相关数据!$P$22:$U$30,4,0)*AB571)</f>
        <v>149</v>
      </c>
      <c r="AM571" s="3">
        <f>INT(VLOOKUP(U571,模板计算相关数据!A:N,6,0)*VLOOKUP(X571,模板计算相关数据!$P$4:$T$7,4,0)*VLOOKUP(Y571,模板计算相关数据!$P$22:$U$30,5,0)*AC571)</f>
        <v>277</v>
      </c>
      <c r="AN571" s="3">
        <f>VLOOKUP(U571,模板计算相关数据!A:N,10,0)*0.5*VLOOKUP(Y571,模板计算相关数据!$P$22:$U$30,6,0)+AD571</f>
        <v>225</v>
      </c>
      <c r="AO571" s="3">
        <f>VLOOKUP(INT(VLOOKUP(U571,模板计算相关数据!A:N,2,0)/30)+1,模板计算相关数据!$O$35:$U$40,3,0)+AE571</f>
        <v>0</v>
      </c>
      <c r="AP571" s="3">
        <f>VLOOKUP(INT(VLOOKUP(U571,模板计算相关数据!A:N,2,0)/30)+1,模板计算相关数据!$O$35:$U$40,4,0)+AF571</f>
        <v>5000</v>
      </c>
      <c r="AQ571" s="3">
        <f>VLOOKUP(INT(VLOOKUP(U571,模板计算相关数据!A:N,2,0)/30)+1,模板计算相关数据!$O$35:$U$40,5,0)+AG571</f>
        <v>0</v>
      </c>
      <c r="AR571" s="3">
        <f>VLOOKUP(INT(VLOOKUP(U571,模板计算相关数据!A:N,2,0)/30)+1,模板计算相关数据!$O$35:$U$40,6,0)+AH571</f>
        <v>0</v>
      </c>
      <c r="AS571" s="3">
        <f>VLOOKUP(INT(VLOOKUP(U571,模板计算相关数据!A:N,2,0)/30)+1,模板计算相关数据!$O$35:$U$40,7,0)+AI571</f>
        <v>0</v>
      </c>
      <c r="AT571" s="3">
        <f>VLOOKUP(INT(VLOOKUP(U571,模板计算相关数据!A:N,2,0)/30)+1,模板计算相关数据!$O$35:$V$40,8,0)</f>
        <v>0</v>
      </c>
      <c r="AU571" s="2"/>
    </row>
    <row r="572" spans="1:47" x14ac:dyDescent="0.2">
      <c r="A572" s="2">
        <v>307512</v>
      </c>
      <c r="B572" s="2"/>
      <c r="C572" s="2" t="s">
        <v>343</v>
      </c>
      <c r="D572" s="2" t="s">
        <v>1157</v>
      </c>
      <c r="E572" s="2"/>
      <c r="F572" s="127">
        <v>3</v>
      </c>
      <c r="G572" s="127">
        <v>101</v>
      </c>
      <c r="H572" s="3">
        <v>3</v>
      </c>
      <c r="I572" s="127">
        <v>5</v>
      </c>
      <c r="J572" s="127">
        <v>1</v>
      </c>
      <c r="K572" s="3"/>
      <c r="L572" s="2" t="s">
        <v>380</v>
      </c>
      <c r="M572" s="2"/>
      <c r="N572" s="2">
        <v>1</v>
      </c>
      <c r="O572" s="2"/>
      <c r="P572" s="3" t="s">
        <v>1615</v>
      </c>
      <c r="Q572" s="95">
        <f t="shared" si="61"/>
        <v>5.6000000000000014</v>
      </c>
      <c r="R572" s="133">
        <f>IF(P572=模板计算相关数据!$AB$24,VLOOKUP(X572,模板计算相关数据!$P$47:$T$50,2,0),VLOOKUP(X572,模板计算相关数据!$P$4:$U$7,3,0))*VLOOKUP(Y572,模板计算相关数据!$P$22:$X$30,8,0)</f>
        <v>5.6000000000000014</v>
      </c>
      <c r="S572" s="62">
        <f t="shared" si="62"/>
        <v>6.6693344004268367</v>
      </c>
      <c r="T572" s="133">
        <f>IF(P572=模板计算相关数据!$AB$24,VLOOKUP(X572,模板计算相关数据!$P$47:$T$50,5,0),VLOOKUP(X572,模板计算相关数据!$P$4:$U$7,6,0))*VLOOKUP(Y572,模板计算相关数据!$P$22:$X$30,9,0)</f>
        <v>6.6693344004268367</v>
      </c>
      <c r="U572" s="98">
        <v>1</v>
      </c>
      <c r="V572" s="95">
        <f t="shared" si="63"/>
        <v>4</v>
      </c>
      <c r="W572" s="29">
        <f>VLOOKUP(U572,模板计算相关数据!A:N,2,0)</f>
        <v>1</v>
      </c>
      <c r="X572" s="3" t="s">
        <v>151</v>
      </c>
      <c r="Y572" s="3" t="s">
        <v>255</v>
      </c>
      <c r="Z572" s="99">
        <v>1</v>
      </c>
      <c r="AA572" s="95">
        <v>1</v>
      </c>
      <c r="AB572" s="95">
        <v>1</v>
      </c>
      <c r="AC572" s="95">
        <v>1</v>
      </c>
      <c r="AD572" s="95">
        <v>0</v>
      </c>
      <c r="AE572" s="95">
        <v>0</v>
      </c>
      <c r="AF572" s="95">
        <v>0</v>
      </c>
      <c r="AG572" s="95">
        <v>0</v>
      </c>
      <c r="AH572" s="95">
        <v>0</v>
      </c>
      <c r="AI572" s="95">
        <v>0</v>
      </c>
      <c r="AJ572" s="3">
        <f>INT(VLOOKUP(U572,模板计算相关数据!A:N,4,0)*VLOOKUP(U572,模板计算相关数据!A:N,14,0)*(1+MAX(0,(VLOOKUP(U572,模板计算相关数据!A:N,7,0)-AQ572))*VLOOKUP(U572,模板计算相关数据!A:N,8,0))*(1-(AL572+AM572)*0.5/((AL572+AM572)*0.5+(VLOOKUP(U572,模板计算相关数据!A:N,2,0)+模板计算相关数据!$AC$27)*模板计算相关数据!$AC$28))*Q572*Z572)</f>
        <v>394</v>
      </c>
      <c r="AK572" s="3">
        <f>INT(VLOOKUP(U572,模板计算相关数据!A:N,3,0)/模板计算相关数据!$W$35/(1+MAX(0,(AO572/10000-VLOOKUP(U572,模板计算相关数据!A:N,9,0)))*AP572/10000)/(1-VLOOKUP(U572,模板计算相关数据!A:N,5,0)/(VLOOKUP(U572,模板计算相关数据!A:N,5,0)+(VLOOKUP(U572,模板计算相关数据!A:N,2,0)+模板计算相关数据!$AC$27)*模板计算相关数据!$AC$28))/S572*AA572)</f>
        <v>83</v>
      </c>
      <c r="AL572" s="3">
        <f>INT(VLOOKUP(U572,模板计算相关数据!A:N,5,0)*VLOOKUP(X572,模板计算相关数据!$P$4:$T$7,4,0)*VLOOKUP(Y572,模板计算相关数据!$P$22:$U$30,4,0)*AB572)</f>
        <v>149</v>
      </c>
      <c r="AM572" s="3">
        <f>INT(VLOOKUP(U572,模板计算相关数据!A:N,6,0)*VLOOKUP(X572,模板计算相关数据!$P$4:$T$7,4,0)*VLOOKUP(Y572,模板计算相关数据!$P$22:$U$30,5,0)*AC572)</f>
        <v>277</v>
      </c>
      <c r="AN572" s="3">
        <f>VLOOKUP(U572,模板计算相关数据!A:N,10,0)*0.5*VLOOKUP(Y572,模板计算相关数据!$P$22:$U$30,6,0)+AD572</f>
        <v>225</v>
      </c>
      <c r="AO572" s="3">
        <f>VLOOKUP(INT(VLOOKUP(U572,模板计算相关数据!A:N,2,0)/30)+1,模板计算相关数据!$O$35:$U$40,3,0)+AE572</f>
        <v>0</v>
      </c>
      <c r="AP572" s="3">
        <f>VLOOKUP(INT(VLOOKUP(U572,模板计算相关数据!A:N,2,0)/30)+1,模板计算相关数据!$O$35:$U$40,4,0)+AF572</f>
        <v>5000</v>
      </c>
      <c r="AQ572" s="3">
        <f>VLOOKUP(INT(VLOOKUP(U572,模板计算相关数据!A:N,2,0)/30)+1,模板计算相关数据!$O$35:$U$40,5,0)+AG572</f>
        <v>0</v>
      </c>
      <c r="AR572" s="3">
        <f>VLOOKUP(INT(VLOOKUP(U572,模板计算相关数据!A:N,2,0)/30)+1,模板计算相关数据!$O$35:$U$40,6,0)+AH572</f>
        <v>0</v>
      </c>
      <c r="AS572" s="3">
        <f>VLOOKUP(INT(VLOOKUP(U572,模板计算相关数据!A:N,2,0)/30)+1,模板计算相关数据!$O$35:$U$40,7,0)+AI572</f>
        <v>0</v>
      </c>
      <c r="AT572" s="3">
        <f>VLOOKUP(INT(VLOOKUP(U572,模板计算相关数据!A:N,2,0)/30)+1,模板计算相关数据!$O$35:$V$40,8,0)</f>
        <v>0</v>
      </c>
      <c r="AU572" s="2"/>
    </row>
    <row r="573" spans="1:47" x14ac:dyDescent="0.2">
      <c r="A573" s="2">
        <v>307513</v>
      </c>
      <c r="B573" s="2"/>
      <c r="C573" s="2" t="s">
        <v>343</v>
      </c>
      <c r="D573" s="2" t="s">
        <v>1158</v>
      </c>
      <c r="E573" s="2"/>
      <c r="F573" s="127">
        <v>3</v>
      </c>
      <c r="G573" s="127">
        <v>101</v>
      </c>
      <c r="H573" s="3">
        <v>3</v>
      </c>
      <c r="I573" s="127">
        <v>5</v>
      </c>
      <c r="J573" s="127">
        <v>1</v>
      </c>
      <c r="K573" s="3"/>
      <c r="L573" s="2" t="s">
        <v>381</v>
      </c>
      <c r="M573" s="2"/>
      <c r="N573" s="2">
        <v>1</v>
      </c>
      <c r="O573" s="2"/>
      <c r="P573" s="3" t="s">
        <v>1615</v>
      </c>
      <c r="Q573" s="95">
        <f t="shared" si="61"/>
        <v>5.6000000000000014</v>
      </c>
      <c r="R573" s="133">
        <f>IF(P573=模板计算相关数据!$AB$24,VLOOKUP(X573,模板计算相关数据!$P$47:$T$50,2,0),VLOOKUP(X573,模板计算相关数据!$P$4:$U$7,3,0))*VLOOKUP(Y573,模板计算相关数据!$P$22:$X$30,8,0)</f>
        <v>5.6000000000000014</v>
      </c>
      <c r="S573" s="62">
        <f t="shared" si="62"/>
        <v>6.6693344004268367</v>
      </c>
      <c r="T573" s="133">
        <f>IF(P573=模板计算相关数据!$AB$24,VLOOKUP(X573,模板计算相关数据!$P$47:$T$50,5,0),VLOOKUP(X573,模板计算相关数据!$P$4:$U$7,6,0))*VLOOKUP(Y573,模板计算相关数据!$P$22:$X$30,9,0)</f>
        <v>6.6693344004268367</v>
      </c>
      <c r="U573" s="98">
        <v>1</v>
      </c>
      <c r="V573" s="95">
        <f t="shared" si="63"/>
        <v>4</v>
      </c>
      <c r="W573" s="29">
        <f>VLOOKUP(U573,模板计算相关数据!A:N,2,0)</f>
        <v>1</v>
      </c>
      <c r="X573" s="3" t="s">
        <v>151</v>
      </c>
      <c r="Y573" s="3" t="s">
        <v>255</v>
      </c>
      <c r="Z573" s="99">
        <v>1</v>
      </c>
      <c r="AA573" s="95">
        <v>1</v>
      </c>
      <c r="AB573" s="95">
        <v>1</v>
      </c>
      <c r="AC573" s="95">
        <v>1</v>
      </c>
      <c r="AD573" s="95">
        <v>0</v>
      </c>
      <c r="AE573" s="95">
        <v>0</v>
      </c>
      <c r="AF573" s="95">
        <v>0</v>
      </c>
      <c r="AG573" s="95">
        <v>0</v>
      </c>
      <c r="AH573" s="95">
        <v>0</v>
      </c>
      <c r="AI573" s="95">
        <v>0</v>
      </c>
      <c r="AJ573" s="3">
        <f>INT(VLOOKUP(U573,模板计算相关数据!A:N,4,0)*VLOOKUP(U573,模板计算相关数据!A:N,14,0)*(1+MAX(0,(VLOOKUP(U573,模板计算相关数据!A:N,7,0)-AQ573))*VLOOKUP(U573,模板计算相关数据!A:N,8,0))*(1-(AL573+AM573)*0.5/((AL573+AM573)*0.5+(VLOOKUP(U573,模板计算相关数据!A:N,2,0)+模板计算相关数据!$AC$27)*模板计算相关数据!$AC$28))*Q573*Z573)</f>
        <v>394</v>
      </c>
      <c r="AK573" s="3">
        <f>INT(VLOOKUP(U573,模板计算相关数据!A:N,3,0)/模板计算相关数据!$W$35/(1+MAX(0,(AO573/10000-VLOOKUP(U573,模板计算相关数据!A:N,9,0)))*AP573/10000)/(1-VLOOKUP(U573,模板计算相关数据!A:N,5,0)/(VLOOKUP(U573,模板计算相关数据!A:N,5,0)+(VLOOKUP(U573,模板计算相关数据!A:N,2,0)+模板计算相关数据!$AC$27)*模板计算相关数据!$AC$28))/S573*AA573)</f>
        <v>83</v>
      </c>
      <c r="AL573" s="3">
        <f>INT(VLOOKUP(U573,模板计算相关数据!A:N,5,0)*VLOOKUP(X573,模板计算相关数据!$P$4:$T$7,4,0)*VLOOKUP(Y573,模板计算相关数据!$P$22:$U$30,4,0)*AB573)</f>
        <v>149</v>
      </c>
      <c r="AM573" s="3">
        <f>INT(VLOOKUP(U573,模板计算相关数据!A:N,6,0)*VLOOKUP(X573,模板计算相关数据!$P$4:$T$7,4,0)*VLOOKUP(Y573,模板计算相关数据!$P$22:$U$30,5,0)*AC573)</f>
        <v>277</v>
      </c>
      <c r="AN573" s="3">
        <f>VLOOKUP(U573,模板计算相关数据!A:N,10,0)*0.5*VLOOKUP(Y573,模板计算相关数据!$P$22:$U$30,6,0)+AD573</f>
        <v>225</v>
      </c>
      <c r="AO573" s="3">
        <f>VLOOKUP(INT(VLOOKUP(U573,模板计算相关数据!A:N,2,0)/30)+1,模板计算相关数据!$O$35:$U$40,3,0)+AE573</f>
        <v>0</v>
      </c>
      <c r="AP573" s="3">
        <f>VLOOKUP(INT(VLOOKUP(U573,模板计算相关数据!A:N,2,0)/30)+1,模板计算相关数据!$O$35:$U$40,4,0)+AF573</f>
        <v>5000</v>
      </c>
      <c r="AQ573" s="3">
        <f>VLOOKUP(INT(VLOOKUP(U573,模板计算相关数据!A:N,2,0)/30)+1,模板计算相关数据!$O$35:$U$40,5,0)+AG573</f>
        <v>0</v>
      </c>
      <c r="AR573" s="3">
        <f>VLOOKUP(INT(VLOOKUP(U573,模板计算相关数据!A:N,2,0)/30)+1,模板计算相关数据!$O$35:$U$40,6,0)+AH573</f>
        <v>0</v>
      </c>
      <c r="AS573" s="3">
        <f>VLOOKUP(INT(VLOOKUP(U573,模板计算相关数据!A:N,2,0)/30)+1,模板计算相关数据!$O$35:$U$40,7,0)+AI573</f>
        <v>0</v>
      </c>
      <c r="AT573" s="3">
        <f>VLOOKUP(INT(VLOOKUP(U573,模板计算相关数据!A:N,2,0)/30)+1,模板计算相关数据!$O$35:$V$40,8,0)</f>
        <v>0</v>
      </c>
      <c r="AU573" s="2"/>
    </row>
    <row r="574" spans="1:47" x14ac:dyDescent="0.2">
      <c r="A574" s="2">
        <v>307514</v>
      </c>
      <c r="B574" s="2"/>
      <c r="C574" s="2" t="s">
        <v>343</v>
      </c>
      <c r="D574" s="2" t="s">
        <v>1159</v>
      </c>
      <c r="E574" s="2"/>
      <c r="F574" s="127">
        <v>3</v>
      </c>
      <c r="G574" s="127">
        <v>101</v>
      </c>
      <c r="H574" s="3">
        <v>3</v>
      </c>
      <c r="I574" s="127">
        <v>5</v>
      </c>
      <c r="J574" s="127">
        <v>1</v>
      </c>
      <c r="K574" s="3"/>
      <c r="L574" s="2" t="s">
        <v>382</v>
      </c>
      <c r="M574" s="2"/>
      <c r="N574" s="2">
        <v>1</v>
      </c>
      <c r="O574" s="2"/>
      <c r="P574" s="3" t="s">
        <v>1615</v>
      </c>
      <c r="Q574" s="95">
        <f t="shared" si="61"/>
        <v>5.6000000000000014</v>
      </c>
      <c r="R574" s="133">
        <f>IF(P574=模板计算相关数据!$AB$24,VLOOKUP(X574,模板计算相关数据!$P$47:$T$50,2,0),VLOOKUP(X574,模板计算相关数据!$P$4:$U$7,3,0))*VLOOKUP(Y574,模板计算相关数据!$P$22:$X$30,8,0)</f>
        <v>5.6000000000000014</v>
      </c>
      <c r="S574" s="62">
        <f t="shared" si="62"/>
        <v>6.6693344004268367</v>
      </c>
      <c r="T574" s="133">
        <f>IF(P574=模板计算相关数据!$AB$24,VLOOKUP(X574,模板计算相关数据!$P$47:$T$50,5,0),VLOOKUP(X574,模板计算相关数据!$P$4:$U$7,6,0))*VLOOKUP(Y574,模板计算相关数据!$P$22:$X$30,9,0)</f>
        <v>6.6693344004268367</v>
      </c>
      <c r="U574" s="98">
        <v>1</v>
      </c>
      <c r="V574" s="95">
        <f t="shared" si="63"/>
        <v>4</v>
      </c>
      <c r="W574" s="29">
        <f>VLOOKUP(U574,模板计算相关数据!A:N,2,0)</f>
        <v>1</v>
      </c>
      <c r="X574" s="3" t="s">
        <v>151</v>
      </c>
      <c r="Y574" s="3" t="s">
        <v>255</v>
      </c>
      <c r="Z574" s="99">
        <v>1</v>
      </c>
      <c r="AA574" s="95">
        <v>1</v>
      </c>
      <c r="AB574" s="95">
        <v>1</v>
      </c>
      <c r="AC574" s="95">
        <v>1</v>
      </c>
      <c r="AD574" s="95">
        <v>0</v>
      </c>
      <c r="AE574" s="95">
        <v>0</v>
      </c>
      <c r="AF574" s="95">
        <v>0</v>
      </c>
      <c r="AG574" s="95">
        <v>0</v>
      </c>
      <c r="AH574" s="95">
        <v>0</v>
      </c>
      <c r="AI574" s="95">
        <v>0</v>
      </c>
      <c r="AJ574" s="3">
        <f>INT(VLOOKUP(U574,模板计算相关数据!A:N,4,0)*VLOOKUP(U574,模板计算相关数据!A:N,14,0)*(1+MAX(0,(VLOOKUP(U574,模板计算相关数据!A:N,7,0)-AQ574))*VLOOKUP(U574,模板计算相关数据!A:N,8,0))*(1-(AL574+AM574)*0.5/((AL574+AM574)*0.5+(VLOOKUP(U574,模板计算相关数据!A:N,2,0)+模板计算相关数据!$AC$27)*模板计算相关数据!$AC$28))*Q574*Z574)</f>
        <v>394</v>
      </c>
      <c r="AK574" s="3">
        <f>INT(VLOOKUP(U574,模板计算相关数据!A:N,3,0)/模板计算相关数据!$W$35/(1+MAX(0,(AO574/10000-VLOOKUP(U574,模板计算相关数据!A:N,9,0)))*AP574/10000)/(1-VLOOKUP(U574,模板计算相关数据!A:N,5,0)/(VLOOKUP(U574,模板计算相关数据!A:N,5,0)+(VLOOKUP(U574,模板计算相关数据!A:N,2,0)+模板计算相关数据!$AC$27)*模板计算相关数据!$AC$28))/S574*AA574)</f>
        <v>83</v>
      </c>
      <c r="AL574" s="3">
        <f>INT(VLOOKUP(U574,模板计算相关数据!A:N,5,0)*VLOOKUP(X574,模板计算相关数据!$P$4:$T$7,4,0)*VLOOKUP(Y574,模板计算相关数据!$P$22:$U$30,4,0)*AB574)</f>
        <v>149</v>
      </c>
      <c r="AM574" s="3">
        <f>INT(VLOOKUP(U574,模板计算相关数据!A:N,6,0)*VLOOKUP(X574,模板计算相关数据!$P$4:$T$7,4,0)*VLOOKUP(Y574,模板计算相关数据!$P$22:$U$30,5,0)*AC574)</f>
        <v>277</v>
      </c>
      <c r="AN574" s="3">
        <f>VLOOKUP(U574,模板计算相关数据!A:N,10,0)*0.5*VLOOKUP(Y574,模板计算相关数据!$P$22:$U$30,6,0)+AD574</f>
        <v>225</v>
      </c>
      <c r="AO574" s="3">
        <f>VLOOKUP(INT(VLOOKUP(U574,模板计算相关数据!A:N,2,0)/30)+1,模板计算相关数据!$O$35:$U$40,3,0)+AE574</f>
        <v>0</v>
      </c>
      <c r="AP574" s="3">
        <f>VLOOKUP(INT(VLOOKUP(U574,模板计算相关数据!A:N,2,0)/30)+1,模板计算相关数据!$O$35:$U$40,4,0)+AF574</f>
        <v>5000</v>
      </c>
      <c r="AQ574" s="3">
        <f>VLOOKUP(INT(VLOOKUP(U574,模板计算相关数据!A:N,2,0)/30)+1,模板计算相关数据!$O$35:$U$40,5,0)+AG574</f>
        <v>0</v>
      </c>
      <c r="AR574" s="3">
        <f>VLOOKUP(INT(VLOOKUP(U574,模板计算相关数据!A:N,2,0)/30)+1,模板计算相关数据!$O$35:$U$40,6,0)+AH574</f>
        <v>0</v>
      </c>
      <c r="AS574" s="3">
        <f>VLOOKUP(INT(VLOOKUP(U574,模板计算相关数据!A:N,2,0)/30)+1,模板计算相关数据!$O$35:$U$40,7,0)+AI574</f>
        <v>0</v>
      </c>
      <c r="AT574" s="3">
        <f>VLOOKUP(INT(VLOOKUP(U574,模板计算相关数据!A:N,2,0)/30)+1,模板计算相关数据!$O$35:$V$40,8,0)</f>
        <v>0</v>
      </c>
      <c r="AU574" s="2"/>
    </row>
    <row r="575" spans="1:47" x14ac:dyDescent="0.2">
      <c r="A575" s="17">
        <v>307515</v>
      </c>
      <c r="B575" s="17"/>
      <c r="C575" s="17" t="s">
        <v>383</v>
      </c>
      <c r="D575" s="25" t="s">
        <v>1162</v>
      </c>
      <c r="E575" s="17"/>
      <c r="F575" s="152">
        <v>3</v>
      </c>
      <c r="G575" s="152">
        <v>101</v>
      </c>
      <c r="H575" s="43">
        <v>5</v>
      </c>
      <c r="I575" s="152">
        <v>5</v>
      </c>
      <c r="J575" s="152">
        <v>1</v>
      </c>
      <c r="K575" s="3"/>
      <c r="L575" s="2" t="s">
        <v>384</v>
      </c>
      <c r="M575" s="2"/>
      <c r="N575" s="2">
        <v>1</v>
      </c>
      <c r="O575" s="2"/>
      <c r="P575" s="3" t="s">
        <v>1615</v>
      </c>
      <c r="Q575" s="95">
        <f t="shared" si="61"/>
        <v>5.7709803921568623</v>
      </c>
      <c r="R575" s="133">
        <f>IF(P575=模板计算相关数据!$AB$24,VLOOKUP(X575,模板计算相关数据!$P$47:$T$50,2,0),VLOOKUP(X575,模板计算相关数据!$P$4:$U$7,3,0))*VLOOKUP(Y575,模板计算相关数据!$P$22:$X$30,8,0)</f>
        <v>5.7709803921568623</v>
      </c>
      <c r="S575" s="62">
        <f t="shared" si="62"/>
        <v>6.4077918749199023</v>
      </c>
      <c r="T575" s="133">
        <f>IF(P575=模板计算相关数据!$AB$24,VLOOKUP(X575,模板计算相关数据!$P$47:$T$50,5,0),VLOOKUP(X575,模板计算相关数据!$P$4:$U$7,6,0))*VLOOKUP(Y575,模板计算相关数据!$P$22:$X$30,9,0)</f>
        <v>6.4077918749199023</v>
      </c>
      <c r="U575" s="98">
        <v>1</v>
      </c>
      <c r="V575" s="95">
        <f t="shared" si="63"/>
        <v>4</v>
      </c>
      <c r="W575" s="29">
        <f>VLOOKUP(U575,模板计算相关数据!A:N,2,0)</f>
        <v>1</v>
      </c>
      <c r="X575" s="3" t="s">
        <v>151</v>
      </c>
      <c r="Y575" s="3" t="s">
        <v>243</v>
      </c>
      <c r="Z575" s="99">
        <v>1</v>
      </c>
      <c r="AA575" s="95">
        <v>1</v>
      </c>
      <c r="AB575" s="95">
        <v>1</v>
      </c>
      <c r="AC575" s="95">
        <v>1</v>
      </c>
      <c r="AD575" s="95">
        <v>0</v>
      </c>
      <c r="AE575" s="95">
        <v>0</v>
      </c>
      <c r="AF575" s="95">
        <v>0</v>
      </c>
      <c r="AG575" s="95">
        <v>0</v>
      </c>
      <c r="AH575" s="95">
        <v>0</v>
      </c>
      <c r="AI575" s="95">
        <v>0</v>
      </c>
      <c r="AJ575" s="3">
        <f>INT(VLOOKUP(U575,模板计算相关数据!A:N,4,0)*VLOOKUP(U575,模板计算相关数据!A:N,14,0)*(1+MAX(0,(VLOOKUP(U575,模板计算相关数据!A:N,7,0)-AQ575))*VLOOKUP(U575,模板计算相关数据!A:N,8,0))*(1-(AL575+AM575)*0.5/((AL575+AM575)*0.5+(VLOOKUP(U575,模板计算相关数据!A:N,2,0)+模板计算相关数据!$AC$27)*模板计算相关数据!$AC$28))*Q575*Z575)</f>
        <v>411</v>
      </c>
      <c r="AK575" s="3">
        <f>INT(VLOOKUP(U575,模板计算相关数据!A:N,3,0)/模板计算相关数据!$W$35/(1+MAX(0,(AO575/10000-VLOOKUP(U575,模板计算相关数据!A:N,9,0)))*AP575/10000)/(1-VLOOKUP(U575,模板计算相关数据!A:N,5,0)/(VLOOKUP(U575,模板计算相关数据!A:N,5,0)+(VLOOKUP(U575,模板计算相关数据!A:N,2,0)+模板计算相关数据!$AC$27)*模板计算相关数据!$AC$28))/S575*AA575)</f>
        <v>86</v>
      </c>
      <c r="AL575" s="3">
        <f>INT(VLOOKUP(U575,模板计算相关数据!A:N,5,0)*VLOOKUP(X575,模板计算相关数据!$P$4:$T$7,4,0)*VLOOKUP(Y575,模板计算相关数据!$P$22:$U$30,4,0)*AB575)</f>
        <v>145</v>
      </c>
      <c r="AM575" s="3">
        <f>INT(VLOOKUP(U575,模板计算相关数据!A:N,6,0)*VLOOKUP(X575,模板计算相关数据!$P$4:$T$7,4,0)*VLOOKUP(Y575,模板计算相关数据!$P$22:$U$30,5,0)*AC575)</f>
        <v>264</v>
      </c>
      <c r="AN575" s="3">
        <f>VLOOKUP(U575,模板计算相关数据!A:N,10,0)*0.5*VLOOKUP(Y575,模板计算相关数据!$P$22:$U$30,6,0)+AD575</f>
        <v>275</v>
      </c>
      <c r="AO575" s="3">
        <f>VLOOKUP(INT(VLOOKUP(U575,模板计算相关数据!A:N,2,0)/30)+1,模板计算相关数据!$O$35:$U$40,3,0)+AE575</f>
        <v>0</v>
      </c>
      <c r="AP575" s="3">
        <f>VLOOKUP(INT(VLOOKUP(U575,模板计算相关数据!A:N,2,0)/30)+1,模板计算相关数据!$O$35:$U$40,4,0)+AF575</f>
        <v>5000</v>
      </c>
      <c r="AQ575" s="3">
        <f>VLOOKUP(INT(VLOOKUP(U575,模板计算相关数据!A:N,2,0)/30)+1,模板计算相关数据!$O$35:$U$40,5,0)+AG575</f>
        <v>0</v>
      </c>
      <c r="AR575" s="3">
        <f>VLOOKUP(INT(VLOOKUP(U575,模板计算相关数据!A:N,2,0)/30)+1,模板计算相关数据!$O$35:$U$40,6,0)+AH575</f>
        <v>0</v>
      </c>
      <c r="AS575" s="3">
        <f>VLOOKUP(INT(VLOOKUP(U575,模板计算相关数据!A:N,2,0)/30)+1,模板计算相关数据!$O$35:$U$40,7,0)+AI575</f>
        <v>0</v>
      </c>
      <c r="AT575" s="3">
        <f>VLOOKUP(INT(VLOOKUP(U575,模板计算相关数据!A:N,2,0)/30)+1,模板计算相关数据!$O$35:$V$40,8,0)</f>
        <v>0</v>
      </c>
      <c r="AU575" s="2"/>
    </row>
    <row r="576" spans="1:47" x14ac:dyDescent="0.2">
      <c r="A576" s="2">
        <v>307516</v>
      </c>
      <c r="B576" s="2"/>
      <c r="C576" s="2" t="s">
        <v>326</v>
      </c>
      <c r="D576" s="69" t="s">
        <v>1163</v>
      </c>
      <c r="E576" s="2"/>
      <c r="F576" s="127">
        <v>3</v>
      </c>
      <c r="G576" s="127">
        <v>101</v>
      </c>
      <c r="H576" s="3">
        <v>5</v>
      </c>
      <c r="I576" s="127">
        <v>5</v>
      </c>
      <c r="J576" s="127">
        <v>1</v>
      </c>
      <c r="K576" s="3"/>
      <c r="L576" s="2" t="s">
        <v>385</v>
      </c>
      <c r="M576" s="2"/>
      <c r="N576" s="2">
        <v>1</v>
      </c>
      <c r="O576" s="2"/>
      <c r="P576" s="3" t="s">
        <v>1615</v>
      </c>
      <c r="Q576" s="95">
        <f t="shared" si="61"/>
        <v>5.7709803921568623</v>
      </c>
      <c r="R576" s="133">
        <f>IF(P576=模板计算相关数据!$AB$24,VLOOKUP(X576,模板计算相关数据!$P$47:$T$50,2,0),VLOOKUP(X576,模板计算相关数据!$P$4:$U$7,3,0))*VLOOKUP(Y576,模板计算相关数据!$P$22:$X$30,8,0)</f>
        <v>5.7709803921568623</v>
      </c>
      <c r="S576" s="62">
        <f t="shared" si="62"/>
        <v>6.4077918749199023</v>
      </c>
      <c r="T576" s="133">
        <f>IF(P576=模板计算相关数据!$AB$24,VLOOKUP(X576,模板计算相关数据!$P$47:$T$50,5,0),VLOOKUP(X576,模板计算相关数据!$P$4:$U$7,6,0))*VLOOKUP(Y576,模板计算相关数据!$P$22:$X$30,9,0)</f>
        <v>6.4077918749199023</v>
      </c>
      <c r="U576" s="98">
        <v>1</v>
      </c>
      <c r="V576" s="95">
        <f t="shared" si="63"/>
        <v>4</v>
      </c>
      <c r="W576" s="29">
        <f>VLOOKUP(U576,模板计算相关数据!A:N,2,0)</f>
        <v>1</v>
      </c>
      <c r="X576" s="3" t="s">
        <v>151</v>
      </c>
      <c r="Y576" s="3" t="s">
        <v>243</v>
      </c>
      <c r="Z576" s="99">
        <v>1</v>
      </c>
      <c r="AA576" s="95">
        <v>1</v>
      </c>
      <c r="AB576" s="95">
        <v>1</v>
      </c>
      <c r="AC576" s="95">
        <v>1</v>
      </c>
      <c r="AD576" s="95">
        <v>0</v>
      </c>
      <c r="AE576" s="95">
        <v>0</v>
      </c>
      <c r="AF576" s="95">
        <v>0</v>
      </c>
      <c r="AG576" s="95">
        <v>0</v>
      </c>
      <c r="AH576" s="95">
        <v>0</v>
      </c>
      <c r="AI576" s="95">
        <v>0</v>
      </c>
      <c r="AJ576" s="3">
        <f>INT(VLOOKUP(U576,模板计算相关数据!A:N,4,0)*VLOOKUP(U576,模板计算相关数据!A:N,14,0)*(1+MAX(0,(VLOOKUP(U576,模板计算相关数据!A:N,7,0)-AQ576))*VLOOKUP(U576,模板计算相关数据!A:N,8,0))*(1-(AL576+AM576)*0.5/((AL576+AM576)*0.5+(VLOOKUP(U576,模板计算相关数据!A:N,2,0)+模板计算相关数据!$AC$27)*模板计算相关数据!$AC$28))*Q576*Z576)</f>
        <v>411</v>
      </c>
      <c r="AK576" s="3">
        <f>INT(VLOOKUP(U576,模板计算相关数据!A:N,3,0)/模板计算相关数据!$W$35/(1+MAX(0,(AO576/10000-VLOOKUP(U576,模板计算相关数据!A:N,9,0)))*AP576/10000)/(1-VLOOKUP(U576,模板计算相关数据!A:N,5,0)/(VLOOKUP(U576,模板计算相关数据!A:N,5,0)+(VLOOKUP(U576,模板计算相关数据!A:N,2,0)+模板计算相关数据!$AC$27)*模板计算相关数据!$AC$28))/S576*AA576)</f>
        <v>86</v>
      </c>
      <c r="AL576" s="3">
        <f>INT(VLOOKUP(U576,模板计算相关数据!A:N,5,0)*VLOOKUP(X576,模板计算相关数据!$P$4:$T$7,4,0)*VLOOKUP(Y576,模板计算相关数据!$P$22:$U$30,4,0)*AB576)</f>
        <v>145</v>
      </c>
      <c r="AM576" s="3">
        <f>INT(VLOOKUP(U576,模板计算相关数据!A:N,6,0)*VLOOKUP(X576,模板计算相关数据!$P$4:$T$7,4,0)*VLOOKUP(Y576,模板计算相关数据!$P$22:$U$30,5,0)*AC576)</f>
        <v>264</v>
      </c>
      <c r="AN576" s="3">
        <f>VLOOKUP(U576,模板计算相关数据!A:N,10,0)*0.5*VLOOKUP(Y576,模板计算相关数据!$P$22:$U$30,6,0)+AD576</f>
        <v>275</v>
      </c>
      <c r="AO576" s="3">
        <f>VLOOKUP(INT(VLOOKUP(U576,模板计算相关数据!A:N,2,0)/30)+1,模板计算相关数据!$O$35:$U$40,3,0)+AE576</f>
        <v>0</v>
      </c>
      <c r="AP576" s="3">
        <f>VLOOKUP(INT(VLOOKUP(U576,模板计算相关数据!A:N,2,0)/30)+1,模板计算相关数据!$O$35:$U$40,4,0)+AF576</f>
        <v>5000</v>
      </c>
      <c r="AQ576" s="3">
        <f>VLOOKUP(INT(VLOOKUP(U576,模板计算相关数据!A:N,2,0)/30)+1,模板计算相关数据!$O$35:$U$40,5,0)+AG576</f>
        <v>0</v>
      </c>
      <c r="AR576" s="3">
        <f>VLOOKUP(INT(VLOOKUP(U576,模板计算相关数据!A:N,2,0)/30)+1,模板计算相关数据!$O$35:$U$40,6,0)+AH576</f>
        <v>0</v>
      </c>
      <c r="AS576" s="3">
        <f>VLOOKUP(INT(VLOOKUP(U576,模板计算相关数据!A:N,2,0)/30)+1,模板计算相关数据!$O$35:$U$40,7,0)+AI576</f>
        <v>0</v>
      </c>
      <c r="AT576" s="3">
        <f>VLOOKUP(INT(VLOOKUP(U576,模板计算相关数据!A:N,2,0)/30)+1,模板计算相关数据!$O$35:$V$40,8,0)</f>
        <v>0</v>
      </c>
      <c r="AU576" s="2"/>
    </row>
    <row r="577" spans="1:47" x14ac:dyDescent="0.2">
      <c r="A577" s="2">
        <v>307517</v>
      </c>
      <c r="B577" s="2"/>
      <c r="C577" s="2" t="s">
        <v>326</v>
      </c>
      <c r="D577" s="69" t="s">
        <v>1164</v>
      </c>
      <c r="E577" s="2"/>
      <c r="F577" s="127">
        <v>3</v>
      </c>
      <c r="G577" s="127">
        <v>101</v>
      </c>
      <c r="H577" s="3">
        <v>5</v>
      </c>
      <c r="I577" s="127">
        <v>5</v>
      </c>
      <c r="J577" s="127">
        <v>1</v>
      </c>
      <c r="K577" s="3"/>
      <c r="L577" s="2" t="s">
        <v>386</v>
      </c>
      <c r="M577" s="2"/>
      <c r="N577" s="2">
        <v>1</v>
      </c>
      <c r="O577" s="2"/>
      <c r="P577" s="3" t="s">
        <v>1615</v>
      </c>
      <c r="Q577" s="95">
        <f t="shared" si="61"/>
        <v>5.7709803921568623</v>
      </c>
      <c r="R577" s="133">
        <f>IF(P577=模板计算相关数据!$AB$24,VLOOKUP(X577,模板计算相关数据!$P$47:$T$50,2,0),VLOOKUP(X577,模板计算相关数据!$P$4:$U$7,3,0))*VLOOKUP(Y577,模板计算相关数据!$P$22:$X$30,8,0)</f>
        <v>5.7709803921568623</v>
      </c>
      <c r="S577" s="62">
        <f t="shared" si="62"/>
        <v>6.4077918749199023</v>
      </c>
      <c r="T577" s="133">
        <f>IF(P577=模板计算相关数据!$AB$24,VLOOKUP(X577,模板计算相关数据!$P$47:$T$50,5,0),VLOOKUP(X577,模板计算相关数据!$P$4:$U$7,6,0))*VLOOKUP(Y577,模板计算相关数据!$P$22:$X$30,9,0)</f>
        <v>6.4077918749199023</v>
      </c>
      <c r="U577" s="98">
        <v>1</v>
      </c>
      <c r="V577" s="95">
        <f t="shared" si="63"/>
        <v>4</v>
      </c>
      <c r="W577" s="29">
        <f>VLOOKUP(U577,模板计算相关数据!A:N,2,0)</f>
        <v>1</v>
      </c>
      <c r="X577" s="3" t="s">
        <v>151</v>
      </c>
      <c r="Y577" s="3" t="s">
        <v>243</v>
      </c>
      <c r="Z577" s="99">
        <v>1</v>
      </c>
      <c r="AA577" s="95">
        <v>1</v>
      </c>
      <c r="AB577" s="95">
        <v>1</v>
      </c>
      <c r="AC577" s="95">
        <v>1</v>
      </c>
      <c r="AD577" s="95">
        <v>0</v>
      </c>
      <c r="AE577" s="95">
        <v>0</v>
      </c>
      <c r="AF577" s="95">
        <v>0</v>
      </c>
      <c r="AG577" s="95">
        <v>0</v>
      </c>
      <c r="AH577" s="95">
        <v>0</v>
      </c>
      <c r="AI577" s="95">
        <v>0</v>
      </c>
      <c r="AJ577" s="3">
        <f>INT(VLOOKUP(U577,模板计算相关数据!A:N,4,0)*VLOOKUP(U577,模板计算相关数据!A:N,14,0)*(1+MAX(0,(VLOOKUP(U577,模板计算相关数据!A:N,7,0)-AQ577))*VLOOKUP(U577,模板计算相关数据!A:N,8,0))*(1-(AL577+AM577)*0.5/((AL577+AM577)*0.5+(VLOOKUP(U577,模板计算相关数据!A:N,2,0)+模板计算相关数据!$AC$27)*模板计算相关数据!$AC$28))*Q577*Z577)</f>
        <v>411</v>
      </c>
      <c r="AK577" s="3">
        <f>INT(VLOOKUP(U577,模板计算相关数据!A:N,3,0)/模板计算相关数据!$W$35/(1+MAX(0,(AO577/10000-VLOOKUP(U577,模板计算相关数据!A:N,9,0)))*AP577/10000)/(1-VLOOKUP(U577,模板计算相关数据!A:N,5,0)/(VLOOKUP(U577,模板计算相关数据!A:N,5,0)+(VLOOKUP(U577,模板计算相关数据!A:N,2,0)+模板计算相关数据!$AC$27)*模板计算相关数据!$AC$28))/S577*AA577)</f>
        <v>86</v>
      </c>
      <c r="AL577" s="3">
        <f>INT(VLOOKUP(U577,模板计算相关数据!A:N,5,0)*VLOOKUP(X577,模板计算相关数据!$P$4:$T$7,4,0)*VLOOKUP(Y577,模板计算相关数据!$P$22:$U$30,4,0)*AB577)</f>
        <v>145</v>
      </c>
      <c r="AM577" s="3">
        <f>INT(VLOOKUP(U577,模板计算相关数据!A:N,6,0)*VLOOKUP(X577,模板计算相关数据!$P$4:$T$7,4,0)*VLOOKUP(Y577,模板计算相关数据!$P$22:$U$30,5,0)*AC577)</f>
        <v>264</v>
      </c>
      <c r="AN577" s="3">
        <f>VLOOKUP(U577,模板计算相关数据!A:N,10,0)*0.5*VLOOKUP(Y577,模板计算相关数据!$P$22:$U$30,6,0)+AD577</f>
        <v>275</v>
      </c>
      <c r="AO577" s="3">
        <f>VLOOKUP(INT(VLOOKUP(U577,模板计算相关数据!A:N,2,0)/30)+1,模板计算相关数据!$O$35:$U$40,3,0)+AE577</f>
        <v>0</v>
      </c>
      <c r="AP577" s="3">
        <f>VLOOKUP(INT(VLOOKUP(U577,模板计算相关数据!A:N,2,0)/30)+1,模板计算相关数据!$O$35:$U$40,4,0)+AF577</f>
        <v>5000</v>
      </c>
      <c r="AQ577" s="3">
        <f>VLOOKUP(INT(VLOOKUP(U577,模板计算相关数据!A:N,2,0)/30)+1,模板计算相关数据!$O$35:$U$40,5,0)+AG577</f>
        <v>0</v>
      </c>
      <c r="AR577" s="3">
        <f>VLOOKUP(INT(VLOOKUP(U577,模板计算相关数据!A:N,2,0)/30)+1,模板计算相关数据!$O$35:$U$40,6,0)+AH577</f>
        <v>0</v>
      </c>
      <c r="AS577" s="3">
        <f>VLOOKUP(INT(VLOOKUP(U577,模板计算相关数据!A:N,2,0)/30)+1,模板计算相关数据!$O$35:$U$40,7,0)+AI577</f>
        <v>0</v>
      </c>
      <c r="AT577" s="3">
        <f>VLOOKUP(INT(VLOOKUP(U577,模板计算相关数据!A:N,2,0)/30)+1,模板计算相关数据!$O$35:$V$40,8,0)</f>
        <v>0</v>
      </c>
      <c r="AU577" s="2"/>
    </row>
    <row r="578" spans="1:47" x14ac:dyDescent="0.2">
      <c r="A578" s="2">
        <v>307518</v>
      </c>
      <c r="B578" s="2"/>
      <c r="C578" s="2" t="s">
        <v>326</v>
      </c>
      <c r="D578" s="69" t="s">
        <v>1165</v>
      </c>
      <c r="E578" s="2"/>
      <c r="F578" s="127">
        <v>3</v>
      </c>
      <c r="G578" s="127">
        <v>101</v>
      </c>
      <c r="H578" s="3">
        <v>5</v>
      </c>
      <c r="I578" s="127">
        <v>5</v>
      </c>
      <c r="J578" s="127">
        <v>1</v>
      </c>
      <c r="K578" s="3"/>
      <c r="L578" s="2" t="s">
        <v>387</v>
      </c>
      <c r="M578" s="2"/>
      <c r="N578" s="2">
        <v>1</v>
      </c>
      <c r="O578" s="2"/>
      <c r="P578" s="3" t="s">
        <v>1615</v>
      </c>
      <c r="Q578" s="95">
        <f t="shared" si="61"/>
        <v>5.7709803921568623</v>
      </c>
      <c r="R578" s="133">
        <f>IF(P578=模板计算相关数据!$AB$24,VLOOKUP(X578,模板计算相关数据!$P$47:$T$50,2,0),VLOOKUP(X578,模板计算相关数据!$P$4:$U$7,3,0))*VLOOKUP(Y578,模板计算相关数据!$P$22:$X$30,8,0)</f>
        <v>5.7709803921568623</v>
      </c>
      <c r="S578" s="62">
        <f t="shared" si="62"/>
        <v>6.4077918749199023</v>
      </c>
      <c r="T578" s="133">
        <f>IF(P578=模板计算相关数据!$AB$24,VLOOKUP(X578,模板计算相关数据!$P$47:$T$50,5,0),VLOOKUP(X578,模板计算相关数据!$P$4:$U$7,6,0))*VLOOKUP(Y578,模板计算相关数据!$P$22:$X$30,9,0)</f>
        <v>6.4077918749199023</v>
      </c>
      <c r="U578" s="98">
        <v>1</v>
      </c>
      <c r="V578" s="95">
        <f t="shared" si="63"/>
        <v>4</v>
      </c>
      <c r="W578" s="29">
        <f>VLOOKUP(U578,模板计算相关数据!A:N,2,0)</f>
        <v>1</v>
      </c>
      <c r="X578" s="3" t="s">
        <v>151</v>
      </c>
      <c r="Y578" s="3" t="s">
        <v>243</v>
      </c>
      <c r="Z578" s="99">
        <v>1</v>
      </c>
      <c r="AA578" s="95">
        <v>1</v>
      </c>
      <c r="AB578" s="95">
        <v>1</v>
      </c>
      <c r="AC578" s="95">
        <v>1</v>
      </c>
      <c r="AD578" s="95">
        <v>0</v>
      </c>
      <c r="AE578" s="95">
        <v>0</v>
      </c>
      <c r="AF578" s="95">
        <v>0</v>
      </c>
      <c r="AG578" s="95">
        <v>0</v>
      </c>
      <c r="AH578" s="95">
        <v>0</v>
      </c>
      <c r="AI578" s="95">
        <v>0</v>
      </c>
      <c r="AJ578" s="3">
        <f>INT(VLOOKUP(U578,模板计算相关数据!A:N,4,0)*VLOOKUP(U578,模板计算相关数据!A:N,14,0)*(1+MAX(0,(VLOOKUP(U578,模板计算相关数据!A:N,7,0)-AQ578))*VLOOKUP(U578,模板计算相关数据!A:N,8,0))*(1-(AL578+AM578)*0.5/((AL578+AM578)*0.5+(VLOOKUP(U578,模板计算相关数据!A:N,2,0)+模板计算相关数据!$AC$27)*模板计算相关数据!$AC$28))*Q578*Z578)</f>
        <v>411</v>
      </c>
      <c r="AK578" s="3">
        <f>INT(VLOOKUP(U578,模板计算相关数据!A:N,3,0)/模板计算相关数据!$W$35/(1+MAX(0,(AO578/10000-VLOOKUP(U578,模板计算相关数据!A:N,9,0)))*AP578/10000)/(1-VLOOKUP(U578,模板计算相关数据!A:N,5,0)/(VLOOKUP(U578,模板计算相关数据!A:N,5,0)+(VLOOKUP(U578,模板计算相关数据!A:N,2,0)+模板计算相关数据!$AC$27)*模板计算相关数据!$AC$28))/S578*AA578)</f>
        <v>86</v>
      </c>
      <c r="AL578" s="3">
        <f>INT(VLOOKUP(U578,模板计算相关数据!A:N,5,0)*VLOOKUP(X578,模板计算相关数据!$P$4:$T$7,4,0)*VLOOKUP(Y578,模板计算相关数据!$P$22:$U$30,4,0)*AB578)</f>
        <v>145</v>
      </c>
      <c r="AM578" s="3">
        <f>INT(VLOOKUP(U578,模板计算相关数据!A:N,6,0)*VLOOKUP(X578,模板计算相关数据!$P$4:$T$7,4,0)*VLOOKUP(Y578,模板计算相关数据!$P$22:$U$30,5,0)*AC578)</f>
        <v>264</v>
      </c>
      <c r="AN578" s="3">
        <f>VLOOKUP(U578,模板计算相关数据!A:N,10,0)*0.5*VLOOKUP(Y578,模板计算相关数据!$P$22:$U$30,6,0)+AD578</f>
        <v>275</v>
      </c>
      <c r="AO578" s="3">
        <f>VLOOKUP(INT(VLOOKUP(U578,模板计算相关数据!A:N,2,0)/30)+1,模板计算相关数据!$O$35:$U$40,3,0)+AE578</f>
        <v>0</v>
      </c>
      <c r="AP578" s="3">
        <f>VLOOKUP(INT(VLOOKUP(U578,模板计算相关数据!A:N,2,0)/30)+1,模板计算相关数据!$O$35:$U$40,4,0)+AF578</f>
        <v>5000</v>
      </c>
      <c r="AQ578" s="3">
        <f>VLOOKUP(INT(VLOOKUP(U578,模板计算相关数据!A:N,2,0)/30)+1,模板计算相关数据!$O$35:$U$40,5,0)+AG578</f>
        <v>0</v>
      </c>
      <c r="AR578" s="3">
        <f>VLOOKUP(INT(VLOOKUP(U578,模板计算相关数据!A:N,2,0)/30)+1,模板计算相关数据!$O$35:$U$40,6,0)+AH578</f>
        <v>0</v>
      </c>
      <c r="AS578" s="3">
        <f>VLOOKUP(INT(VLOOKUP(U578,模板计算相关数据!A:N,2,0)/30)+1,模板计算相关数据!$O$35:$U$40,7,0)+AI578</f>
        <v>0</v>
      </c>
      <c r="AT578" s="3">
        <f>VLOOKUP(INT(VLOOKUP(U578,模板计算相关数据!A:N,2,0)/30)+1,模板计算相关数据!$O$35:$V$40,8,0)</f>
        <v>0</v>
      </c>
      <c r="AU578" s="2"/>
    </row>
    <row r="579" spans="1:47" x14ac:dyDescent="0.2">
      <c r="A579" s="2">
        <v>307519</v>
      </c>
      <c r="B579" s="2"/>
      <c r="C579" s="2" t="s">
        <v>326</v>
      </c>
      <c r="D579" s="69" t="s">
        <v>1166</v>
      </c>
      <c r="E579" s="2"/>
      <c r="F579" s="127">
        <v>3</v>
      </c>
      <c r="G579" s="127">
        <v>101</v>
      </c>
      <c r="H579" s="3">
        <v>5</v>
      </c>
      <c r="I579" s="127">
        <v>5</v>
      </c>
      <c r="J579" s="127">
        <v>1</v>
      </c>
      <c r="K579" s="3"/>
      <c r="L579" s="2" t="s">
        <v>388</v>
      </c>
      <c r="M579" s="2"/>
      <c r="N579" s="2">
        <v>1</v>
      </c>
      <c r="O579" s="2"/>
      <c r="P579" s="3" t="s">
        <v>1615</v>
      </c>
      <c r="Q579" s="95">
        <f t="shared" si="61"/>
        <v>5.7709803921568623</v>
      </c>
      <c r="R579" s="133">
        <f>IF(P579=模板计算相关数据!$AB$24,VLOOKUP(X579,模板计算相关数据!$P$47:$T$50,2,0),VLOOKUP(X579,模板计算相关数据!$P$4:$U$7,3,0))*VLOOKUP(Y579,模板计算相关数据!$P$22:$X$30,8,0)</f>
        <v>5.7709803921568623</v>
      </c>
      <c r="S579" s="62">
        <f t="shared" si="62"/>
        <v>6.4077918749199023</v>
      </c>
      <c r="T579" s="133">
        <f>IF(P579=模板计算相关数据!$AB$24,VLOOKUP(X579,模板计算相关数据!$P$47:$T$50,5,0),VLOOKUP(X579,模板计算相关数据!$P$4:$U$7,6,0))*VLOOKUP(Y579,模板计算相关数据!$P$22:$X$30,9,0)</f>
        <v>6.4077918749199023</v>
      </c>
      <c r="U579" s="98">
        <v>1</v>
      </c>
      <c r="V579" s="95">
        <f t="shared" si="63"/>
        <v>4</v>
      </c>
      <c r="W579" s="29">
        <f>VLOOKUP(U579,模板计算相关数据!A:N,2,0)</f>
        <v>1</v>
      </c>
      <c r="X579" s="3" t="s">
        <v>151</v>
      </c>
      <c r="Y579" s="3" t="s">
        <v>243</v>
      </c>
      <c r="Z579" s="99">
        <v>1</v>
      </c>
      <c r="AA579" s="95">
        <v>1</v>
      </c>
      <c r="AB579" s="95">
        <v>1</v>
      </c>
      <c r="AC579" s="95">
        <v>1</v>
      </c>
      <c r="AD579" s="95">
        <v>0</v>
      </c>
      <c r="AE579" s="95">
        <v>0</v>
      </c>
      <c r="AF579" s="95">
        <v>0</v>
      </c>
      <c r="AG579" s="95">
        <v>0</v>
      </c>
      <c r="AH579" s="95">
        <v>0</v>
      </c>
      <c r="AI579" s="95">
        <v>0</v>
      </c>
      <c r="AJ579" s="3">
        <f>INT(VLOOKUP(U579,模板计算相关数据!A:N,4,0)*VLOOKUP(U579,模板计算相关数据!A:N,14,0)*(1+MAX(0,(VLOOKUP(U579,模板计算相关数据!A:N,7,0)-AQ579))*VLOOKUP(U579,模板计算相关数据!A:N,8,0))*(1-(AL579+AM579)*0.5/((AL579+AM579)*0.5+(VLOOKUP(U579,模板计算相关数据!A:N,2,0)+模板计算相关数据!$AC$27)*模板计算相关数据!$AC$28))*Q579*Z579)</f>
        <v>411</v>
      </c>
      <c r="AK579" s="3">
        <f>INT(VLOOKUP(U579,模板计算相关数据!A:N,3,0)/模板计算相关数据!$W$35/(1+MAX(0,(AO579/10000-VLOOKUP(U579,模板计算相关数据!A:N,9,0)))*AP579/10000)/(1-VLOOKUP(U579,模板计算相关数据!A:N,5,0)/(VLOOKUP(U579,模板计算相关数据!A:N,5,0)+(VLOOKUP(U579,模板计算相关数据!A:N,2,0)+模板计算相关数据!$AC$27)*模板计算相关数据!$AC$28))/S579*AA579)</f>
        <v>86</v>
      </c>
      <c r="AL579" s="3">
        <f>INT(VLOOKUP(U579,模板计算相关数据!A:N,5,0)*VLOOKUP(X579,模板计算相关数据!$P$4:$T$7,4,0)*VLOOKUP(Y579,模板计算相关数据!$P$22:$U$30,4,0)*AB579)</f>
        <v>145</v>
      </c>
      <c r="AM579" s="3">
        <f>INT(VLOOKUP(U579,模板计算相关数据!A:N,6,0)*VLOOKUP(X579,模板计算相关数据!$P$4:$T$7,4,0)*VLOOKUP(Y579,模板计算相关数据!$P$22:$U$30,5,0)*AC579)</f>
        <v>264</v>
      </c>
      <c r="AN579" s="3">
        <f>VLOOKUP(U579,模板计算相关数据!A:N,10,0)*0.5*VLOOKUP(Y579,模板计算相关数据!$P$22:$U$30,6,0)+AD579</f>
        <v>275</v>
      </c>
      <c r="AO579" s="3">
        <f>VLOOKUP(INT(VLOOKUP(U579,模板计算相关数据!A:N,2,0)/30)+1,模板计算相关数据!$O$35:$U$40,3,0)+AE579</f>
        <v>0</v>
      </c>
      <c r="AP579" s="3">
        <f>VLOOKUP(INT(VLOOKUP(U579,模板计算相关数据!A:N,2,0)/30)+1,模板计算相关数据!$O$35:$U$40,4,0)+AF579</f>
        <v>5000</v>
      </c>
      <c r="AQ579" s="3">
        <f>VLOOKUP(INT(VLOOKUP(U579,模板计算相关数据!A:N,2,0)/30)+1,模板计算相关数据!$O$35:$U$40,5,0)+AG579</f>
        <v>0</v>
      </c>
      <c r="AR579" s="3">
        <f>VLOOKUP(INT(VLOOKUP(U579,模板计算相关数据!A:N,2,0)/30)+1,模板计算相关数据!$O$35:$U$40,6,0)+AH579</f>
        <v>0</v>
      </c>
      <c r="AS579" s="3">
        <f>VLOOKUP(INT(VLOOKUP(U579,模板计算相关数据!A:N,2,0)/30)+1,模板计算相关数据!$O$35:$U$40,7,0)+AI579</f>
        <v>0</v>
      </c>
      <c r="AT579" s="3">
        <f>VLOOKUP(INT(VLOOKUP(U579,模板计算相关数据!A:N,2,0)/30)+1,模板计算相关数据!$O$35:$V$40,8,0)</f>
        <v>0</v>
      </c>
      <c r="AU579" s="2"/>
    </row>
    <row r="580" spans="1:47" x14ac:dyDescent="0.2">
      <c r="A580" s="2">
        <v>307520</v>
      </c>
      <c r="B580" s="2"/>
      <c r="C580" s="2" t="s">
        <v>389</v>
      </c>
      <c r="D580" s="2" t="s">
        <v>1167</v>
      </c>
      <c r="E580" s="2"/>
      <c r="F580" s="127">
        <v>3</v>
      </c>
      <c r="G580" s="127">
        <v>101</v>
      </c>
      <c r="H580" s="3">
        <v>2</v>
      </c>
      <c r="I580" s="127">
        <v>5</v>
      </c>
      <c r="J580" s="127">
        <v>1</v>
      </c>
      <c r="K580" s="3"/>
      <c r="L580" s="2" t="s">
        <v>390</v>
      </c>
      <c r="M580" s="2"/>
      <c r="N580" s="2">
        <v>1</v>
      </c>
      <c r="O580" s="2"/>
      <c r="P580" s="3" t="s">
        <v>1615</v>
      </c>
      <c r="Q580" s="95">
        <f t="shared" si="61"/>
        <v>6.9411764705882364</v>
      </c>
      <c r="R580" s="133">
        <f>IF(P580=模板计算相关数据!$AB$24,VLOOKUP(X580,模板计算相关数据!$P$47:$T$50,2,0),VLOOKUP(X580,模板计算相关数据!$P$4:$U$7,3,0))*VLOOKUP(Y580,模板计算相关数据!$P$22:$X$30,8,0)</f>
        <v>6.9411764705882364</v>
      </c>
      <c r="S580" s="62">
        <f t="shared" si="62"/>
        <v>8.2943498888557112</v>
      </c>
      <c r="T580" s="133">
        <f>IF(P580=模板计算相关数据!$AB$24,VLOOKUP(X580,模板计算相关数据!$P$47:$T$50,5,0),VLOOKUP(X580,模板计算相关数据!$P$4:$U$7,6,0))*VLOOKUP(Y580,模板计算相关数据!$P$22:$X$30,9,0)</f>
        <v>8.2943498888557112</v>
      </c>
      <c r="U580" s="98">
        <v>1</v>
      </c>
      <c r="V580" s="95">
        <f t="shared" si="63"/>
        <v>4</v>
      </c>
      <c r="W580" s="29">
        <f>VLOOKUP(U580,模板计算相关数据!A:N,2,0)</f>
        <v>1</v>
      </c>
      <c r="X580" s="3" t="s">
        <v>151</v>
      </c>
      <c r="Y580" s="3" t="s">
        <v>234</v>
      </c>
      <c r="Z580" s="99">
        <v>1</v>
      </c>
      <c r="AA580" s="95">
        <v>1</v>
      </c>
      <c r="AB580" s="95">
        <v>1</v>
      </c>
      <c r="AC580" s="95">
        <v>1</v>
      </c>
      <c r="AD580" s="95">
        <v>0</v>
      </c>
      <c r="AE580" s="95">
        <v>0</v>
      </c>
      <c r="AF580" s="95">
        <v>0</v>
      </c>
      <c r="AG580" s="95">
        <v>0</v>
      </c>
      <c r="AH580" s="95">
        <v>0</v>
      </c>
      <c r="AI580" s="95">
        <v>0</v>
      </c>
      <c r="AJ580" s="3">
        <f>INT(VLOOKUP(U580,模板计算相关数据!A:N,4,0)*VLOOKUP(U580,模板计算相关数据!A:N,14,0)*(1+MAX(0,(VLOOKUP(U580,模板计算相关数据!A:N,7,0)-AQ580))*VLOOKUP(U580,模板计算相关数据!A:N,8,0))*(1-(AL580+AM580)*0.5/((AL580+AM580)*0.5+(VLOOKUP(U580,模板计算相关数据!A:N,2,0)+模板计算相关数据!$AC$27)*模板计算相关数据!$AC$28))*Q580*Z580)</f>
        <v>487</v>
      </c>
      <c r="AK580" s="3">
        <f>INT(VLOOKUP(U580,模板计算相关数据!A:N,3,0)/模板计算相关数据!$W$35/(1+MAX(0,(AO580/10000-VLOOKUP(U580,模板计算相关数据!A:N,9,0)))*AP580/10000)/(1-VLOOKUP(U580,模板计算相关数据!A:N,5,0)/(VLOOKUP(U580,模板计算相关数据!A:N,5,0)+(VLOOKUP(U580,模板计算相关数据!A:N,2,0)+模板计算相关数据!$AC$27)*模板计算相关数据!$AC$28))/S580*AA580)</f>
        <v>67</v>
      </c>
      <c r="AL580" s="3">
        <f>INT(VLOOKUP(U580,模板计算相关数据!A:N,5,0)*VLOOKUP(X580,模板计算相关数据!$P$4:$T$7,4,0)*VLOOKUP(Y580,模板计算相关数据!$P$22:$U$30,4,0)*AB580)</f>
        <v>153</v>
      </c>
      <c r="AM580" s="3">
        <f>INT(VLOOKUP(U580,模板计算相关数据!A:N,6,0)*VLOOKUP(X580,模板计算相关数据!$P$4:$T$7,4,0)*VLOOKUP(Y580,模板计算相关数据!$P$22:$U$30,5,0)*AC580)</f>
        <v>277</v>
      </c>
      <c r="AN580" s="3">
        <f>VLOOKUP(U580,模板计算相关数据!A:N,10,0)*0.5*VLOOKUP(Y580,模板计算相关数据!$P$22:$U$30,6,0)+AD580</f>
        <v>225</v>
      </c>
      <c r="AO580" s="3">
        <f>VLOOKUP(INT(VLOOKUP(U580,模板计算相关数据!A:N,2,0)/30)+1,模板计算相关数据!$O$35:$U$40,3,0)+AE580</f>
        <v>0</v>
      </c>
      <c r="AP580" s="3">
        <f>VLOOKUP(INT(VLOOKUP(U580,模板计算相关数据!A:N,2,0)/30)+1,模板计算相关数据!$O$35:$U$40,4,0)+AF580</f>
        <v>5000</v>
      </c>
      <c r="AQ580" s="3">
        <f>VLOOKUP(INT(VLOOKUP(U580,模板计算相关数据!A:N,2,0)/30)+1,模板计算相关数据!$O$35:$U$40,5,0)+AG580</f>
        <v>0</v>
      </c>
      <c r="AR580" s="3">
        <f>VLOOKUP(INT(VLOOKUP(U580,模板计算相关数据!A:N,2,0)/30)+1,模板计算相关数据!$O$35:$U$40,6,0)+AH580</f>
        <v>0</v>
      </c>
      <c r="AS580" s="3">
        <f>VLOOKUP(INT(VLOOKUP(U580,模板计算相关数据!A:N,2,0)/30)+1,模板计算相关数据!$O$35:$U$40,7,0)+AI580</f>
        <v>0</v>
      </c>
      <c r="AT580" s="3">
        <f>VLOOKUP(INT(VLOOKUP(U580,模板计算相关数据!A:N,2,0)/30)+1,模板计算相关数据!$O$35:$V$40,8,0)</f>
        <v>0</v>
      </c>
      <c r="AU580" s="2"/>
    </row>
    <row r="581" spans="1:47" x14ac:dyDescent="0.2">
      <c r="A581" s="2">
        <v>307521</v>
      </c>
      <c r="B581" s="2"/>
      <c r="C581" s="2" t="s">
        <v>389</v>
      </c>
      <c r="D581" s="2" t="s">
        <v>1168</v>
      </c>
      <c r="E581" s="2"/>
      <c r="F581" s="127">
        <v>3</v>
      </c>
      <c r="G581" s="127">
        <v>101</v>
      </c>
      <c r="H581" s="3">
        <v>2</v>
      </c>
      <c r="I581" s="127">
        <v>5</v>
      </c>
      <c r="J581" s="127">
        <v>1</v>
      </c>
      <c r="K581" s="3"/>
      <c r="L581" s="2" t="s">
        <v>391</v>
      </c>
      <c r="M581" s="2"/>
      <c r="N581" s="2">
        <v>1</v>
      </c>
      <c r="O581" s="2"/>
      <c r="P581" s="3" t="s">
        <v>1615</v>
      </c>
      <c r="Q581" s="95">
        <f t="shared" si="61"/>
        <v>6.9411764705882364</v>
      </c>
      <c r="R581" s="133">
        <f>IF(P581=模板计算相关数据!$AB$24,VLOOKUP(X581,模板计算相关数据!$P$47:$T$50,2,0),VLOOKUP(X581,模板计算相关数据!$P$4:$U$7,3,0))*VLOOKUP(Y581,模板计算相关数据!$P$22:$X$30,8,0)</f>
        <v>6.9411764705882364</v>
      </c>
      <c r="S581" s="62">
        <f t="shared" si="62"/>
        <v>8.2943498888557112</v>
      </c>
      <c r="T581" s="133">
        <f>IF(P581=模板计算相关数据!$AB$24,VLOOKUP(X581,模板计算相关数据!$P$47:$T$50,5,0),VLOOKUP(X581,模板计算相关数据!$P$4:$U$7,6,0))*VLOOKUP(Y581,模板计算相关数据!$P$22:$X$30,9,0)</f>
        <v>8.2943498888557112</v>
      </c>
      <c r="U581" s="98">
        <v>1</v>
      </c>
      <c r="V581" s="95">
        <f t="shared" si="63"/>
        <v>4</v>
      </c>
      <c r="W581" s="29">
        <f>VLOOKUP(U581,模板计算相关数据!A:N,2,0)</f>
        <v>1</v>
      </c>
      <c r="X581" s="3" t="s">
        <v>151</v>
      </c>
      <c r="Y581" s="3" t="s">
        <v>234</v>
      </c>
      <c r="Z581" s="99">
        <v>1</v>
      </c>
      <c r="AA581" s="95">
        <v>1</v>
      </c>
      <c r="AB581" s="95">
        <v>1</v>
      </c>
      <c r="AC581" s="95">
        <v>1</v>
      </c>
      <c r="AD581" s="95">
        <v>0</v>
      </c>
      <c r="AE581" s="95">
        <v>0</v>
      </c>
      <c r="AF581" s="95">
        <v>0</v>
      </c>
      <c r="AG581" s="95">
        <v>0</v>
      </c>
      <c r="AH581" s="95">
        <v>0</v>
      </c>
      <c r="AI581" s="95">
        <v>0</v>
      </c>
      <c r="AJ581" s="3">
        <f>INT(VLOOKUP(U581,模板计算相关数据!A:N,4,0)*VLOOKUP(U581,模板计算相关数据!A:N,14,0)*(1+MAX(0,(VLOOKUP(U581,模板计算相关数据!A:N,7,0)-AQ581))*VLOOKUP(U581,模板计算相关数据!A:N,8,0))*(1-(AL581+AM581)*0.5/((AL581+AM581)*0.5+(VLOOKUP(U581,模板计算相关数据!A:N,2,0)+模板计算相关数据!$AC$27)*模板计算相关数据!$AC$28))*Q581*Z581)</f>
        <v>487</v>
      </c>
      <c r="AK581" s="3">
        <f>INT(VLOOKUP(U581,模板计算相关数据!A:N,3,0)/模板计算相关数据!$W$35/(1+MAX(0,(AO581/10000-VLOOKUP(U581,模板计算相关数据!A:N,9,0)))*AP581/10000)/(1-VLOOKUP(U581,模板计算相关数据!A:N,5,0)/(VLOOKUP(U581,模板计算相关数据!A:N,5,0)+(VLOOKUP(U581,模板计算相关数据!A:N,2,0)+模板计算相关数据!$AC$27)*模板计算相关数据!$AC$28))/S581*AA581)</f>
        <v>67</v>
      </c>
      <c r="AL581" s="3">
        <f>INT(VLOOKUP(U581,模板计算相关数据!A:N,5,0)*VLOOKUP(X581,模板计算相关数据!$P$4:$T$7,4,0)*VLOOKUP(Y581,模板计算相关数据!$P$22:$U$30,4,0)*AB581)</f>
        <v>153</v>
      </c>
      <c r="AM581" s="3">
        <f>INT(VLOOKUP(U581,模板计算相关数据!A:N,6,0)*VLOOKUP(X581,模板计算相关数据!$P$4:$T$7,4,0)*VLOOKUP(Y581,模板计算相关数据!$P$22:$U$30,5,0)*AC581)</f>
        <v>277</v>
      </c>
      <c r="AN581" s="3">
        <f>VLOOKUP(U581,模板计算相关数据!A:N,10,0)*0.5*VLOOKUP(Y581,模板计算相关数据!$P$22:$U$30,6,0)+AD581</f>
        <v>225</v>
      </c>
      <c r="AO581" s="3">
        <f>VLOOKUP(INT(VLOOKUP(U581,模板计算相关数据!A:N,2,0)/30)+1,模板计算相关数据!$O$35:$U$40,3,0)+AE581</f>
        <v>0</v>
      </c>
      <c r="AP581" s="3">
        <f>VLOOKUP(INT(VLOOKUP(U581,模板计算相关数据!A:N,2,0)/30)+1,模板计算相关数据!$O$35:$U$40,4,0)+AF581</f>
        <v>5000</v>
      </c>
      <c r="AQ581" s="3">
        <f>VLOOKUP(INT(VLOOKUP(U581,模板计算相关数据!A:N,2,0)/30)+1,模板计算相关数据!$O$35:$U$40,5,0)+AG581</f>
        <v>0</v>
      </c>
      <c r="AR581" s="3">
        <f>VLOOKUP(INT(VLOOKUP(U581,模板计算相关数据!A:N,2,0)/30)+1,模板计算相关数据!$O$35:$U$40,6,0)+AH581</f>
        <v>0</v>
      </c>
      <c r="AS581" s="3">
        <f>VLOOKUP(INT(VLOOKUP(U581,模板计算相关数据!A:N,2,0)/30)+1,模板计算相关数据!$O$35:$U$40,7,0)+AI581</f>
        <v>0</v>
      </c>
      <c r="AT581" s="3">
        <f>VLOOKUP(INT(VLOOKUP(U581,模板计算相关数据!A:N,2,0)/30)+1,模板计算相关数据!$O$35:$V$40,8,0)</f>
        <v>0</v>
      </c>
      <c r="AU581" s="2"/>
    </row>
    <row r="582" spans="1:47" x14ac:dyDescent="0.2">
      <c r="A582" s="2">
        <v>307522</v>
      </c>
      <c r="B582" s="2"/>
      <c r="C582" s="2" t="s">
        <v>389</v>
      </c>
      <c r="D582" s="2" t="s">
        <v>1169</v>
      </c>
      <c r="E582" s="2"/>
      <c r="F582" s="127">
        <v>3</v>
      </c>
      <c r="G582" s="127">
        <v>101</v>
      </c>
      <c r="H582" s="3">
        <v>2</v>
      </c>
      <c r="I582" s="127">
        <v>5</v>
      </c>
      <c r="J582" s="127">
        <v>1</v>
      </c>
      <c r="K582" s="3"/>
      <c r="L582" s="2" t="s">
        <v>392</v>
      </c>
      <c r="M582" s="2"/>
      <c r="N582" s="2">
        <v>1</v>
      </c>
      <c r="O582" s="2"/>
      <c r="P582" s="3" t="s">
        <v>1615</v>
      </c>
      <c r="Q582" s="95">
        <f t="shared" si="61"/>
        <v>6.9411764705882364</v>
      </c>
      <c r="R582" s="133">
        <f>IF(P582=模板计算相关数据!$AB$24,VLOOKUP(X582,模板计算相关数据!$P$47:$T$50,2,0),VLOOKUP(X582,模板计算相关数据!$P$4:$U$7,3,0))*VLOOKUP(Y582,模板计算相关数据!$P$22:$X$30,8,0)</f>
        <v>6.9411764705882364</v>
      </c>
      <c r="S582" s="62">
        <f t="shared" si="62"/>
        <v>8.2943498888557112</v>
      </c>
      <c r="T582" s="133">
        <f>IF(P582=模板计算相关数据!$AB$24,VLOOKUP(X582,模板计算相关数据!$P$47:$T$50,5,0),VLOOKUP(X582,模板计算相关数据!$P$4:$U$7,6,0))*VLOOKUP(Y582,模板计算相关数据!$P$22:$X$30,9,0)</f>
        <v>8.2943498888557112</v>
      </c>
      <c r="U582" s="98">
        <v>1</v>
      </c>
      <c r="V582" s="95">
        <f t="shared" si="63"/>
        <v>4</v>
      </c>
      <c r="W582" s="29">
        <f>VLOOKUP(U582,模板计算相关数据!A:N,2,0)</f>
        <v>1</v>
      </c>
      <c r="X582" s="3" t="s">
        <v>151</v>
      </c>
      <c r="Y582" s="3" t="s">
        <v>234</v>
      </c>
      <c r="Z582" s="99">
        <v>1</v>
      </c>
      <c r="AA582" s="95">
        <v>1</v>
      </c>
      <c r="AB582" s="95">
        <v>1</v>
      </c>
      <c r="AC582" s="95">
        <v>1</v>
      </c>
      <c r="AD582" s="95">
        <v>0</v>
      </c>
      <c r="AE582" s="95">
        <v>0</v>
      </c>
      <c r="AF582" s="95">
        <v>0</v>
      </c>
      <c r="AG582" s="95">
        <v>0</v>
      </c>
      <c r="AH582" s="95">
        <v>0</v>
      </c>
      <c r="AI582" s="95">
        <v>0</v>
      </c>
      <c r="AJ582" s="3">
        <f>INT(VLOOKUP(U582,模板计算相关数据!A:N,4,0)*VLOOKUP(U582,模板计算相关数据!A:N,14,0)*(1+MAX(0,(VLOOKUP(U582,模板计算相关数据!A:N,7,0)-AQ582))*VLOOKUP(U582,模板计算相关数据!A:N,8,0))*(1-(AL582+AM582)*0.5/((AL582+AM582)*0.5+(VLOOKUP(U582,模板计算相关数据!A:N,2,0)+模板计算相关数据!$AC$27)*模板计算相关数据!$AC$28))*Q582*Z582)</f>
        <v>487</v>
      </c>
      <c r="AK582" s="3">
        <f>INT(VLOOKUP(U582,模板计算相关数据!A:N,3,0)/模板计算相关数据!$W$35/(1+MAX(0,(AO582/10000-VLOOKUP(U582,模板计算相关数据!A:N,9,0)))*AP582/10000)/(1-VLOOKUP(U582,模板计算相关数据!A:N,5,0)/(VLOOKUP(U582,模板计算相关数据!A:N,5,0)+(VLOOKUP(U582,模板计算相关数据!A:N,2,0)+模板计算相关数据!$AC$27)*模板计算相关数据!$AC$28))/S582*AA582)</f>
        <v>67</v>
      </c>
      <c r="AL582" s="3">
        <f>INT(VLOOKUP(U582,模板计算相关数据!A:N,5,0)*VLOOKUP(X582,模板计算相关数据!$P$4:$T$7,4,0)*VLOOKUP(Y582,模板计算相关数据!$P$22:$U$30,4,0)*AB582)</f>
        <v>153</v>
      </c>
      <c r="AM582" s="3">
        <f>INT(VLOOKUP(U582,模板计算相关数据!A:N,6,0)*VLOOKUP(X582,模板计算相关数据!$P$4:$T$7,4,0)*VLOOKUP(Y582,模板计算相关数据!$P$22:$U$30,5,0)*AC582)</f>
        <v>277</v>
      </c>
      <c r="AN582" s="3">
        <f>VLOOKUP(U582,模板计算相关数据!A:N,10,0)*0.5*VLOOKUP(Y582,模板计算相关数据!$P$22:$U$30,6,0)+AD582</f>
        <v>225</v>
      </c>
      <c r="AO582" s="3">
        <f>VLOOKUP(INT(VLOOKUP(U582,模板计算相关数据!A:N,2,0)/30)+1,模板计算相关数据!$O$35:$U$40,3,0)+AE582</f>
        <v>0</v>
      </c>
      <c r="AP582" s="3">
        <f>VLOOKUP(INT(VLOOKUP(U582,模板计算相关数据!A:N,2,0)/30)+1,模板计算相关数据!$O$35:$U$40,4,0)+AF582</f>
        <v>5000</v>
      </c>
      <c r="AQ582" s="3">
        <f>VLOOKUP(INT(VLOOKUP(U582,模板计算相关数据!A:N,2,0)/30)+1,模板计算相关数据!$O$35:$U$40,5,0)+AG582</f>
        <v>0</v>
      </c>
      <c r="AR582" s="3">
        <f>VLOOKUP(INT(VLOOKUP(U582,模板计算相关数据!A:N,2,0)/30)+1,模板计算相关数据!$O$35:$U$40,6,0)+AH582</f>
        <v>0</v>
      </c>
      <c r="AS582" s="3">
        <f>VLOOKUP(INT(VLOOKUP(U582,模板计算相关数据!A:N,2,0)/30)+1,模板计算相关数据!$O$35:$U$40,7,0)+AI582</f>
        <v>0</v>
      </c>
      <c r="AT582" s="3">
        <f>VLOOKUP(INT(VLOOKUP(U582,模板计算相关数据!A:N,2,0)/30)+1,模板计算相关数据!$O$35:$V$40,8,0)</f>
        <v>0</v>
      </c>
      <c r="AU582" s="2"/>
    </row>
    <row r="583" spans="1:47" x14ac:dyDescent="0.2">
      <c r="A583" s="2">
        <v>307523</v>
      </c>
      <c r="B583" s="2"/>
      <c r="C583" s="2" t="s">
        <v>389</v>
      </c>
      <c r="D583" s="2" t="s">
        <v>1170</v>
      </c>
      <c r="E583" s="2"/>
      <c r="F583" s="127">
        <v>3</v>
      </c>
      <c r="G583" s="127">
        <v>101</v>
      </c>
      <c r="H583" s="3">
        <v>2</v>
      </c>
      <c r="I583" s="127">
        <v>5</v>
      </c>
      <c r="J583" s="127">
        <v>1</v>
      </c>
      <c r="K583" s="3"/>
      <c r="L583" s="2" t="s">
        <v>393</v>
      </c>
      <c r="M583" s="2"/>
      <c r="N583" s="2">
        <v>1</v>
      </c>
      <c r="O583" s="2"/>
      <c r="P583" s="3" t="s">
        <v>1615</v>
      </c>
      <c r="Q583" s="95">
        <f t="shared" si="61"/>
        <v>6.9411764705882364</v>
      </c>
      <c r="R583" s="133">
        <f>IF(P583=模板计算相关数据!$AB$24,VLOOKUP(X583,模板计算相关数据!$P$47:$T$50,2,0),VLOOKUP(X583,模板计算相关数据!$P$4:$U$7,3,0))*VLOOKUP(Y583,模板计算相关数据!$P$22:$X$30,8,0)</f>
        <v>6.9411764705882364</v>
      </c>
      <c r="S583" s="62">
        <f t="shared" si="62"/>
        <v>8.2943498888557112</v>
      </c>
      <c r="T583" s="133">
        <f>IF(P583=模板计算相关数据!$AB$24,VLOOKUP(X583,模板计算相关数据!$P$47:$T$50,5,0),VLOOKUP(X583,模板计算相关数据!$P$4:$U$7,6,0))*VLOOKUP(Y583,模板计算相关数据!$P$22:$X$30,9,0)</f>
        <v>8.2943498888557112</v>
      </c>
      <c r="U583" s="98">
        <v>1</v>
      </c>
      <c r="V583" s="95">
        <f t="shared" si="63"/>
        <v>4</v>
      </c>
      <c r="W583" s="29">
        <f>VLOOKUP(U583,模板计算相关数据!A:N,2,0)</f>
        <v>1</v>
      </c>
      <c r="X583" s="3" t="s">
        <v>151</v>
      </c>
      <c r="Y583" s="3" t="s">
        <v>234</v>
      </c>
      <c r="Z583" s="99">
        <v>1</v>
      </c>
      <c r="AA583" s="95">
        <v>1</v>
      </c>
      <c r="AB583" s="95">
        <v>1</v>
      </c>
      <c r="AC583" s="95">
        <v>1</v>
      </c>
      <c r="AD583" s="95">
        <v>0</v>
      </c>
      <c r="AE583" s="95">
        <v>0</v>
      </c>
      <c r="AF583" s="95">
        <v>0</v>
      </c>
      <c r="AG583" s="95">
        <v>0</v>
      </c>
      <c r="AH583" s="95">
        <v>0</v>
      </c>
      <c r="AI583" s="95">
        <v>0</v>
      </c>
      <c r="AJ583" s="3">
        <f>INT(VLOOKUP(U583,模板计算相关数据!A:N,4,0)*VLOOKUP(U583,模板计算相关数据!A:N,14,0)*(1+MAX(0,(VLOOKUP(U583,模板计算相关数据!A:N,7,0)-AQ583))*VLOOKUP(U583,模板计算相关数据!A:N,8,0))*(1-(AL583+AM583)*0.5/((AL583+AM583)*0.5+(VLOOKUP(U583,模板计算相关数据!A:N,2,0)+模板计算相关数据!$AC$27)*模板计算相关数据!$AC$28))*Q583*Z583)</f>
        <v>487</v>
      </c>
      <c r="AK583" s="3">
        <f>INT(VLOOKUP(U583,模板计算相关数据!A:N,3,0)/模板计算相关数据!$W$35/(1+MAX(0,(AO583/10000-VLOOKUP(U583,模板计算相关数据!A:N,9,0)))*AP583/10000)/(1-VLOOKUP(U583,模板计算相关数据!A:N,5,0)/(VLOOKUP(U583,模板计算相关数据!A:N,5,0)+(VLOOKUP(U583,模板计算相关数据!A:N,2,0)+模板计算相关数据!$AC$27)*模板计算相关数据!$AC$28))/S583*AA583)</f>
        <v>67</v>
      </c>
      <c r="AL583" s="3">
        <f>INT(VLOOKUP(U583,模板计算相关数据!A:N,5,0)*VLOOKUP(X583,模板计算相关数据!$P$4:$T$7,4,0)*VLOOKUP(Y583,模板计算相关数据!$P$22:$U$30,4,0)*AB583)</f>
        <v>153</v>
      </c>
      <c r="AM583" s="3">
        <f>INT(VLOOKUP(U583,模板计算相关数据!A:N,6,0)*VLOOKUP(X583,模板计算相关数据!$P$4:$T$7,4,0)*VLOOKUP(Y583,模板计算相关数据!$P$22:$U$30,5,0)*AC583)</f>
        <v>277</v>
      </c>
      <c r="AN583" s="3">
        <f>VLOOKUP(U583,模板计算相关数据!A:N,10,0)*0.5*VLOOKUP(Y583,模板计算相关数据!$P$22:$U$30,6,0)+AD583</f>
        <v>225</v>
      </c>
      <c r="AO583" s="3">
        <f>VLOOKUP(INT(VLOOKUP(U583,模板计算相关数据!A:N,2,0)/30)+1,模板计算相关数据!$O$35:$U$40,3,0)+AE583</f>
        <v>0</v>
      </c>
      <c r="AP583" s="3">
        <f>VLOOKUP(INT(VLOOKUP(U583,模板计算相关数据!A:N,2,0)/30)+1,模板计算相关数据!$O$35:$U$40,4,0)+AF583</f>
        <v>5000</v>
      </c>
      <c r="AQ583" s="3">
        <f>VLOOKUP(INT(VLOOKUP(U583,模板计算相关数据!A:N,2,0)/30)+1,模板计算相关数据!$O$35:$U$40,5,0)+AG583</f>
        <v>0</v>
      </c>
      <c r="AR583" s="3">
        <f>VLOOKUP(INT(VLOOKUP(U583,模板计算相关数据!A:N,2,0)/30)+1,模板计算相关数据!$O$35:$U$40,6,0)+AH583</f>
        <v>0</v>
      </c>
      <c r="AS583" s="3">
        <f>VLOOKUP(INT(VLOOKUP(U583,模板计算相关数据!A:N,2,0)/30)+1,模板计算相关数据!$O$35:$U$40,7,0)+AI583</f>
        <v>0</v>
      </c>
      <c r="AT583" s="3">
        <f>VLOOKUP(INT(VLOOKUP(U583,模板计算相关数据!A:N,2,0)/30)+1,模板计算相关数据!$O$35:$V$40,8,0)</f>
        <v>0</v>
      </c>
      <c r="AU583" s="2"/>
    </row>
    <row r="584" spans="1:47" x14ac:dyDescent="0.2">
      <c r="A584" s="2">
        <v>307524</v>
      </c>
      <c r="B584" s="2"/>
      <c r="C584" s="2" t="s">
        <v>389</v>
      </c>
      <c r="D584" s="2" t="s">
        <v>1171</v>
      </c>
      <c r="E584" s="2"/>
      <c r="F584" s="127">
        <v>3</v>
      </c>
      <c r="G584" s="127">
        <v>101</v>
      </c>
      <c r="H584" s="3">
        <v>2</v>
      </c>
      <c r="I584" s="127">
        <v>5</v>
      </c>
      <c r="J584" s="127">
        <v>1</v>
      </c>
      <c r="K584" s="3"/>
      <c r="L584" s="2" t="s">
        <v>394</v>
      </c>
      <c r="M584" s="2"/>
      <c r="N584" s="2">
        <v>1</v>
      </c>
      <c r="O584" s="2"/>
      <c r="P584" s="3" t="s">
        <v>1615</v>
      </c>
      <c r="Q584" s="95">
        <f t="shared" si="61"/>
        <v>6.9411764705882364</v>
      </c>
      <c r="R584" s="133">
        <f>IF(P584=模板计算相关数据!$AB$24,VLOOKUP(X584,模板计算相关数据!$P$47:$T$50,2,0),VLOOKUP(X584,模板计算相关数据!$P$4:$U$7,3,0))*VLOOKUP(Y584,模板计算相关数据!$P$22:$X$30,8,0)</f>
        <v>6.9411764705882364</v>
      </c>
      <c r="S584" s="62">
        <f t="shared" si="62"/>
        <v>8.2943498888557112</v>
      </c>
      <c r="T584" s="133">
        <f>IF(P584=模板计算相关数据!$AB$24,VLOOKUP(X584,模板计算相关数据!$P$47:$T$50,5,0),VLOOKUP(X584,模板计算相关数据!$P$4:$U$7,6,0))*VLOOKUP(Y584,模板计算相关数据!$P$22:$X$30,9,0)</f>
        <v>8.2943498888557112</v>
      </c>
      <c r="U584" s="98">
        <v>1</v>
      </c>
      <c r="V584" s="95">
        <f t="shared" si="63"/>
        <v>4</v>
      </c>
      <c r="W584" s="29">
        <f>VLOOKUP(U584,模板计算相关数据!A:N,2,0)</f>
        <v>1</v>
      </c>
      <c r="X584" s="3" t="s">
        <v>151</v>
      </c>
      <c r="Y584" s="3" t="s">
        <v>234</v>
      </c>
      <c r="Z584" s="99">
        <v>1</v>
      </c>
      <c r="AA584" s="95">
        <v>1</v>
      </c>
      <c r="AB584" s="95">
        <v>1</v>
      </c>
      <c r="AC584" s="95">
        <v>1</v>
      </c>
      <c r="AD584" s="95">
        <v>0</v>
      </c>
      <c r="AE584" s="95">
        <v>0</v>
      </c>
      <c r="AF584" s="95">
        <v>0</v>
      </c>
      <c r="AG584" s="95">
        <v>0</v>
      </c>
      <c r="AH584" s="95">
        <v>0</v>
      </c>
      <c r="AI584" s="95">
        <v>0</v>
      </c>
      <c r="AJ584" s="3">
        <f>INT(VLOOKUP(U584,模板计算相关数据!A:N,4,0)*VLOOKUP(U584,模板计算相关数据!A:N,14,0)*(1+MAX(0,(VLOOKUP(U584,模板计算相关数据!A:N,7,0)-AQ584))*VLOOKUP(U584,模板计算相关数据!A:N,8,0))*(1-(AL584+AM584)*0.5/((AL584+AM584)*0.5+(VLOOKUP(U584,模板计算相关数据!A:N,2,0)+模板计算相关数据!$AC$27)*模板计算相关数据!$AC$28))*Q584*Z584)</f>
        <v>487</v>
      </c>
      <c r="AK584" s="3">
        <f>INT(VLOOKUP(U584,模板计算相关数据!A:N,3,0)/模板计算相关数据!$W$35/(1+MAX(0,(AO584/10000-VLOOKUP(U584,模板计算相关数据!A:N,9,0)))*AP584/10000)/(1-VLOOKUP(U584,模板计算相关数据!A:N,5,0)/(VLOOKUP(U584,模板计算相关数据!A:N,5,0)+(VLOOKUP(U584,模板计算相关数据!A:N,2,0)+模板计算相关数据!$AC$27)*模板计算相关数据!$AC$28))/S584*AA584)</f>
        <v>67</v>
      </c>
      <c r="AL584" s="3">
        <f>INT(VLOOKUP(U584,模板计算相关数据!A:N,5,0)*VLOOKUP(X584,模板计算相关数据!$P$4:$T$7,4,0)*VLOOKUP(Y584,模板计算相关数据!$P$22:$U$30,4,0)*AB584)</f>
        <v>153</v>
      </c>
      <c r="AM584" s="3">
        <f>INT(VLOOKUP(U584,模板计算相关数据!A:N,6,0)*VLOOKUP(X584,模板计算相关数据!$P$4:$T$7,4,0)*VLOOKUP(Y584,模板计算相关数据!$P$22:$U$30,5,0)*AC584)</f>
        <v>277</v>
      </c>
      <c r="AN584" s="3">
        <f>VLOOKUP(U584,模板计算相关数据!A:N,10,0)*0.5*VLOOKUP(Y584,模板计算相关数据!$P$22:$U$30,6,0)+AD584</f>
        <v>225</v>
      </c>
      <c r="AO584" s="3">
        <f>VLOOKUP(INT(VLOOKUP(U584,模板计算相关数据!A:N,2,0)/30)+1,模板计算相关数据!$O$35:$U$40,3,0)+AE584</f>
        <v>0</v>
      </c>
      <c r="AP584" s="3">
        <f>VLOOKUP(INT(VLOOKUP(U584,模板计算相关数据!A:N,2,0)/30)+1,模板计算相关数据!$O$35:$U$40,4,0)+AF584</f>
        <v>5000</v>
      </c>
      <c r="AQ584" s="3">
        <f>VLOOKUP(INT(VLOOKUP(U584,模板计算相关数据!A:N,2,0)/30)+1,模板计算相关数据!$O$35:$U$40,5,0)+AG584</f>
        <v>0</v>
      </c>
      <c r="AR584" s="3">
        <f>VLOOKUP(INT(VLOOKUP(U584,模板计算相关数据!A:N,2,0)/30)+1,模板计算相关数据!$O$35:$U$40,6,0)+AH584</f>
        <v>0</v>
      </c>
      <c r="AS584" s="3">
        <f>VLOOKUP(INT(VLOOKUP(U584,模板计算相关数据!A:N,2,0)/30)+1,模板计算相关数据!$O$35:$U$40,7,0)+AI584</f>
        <v>0</v>
      </c>
      <c r="AT584" s="3">
        <f>VLOOKUP(INT(VLOOKUP(U584,模板计算相关数据!A:N,2,0)/30)+1,模板计算相关数据!$O$35:$V$40,8,0)</f>
        <v>0</v>
      </c>
      <c r="AU584" s="2"/>
    </row>
    <row r="585" spans="1:47" x14ac:dyDescent="0.2">
      <c r="A585" s="2">
        <v>307525</v>
      </c>
      <c r="B585" s="2"/>
      <c r="C585" s="2" t="s">
        <v>343</v>
      </c>
      <c r="D585" s="2" t="s">
        <v>1168</v>
      </c>
      <c r="E585" s="2"/>
      <c r="F585" s="127">
        <v>3</v>
      </c>
      <c r="G585" s="127">
        <v>101</v>
      </c>
      <c r="H585" s="3">
        <v>3</v>
      </c>
      <c r="I585" s="127">
        <v>5</v>
      </c>
      <c r="J585" s="127">
        <v>1</v>
      </c>
      <c r="K585" s="3"/>
      <c r="L585" s="2" t="s">
        <v>395</v>
      </c>
      <c r="M585" s="2"/>
      <c r="N585" s="2">
        <v>1</v>
      </c>
      <c r="O585" s="2"/>
      <c r="P585" s="3" t="s">
        <v>1615</v>
      </c>
      <c r="Q585" s="95">
        <f t="shared" si="61"/>
        <v>5.6000000000000014</v>
      </c>
      <c r="R585" s="133">
        <f>IF(P585=模板计算相关数据!$AB$24,VLOOKUP(X585,模板计算相关数据!$P$47:$T$50,2,0),VLOOKUP(X585,模板计算相关数据!$P$4:$U$7,3,0))*VLOOKUP(Y585,模板计算相关数据!$P$22:$X$30,8,0)</f>
        <v>5.6000000000000014</v>
      </c>
      <c r="S585" s="62">
        <f t="shared" si="62"/>
        <v>6.6693344004268367</v>
      </c>
      <c r="T585" s="133">
        <f>IF(P585=模板计算相关数据!$AB$24,VLOOKUP(X585,模板计算相关数据!$P$47:$T$50,5,0),VLOOKUP(X585,模板计算相关数据!$P$4:$U$7,6,0))*VLOOKUP(Y585,模板计算相关数据!$P$22:$X$30,9,0)</f>
        <v>6.6693344004268367</v>
      </c>
      <c r="U585" s="98">
        <v>1</v>
      </c>
      <c r="V585" s="95">
        <f t="shared" si="63"/>
        <v>4</v>
      </c>
      <c r="W585" s="29">
        <f>VLOOKUP(U585,模板计算相关数据!A:N,2,0)</f>
        <v>1</v>
      </c>
      <c r="X585" s="3" t="s">
        <v>151</v>
      </c>
      <c r="Y585" s="3" t="s">
        <v>255</v>
      </c>
      <c r="Z585" s="99">
        <v>1</v>
      </c>
      <c r="AA585" s="95">
        <v>1</v>
      </c>
      <c r="AB585" s="95">
        <v>1</v>
      </c>
      <c r="AC585" s="95">
        <v>1</v>
      </c>
      <c r="AD585" s="95">
        <v>0</v>
      </c>
      <c r="AE585" s="95">
        <v>0</v>
      </c>
      <c r="AF585" s="95">
        <v>0</v>
      </c>
      <c r="AG585" s="95">
        <v>0</v>
      </c>
      <c r="AH585" s="95">
        <v>0</v>
      </c>
      <c r="AI585" s="95">
        <v>0</v>
      </c>
      <c r="AJ585" s="3">
        <f>INT(VLOOKUP(U585,模板计算相关数据!A:N,4,0)*VLOOKUP(U585,模板计算相关数据!A:N,14,0)*(1+MAX(0,(VLOOKUP(U585,模板计算相关数据!A:N,7,0)-AQ585))*VLOOKUP(U585,模板计算相关数据!A:N,8,0))*(1-(AL585+AM585)*0.5/((AL585+AM585)*0.5+(VLOOKUP(U585,模板计算相关数据!A:N,2,0)+模板计算相关数据!$AC$27)*模板计算相关数据!$AC$28))*Q585*Z585)</f>
        <v>394</v>
      </c>
      <c r="AK585" s="3">
        <f>INT(VLOOKUP(U585,模板计算相关数据!A:N,3,0)/模板计算相关数据!$W$35/(1+MAX(0,(AO585/10000-VLOOKUP(U585,模板计算相关数据!A:N,9,0)))*AP585/10000)/(1-VLOOKUP(U585,模板计算相关数据!A:N,5,0)/(VLOOKUP(U585,模板计算相关数据!A:N,5,0)+(VLOOKUP(U585,模板计算相关数据!A:N,2,0)+模板计算相关数据!$AC$27)*模板计算相关数据!$AC$28))/S585*AA585)</f>
        <v>83</v>
      </c>
      <c r="AL585" s="3">
        <f>INT(VLOOKUP(U585,模板计算相关数据!A:N,5,0)*VLOOKUP(X585,模板计算相关数据!$P$4:$T$7,4,0)*VLOOKUP(Y585,模板计算相关数据!$P$22:$U$30,4,0)*AB585)</f>
        <v>149</v>
      </c>
      <c r="AM585" s="3">
        <f>INT(VLOOKUP(U585,模板计算相关数据!A:N,6,0)*VLOOKUP(X585,模板计算相关数据!$P$4:$T$7,4,0)*VLOOKUP(Y585,模板计算相关数据!$P$22:$U$30,5,0)*AC585)</f>
        <v>277</v>
      </c>
      <c r="AN585" s="3">
        <f>VLOOKUP(U585,模板计算相关数据!A:N,10,0)*0.5*VLOOKUP(Y585,模板计算相关数据!$P$22:$U$30,6,0)+AD585</f>
        <v>225</v>
      </c>
      <c r="AO585" s="3">
        <f>VLOOKUP(INT(VLOOKUP(U585,模板计算相关数据!A:N,2,0)/30)+1,模板计算相关数据!$O$35:$U$40,3,0)+AE585</f>
        <v>0</v>
      </c>
      <c r="AP585" s="3">
        <f>VLOOKUP(INT(VLOOKUP(U585,模板计算相关数据!A:N,2,0)/30)+1,模板计算相关数据!$O$35:$U$40,4,0)+AF585</f>
        <v>5000</v>
      </c>
      <c r="AQ585" s="3">
        <f>VLOOKUP(INT(VLOOKUP(U585,模板计算相关数据!A:N,2,0)/30)+1,模板计算相关数据!$O$35:$U$40,5,0)+AG585</f>
        <v>0</v>
      </c>
      <c r="AR585" s="3">
        <f>VLOOKUP(INT(VLOOKUP(U585,模板计算相关数据!A:N,2,0)/30)+1,模板计算相关数据!$O$35:$U$40,6,0)+AH585</f>
        <v>0</v>
      </c>
      <c r="AS585" s="3">
        <f>VLOOKUP(INT(VLOOKUP(U585,模板计算相关数据!A:N,2,0)/30)+1,模板计算相关数据!$O$35:$U$40,7,0)+AI585</f>
        <v>0</v>
      </c>
      <c r="AT585" s="3">
        <f>VLOOKUP(INT(VLOOKUP(U585,模板计算相关数据!A:N,2,0)/30)+1,模板计算相关数据!$O$35:$V$40,8,0)</f>
        <v>0</v>
      </c>
      <c r="AU585" s="2"/>
    </row>
    <row r="586" spans="1:47" x14ac:dyDescent="0.2">
      <c r="A586" s="2">
        <v>307526</v>
      </c>
      <c r="B586" s="2"/>
      <c r="C586" s="2" t="s">
        <v>343</v>
      </c>
      <c r="D586" s="2" t="s">
        <v>1169</v>
      </c>
      <c r="E586" s="2"/>
      <c r="F586" s="127">
        <v>3</v>
      </c>
      <c r="G586" s="127">
        <v>101</v>
      </c>
      <c r="H586" s="3">
        <v>3</v>
      </c>
      <c r="I586" s="127">
        <v>5</v>
      </c>
      <c r="J586" s="127">
        <v>1</v>
      </c>
      <c r="K586" s="3"/>
      <c r="L586" s="2" t="s">
        <v>396</v>
      </c>
      <c r="M586" s="2"/>
      <c r="N586" s="2">
        <v>1</v>
      </c>
      <c r="O586" s="2"/>
      <c r="P586" s="3" t="s">
        <v>1615</v>
      </c>
      <c r="Q586" s="95">
        <f t="shared" si="61"/>
        <v>5.6000000000000014</v>
      </c>
      <c r="R586" s="133">
        <f>IF(P586=模板计算相关数据!$AB$24,VLOOKUP(X586,模板计算相关数据!$P$47:$T$50,2,0),VLOOKUP(X586,模板计算相关数据!$P$4:$U$7,3,0))*VLOOKUP(Y586,模板计算相关数据!$P$22:$X$30,8,0)</f>
        <v>5.6000000000000014</v>
      </c>
      <c r="S586" s="62">
        <f t="shared" si="62"/>
        <v>6.6693344004268367</v>
      </c>
      <c r="T586" s="133">
        <f>IF(P586=模板计算相关数据!$AB$24,VLOOKUP(X586,模板计算相关数据!$P$47:$T$50,5,0),VLOOKUP(X586,模板计算相关数据!$P$4:$U$7,6,0))*VLOOKUP(Y586,模板计算相关数据!$P$22:$X$30,9,0)</f>
        <v>6.6693344004268367</v>
      </c>
      <c r="U586" s="98">
        <v>1</v>
      </c>
      <c r="V586" s="95">
        <f t="shared" si="63"/>
        <v>4</v>
      </c>
      <c r="W586" s="29">
        <f>VLOOKUP(U586,模板计算相关数据!A:N,2,0)</f>
        <v>1</v>
      </c>
      <c r="X586" s="3" t="s">
        <v>151</v>
      </c>
      <c r="Y586" s="3" t="s">
        <v>255</v>
      </c>
      <c r="Z586" s="99">
        <v>1</v>
      </c>
      <c r="AA586" s="95">
        <v>1</v>
      </c>
      <c r="AB586" s="95">
        <v>1</v>
      </c>
      <c r="AC586" s="95">
        <v>1</v>
      </c>
      <c r="AD586" s="95">
        <v>0</v>
      </c>
      <c r="AE586" s="95">
        <v>0</v>
      </c>
      <c r="AF586" s="95">
        <v>0</v>
      </c>
      <c r="AG586" s="95">
        <v>0</v>
      </c>
      <c r="AH586" s="95">
        <v>0</v>
      </c>
      <c r="AI586" s="95">
        <v>0</v>
      </c>
      <c r="AJ586" s="3">
        <f>INT(VLOOKUP(U586,模板计算相关数据!A:N,4,0)*VLOOKUP(U586,模板计算相关数据!A:N,14,0)*(1+MAX(0,(VLOOKUP(U586,模板计算相关数据!A:N,7,0)-AQ586))*VLOOKUP(U586,模板计算相关数据!A:N,8,0))*(1-(AL586+AM586)*0.5/((AL586+AM586)*0.5+(VLOOKUP(U586,模板计算相关数据!A:N,2,0)+模板计算相关数据!$AC$27)*模板计算相关数据!$AC$28))*Q586*Z586)</f>
        <v>394</v>
      </c>
      <c r="AK586" s="3">
        <f>INT(VLOOKUP(U586,模板计算相关数据!A:N,3,0)/模板计算相关数据!$W$35/(1+MAX(0,(AO586/10000-VLOOKUP(U586,模板计算相关数据!A:N,9,0)))*AP586/10000)/(1-VLOOKUP(U586,模板计算相关数据!A:N,5,0)/(VLOOKUP(U586,模板计算相关数据!A:N,5,0)+(VLOOKUP(U586,模板计算相关数据!A:N,2,0)+模板计算相关数据!$AC$27)*模板计算相关数据!$AC$28))/S586*AA586)</f>
        <v>83</v>
      </c>
      <c r="AL586" s="3">
        <f>INT(VLOOKUP(U586,模板计算相关数据!A:N,5,0)*VLOOKUP(X586,模板计算相关数据!$P$4:$T$7,4,0)*VLOOKUP(Y586,模板计算相关数据!$P$22:$U$30,4,0)*AB586)</f>
        <v>149</v>
      </c>
      <c r="AM586" s="3">
        <f>INT(VLOOKUP(U586,模板计算相关数据!A:N,6,0)*VLOOKUP(X586,模板计算相关数据!$P$4:$T$7,4,0)*VLOOKUP(Y586,模板计算相关数据!$P$22:$U$30,5,0)*AC586)</f>
        <v>277</v>
      </c>
      <c r="AN586" s="3">
        <f>VLOOKUP(U586,模板计算相关数据!A:N,10,0)*0.5*VLOOKUP(Y586,模板计算相关数据!$P$22:$U$30,6,0)+AD586</f>
        <v>225</v>
      </c>
      <c r="AO586" s="3">
        <f>VLOOKUP(INT(VLOOKUP(U586,模板计算相关数据!A:N,2,0)/30)+1,模板计算相关数据!$O$35:$U$40,3,0)+AE586</f>
        <v>0</v>
      </c>
      <c r="AP586" s="3">
        <f>VLOOKUP(INT(VLOOKUP(U586,模板计算相关数据!A:N,2,0)/30)+1,模板计算相关数据!$O$35:$U$40,4,0)+AF586</f>
        <v>5000</v>
      </c>
      <c r="AQ586" s="3">
        <f>VLOOKUP(INT(VLOOKUP(U586,模板计算相关数据!A:N,2,0)/30)+1,模板计算相关数据!$O$35:$U$40,5,0)+AG586</f>
        <v>0</v>
      </c>
      <c r="AR586" s="3">
        <f>VLOOKUP(INT(VLOOKUP(U586,模板计算相关数据!A:N,2,0)/30)+1,模板计算相关数据!$O$35:$U$40,6,0)+AH586</f>
        <v>0</v>
      </c>
      <c r="AS586" s="3">
        <f>VLOOKUP(INT(VLOOKUP(U586,模板计算相关数据!A:N,2,0)/30)+1,模板计算相关数据!$O$35:$U$40,7,0)+AI586</f>
        <v>0</v>
      </c>
      <c r="AT586" s="3">
        <f>VLOOKUP(INT(VLOOKUP(U586,模板计算相关数据!A:N,2,0)/30)+1,模板计算相关数据!$O$35:$V$40,8,0)</f>
        <v>0</v>
      </c>
      <c r="AU586" s="2"/>
    </row>
    <row r="587" spans="1:47" x14ac:dyDescent="0.2">
      <c r="A587" s="2">
        <v>307527</v>
      </c>
      <c r="B587" s="2"/>
      <c r="C587" s="2" t="s">
        <v>343</v>
      </c>
      <c r="D587" s="2" t="s">
        <v>1170</v>
      </c>
      <c r="E587" s="2"/>
      <c r="F587" s="127">
        <v>3</v>
      </c>
      <c r="G587" s="127">
        <v>101</v>
      </c>
      <c r="H587" s="3">
        <v>3</v>
      </c>
      <c r="I587" s="127">
        <v>5</v>
      </c>
      <c r="J587" s="127">
        <v>1</v>
      </c>
      <c r="K587" s="3"/>
      <c r="L587" s="2" t="s">
        <v>397</v>
      </c>
      <c r="M587" s="2"/>
      <c r="N587" s="2">
        <v>1</v>
      </c>
      <c r="O587" s="2"/>
      <c r="P587" s="3" t="s">
        <v>1615</v>
      </c>
      <c r="Q587" s="95">
        <f t="shared" si="61"/>
        <v>5.6000000000000014</v>
      </c>
      <c r="R587" s="133">
        <f>IF(P587=模板计算相关数据!$AB$24,VLOOKUP(X587,模板计算相关数据!$P$47:$T$50,2,0),VLOOKUP(X587,模板计算相关数据!$P$4:$U$7,3,0))*VLOOKUP(Y587,模板计算相关数据!$P$22:$X$30,8,0)</f>
        <v>5.6000000000000014</v>
      </c>
      <c r="S587" s="62">
        <f t="shared" si="62"/>
        <v>6.6693344004268367</v>
      </c>
      <c r="T587" s="133">
        <f>IF(P587=模板计算相关数据!$AB$24,VLOOKUP(X587,模板计算相关数据!$P$47:$T$50,5,0),VLOOKUP(X587,模板计算相关数据!$P$4:$U$7,6,0))*VLOOKUP(Y587,模板计算相关数据!$P$22:$X$30,9,0)</f>
        <v>6.6693344004268367</v>
      </c>
      <c r="U587" s="98">
        <v>1</v>
      </c>
      <c r="V587" s="95">
        <f t="shared" si="63"/>
        <v>4</v>
      </c>
      <c r="W587" s="29">
        <f>VLOOKUP(U587,模板计算相关数据!A:N,2,0)</f>
        <v>1</v>
      </c>
      <c r="X587" s="3" t="s">
        <v>151</v>
      </c>
      <c r="Y587" s="3" t="s">
        <v>255</v>
      </c>
      <c r="Z587" s="99">
        <v>1</v>
      </c>
      <c r="AA587" s="95">
        <v>1</v>
      </c>
      <c r="AB587" s="95">
        <v>1</v>
      </c>
      <c r="AC587" s="95">
        <v>1</v>
      </c>
      <c r="AD587" s="95">
        <v>0</v>
      </c>
      <c r="AE587" s="95">
        <v>0</v>
      </c>
      <c r="AF587" s="95">
        <v>0</v>
      </c>
      <c r="AG587" s="95">
        <v>0</v>
      </c>
      <c r="AH587" s="95">
        <v>0</v>
      </c>
      <c r="AI587" s="95">
        <v>0</v>
      </c>
      <c r="AJ587" s="3">
        <f>INT(VLOOKUP(U587,模板计算相关数据!A:N,4,0)*VLOOKUP(U587,模板计算相关数据!A:N,14,0)*(1+MAX(0,(VLOOKUP(U587,模板计算相关数据!A:N,7,0)-AQ587))*VLOOKUP(U587,模板计算相关数据!A:N,8,0))*(1-(AL587+AM587)*0.5/((AL587+AM587)*0.5+(VLOOKUP(U587,模板计算相关数据!A:N,2,0)+模板计算相关数据!$AC$27)*模板计算相关数据!$AC$28))*Q587*Z587)</f>
        <v>394</v>
      </c>
      <c r="AK587" s="3">
        <f>INT(VLOOKUP(U587,模板计算相关数据!A:N,3,0)/模板计算相关数据!$W$35/(1+MAX(0,(AO587/10000-VLOOKUP(U587,模板计算相关数据!A:N,9,0)))*AP587/10000)/(1-VLOOKUP(U587,模板计算相关数据!A:N,5,0)/(VLOOKUP(U587,模板计算相关数据!A:N,5,0)+(VLOOKUP(U587,模板计算相关数据!A:N,2,0)+模板计算相关数据!$AC$27)*模板计算相关数据!$AC$28))/S587*AA587)</f>
        <v>83</v>
      </c>
      <c r="AL587" s="3">
        <f>INT(VLOOKUP(U587,模板计算相关数据!A:N,5,0)*VLOOKUP(X587,模板计算相关数据!$P$4:$T$7,4,0)*VLOOKUP(Y587,模板计算相关数据!$P$22:$U$30,4,0)*AB587)</f>
        <v>149</v>
      </c>
      <c r="AM587" s="3">
        <f>INT(VLOOKUP(U587,模板计算相关数据!A:N,6,0)*VLOOKUP(X587,模板计算相关数据!$P$4:$T$7,4,0)*VLOOKUP(Y587,模板计算相关数据!$P$22:$U$30,5,0)*AC587)</f>
        <v>277</v>
      </c>
      <c r="AN587" s="3">
        <f>VLOOKUP(U587,模板计算相关数据!A:N,10,0)*0.5*VLOOKUP(Y587,模板计算相关数据!$P$22:$U$30,6,0)+AD587</f>
        <v>225</v>
      </c>
      <c r="AO587" s="3">
        <f>VLOOKUP(INT(VLOOKUP(U587,模板计算相关数据!A:N,2,0)/30)+1,模板计算相关数据!$O$35:$U$40,3,0)+AE587</f>
        <v>0</v>
      </c>
      <c r="AP587" s="3">
        <f>VLOOKUP(INT(VLOOKUP(U587,模板计算相关数据!A:N,2,0)/30)+1,模板计算相关数据!$O$35:$U$40,4,0)+AF587</f>
        <v>5000</v>
      </c>
      <c r="AQ587" s="3">
        <f>VLOOKUP(INT(VLOOKUP(U587,模板计算相关数据!A:N,2,0)/30)+1,模板计算相关数据!$O$35:$U$40,5,0)+AG587</f>
        <v>0</v>
      </c>
      <c r="AR587" s="3">
        <f>VLOOKUP(INT(VLOOKUP(U587,模板计算相关数据!A:N,2,0)/30)+1,模板计算相关数据!$O$35:$U$40,6,0)+AH587</f>
        <v>0</v>
      </c>
      <c r="AS587" s="3">
        <f>VLOOKUP(INT(VLOOKUP(U587,模板计算相关数据!A:N,2,0)/30)+1,模板计算相关数据!$O$35:$U$40,7,0)+AI587</f>
        <v>0</v>
      </c>
      <c r="AT587" s="3">
        <f>VLOOKUP(INT(VLOOKUP(U587,模板计算相关数据!A:N,2,0)/30)+1,模板计算相关数据!$O$35:$V$40,8,0)</f>
        <v>0</v>
      </c>
      <c r="AU587" s="2"/>
    </row>
    <row r="588" spans="1:47" x14ac:dyDescent="0.2">
      <c r="A588" s="2">
        <v>307528</v>
      </c>
      <c r="B588" s="2"/>
      <c r="C588" s="2" t="s">
        <v>343</v>
      </c>
      <c r="D588" s="2" t="s">
        <v>1171</v>
      </c>
      <c r="E588" s="2"/>
      <c r="F588" s="127">
        <v>3</v>
      </c>
      <c r="G588" s="127">
        <v>101</v>
      </c>
      <c r="H588" s="3">
        <v>3</v>
      </c>
      <c r="I588" s="127">
        <v>5</v>
      </c>
      <c r="J588" s="127">
        <v>1</v>
      </c>
      <c r="K588" s="3"/>
      <c r="L588" s="2" t="s">
        <v>398</v>
      </c>
      <c r="M588" s="2"/>
      <c r="N588" s="2">
        <v>1</v>
      </c>
      <c r="O588" s="2"/>
      <c r="P588" s="3" t="s">
        <v>1615</v>
      </c>
      <c r="Q588" s="95">
        <f t="shared" si="61"/>
        <v>5.6000000000000014</v>
      </c>
      <c r="R588" s="133">
        <f>IF(P588=模板计算相关数据!$AB$24,VLOOKUP(X588,模板计算相关数据!$P$47:$T$50,2,0),VLOOKUP(X588,模板计算相关数据!$P$4:$U$7,3,0))*VLOOKUP(Y588,模板计算相关数据!$P$22:$X$30,8,0)</f>
        <v>5.6000000000000014</v>
      </c>
      <c r="S588" s="62">
        <f t="shared" si="62"/>
        <v>6.6693344004268367</v>
      </c>
      <c r="T588" s="133">
        <f>IF(P588=模板计算相关数据!$AB$24,VLOOKUP(X588,模板计算相关数据!$P$47:$T$50,5,0),VLOOKUP(X588,模板计算相关数据!$P$4:$U$7,6,0))*VLOOKUP(Y588,模板计算相关数据!$P$22:$X$30,9,0)</f>
        <v>6.6693344004268367</v>
      </c>
      <c r="U588" s="98">
        <v>1</v>
      </c>
      <c r="V588" s="95">
        <f t="shared" si="63"/>
        <v>4</v>
      </c>
      <c r="W588" s="29">
        <f>VLOOKUP(U588,模板计算相关数据!A:N,2,0)</f>
        <v>1</v>
      </c>
      <c r="X588" s="3" t="s">
        <v>151</v>
      </c>
      <c r="Y588" s="3" t="s">
        <v>255</v>
      </c>
      <c r="Z588" s="99">
        <v>1</v>
      </c>
      <c r="AA588" s="95">
        <v>1</v>
      </c>
      <c r="AB588" s="95">
        <v>1</v>
      </c>
      <c r="AC588" s="95">
        <v>1</v>
      </c>
      <c r="AD588" s="95">
        <v>0</v>
      </c>
      <c r="AE588" s="95">
        <v>0</v>
      </c>
      <c r="AF588" s="95">
        <v>0</v>
      </c>
      <c r="AG588" s="95">
        <v>0</v>
      </c>
      <c r="AH588" s="95">
        <v>0</v>
      </c>
      <c r="AI588" s="95">
        <v>0</v>
      </c>
      <c r="AJ588" s="3">
        <f>INT(VLOOKUP(U588,模板计算相关数据!A:N,4,0)*VLOOKUP(U588,模板计算相关数据!A:N,14,0)*(1+MAX(0,(VLOOKUP(U588,模板计算相关数据!A:N,7,0)-AQ588))*VLOOKUP(U588,模板计算相关数据!A:N,8,0))*(1-(AL588+AM588)*0.5/((AL588+AM588)*0.5+(VLOOKUP(U588,模板计算相关数据!A:N,2,0)+模板计算相关数据!$AC$27)*模板计算相关数据!$AC$28))*Q588*Z588)</f>
        <v>394</v>
      </c>
      <c r="AK588" s="3">
        <f>INT(VLOOKUP(U588,模板计算相关数据!A:N,3,0)/模板计算相关数据!$W$35/(1+MAX(0,(AO588/10000-VLOOKUP(U588,模板计算相关数据!A:N,9,0)))*AP588/10000)/(1-VLOOKUP(U588,模板计算相关数据!A:N,5,0)/(VLOOKUP(U588,模板计算相关数据!A:N,5,0)+(VLOOKUP(U588,模板计算相关数据!A:N,2,0)+模板计算相关数据!$AC$27)*模板计算相关数据!$AC$28))/S588*AA588)</f>
        <v>83</v>
      </c>
      <c r="AL588" s="3">
        <f>INT(VLOOKUP(U588,模板计算相关数据!A:N,5,0)*VLOOKUP(X588,模板计算相关数据!$P$4:$T$7,4,0)*VLOOKUP(Y588,模板计算相关数据!$P$22:$U$30,4,0)*AB588)</f>
        <v>149</v>
      </c>
      <c r="AM588" s="3">
        <f>INT(VLOOKUP(U588,模板计算相关数据!A:N,6,0)*VLOOKUP(X588,模板计算相关数据!$P$4:$T$7,4,0)*VLOOKUP(Y588,模板计算相关数据!$P$22:$U$30,5,0)*AC588)</f>
        <v>277</v>
      </c>
      <c r="AN588" s="3">
        <f>VLOOKUP(U588,模板计算相关数据!A:N,10,0)*0.5*VLOOKUP(Y588,模板计算相关数据!$P$22:$U$30,6,0)+AD588</f>
        <v>225</v>
      </c>
      <c r="AO588" s="3">
        <f>VLOOKUP(INT(VLOOKUP(U588,模板计算相关数据!A:N,2,0)/30)+1,模板计算相关数据!$O$35:$U$40,3,0)+AE588</f>
        <v>0</v>
      </c>
      <c r="AP588" s="3">
        <f>VLOOKUP(INT(VLOOKUP(U588,模板计算相关数据!A:N,2,0)/30)+1,模板计算相关数据!$O$35:$U$40,4,0)+AF588</f>
        <v>5000</v>
      </c>
      <c r="AQ588" s="3">
        <f>VLOOKUP(INT(VLOOKUP(U588,模板计算相关数据!A:N,2,0)/30)+1,模板计算相关数据!$O$35:$U$40,5,0)+AG588</f>
        <v>0</v>
      </c>
      <c r="AR588" s="3">
        <f>VLOOKUP(INT(VLOOKUP(U588,模板计算相关数据!A:N,2,0)/30)+1,模板计算相关数据!$O$35:$U$40,6,0)+AH588</f>
        <v>0</v>
      </c>
      <c r="AS588" s="3">
        <f>VLOOKUP(INT(VLOOKUP(U588,模板计算相关数据!A:N,2,0)/30)+1,模板计算相关数据!$O$35:$U$40,7,0)+AI588</f>
        <v>0</v>
      </c>
      <c r="AT588" s="3">
        <f>VLOOKUP(INT(VLOOKUP(U588,模板计算相关数据!A:N,2,0)/30)+1,模板计算相关数据!$O$35:$V$40,8,0)</f>
        <v>0</v>
      </c>
      <c r="AU588" s="2"/>
    </row>
    <row r="589" spans="1:47" x14ac:dyDescent="0.2">
      <c r="A589" s="2">
        <v>307529</v>
      </c>
      <c r="B589" s="2"/>
      <c r="C589" s="2" t="s">
        <v>152</v>
      </c>
      <c r="D589" s="2" t="s">
        <v>1167</v>
      </c>
      <c r="E589" s="2"/>
      <c r="F589" s="127">
        <v>3</v>
      </c>
      <c r="G589" s="127">
        <v>101</v>
      </c>
      <c r="H589" s="3">
        <v>1</v>
      </c>
      <c r="I589" s="127">
        <v>5</v>
      </c>
      <c r="J589" s="127">
        <v>1</v>
      </c>
      <c r="K589" s="3"/>
      <c r="L589" s="2" t="s">
        <v>399</v>
      </c>
      <c r="M589" s="2"/>
      <c r="N589" s="2">
        <v>1</v>
      </c>
      <c r="O589" s="2"/>
      <c r="P589" s="3" t="s">
        <v>1615</v>
      </c>
      <c r="Q589" s="95">
        <f t="shared" si="61"/>
        <v>4.417254901960785</v>
      </c>
      <c r="R589" s="133">
        <f>IF(P589=模板计算相关数据!$AB$24,VLOOKUP(X589,模板计算相关数据!$P$47:$T$50,2,0),VLOOKUP(X589,模板计算相关数据!$P$4:$U$7,3,0))*VLOOKUP(Y589,模板计算相关数据!$P$22:$X$30,8,0)</f>
        <v>4.417254901960785</v>
      </c>
      <c r="S589" s="62">
        <f t="shared" si="62"/>
        <v>5.4285280003474252</v>
      </c>
      <c r="T589" s="133">
        <f>IF(P589=模板计算相关数据!$AB$24,VLOOKUP(X589,模板计算相关数据!$P$47:$T$50,5,0),VLOOKUP(X589,模板计算相关数据!$P$4:$U$7,6,0))*VLOOKUP(Y589,模板计算相关数据!$P$22:$X$30,9,0)</f>
        <v>5.4285280003474252</v>
      </c>
      <c r="U589" s="98">
        <v>1</v>
      </c>
      <c r="V589" s="95">
        <f t="shared" si="63"/>
        <v>4</v>
      </c>
      <c r="W589" s="29">
        <f>VLOOKUP(U589,模板计算相关数据!A:N,2,0)</f>
        <v>1</v>
      </c>
      <c r="X589" s="3" t="s">
        <v>151</v>
      </c>
      <c r="Y589" s="3" t="s">
        <v>152</v>
      </c>
      <c r="Z589" s="99">
        <v>1</v>
      </c>
      <c r="AA589" s="95">
        <v>1</v>
      </c>
      <c r="AB589" s="95">
        <v>1</v>
      </c>
      <c r="AC589" s="95">
        <v>1</v>
      </c>
      <c r="AD589" s="95">
        <v>0</v>
      </c>
      <c r="AE589" s="95">
        <v>0</v>
      </c>
      <c r="AF589" s="95">
        <v>0</v>
      </c>
      <c r="AG589" s="95">
        <v>0</v>
      </c>
      <c r="AH589" s="95">
        <v>0</v>
      </c>
      <c r="AI589" s="95">
        <v>0</v>
      </c>
      <c r="AJ589" s="3">
        <f>INT(VLOOKUP(U589,模板计算相关数据!A:N,4,0)*VLOOKUP(U589,模板计算相关数据!A:N,14,0)*(1+MAX(0,(VLOOKUP(U589,模板计算相关数据!A:N,7,0)-AQ589))*VLOOKUP(U589,模板计算相关数据!A:N,8,0))*(1-(AL589+AM589)*0.5/((AL589+AM589)*0.5+(VLOOKUP(U589,模板计算相关数据!A:N,2,0)+模板计算相关数据!$AC$27)*模板计算相关数据!$AC$28))*Q589*Z589)</f>
        <v>325</v>
      </c>
      <c r="AK589" s="3">
        <f>INT(VLOOKUP(U589,模板计算相关数据!A:N,3,0)/模板计算相关数据!$W$35/(1+MAX(0,(AO589/10000-VLOOKUP(U589,模板计算相关数据!A:N,9,0)))*AP589/10000)/(1-VLOOKUP(U589,模板计算相关数据!A:N,5,0)/(VLOOKUP(U589,模板计算相关数据!A:N,5,0)+(VLOOKUP(U589,模板计算相关数据!A:N,2,0)+模板计算相关数据!$AC$27)*模板计算相关数据!$AC$28))/S589*AA589)</f>
        <v>102</v>
      </c>
      <c r="AL589" s="3">
        <f>INT(VLOOKUP(U589,模板计算相关数据!A:N,5,0)*VLOOKUP(X589,模板计算相关数据!$P$4:$T$7,4,0)*VLOOKUP(Y589,模板计算相关数据!$P$22:$U$30,4,0)*AB589)</f>
        <v>230</v>
      </c>
      <c r="AM589" s="3">
        <f>INT(VLOOKUP(U589,模板计算相关数据!A:N,6,0)*VLOOKUP(X589,模板计算相关数据!$P$4:$T$7,4,0)*VLOOKUP(Y589,模板计算相关数据!$P$22:$U$30,5,0)*AC589)</f>
        <v>136</v>
      </c>
      <c r="AN589" s="3">
        <f>VLOOKUP(U589,模板计算相关数据!A:N,10,0)*0.5*VLOOKUP(Y589,模板计算相关数据!$P$22:$U$30,6,0)+AD589</f>
        <v>250</v>
      </c>
      <c r="AO589" s="3">
        <f>VLOOKUP(INT(VLOOKUP(U589,模板计算相关数据!A:N,2,0)/30)+1,模板计算相关数据!$O$35:$U$40,3,0)+AE589</f>
        <v>0</v>
      </c>
      <c r="AP589" s="3">
        <f>VLOOKUP(INT(VLOOKUP(U589,模板计算相关数据!A:N,2,0)/30)+1,模板计算相关数据!$O$35:$U$40,4,0)+AF589</f>
        <v>5000</v>
      </c>
      <c r="AQ589" s="3">
        <f>VLOOKUP(INT(VLOOKUP(U589,模板计算相关数据!A:N,2,0)/30)+1,模板计算相关数据!$O$35:$U$40,5,0)+AG589</f>
        <v>0</v>
      </c>
      <c r="AR589" s="3">
        <f>VLOOKUP(INT(VLOOKUP(U589,模板计算相关数据!A:N,2,0)/30)+1,模板计算相关数据!$O$35:$U$40,6,0)+AH589</f>
        <v>0</v>
      </c>
      <c r="AS589" s="3">
        <f>VLOOKUP(INT(VLOOKUP(U589,模板计算相关数据!A:N,2,0)/30)+1,模板计算相关数据!$O$35:$U$40,7,0)+AI589</f>
        <v>0</v>
      </c>
      <c r="AT589" s="3">
        <f>VLOOKUP(INT(VLOOKUP(U589,模板计算相关数据!A:N,2,0)/30)+1,模板计算相关数据!$O$35:$V$40,8,0)</f>
        <v>0</v>
      </c>
      <c r="AU589" s="2"/>
    </row>
    <row r="590" spans="1:47" x14ac:dyDescent="0.2">
      <c r="A590" s="2">
        <v>307530</v>
      </c>
      <c r="B590" s="2"/>
      <c r="C590" s="2" t="s">
        <v>152</v>
      </c>
      <c r="D590" s="2" t="s">
        <v>1168</v>
      </c>
      <c r="E590" s="2"/>
      <c r="F590" s="127">
        <v>3</v>
      </c>
      <c r="G590" s="127">
        <v>101</v>
      </c>
      <c r="H590" s="3">
        <v>1</v>
      </c>
      <c r="I590" s="127">
        <v>5</v>
      </c>
      <c r="J590" s="127">
        <v>1</v>
      </c>
      <c r="K590" s="3"/>
      <c r="L590" s="2" t="s">
        <v>400</v>
      </c>
      <c r="M590" s="2"/>
      <c r="N590" s="2">
        <v>1</v>
      </c>
      <c r="O590" s="2"/>
      <c r="P590" s="3" t="s">
        <v>1615</v>
      </c>
      <c r="Q590" s="95">
        <f t="shared" si="61"/>
        <v>4.417254901960785</v>
      </c>
      <c r="R590" s="133">
        <f>IF(P590=模板计算相关数据!$AB$24,VLOOKUP(X590,模板计算相关数据!$P$47:$T$50,2,0),VLOOKUP(X590,模板计算相关数据!$P$4:$U$7,3,0))*VLOOKUP(Y590,模板计算相关数据!$P$22:$X$30,8,0)</f>
        <v>4.417254901960785</v>
      </c>
      <c r="S590" s="62">
        <f t="shared" si="62"/>
        <v>5.4285280003474252</v>
      </c>
      <c r="T590" s="133">
        <f>IF(P590=模板计算相关数据!$AB$24,VLOOKUP(X590,模板计算相关数据!$P$47:$T$50,5,0),VLOOKUP(X590,模板计算相关数据!$P$4:$U$7,6,0))*VLOOKUP(Y590,模板计算相关数据!$P$22:$X$30,9,0)</f>
        <v>5.4285280003474252</v>
      </c>
      <c r="U590" s="98">
        <v>1</v>
      </c>
      <c r="V590" s="95">
        <f t="shared" si="63"/>
        <v>4</v>
      </c>
      <c r="W590" s="29">
        <f>VLOOKUP(U590,模板计算相关数据!A:N,2,0)</f>
        <v>1</v>
      </c>
      <c r="X590" s="3" t="s">
        <v>151</v>
      </c>
      <c r="Y590" s="3" t="s">
        <v>152</v>
      </c>
      <c r="Z590" s="99">
        <v>1</v>
      </c>
      <c r="AA590" s="95">
        <v>1</v>
      </c>
      <c r="AB590" s="95">
        <v>1</v>
      </c>
      <c r="AC590" s="95">
        <v>1</v>
      </c>
      <c r="AD590" s="95">
        <v>0</v>
      </c>
      <c r="AE590" s="95">
        <v>0</v>
      </c>
      <c r="AF590" s="95">
        <v>0</v>
      </c>
      <c r="AG590" s="95">
        <v>0</v>
      </c>
      <c r="AH590" s="95">
        <v>0</v>
      </c>
      <c r="AI590" s="95">
        <v>0</v>
      </c>
      <c r="AJ590" s="3">
        <f>INT(VLOOKUP(U590,模板计算相关数据!A:N,4,0)*VLOOKUP(U590,模板计算相关数据!A:N,14,0)*(1+MAX(0,(VLOOKUP(U590,模板计算相关数据!A:N,7,0)-AQ590))*VLOOKUP(U590,模板计算相关数据!A:N,8,0))*(1-(AL590+AM590)*0.5/((AL590+AM590)*0.5+(VLOOKUP(U590,模板计算相关数据!A:N,2,0)+模板计算相关数据!$AC$27)*模板计算相关数据!$AC$28))*Q590*Z590)</f>
        <v>325</v>
      </c>
      <c r="AK590" s="3">
        <f>INT(VLOOKUP(U590,模板计算相关数据!A:N,3,0)/模板计算相关数据!$W$35/(1+MAX(0,(AO590/10000-VLOOKUP(U590,模板计算相关数据!A:N,9,0)))*AP590/10000)/(1-VLOOKUP(U590,模板计算相关数据!A:N,5,0)/(VLOOKUP(U590,模板计算相关数据!A:N,5,0)+(VLOOKUP(U590,模板计算相关数据!A:N,2,0)+模板计算相关数据!$AC$27)*模板计算相关数据!$AC$28))/S590*AA590)</f>
        <v>102</v>
      </c>
      <c r="AL590" s="3">
        <f>INT(VLOOKUP(U590,模板计算相关数据!A:N,5,0)*VLOOKUP(X590,模板计算相关数据!$P$4:$T$7,4,0)*VLOOKUP(Y590,模板计算相关数据!$P$22:$U$30,4,0)*AB590)</f>
        <v>230</v>
      </c>
      <c r="AM590" s="3">
        <f>INT(VLOOKUP(U590,模板计算相关数据!A:N,6,0)*VLOOKUP(X590,模板计算相关数据!$P$4:$T$7,4,0)*VLOOKUP(Y590,模板计算相关数据!$P$22:$U$30,5,0)*AC590)</f>
        <v>136</v>
      </c>
      <c r="AN590" s="3">
        <f>VLOOKUP(U590,模板计算相关数据!A:N,10,0)*0.5*VLOOKUP(Y590,模板计算相关数据!$P$22:$U$30,6,0)+AD590</f>
        <v>250</v>
      </c>
      <c r="AO590" s="3">
        <f>VLOOKUP(INT(VLOOKUP(U590,模板计算相关数据!A:N,2,0)/30)+1,模板计算相关数据!$O$35:$U$40,3,0)+AE590</f>
        <v>0</v>
      </c>
      <c r="AP590" s="3">
        <f>VLOOKUP(INT(VLOOKUP(U590,模板计算相关数据!A:N,2,0)/30)+1,模板计算相关数据!$O$35:$U$40,4,0)+AF590</f>
        <v>5000</v>
      </c>
      <c r="AQ590" s="3">
        <f>VLOOKUP(INT(VLOOKUP(U590,模板计算相关数据!A:N,2,0)/30)+1,模板计算相关数据!$O$35:$U$40,5,0)+AG590</f>
        <v>0</v>
      </c>
      <c r="AR590" s="3">
        <f>VLOOKUP(INT(VLOOKUP(U590,模板计算相关数据!A:N,2,0)/30)+1,模板计算相关数据!$O$35:$U$40,6,0)+AH590</f>
        <v>0</v>
      </c>
      <c r="AS590" s="3">
        <f>VLOOKUP(INT(VLOOKUP(U590,模板计算相关数据!A:N,2,0)/30)+1,模板计算相关数据!$O$35:$U$40,7,0)+AI590</f>
        <v>0</v>
      </c>
      <c r="AT590" s="3">
        <f>VLOOKUP(INT(VLOOKUP(U590,模板计算相关数据!A:N,2,0)/30)+1,模板计算相关数据!$O$35:$V$40,8,0)</f>
        <v>0</v>
      </c>
      <c r="AU590" s="2"/>
    </row>
    <row r="591" spans="1:47" x14ac:dyDescent="0.2">
      <c r="A591" s="2">
        <v>307531</v>
      </c>
      <c r="B591" s="2"/>
      <c r="C591" s="2" t="s">
        <v>152</v>
      </c>
      <c r="D591" s="2" t="s">
        <v>1169</v>
      </c>
      <c r="E591" s="2"/>
      <c r="F591" s="127">
        <v>3</v>
      </c>
      <c r="G591" s="127">
        <v>101</v>
      </c>
      <c r="H591" s="3">
        <v>1</v>
      </c>
      <c r="I591" s="127">
        <v>5</v>
      </c>
      <c r="J591" s="127">
        <v>1</v>
      </c>
      <c r="K591" s="3"/>
      <c r="L591" s="2" t="s">
        <v>401</v>
      </c>
      <c r="M591" s="2"/>
      <c r="N591" s="2">
        <v>1</v>
      </c>
      <c r="O591" s="2"/>
      <c r="P591" s="3" t="s">
        <v>1615</v>
      </c>
      <c r="Q591" s="95">
        <f t="shared" si="61"/>
        <v>4.417254901960785</v>
      </c>
      <c r="R591" s="133">
        <f>IF(P591=模板计算相关数据!$AB$24,VLOOKUP(X591,模板计算相关数据!$P$47:$T$50,2,0),VLOOKUP(X591,模板计算相关数据!$P$4:$U$7,3,0))*VLOOKUP(Y591,模板计算相关数据!$P$22:$X$30,8,0)</f>
        <v>4.417254901960785</v>
      </c>
      <c r="S591" s="62">
        <f t="shared" si="62"/>
        <v>5.4285280003474252</v>
      </c>
      <c r="T591" s="133">
        <f>IF(P591=模板计算相关数据!$AB$24,VLOOKUP(X591,模板计算相关数据!$P$47:$T$50,5,0),VLOOKUP(X591,模板计算相关数据!$P$4:$U$7,6,0))*VLOOKUP(Y591,模板计算相关数据!$P$22:$X$30,9,0)</f>
        <v>5.4285280003474252</v>
      </c>
      <c r="U591" s="98">
        <v>1</v>
      </c>
      <c r="V591" s="95">
        <f t="shared" si="63"/>
        <v>4</v>
      </c>
      <c r="W591" s="29">
        <f>VLOOKUP(U591,模板计算相关数据!A:N,2,0)</f>
        <v>1</v>
      </c>
      <c r="X591" s="3" t="s">
        <v>151</v>
      </c>
      <c r="Y591" s="3" t="s">
        <v>152</v>
      </c>
      <c r="Z591" s="99">
        <v>1</v>
      </c>
      <c r="AA591" s="95">
        <v>1</v>
      </c>
      <c r="AB591" s="95">
        <v>1</v>
      </c>
      <c r="AC591" s="95">
        <v>1</v>
      </c>
      <c r="AD591" s="95">
        <v>0</v>
      </c>
      <c r="AE591" s="95">
        <v>0</v>
      </c>
      <c r="AF591" s="95">
        <v>0</v>
      </c>
      <c r="AG591" s="95">
        <v>0</v>
      </c>
      <c r="AH591" s="95">
        <v>0</v>
      </c>
      <c r="AI591" s="95">
        <v>0</v>
      </c>
      <c r="AJ591" s="3">
        <f>INT(VLOOKUP(U591,模板计算相关数据!A:N,4,0)*VLOOKUP(U591,模板计算相关数据!A:N,14,0)*(1+MAX(0,(VLOOKUP(U591,模板计算相关数据!A:N,7,0)-AQ591))*VLOOKUP(U591,模板计算相关数据!A:N,8,0))*(1-(AL591+AM591)*0.5/((AL591+AM591)*0.5+(VLOOKUP(U591,模板计算相关数据!A:N,2,0)+模板计算相关数据!$AC$27)*模板计算相关数据!$AC$28))*Q591*Z591)</f>
        <v>325</v>
      </c>
      <c r="AK591" s="3">
        <f>INT(VLOOKUP(U591,模板计算相关数据!A:N,3,0)/模板计算相关数据!$W$35/(1+MAX(0,(AO591/10000-VLOOKUP(U591,模板计算相关数据!A:N,9,0)))*AP591/10000)/(1-VLOOKUP(U591,模板计算相关数据!A:N,5,0)/(VLOOKUP(U591,模板计算相关数据!A:N,5,0)+(VLOOKUP(U591,模板计算相关数据!A:N,2,0)+模板计算相关数据!$AC$27)*模板计算相关数据!$AC$28))/S591*AA591)</f>
        <v>102</v>
      </c>
      <c r="AL591" s="3">
        <f>INT(VLOOKUP(U591,模板计算相关数据!A:N,5,0)*VLOOKUP(X591,模板计算相关数据!$P$4:$T$7,4,0)*VLOOKUP(Y591,模板计算相关数据!$P$22:$U$30,4,0)*AB591)</f>
        <v>230</v>
      </c>
      <c r="AM591" s="3">
        <f>INT(VLOOKUP(U591,模板计算相关数据!A:N,6,0)*VLOOKUP(X591,模板计算相关数据!$P$4:$T$7,4,0)*VLOOKUP(Y591,模板计算相关数据!$P$22:$U$30,5,0)*AC591)</f>
        <v>136</v>
      </c>
      <c r="AN591" s="3">
        <f>VLOOKUP(U591,模板计算相关数据!A:N,10,0)*0.5*VLOOKUP(Y591,模板计算相关数据!$P$22:$U$30,6,0)+AD591</f>
        <v>250</v>
      </c>
      <c r="AO591" s="3">
        <f>VLOOKUP(INT(VLOOKUP(U591,模板计算相关数据!A:N,2,0)/30)+1,模板计算相关数据!$O$35:$U$40,3,0)+AE591</f>
        <v>0</v>
      </c>
      <c r="AP591" s="3">
        <f>VLOOKUP(INT(VLOOKUP(U591,模板计算相关数据!A:N,2,0)/30)+1,模板计算相关数据!$O$35:$U$40,4,0)+AF591</f>
        <v>5000</v>
      </c>
      <c r="AQ591" s="3">
        <f>VLOOKUP(INT(VLOOKUP(U591,模板计算相关数据!A:N,2,0)/30)+1,模板计算相关数据!$O$35:$U$40,5,0)+AG591</f>
        <v>0</v>
      </c>
      <c r="AR591" s="3">
        <f>VLOOKUP(INT(VLOOKUP(U591,模板计算相关数据!A:N,2,0)/30)+1,模板计算相关数据!$O$35:$U$40,6,0)+AH591</f>
        <v>0</v>
      </c>
      <c r="AS591" s="3">
        <f>VLOOKUP(INT(VLOOKUP(U591,模板计算相关数据!A:N,2,0)/30)+1,模板计算相关数据!$O$35:$U$40,7,0)+AI591</f>
        <v>0</v>
      </c>
      <c r="AT591" s="3">
        <f>VLOOKUP(INT(VLOOKUP(U591,模板计算相关数据!A:N,2,0)/30)+1,模板计算相关数据!$O$35:$V$40,8,0)</f>
        <v>0</v>
      </c>
      <c r="AU591" s="2"/>
    </row>
    <row r="592" spans="1:47" x14ac:dyDescent="0.2">
      <c r="A592" s="2">
        <v>307532</v>
      </c>
      <c r="B592" s="2"/>
      <c r="C592" s="2" t="s">
        <v>152</v>
      </c>
      <c r="D592" s="2" t="s">
        <v>1170</v>
      </c>
      <c r="E592" s="2"/>
      <c r="F592" s="127">
        <v>3</v>
      </c>
      <c r="G592" s="127">
        <v>101</v>
      </c>
      <c r="H592" s="3">
        <v>1</v>
      </c>
      <c r="I592" s="127">
        <v>5</v>
      </c>
      <c r="J592" s="127">
        <v>1</v>
      </c>
      <c r="K592" s="3"/>
      <c r="L592" s="2" t="s">
        <v>402</v>
      </c>
      <c r="M592" s="2"/>
      <c r="N592" s="2">
        <v>1</v>
      </c>
      <c r="O592" s="2"/>
      <c r="P592" s="3" t="s">
        <v>1615</v>
      </c>
      <c r="Q592" s="95">
        <f t="shared" si="61"/>
        <v>4.417254901960785</v>
      </c>
      <c r="R592" s="133">
        <f>IF(P592=模板计算相关数据!$AB$24,VLOOKUP(X592,模板计算相关数据!$P$47:$T$50,2,0),VLOOKUP(X592,模板计算相关数据!$P$4:$U$7,3,0))*VLOOKUP(Y592,模板计算相关数据!$P$22:$X$30,8,0)</f>
        <v>4.417254901960785</v>
      </c>
      <c r="S592" s="62">
        <f t="shared" si="62"/>
        <v>5.4285280003474252</v>
      </c>
      <c r="T592" s="133">
        <f>IF(P592=模板计算相关数据!$AB$24,VLOOKUP(X592,模板计算相关数据!$P$47:$T$50,5,0),VLOOKUP(X592,模板计算相关数据!$P$4:$U$7,6,0))*VLOOKUP(Y592,模板计算相关数据!$P$22:$X$30,9,0)</f>
        <v>5.4285280003474252</v>
      </c>
      <c r="U592" s="98">
        <v>1</v>
      </c>
      <c r="V592" s="95">
        <f t="shared" si="63"/>
        <v>4</v>
      </c>
      <c r="W592" s="29">
        <f>VLOOKUP(U592,模板计算相关数据!A:N,2,0)</f>
        <v>1</v>
      </c>
      <c r="X592" s="3" t="s">
        <v>151</v>
      </c>
      <c r="Y592" s="3" t="s">
        <v>152</v>
      </c>
      <c r="Z592" s="99">
        <v>1</v>
      </c>
      <c r="AA592" s="95">
        <v>1</v>
      </c>
      <c r="AB592" s="95">
        <v>1</v>
      </c>
      <c r="AC592" s="95">
        <v>1</v>
      </c>
      <c r="AD592" s="95">
        <v>0</v>
      </c>
      <c r="AE592" s="95">
        <v>0</v>
      </c>
      <c r="AF592" s="95">
        <v>0</v>
      </c>
      <c r="AG592" s="95">
        <v>0</v>
      </c>
      <c r="AH592" s="95">
        <v>0</v>
      </c>
      <c r="AI592" s="95">
        <v>0</v>
      </c>
      <c r="AJ592" s="3">
        <f>INT(VLOOKUP(U592,模板计算相关数据!A:N,4,0)*VLOOKUP(U592,模板计算相关数据!A:N,14,0)*(1+MAX(0,(VLOOKUP(U592,模板计算相关数据!A:N,7,0)-AQ592))*VLOOKUP(U592,模板计算相关数据!A:N,8,0))*(1-(AL592+AM592)*0.5/((AL592+AM592)*0.5+(VLOOKUP(U592,模板计算相关数据!A:N,2,0)+模板计算相关数据!$AC$27)*模板计算相关数据!$AC$28))*Q592*Z592)</f>
        <v>325</v>
      </c>
      <c r="AK592" s="3">
        <f>INT(VLOOKUP(U592,模板计算相关数据!A:N,3,0)/模板计算相关数据!$W$35/(1+MAX(0,(AO592/10000-VLOOKUP(U592,模板计算相关数据!A:N,9,0)))*AP592/10000)/(1-VLOOKUP(U592,模板计算相关数据!A:N,5,0)/(VLOOKUP(U592,模板计算相关数据!A:N,5,0)+(VLOOKUP(U592,模板计算相关数据!A:N,2,0)+模板计算相关数据!$AC$27)*模板计算相关数据!$AC$28))/S592*AA592)</f>
        <v>102</v>
      </c>
      <c r="AL592" s="3">
        <f>INT(VLOOKUP(U592,模板计算相关数据!A:N,5,0)*VLOOKUP(X592,模板计算相关数据!$P$4:$T$7,4,0)*VLOOKUP(Y592,模板计算相关数据!$P$22:$U$30,4,0)*AB592)</f>
        <v>230</v>
      </c>
      <c r="AM592" s="3">
        <f>INT(VLOOKUP(U592,模板计算相关数据!A:N,6,0)*VLOOKUP(X592,模板计算相关数据!$P$4:$T$7,4,0)*VLOOKUP(Y592,模板计算相关数据!$P$22:$U$30,5,0)*AC592)</f>
        <v>136</v>
      </c>
      <c r="AN592" s="3">
        <f>VLOOKUP(U592,模板计算相关数据!A:N,10,0)*0.5*VLOOKUP(Y592,模板计算相关数据!$P$22:$U$30,6,0)+AD592</f>
        <v>250</v>
      </c>
      <c r="AO592" s="3">
        <f>VLOOKUP(INT(VLOOKUP(U592,模板计算相关数据!A:N,2,0)/30)+1,模板计算相关数据!$O$35:$U$40,3,0)+AE592</f>
        <v>0</v>
      </c>
      <c r="AP592" s="3">
        <f>VLOOKUP(INT(VLOOKUP(U592,模板计算相关数据!A:N,2,0)/30)+1,模板计算相关数据!$O$35:$U$40,4,0)+AF592</f>
        <v>5000</v>
      </c>
      <c r="AQ592" s="3">
        <f>VLOOKUP(INT(VLOOKUP(U592,模板计算相关数据!A:N,2,0)/30)+1,模板计算相关数据!$O$35:$U$40,5,0)+AG592</f>
        <v>0</v>
      </c>
      <c r="AR592" s="3">
        <f>VLOOKUP(INT(VLOOKUP(U592,模板计算相关数据!A:N,2,0)/30)+1,模板计算相关数据!$O$35:$U$40,6,0)+AH592</f>
        <v>0</v>
      </c>
      <c r="AS592" s="3">
        <f>VLOOKUP(INT(VLOOKUP(U592,模板计算相关数据!A:N,2,0)/30)+1,模板计算相关数据!$O$35:$U$40,7,0)+AI592</f>
        <v>0</v>
      </c>
      <c r="AT592" s="3">
        <f>VLOOKUP(INT(VLOOKUP(U592,模板计算相关数据!A:N,2,0)/30)+1,模板计算相关数据!$O$35:$V$40,8,0)</f>
        <v>0</v>
      </c>
      <c r="AU592" s="2"/>
    </row>
    <row r="593" spans="1:47" x14ac:dyDescent="0.2">
      <c r="A593" s="2">
        <v>307533</v>
      </c>
      <c r="B593" s="2"/>
      <c r="C593" s="2" t="s">
        <v>152</v>
      </c>
      <c r="D593" s="2" t="s">
        <v>1171</v>
      </c>
      <c r="E593" s="2"/>
      <c r="F593" s="127">
        <v>3</v>
      </c>
      <c r="G593" s="127">
        <v>101</v>
      </c>
      <c r="H593" s="3">
        <v>1</v>
      </c>
      <c r="I593" s="127">
        <v>5</v>
      </c>
      <c r="J593" s="127">
        <v>1</v>
      </c>
      <c r="K593" s="3"/>
      <c r="L593" s="2" t="s">
        <v>403</v>
      </c>
      <c r="M593" s="2"/>
      <c r="N593" s="2">
        <v>1</v>
      </c>
      <c r="O593" s="2"/>
      <c r="P593" s="3" t="s">
        <v>1615</v>
      </c>
      <c r="Q593" s="95">
        <f t="shared" si="61"/>
        <v>4.417254901960785</v>
      </c>
      <c r="R593" s="133">
        <f>IF(P593=模板计算相关数据!$AB$24,VLOOKUP(X593,模板计算相关数据!$P$47:$T$50,2,0),VLOOKUP(X593,模板计算相关数据!$P$4:$U$7,3,0))*VLOOKUP(Y593,模板计算相关数据!$P$22:$X$30,8,0)</f>
        <v>4.417254901960785</v>
      </c>
      <c r="S593" s="62">
        <f t="shared" si="62"/>
        <v>5.4285280003474252</v>
      </c>
      <c r="T593" s="133">
        <f>IF(P593=模板计算相关数据!$AB$24,VLOOKUP(X593,模板计算相关数据!$P$47:$T$50,5,0),VLOOKUP(X593,模板计算相关数据!$P$4:$U$7,6,0))*VLOOKUP(Y593,模板计算相关数据!$P$22:$X$30,9,0)</f>
        <v>5.4285280003474252</v>
      </c>
      <c r="U593" s="98">
        <v>1</v>
      </c>
      <c r="V593" s="95">
        <f t="shared" si="63"/>
        <v>4</v>
      </c>
      <c r="W593" s="29">
        <f>VLOOKUP(U593,模板计算相关数据!A:N,2,0)</f>
        <v>1</v>
      </c>
      <c r="X593" s="3" t="s">
        <v>151</v>
      </c>
      <c r="Y593" s="3" t="s">
        <v>152</v>
      </c>
      <c r="Z593" s="99">
        <v>1</v>
      </c>
      <c r="AA593" s="95">
        <v>1</v>
      </c>
      <c r="AB593" s="95">
        <v>1</v>
      </c>
      <c r="AC593" s="95">
        <v>1</v>
      </c>
      <c r="AD593" s="95">
        <v>0</v>
      </c>
      <c r="AE593" s="95">
        <v>0</v>
      </c>
      <c r="AF593" s="95">
        <v>0</v>
      </c>
      <c r="AG593" s="95">
        <v>0</v>
      </c>
      <c r="AH593" s="95">
        <v>0</v>
      </c>
      <c r="AI593" s="95">
        <v>0</v>
      </c>
      <c r="AJ593" s="3">
        <f>INT(VLOOKUP(U593,模板计算相关数据!A:N,4,0)*VLOOKUP(U593,模板计算相关数据!A:N,14,0)*(1+MAX(0,(VLOOKUP(U593,模板计算相关数据!A:N,7,0)-AQ593))*VLOOKUP(U593,模板计算相关数据!A:N,8,0))*(1-(AL593+AM593)*0.5/((AL593+AM593)*0.5+(VLOOKUP(U593,模板计算相关数据!A:N,2,0)+模板计算相关数据!$AC$27)*模板计算相关数据!$AC$28))*Q593*Z593)</f>
        <v>325</v>
      </c>
      <c r="AK593" s="3">
        <f>INT(VLOOKUP(U593,模板计算相关数据!A:N,3,0)/模板计算相关数据!$W$35/(1+MAX(0,(AO593/10000-VLOOKUP(U593,模板计算相关数据!A:N,9,0)))*AP593/10000)/(1-VLOOKUP(U593,模板计算相关数据!A:N,5,0)/(VLOOKUP(U593,模板计算相关数据!A:N,5,0)+(VLOOKUP(U593,模板计算相关数据!A:N,2,0)+模板计算相关数据!$AC$27)*模板计算相关数据!$AC$28))/S593*AA593)</f>
        <v>102</v>
      </c>
      <c r="AL593" s="3">
        <f>INT(VLOOKUP(U593,模板计算相关数据!A:N,5,0)*VLOOKUP(X593,模板计算相关数据!$P$4:$T$7,4,0)*VLOOKUP(Y593,模板计算相关数据!$P$22:$U$30,4,0)*AB593)</f>
        <v>230</v>
      </c>
      <c r="AM593" s="3">
        <f>INT(VLOOKUP(U593,模板计算相关数据!A:N,6,0)*VLOOKUP(X593,模板计算相关数据!$P$4:$T$7,4,0)*VLOOKUP(Y593,模板计算相关数据!$P$22:$U$30,5,0)*AC593)</f>
        <v>136</v>
      </c>
      <c r="AN593" s="3">
        <f>VLOOKUP(U593,模板计算相关数据!A:N,10,0)*0.5*VLOOKUP(Y593,模板计算相关数据!$P$22:$U$30,6,0)+AD593</f>
        <v>250</v>
      </c>
      <c r="AO593" s="3">
        <f>VLOOKUP(INT(VLOOKUP(U593,模板计算相关数据!A:N,2,0)/30)+1,模板计算相关数据!$O$35:$U$40,3,0)+AE593</f>
        <v>0</v>
      </c>
      <c r="AP593" s="3">
        <f>VLOOKUP(INT(VLOOKUP(U593,模板计算相关数据!A:N,2,0)/30)+1,模板计算相关数据!$O$35:$U$40,4,0)+AF593</f>
        <v>5000</v>
      </c>
      <c r="AQ593" s="3">
        <f>VLOOKUP(INT(VLOOKUP(U593,模板计算相关数据!A:N,2,0)/30)+1,模板计算相关数据!$O$35:$U$40,5,0)+AG593</f>
        <v>0</v>
      </c>
      <c r="AR593" s="3">
        <f>VLOOKUP(INT(VLOOKUP(U593,模板计算相关数据!A:N,2,0)/30)+1,模板计算相关数据!$O$35:$U$40,6,0)+AH593</f>
        <v>0</v>
      </c>
      <c r="AS593" s="3">
        <f>VLOOKUP(INT(VLOOKUP(U593,模板计算相关数据!A:N,2,0)/30)+1,模板计算相关数据!$O$35:$U$40,7,0)+AI593</f>
        <v>0</v>
      </c>
      <c r="AT593" s="3">
        <f>VLOOKUP(INT(VLOOKUP(U593,模板计算相关数据!A:N,2,0)/30)+1,模板计算相关数据!$O$35:$V$40,8,0)</f>
        <v>0</v>
      </c>
      <c r="AU593" s="2"/>
    </row>
    <row r="594" spans="1:47" x14ac:dyDescent="0.2">
      <c r="A594" s="17">
        <v>307534</v>
      </c>
      <c r="B594" s="17"/>
      <c r="C594" s="24" t="s">
        <v>404</v>
      </c>
      <c r="D594" s="25" t="s">
        <v>1172</v>
      </c>
      <c r="E594" s="17"/>
      <c r="F594" s="152">
        <v>3</v>
      </c>
      <c r="G594" s="152">
        <v>101</v>
      </c>
      <c r="H594" s="43">
        <v>3</v>
      </c>
      <c r="I594" s="152">
        <v>5</v>
      </c>
      <c r="J594" s="152">
        <v>1</v>
      </c>
      <c r="K594" s="43"/>
      <c r="L594" s="2" t="s">
        <v>405</v>
      </c>
      <c r="M594" s="2"/>
      <c r="N594" s="2">
        <v>1</v>
      </c>
      <c r="O594" s="2"/>
      <c r="P594" s="3" t="s">
        <v>1615</v>
      </c>
      <c r="Q594" s="95">
        <f t="shared" si="61"/>
        <v>5.6000000000000014</v>
      </c>
      <c r="R594" s="133">
        <f>IF(P594=模板计算相关数据!$AB$24,VLOOKUP(X594,模板计算相关数据!$P$47:$T$50,2,0),VLOOKUP(X594,模板计算相关数据!$P$4:$U$7,3,0))*VLOOKUP(Y594,模板计算相关数据!$P$22:$X$30,8,0)</f>
        <v>5.6000000000000014</v>
      </c>
      <c r="S594" s="62">
        <f t="shared" si="62"/>
        <v>6.6693344004268367</v>
      </c>
      <c r="T594" s="133">
        <f>IF(P594=模板计算相关数据!$AB$24,VLOOKUP(X594,模板计算相关数据!$P$47:$T$50,5,0),VLOOKUP(X594,模板计算相关数据!$P$4:$U$7,6,0))*VLOOKUP(Y594,模板计算相关数据!$P$22:$X$30,9,0)</f>
        <v>6.6693344004268367</v>
      </c>
      <c r="U594" s="98">
        <v>1</v>
      </c>
      <c r="V594" s="95">
        <f t="shared" si="63"/>
        <v>4</v>
      </c>
      <c r="W594" s="29">
        <f>VLOOKUP(U594,模板计算相关数据!A:N,2,0)</f>
        <v>1</v>
      </c>
      <c r="X594" s="3" t="s">
        <v>151</v>
      </c>
      <c r="Y594" s="3" t="s">
        <v>255</v>
      </c>
      <c r="Z594" s="99">
        <v>1</v>
      </c>
      <c r="AA594" s="95">
        <v>1</v>
      </c>
      <c r="AB594" s="95">
        <v>1</v>
      </c>
      <c r="AC594" s="95">
        <v>1</v>
      </c>
      <c r="AD594" s="95">
        <v>0</v>
      </c>
      <c r="AE594" s="95">
        <v>0</v>
      </c>
      <c r="AF594" s="95">
        <v>0</v>
      </c>
      <c r="AG594" s="95">
        <v>0</v>
      </c>
      <c r="AH594" s="95">
        <v>0</v>
      </c>
      <c r="AI594" s="95">
        <v>0</v>
      </c>
      <c r="AJ594" s="3">
        <f>INT(VLOOKUP(U594,模板计算相关数据!A:N,4,0)*VLOOKUP(U594,模板计算相关数据!A:N,14,0)*(1+MAX(0,(VLOOKUP(U594,模板计算相关数据!A:N,7,0)-AQ594))*VLOOKUP(U594,模板计算相关数据!A:N,8,0))*(1-(AL594+AM594)*0.5/((AL594+AM594)*0.5+(VLOOKUP(U594,模板计算相关数据!A:N,2,0)+模板计算相关数据!$AC$27)*模板计算相关数据!$AC$28))*Q594*Z594)</f>
        <v>394</v>
      </c>
      <c r="AK594" s="3">
        <f>INT(VLOOKUP(U594,模板计算相关数据!A:N,3,0)/模板计算相关数据!$W$35/(1+MAX(0,(AO594/10000-VLOOKUP(U594,模板计算相关数据!A:N,9,0)))*AP594/10000)/(1-VLOOKUP(U594,模板计算相关数据!A:N,5,0)/(VLOOKUP(U594,模板计算相关数据!A:N,5,0)+(VLOOKUP(U594,模板计算相关数据!A:N,2,0)+模板计算相关数据!$AC$27)*模板计算相关数据!$AC$28))/S594*AA594)</f>
        <v>83</v>
      </c>
      <c r="AL594" s="3">
        <f>INT(VLOOKUP(U594,模板计算相关数据!A:N,5,0)*VLOOKUP(X594,模板计算相关数据!$P$4:$T$7,4,0)*VLOOKUP(Y594,模板计算相关数据!$P$22:$U$30,4,0)*AB594)</f>
        <v>149</v>
      </c>
      <c r="AM594" s="3">
        <f>INT(VLOOKUP(U594,模板计算相关数据!A:N,6,0)*VLOOKUP(X594,模板计算相关数据!$P$4:$T$7,4,0)*VLOOKUP(Y594,模板计算相关数据!$P$22:$U$30,5,0)*AC594)</f>
        <v>277</v>
      </c>
      <c r="AN594" s="3">
        <f>VLOOKUP(U594,模板计算相关数据!A:N,10,0)*0.5*VLOOKUP(Y594,模板计算相关数据!$P$22:$U$30,6,0)+AD594</f>
        <v>225</v>
      </c>
      <c r="AO594" s="3">
        <f>VLOOKUP(INT(VLOOKUP(U594,模板计算相关数据!A:N,2,0)/30)+1,模板计算相关数据!$O$35:$U$40,3,0)+AE594</f>
        <v>0</v>
      </c>
      <c r="AP594" s="3">
        <f>VLOOKUP(INT(VLOOKUP(U594,模板计算相关数据!A:N,2,0)/30)+1,模板计算相关数据!$O$35:$U$40,4,0)+AF594</f>
        <v>5000</v>
      </c>
      <c r="AQ594" s="3">
        <f>VLOOKUP(INT(VLOOKUP(U594,模板计算相关数据!A:N,2,0)/30)+1,模板计算相关数据!$O$35:$U$40,5,0)+AG594</f>
        <v>0</v>
      </c>
      <c r="AR594" s="3">
        <f>VLOOKUP(INT(VLOOKUP(U594,模板计算相关数据!A:N,2,0)/30)+1,模板计算相关数据!$O$35:$U$40,6,0)+AH594</f>
        <v>0</v>
      </c>
      <c r="AS594" s="3">
        <f>VLOOKUP(INT(VLOOKUP(U594,模板计算相关数据!A:N,2,0)/30)+1,模板计算相关数据!$O$35:$U$40,7,0)+AI594</f>
        <v>0</v>
      </c>
      <c r="AT594" s="3">
        <f>VLOOKUP(INT(VLOOKUP(U594,模板计算相关数据!A:N,2,0)/30)+1,模板计算相关数据!$O$35:$V$40,8,0)</f>
        <v>0</v>
      </c>
      <c r="AU594" s="2"/>
    </row>
    <row r="595" spans="1:47" x14ac:dyDescent="0.2">
      <c r="A595" s="2">
        <v>307535</v>
      </c>
      <c r="B595" s="2"/>
      <c r="C595" s="2" t="s">
        <v>343</v>
      </c>
      <c r="D595" s="69" t="s">
        <v>1173</v>
      </c>
      <c r="E595" s="2"/>
      <c r="F595" s="127">
        <v>3</v>
      </c>
      <c r="G595" s="127">
        <v>101</v>
      </c>
      <c r="H595" s="3">
        <v>3</v>
      </c>
      <c r="I595" s="127">
        <v>5</v>
      </c>
      <c r="J595" s="127">
        <v>1</v>
      </c>
      <c r="K595" s="3"/>
      <c r="L595" s="2" t="s">
        <v>406</v>
      </c>
      <c r="M595" s="2"/>
      <c r="N595" s="2">
        <v>1</v>
      </c>
      <c r="O595" s="2"/>
      <c r="P595" s="3" t="s">
        <v>1615</v>
      </c>
      <c r="Q595" s="95">
        <f t="shared" si="61"/>
        <v>5.6000000000000014</v>
      </c>
      <c r="R595" s="133">
        <f>IF(P595=模板计算相关数据!$AB$24,VLOOKUP(X595,模板计算相关数据!$P$47:$T$50,2,0),VLOOKUP(X595,模板计算相关数据!$P$4:$U$7,3,0))*VLOOKUP(Y595,模板计算相关数据!$P$22:$X$30,8,0)</f>
        <v>5.6000000000000014</v>
      </c>
      <c r="S595" s="62">
        <f t="shared" si="62"/>
        <v>6.6693344004268367</v>
      </c>
      <c r="T595" s="133">
        <f>IF(P595=模板计算相关数据!$AB$24,VLOOKUP(X595,模板计算相关数据!$P$47:$T$50,5,0),VLOOKUP(X595,模板计算相关数据!$P$4:$U$7,6,0))*VLOOKUP(Y595,模板计算相关数据!$P$22:$X$30,9,0)</f>
        <v>6.6693344004268367</v>
      </c>
      <c r="U595" s="98">
        <v>1</v>
      </c>
      <c r="V595" s="95">
        <f t="shared" si="63"/>
        <v>4</v>
      </c>
      <c r="W595" s="29">
        <f>VLOOKUP(U595,模板计算相关数据!A:N,2,0)</f>
        <v>1</v>
      </c>
      <c r="X595" s="3" t="s">
        <v>151</v>
      </c>
      <c r="Y595" s="3" t="s">
        <v>255</v>
      </c>
      <c r="Z595" s="99">
        <v>1</v>
      </c>
      <c r="AA595" s="95">
        <v>1</v>
      </c>
      <c r="AB595" s="95">
        <v>1</v>
      </c>
      <c r="AC595" s="95">
        <v>1</v>
      </c>
      <c r="AD595" s="95">
        <v>0</v>
      </c>
      <c r="AE595" s="95">
        <v>0</v>
      </c>
      <c r="AF595" s="95">
        <v>0</v>
      </c>
      <c r="AG595" s="95">
        <v>0</v>
      </c>
      <c r="AH595" s="95">
        <v>0</v>
      </c>
      <c r="AI595" s="95">
        <v>0</v>
      </c>
      <c r="AJ595" s="3">
        <f>INT(VLOOKUP(U595,模板计算相关数据!A:N,4,0)*VLOOKUP(U595,模板计算相关数据!A:N,14,0)*(1+MAX(0,(VLOOKUP(U595,模板计算相关数据!A:N,7,0)-AQ595))*VLOOKUP(U595,模板计算相关数据!A:N,8,0))*(1-(AL595+AM595)*0.5/((AL595+AM595)*0.5+(VLOOKUP(U595,模板计算相关数据!A:N,2,0)+模板计算相关数据!$AC$27)*模板计算相关数据!$AC$28))*Q595*Z595)</f>
        <v>394</v>
      </c>
      <c r="AK595" s="3">
        <f>INT(VLOOKUP(U595,模板计算相关数据!A:N,3,0)/模板计算相关数据!$W$35/(1+MAX(0,(AO595/10000-VLOOKUP(U595,模板计算相关数据!A:N,9,0)))*AP595/10000)/(1-VLOOKUP(U595,模板计算相关数据!A:N,5,0)/(VLOOKUP(U595,模板计算相关数据!A:N,5,0)+(VLOOKUP(U595,模板计算相关数据!A:N,2,0)+模板计算相关数据!$AC$27)*模板计算相关数据!$AC$28))/S595*AA595)</f>
        <v>83</v>
      </c>
      <c r="AL595" s="3">
        <f>INT(VLOOKUP(U595,模板计算相关数据!A:N,5,0)*VLOOKUP(X595,模板计算相关数据!$P$4:$T$7,4,0)*VLOOKUP(Y595,模板计算相关数据!$P$22:$U$30,4,0)*AB595)</f>
        <v>149</v>
      </c>
      <c r="AM595" s="3">
        <f>INT(VLOOKUP(U595,模板计算相关数据!A:N,6,0)*VLOOKUP(X595,模板计算相关数据!$P$4:$T$7,4,0)*VLOOKUP(Y595,模板计算相关数据!$P$22:$U$30,5,0)*AC595)</f>
        <v>277</v>
      </c>
      <c r="AN595" s="3">
        <f>VLOOKUP(U595,模板计算相关数据!A:N,10,0)*0.5*VLOOKUP(Y595,模板计算相关数据!$P$22:$U$30,6,0)+AD595</f>
        <v>225</v>
      </c>
      <c r="AO595" s="3">
        <f>VLOOKUP(INT(VLOOKUP(U595,模板计算相关数据!A:N,2,0)/30)+1,模板计算相关数据!$O$35:$U$40,3,0)+AE595</f>
        <v>0</v>
      </c>
      <c r="AP595" s="3">
        <f>VLOOKUP(INT(VLOOKUP(U595,模板计算相关数据!A:N,2,0)/30)+1,模板计算相关数据!$O$35:$U$40,4,0)+AF595</f>
        <v>5000</v>
      </c>
      <c r="AQ595" s="3">
        <f>VLOOKUP(INT(VLOOKUP(U595,模板计算相关数据!A:N,2,0)/30)+1,模板计算相关数据!$O$35:$U$40,5,0)+AG595</f>
        <v>0</v>
      </c>
      <c r="AR595" s="3">
        <f>VLOOKUP(INT(VLOOKUP(U595,模板计算相关数据!A:N,2,0)/30)+1,模板计算相关数据!$O$35:$U$40,6,0)+AH595</f>
        <v>0</v>
      </c>
      <c r="AS595" s="3">
        <f>VLOOKUP(INT(VLOOKUP(U595,模板计算相关数据!A:N,2,0)/30)+1,模板计算相关数据!$O$35:$U$40,7,0)+AI595</f>
        <v>0</v>
      </c>
      <c r="AT595" s="3">
        <f>VLOOKUP(INT(VLOOKUP(U595,模板计算相关数据!A:N,2,0)/30)+1,模板计算相关数据!$O$35:$V$40,8,0)</f>
        <v>0</v>
      </c>
      <c r="AU595" s="2"/>
    </row>
    <row r="596" spans="1:47" x14ac:dyDescent="0.2">
      <c r="A596" s="2">
        <v>307536</v>
      </c>
      <c r="B596" s="2"/>
      <c r="C596" s="2" t="s">
        <v>343</v>
      </c>
      <c r="D596" s="69" t="s">
        <v>1174</v>
      </c>
      <c r="E596" s="2"/>
      <c r="F596" s="127">
        <v>3</v>
      </c>
      <c r="G596" s="127">
        <v>101</v>
      </c>
      <c r="H596" s="3">
        <v>3</v>
      </c>
      <c r="I596" s="127">
        <v>5</v>
      </c>
      <c r="J596" s="127">
        <v>1</v>
      </c>
      <c r="K596" s="3"/>
      <c r="L596" s="2" t="s">
        <v>407</v>
      </c>
      <c r="M596" s="2"/>
      <c r="N596" s="2">
        <v>1</v>
      </c>
      <c r="O596" s="2"/>
      <c r="P596" s="3" t="s">
        <v>1615</v>
      </c>
      <c r="Q596" s="95">
        <f t="shared" si="61"/>
        <v>5.6000000000000014</v>
      </c>
      <c r="R596" s="133">
        <f>IF(P596=模板计算相关数据!$AB$24,VLOOKUP(X596,模板计算相关数据!$P$47:$T$50,2,0),VLOOKUP(X596,模板计算相关数据!$P$4:$U$7,3,0))*VLOOKUP(Y596,模板计算相关数据!$P$22:$X$30,8,0)</f>
        <v>5.6000000000000014</v>
      </c>
      <c r="S596" s="62">
        <f t="shared" si="62"/>
        <v>6.6693344004268367</v>
      </c>
      <c r="T596" s="133">
        <f>IF(P596=模板计算相关数据!$AB$24,VLOOKUP(X596,模板计算相关数据!$P$47:$T$50,5,0),VLOOKUP(X596,模板计算相关数据!$P$4:$U$7,6,0))*VLOOKUP(Y596,模板计算相关数据!$P$22:$X$30,9,0)</f>
        <v>6.6693344004268367</v>
      </c>
      <c r="U596" s="98">
        <v>1</v>
      </c>
      <c r="V596" s="95">
        <f t="shared" si="63"/>
        <v>4</v>
      </c>
      <c r="W596" s="29">
        <f>VLOOKUP(U596,模板计算相关数据!A:N,2,0)</f>
        <v>1</v>
      </c>
      <c r="X596" s="3" t="s">
        <v>151</v>
      </c>
      <c r="Y596" s="3" t="s">
        <v>255</v>
      </c>
      <c r="Z596" s="99">
        <v>1</v>
      </c>
      <c r="AA596" s="95">
        <v>1</v>
      </c>
      <c r="AB596" s="95">
        <v>1</v>
      </c>
      <c r="AC596" s="95">
        <v>1</v>
      </c>
      <c r="AD596" s="95">
        <v>0</v>
      </c>
      <c r="AE596" s="95">
        <v>0</v>
      </c>
      <c r="AF596" s="95">
        <v>0</v>
      </c>
      <c r="AG596" s="95">
        <v>0</v>
      </c>
      <c r="AH596" s="95">
        <v>0</v>
      </c>
      <c r="AI596" s="95">
        <v>0</v>
      </c>
      <c r="AJ596" s="3">
        <f>INT(VLOOKUP(U596,模板计算相关数据!A:N,4,0)*VLOOKUP(U596,模板计算相关数据!A:N,14,0)*(1+MAX(0,(VLOOKUP(U596,模板计算相关数据!A:N,7,0)-AQ596))*VLOOKUP(U596,模板计算相关数据!A:N,8,0))*(1-(AL596+AM596)*0.5/((AL596+AM596)*0.5+(VLOOKUP(U596,模板计算相关数据!A:N,2,0)+模板计算相关数据!$AC$27)*模板计算相关数据!$AC$28))*Q596*Z596)</f>
        <v>394</v>
      </c>
      <c r="AK596" s="3">
        <f>INT(VLOOKUP(U596,模板计算相关数据!A:N,3,0)/模板计算相关数据!$W$35/(1+MAX(0,(AO596/10000-VLOOKUP(U596,模板计算相关数据!A:N,9,0)))*AP596/10000)/(1-VLOOKUP(U596,模板计算相关数据!A:N,5,0)/(VLOOKUP(U596,模板计算相关数据!A:N,5,0)+(VLOOKUP(U596,模板计算相关数据!A:N,2,0)+模板计算相关数据!$AC$27)*模板计算相关数据!$AC$28))/S596*AA596)</f>
        <v>83</v>
      </c>
      <c r="AL596" s="3">
        <f>INT(VLOOKUP(U596,模板计算相关数据!A:N,5,0)*VLOOKUP(X596,模板计算相关数据!$P$4:$T$7,4,0)*VLOOKUP(Y596,模板计算相关数据!$P$22:$U$30,4,0)*AB596)</f>
        <v>149</v>
      </c>
      <c r="AM596" s="3">
        <f>INT(VLOOKUP(U596,模板计算相关数据!A:N,6,0)*VLOOKUP(X596,模板计算相关数据!$P$4:$T$7,4,0)*VLOOKUP(Y596,模板计算相关数据!$P$22:$U$30,5,0)*AC596)</f>
        <v>277</v>
      </c>
      <c r="AN596" s="3">
        <f>VLOOKUP(U596,模板计算相关数据!A:N,10,0)*0.5*VLOOKUP(Y596,模板计算相关数据!$P$22:$U$30,6,0)+AD596</f>
        <v>225</v>
      </c>
      <c r="AO596" s="3">
        <f>VLOOKUP(INT(VLOOKUP(U596,模板计算相关数据!A:N,2,0)/30)+1,模板计算相关数据!$O$35:$U$40,3,0)+AE596</f>
        <v>0</v>
      </c>
      <c r="AP596" s="3">
        <f>VLOOKUP(INT(VLOOKUP(U596,模板计算相关数据!A:N,2,0)/30)+1,模板计算相关数据!$O$35:$U$40,4,0)+AF596</f>
        <v>5000</v>
      </c>
      <c r="AQ596" s="3">
        <f>VLOOKUP(INT(VLOOKUP(U596,模板计算相关数据!A:N,2,0)/30)+1,模板计算相关数据!$O$35:$U$40,5,0)+AG596</f>
        <v>0</v>
      </c>
      <c r="AR596" s="3">
        <f>VLOOKUP(INT(VLOOKUP(U596,模板计算相关数据!A:N,2,0)/30)+1,模板计算相关数据!$O$35:$U$40,6,0)+AH596</f>
        <v>0</v>
      </c>
      <c r="AS596" s="3">
        <f>VLOOKUP(INT(VLOOKUP(U596,模板计算相关数据!A:N,2,0)/30)+1,模板计算相关数据!$O$35:$U$40,7,0)+AI596</f>
        <v>0</v>
      </c>
      <c r="AT596" s="3">
        <f>VLOOKUP(INT(VLOOKUP(U596,模板计算相关数据!A:N,2,0)/30)+1,模板计算相关数据!$O$35:$V$40,8,0)</f>
        <v>0</v>
      </c>
      <c r="AU596" s="2"/>
    </row>
    <row r="597" spans="1:47" x14ac:dyDescent="0.2">
      <c r="A597" s="2">
        <v>307537</v>
      </c>
      <c r="B597" s="2"/>
      <c r="C597" s="2" t="s">
        <v>343</v>
      </c>
      <c r="D597" s="69" t="s">
        <v>1175</v>
      </c>
      <c r="E597" s="2"/>
      <c r="F597" s="127">
        <v>3</v>
      </c>
      <c r="G597" s="127">
        <v>101</v>
      </c>
      <c r="H597" s="3">
        <v>3</v>
      </c>
      <c r="I597" s="127">
        <v>5</v>
      </c>
      <c r="J597" s="127">
        <v>1</v>
      </c>
      <c r="K597" s="3"/>
      <c r="L597" s="2" t="s">
        <v>408</v>
      </c>
      <c r="M597" s="2"/>
      <c r="N597" s="2">
        <v>1</v>
      </c>
      <c r="O597" s="2"/>
      <c r="P597" s="3" t="s">
        <v>1615</v>
      </c>
      <c r="Q597" s="95">
        <f t="shared" si="61"/>
        <v>5.6000000000000014</v>
      </c>
      <c r="R597" s="133">
        <f>IF(P597=模板计算相关数据!$AB$24,VLOOKUP(X597,模板计算相关数据!$P$47:$T$50,2,0),VLOOKUP(X597,模板计算相关数据!$P$4:$U$7,3,0))*VLOOKUP(Y597,模板计算相关数据!$P$22:$X$30,8,0)</f>
        <v>5.6000000000000014</v>
      </c>
      <c r="S597" s="62">
        <f t="shared" si="62"/>
        <v>6.6693344004268367</v>
      </c>
      <c r="T597" s="133">
        <f>IF(P597=模板计算相关数据!$AB$24,VLOOKUP(X597,模板计算相关数据!$P$47:$T$50,5,0),VLOOKUP(X597,模板计算相关数据!$P$4:$U$7,6,0))*VLOOKUP(Y597,模板计算相关数据!$P$22:$X$30,9,0)</f>
        <v>6.6693344004268367</v>
      </c>
      <c r="U597" s="98">
        <v>1</v>
      </c>
      <c r="V597" s="95">
        <f t="shared" si="63"/>
        <v>4</v>
      </c>
      <c r="W597" s="29">
        <f>VLOOKUP(U597,模板计算相关数据!A:N,2,0)</f>
        <v>1</v>
      </c>
      <c r="X597" s="3" t="s">
        <v>151</v>
      </c>
      <c r="Y597" s="3" t="s">
        <v>255</v>
      </c>
      <c r="Z597" s="99">
        <v>1</v>
      </c>
      <c r="AA597" s="95">
        <v>1</v>
      </c>
      <c r="AB597" s="95">
        <v>1</v>
      </c>
      <c r="AC597" s="95">
        <v>1</v>
      </c>
      <c r="AD597" s="95">
        <v>0</v>
      </c>
      <c r="AE597" s="95">
        <v>0</v>
      </c>
      <c r="AF597" s="95">
        <v>0</v>
      </c>
      <c r="AG597" s="95">
        <v>0</v>
      </c>
      <c r="AH597" s="95">
        <v>0</v>
      </c>
      <c r="AI597" s="95">
        <v>0</v>
      </c>
      <c r="AJ597" s="3">
        <f>INT(VLOOKUP(U597,模板计算相关数据!A:N,4,0)*VLOOKUP(U597,模板计算相关数据!A:N,14,0)*(1+MAX(0,(VLOOKUP(U597,模板计算相关数据!A:N,7,0)-AQ597))*VLOOKUP(U597,模板计算相关数据!A:N,8,0))*(1-(AL597+AM597)*0.5/((AL597+AM597)*0.5+(VLOOKUP(U597,模板计算相关数据!A:N,2,0)+模板计算相关数据!$AC$27)*模板计算相关数据!$AC$28))*Q597*Z597)</f>
        <v>394</v>
      </c>
      <c r="AK597" s="3">
        <f>INT(VLOOKUP(U597,模板计算相关数据!A:N,3,0)/模板计算相关数据!$W$35/(1+MAX(0,(AO597/10000-VLOOKUP(U597,模板计算相关数据!A:N,9,0)))*AP597/10000)/(1-VLOOKUP(U597,模板计算相关数据!A:N,5,0)/(VLOOKUP(U597,模板计算相关数据!A:N,5,0)+(VLOOKUP(U597,模板计算相关数据!A:N,2,0)+模板计算相关数据!$AC$27)*模板计算相关数据!$AC$28))/S597*AA597)</f>
        <v>83</v>
      </c>
      <c r="AL597" s="3">
        <f>INT(VLOOKUP(U597,模板计算相关数据!A:N,5,0)*VLOOKUP(X597,模板计算相关数据!$P$4:$T$7,4,0)*VLOOKUP(Y597,模板计算相关数据!$P$22:$U$30,4,0)*AB597)</f>
        <v>149</v>
      </c>
      <c r="AM597" s="3">
        <f>INT(VLOOKUP(U597,模板计算相关数据!A:N,6,0)*VLOOKUP(X597,模板计算相关数据!$P$4:$T$7,4,0)*VLOOKUP(Y597,模板计算相关数据!$P$22:$U$30,5,0)*AC597)</f>
        <v>277</v>
      </c>
      <c r="AN597" s="3">
        <f>VLOOKUP(U597,模板计算相关数据!A:N,10,0)*0.5*VLOOKUP(Y597,模板计算相关数据!$P$22:$U$30,6,0)+AD597</f>
        <v>225</v>
      </c>
      <c r="AO597" s="3">
        <f>VLOOKUP(INT(VLOOKUP(U597,模板计算相关数据!A:N,2,0)/30)+1,模板计算相关数据!$O$35:$U$40,3,0)+AE597</f>
        <v>0</v>
      </c>
      <c r="AP597" s="3">
        <f>VLOOKUP(INT(VLOOKUP(U597,模板计算相关数据!A:N,2,0)/30)+1,模板计算相关数据!$O$35:$U$40,4,0)+AF597</f>
        <v>5000</v>
      </c>
      <c r="AQ597" s="3">
        <f>VLOOKUP(INT(VLOOKUP(U597,模板计算相关数据!A:N,2,0)/30)+1,模板计算相关数据!$O$35:$U$40,5,0)+AG597</f>
        <v>0</v>
      </c>
      <c r="AR597" s="3">
        <f>VLOOKUP(INT(VLOOKUP(U597,模板计算相关数据!A:N,2,0)/30)+1,模板计算相关数据!$O$35:$U$40,6,0)+AH597</f>
        <v>0</v>
      </c>
      <c r="AS597" s="3">
        <f>VLOOKUP(INT(VLOOKUP(U597,模板计算相关数据!A:N,2,0)/30)+1,模板计算相关数据!$O$35:$U$40,7,0)+AI597</f>
        <v>0</v>
      </c>
      <c r="AT597" s="3">
        <f>VLOOKUP(INT(VLOOKUP(U597,模板计算相关数据!A:N,2,0)/30)+1,模板计算相关数据!$O$35:$V$40,8,0)</f>
        <v>0</v>
      </c>
      <c r="AU597" s="2"/>
    </row>
    <row r="598" spans="1:47" x14ac:dyDescent="0.2">
      <c r="A598" s="2">
        <v>307538</v>
      </c>
      <c r="B598" s="2"/>
      <c r="C598" s="2" t="s">
        <v>343</v>
      </c>
      <c r="D598" s="69" t="s">
        <v>1176</v>
      </c>
      <c r="E598" s="2"/>
      <c r="F598" s="127">
        <v>3</v>
      </c>
      <c r="G598" s="127">
        <v>101</v>
      </c>
      <c r="H598" s="3">
        <v>3</v>
      </c>
      <c r="I598" s="127">
        <v>5</v>
      </c>
      <c r="J598" s="127">
        <v>1</v>
      </c>
      <c r="K598" s="3"/>
      <c r="L598" s="2" t="s">
        <v>409</v>
      </c>
      <c r="M598" s="2"/>
      <c r="N598" s="2">
        <v>1</v>
      </c>
      <c r="O598" s="2"/>
      <c r="P598" s="3" t="s">
        <v>1615</v>
      </c>
      <c r="Q598" s="95">
        <f t="shared" si="61"/>
        <v>5.6000000000000014</v>
      </c>
      <c r="R598" s="133">
        <f>IF(P598=模板计算相关数据!$AB$24,VLOOKUP(X598,模板计算相关数据!$P$47:$T$50,2,0),VLOOKUP(X598,模板计算相关数据!$P$4:$U$7,3,0))*VLOOKUP(Y598,模板计算相关数据!$P$22:$X$30,8,0)</f>
        <v>5.6000000000000014</v>
      </c>
      <c r="S598" s="62">
        <f t="shared" si="62"/>
        <v>6.6693344004268367</v>
      </c>
      <c r="T598" s="133">
        <f>IF(P598=模板计算相关数据!$AB$24,VLOOKUP(X598,模板计算相关数据!$P$47:$T$50,5,0),VLOOKUP(X598,模板计算相关数据!$P$4:$U$7,6,0))*VLOOKUP(Y598,模板计算相关数据!$P$22:$X$30,9,0)</f>
        <v>6.6693344004268367</v>
      </c>
      <c r="U598" s="98">
        <v>1</v>
      </c>
      <c r="V598" s="95">
        <f t="shared" si="63"/>
        <v>4</v>
      </c>
      <c r="W598" s="29">
        <f>VLOOKUP(U598,模板计算相关数据!A:N,2,0)</f>
        <v>1</v>
      </c>
      <c r="X598" s="3" t="s">
        <v>151</v>
      </c>
      <c r="Y598" s="3" t="s">
        <v>255</v>
      </c>
      <c r="Z598" s="99">
        <v>1</v>
      </c>
      <c r="AA598" s="95">
        <v>1</v>
      </c>
      <c r="AB598" s="95">
        <v>1</v>
      </c>
      <c r="AC598" s="95">
        <v>1</v>
      </c>
      <c r="AD598" s="95">
        <v>0</v>
      </c>
      <c r="AE598" s="95">
        <v>0</v>
      </c>
      <c r="AF598" s="95">
        <v>0</v>
      </c>
      <c r="AG598" s="95">
        <v>0</v>
      </c>
      <c r="AH598" s="95">
        <v>0</v>
      </c>
      <c r="AI598" s="95">
        <v>0</v>
      </c>
      <c r="AJ598" s="3">
        <f>INT(VLOOKUP(U598,模板计算相关数据!A:N,4,0)*VLOOKUP(U598,模板计算相关数据!A:N,14,0)*(1+MAX(0,(VLOOKUP(U598,模板计算相关数据!A:N,7,0)-AQ598))*VLOOKUP(U598,模板计算相关数据!A:N,8,0))*(1-(AL598+AM598)*0.5/((AL598+AM598)*0.5+(VLOOKUP(U598,模板计算相关数据!A:N,2,0)+模板计算相关数据!$AC$27)*模板计算相关数据!$AC$28))*Q598*Z598)</f>
        <v>394</v>
      </c>
      <c r="AK598" s="3">
        <f>INT(VLOOKUP(U598,模板计算相关数据!A:N,3,0)/模板计算相关数据!$W$35/(1+MAX(0,(AO598/10000-VLOOKUP(U598,模板计算相关数据!A:N,9,0)))*AP598/10000)/(1-VLOOKUP(U598,模板计算相关数据!A:N,5,0)/(VLOOKUP(U598,模板计算相关数据!A:N,5,0)+(VLOOKUP(U598,模板计算相关数据!A:N,2,0)+模板计算相关数据!$AC$27)*模板计算相关数据!$AC$28))/S598*AA598)</f>
        <v>83</v>
      </c>
      <c r="AL598" s="3">
        <f>INT(VLOOKUP(U598,模板计算相关数据!A:N,5,0)*VLOOKUP(X598,模板计算相关数据!$P$4:$T$7,4,0)*VLOOKUP(Y598,模板计算相关数据!$P$22:$U$30,4,0)*AB598)</f>
        <v>149</v>
      </c>
      <c r="AM598" s="3">
        <f>INT(VLOOKUP(U598,模板计算相关数据!A:N,6,0)*VLOOKUP(X598,模板计算相关数据!$P$4:$T$7,4,0)*VLOOKUP(Y598,模板计算相关数据!$P$22:$U$30,5,0)*AC598)</f>
        <v>277</v>
      </c>
      <c r="AN598" s="3">
        <f>VLOOKUP(U598,模板计算相关数据!A:N,10,0)*0.5*VLOOKUP(Y598,模板计算相关数据!$P$22:$U$30,6,0)+AD598</f>
        <v>225</v>
      </c>
      <c r="AO598" s="3">
        <f>VLOOKUP(INT(VLOOKUP(U598,模板计算相关数据!A:N,2,0)/30)+1,模板计算相关数据!$O$35:$U$40,3,0)+AE598</f>
        <v>0</v>
      </c>
      <c r="AP598" s="3">
        <f>VLOOKUP(INT(VLOOKUP(U598,模板计算相关数据!A:N,2,0)/30)+1,模板计算相关数据!$O$35:$U$40,4,0)+AF598</f>
        <v>5000</v>
      </c>
      <c r="AQ598" s="3">
        <f>VLOOKUP(INT(VLOOKUP(U598,模板计算相关数据!A:N,2,0)/30)+1,模板计算相关数据!$O$35:$U$40,5,0)+AG598</f>
        <v>0</v>
      </c>
      <c r="AR598" s="3">
        <f>VLOOKUP(INT(VLOOKUP(U598,模板计算相关数据!A:N,2,0)/30)+1,模板计算相关数据!$O$35:$U$40,6,0)+AH598</f>
        <v>0</v>
      </c>
      <c r="AS598" s="3">
        <f>VLOOKUP(INT(VLOOKUP(U598,模板计算相关数据!A:N,2,0)/30)+1,模板计算相关数据!$O$35:$U$40,7,0)+AI598</f>
        <v>0</v>
      </c>
      <c r="AT598" s="3">
        <f>VLOOKUP(INT(VLOOKUP(U598,模板计算相关数据!A:N,2,0)/30)+1,模板计算相关数据!$O$35:$V$40,8,0)</f>
        <v>0</v>
      </c>
      <c r="AU598" s="2"/>
    </row>
    <row r="599" spans="1:47" x14ac:dyDescent="0.2">
      <c r="A599" s="2">
        <v>307539</v>
      </c>
      <c r="B599" s="2"/>
      <c r="C599" s="2" t="s">
        <v>389</v>
      </c>
      <c r="D599" s="69" t="s">
        <v>1173</v>
      </c>
      <c r="E599" s="2"/>
      <c r="F599" s="127">
        <v>3</v>
      </c>
      <c r="G599" s="127">
        <v>101</v>
      </c>
      <c r="H599" s="3">
        <v>2</v>
      </c>
      <c r="I599" s="127">
        <v>5</v>
      </c>
      <c r="J599" s="127">
        <v>1</v>
      </c>
      <c r="K599" s="3"/>
      <c r="L599" s="2" t="s">
        <v>410</v>
      </c>
      <c r="M599" s="2"/>
      <c r="N599" s="2">
        <v>1</v>
      </c>
      <c r="O599" s="2"/>
      <c r="P599" s="3" t="s">
        <v>1615</v>
      </c>
      <c r="Q599" s="95">
        <f t="shared" ref="Q599:Q662" si="64">R599</f>
        <v>6.9411764705882364</v>
      </c>
      <c r="R599" s="133">
        <f>IF(P599=模板计算相关数据!$AB$24,VLOOKUP(X599,模板计算相关数据!$P$47:$T$50,2,0),VLOOKUP(X599,模板计算相关数据!$P$4:$U$7,3,0))*VLOOKUP(Y599,模板计算相关数据!$P$22:$X$30,8,0)</f>
        <v>6.9411764705882364</v>
      </c>
      <c r="S599" s="62">
        <f t="shared" ref="S599:S662" si="65">T599</f>
        <v>8.2943498888557112</v>
      </c>
      <c r="T599" s="133">
        <f>IF(P599=模板计算相关数据!$AB$24,VLOOKUP(X599,模板计算相关数据!$P$47:$T$50,5,0),VLOOKUP(X599,模板计算相关数据!$P$4:$U$7,6,0))*VLOOKUP(Y599,模板计算相关数据!$P$22:$X$30,9,0)</f>
        <v>8.2943498888557112</v>
      </c>
      <c r="U599" s="98">
        <v>1</v>
      </c>
      <c r="V599" s="95">
        <f t="shared" si="63"/>
        <v>4</v>
      </c>
      <c r="W599" s="29">
        <f>VLOOKUP(U599,模板计算相关数据!A:N,2,0)</f>
        <v>1</v>
      </c>
      <c r="X599" s="3" t="s">
        <v>151</v>
      </c>
      <c r="Y599" s="3" t="s">
        <v>234</v>
      </c>
      <c r="Z599" s="99">
        <v>1</v>
      </c>
      <c r="AA599" s="95">
        <v>1</v>
      </c>
      <c r="AB599" s="95">
        <v>1</v>
      </c>
      <c r="AC599" s="95">
        <v>1</v>
      </c>
      <c r="AD599" s="95">
        <v>0</v>
      </c>
      <c r="AE599" s="95">
        <v>0</v>
      </c>
      <c r="AF599" s="95">
        <v>0</v>
      </c>
      <c r="AG599" s="95">
        <v>0</v>
      </c>
      <c r="AH599" s="95">
        <v>0</v>
      </c>
      <c r="AI599" s="95">
        <v>0</v>
      </c>
      <c r="AJ599" s="3">
        <f>INT(VLOOKUP(U599,模板计算相关数据!A:N,4,0)*VLOOKUP(U599,模板计算相关数据!A:N,14,0)*(1+MAX(0,(VLOOKUP(U599,模板计算相关数据!A:N,7,0)-AQ599))*VLOOKUP(U599,模板计算相关数据!A:N,8,0))*(1-(AL599+AM599)*0.5/((AL599+AM599)*0.5+(VLOOKUP(U599,模板计算相关数据!A:N,2,0)+模板计算相关数据!$AC$27)*模板计算相关数据!$AC$28))*Q599*Z599)</f>
        <v>487</v>
      </c>
      <c r="AK599" s="3">
        <f>INT(VLOOKUP(U599,模板计算相关数据!A:N,3,0)/模板计算相关数据!$W$35/(1+MAX(0,(AO599/10000-VLOOKUP(U599,模板计算相关数据!A:N,9,0)))*AP599/10000)/(1-VLOOKUP(U599,模板计算相关数据!A:N,5,0)/(VLOOKUP(U599,模板计算相关数据!A:N,5,0)+(VLOOKUP(U599,模板计算相关数据!A:N,2,0)+模板计算相关数据!$AC$27)*模板计算相关数据!$AC$28))/S599*AA599)</f>
        <v>67</v>
      </c>
      <c r="AL599" s="3">
        <f>INT(VLOOKUP(U599,模板计算相关数据!A:N,5,0)*VLOOKUP(X599,模板计算相关数据!$P$4:$T$7,4,0)*VLOOKUP(Y599,模板计算相关数据!$P$22:$U$30,4,0)*AB599)</f>
        <v>153</v>
      </c>
      <c r="AM599" s="3">
        <f>INT(VLOOKUP(U599,模板计算相关数据!A:N,6,0)*VLOOKUP(X599,模板计算相关数据!$P$4:$T$7,4,0)*VLOOKUP(Y599,模板计算相关数据!$P$22:$U$30,5,0)*AC599)</f>
        <v>277</v>
      </c>
      <c r="AN599" s="3">
        <f>VLOOKUP(U599,模板计算相关数据!A:N,10,0)*0.5*VLOOKUP(Y599,模板计算相关数据!$P$22:$U$30,6,0)+AD599</f>
        <v>225</v>
      </c>
      <c r="AO599" s="3">
        <f>VLOOKUP(INT(VLOOKUP(U599,模板计算相关数据!A:N,2,0)/30)+1,模板计算相关数据!$O$35:$U$40,3,0)+AE599</f>
        <v>0</v>
      </c>
      <c r="AP599" s="3">
        <f>VLOOKUP(INT(VLOOKUP(U599,模板计算相关数据!A:N,2,0)/30)+1,模板计算相关数据!$O$35:$U$40,4,0)+AF599</f>
        <v>5000</v>
      </c>
      <c r="AQ599" s="3">
        <f>VLOOKUP(INT(VLOOKUP(U599,模板计算相关数据!A:N,2,0)/30)+1,模板计算相关数据!$O$35:$U$40,5,0)+AG599</f>
        <v>0</v>
      </c>
      <c r="AR599" s="3">
        <f>VLOOKUP(INT(VLOOKUP(U599,模板计算相关数据!A:N,2,0)/30)+1,模板计算相关数据!$O$35:$U$40,6,0)+AH599</f>
        <v>0</v>
      </c>
      <c r="AS599" s="3">
        <f>VLOOKUP(INT(VLOOKUP(U599,模板计算相关数据!A:N,2,0)/30)+1,模板计算相关数据!$O$35:$U$40,7,0)+AI599</f>
        <v>0</v>
      </c>
      <c r="AT599" s="3">
        <f>VLOOKUP(INT(VLOOKUP(U599,模板计算相关数据!A:N,2,0)/30)+1,模板计算相关数据!$O$35:$V$40,8,0)</f>
        <v>0</v>
      </c>
      <c r="AU599" s="2"/>
    </row>
    <row r="600" spans="1:47" x14ac:dyDescent="0.2">
      <c r="A600" s="2">
        <v>307540</v>
      </c>
      <c r="B600" s="2"/>
      <c r="C600" s="2" t="s">
        <v>389</v>
      </c>
      <c r="D600" s="69" t="s">
        <v>1174</v>
      </c>
      <c r="E600" s="2"/>
      <c r="F600" s="127">
        <v>3</v>
      </c>
      <c r="G600" s="127">
        <v>101</v>
      </c>
      <c r="H600" s="3">
        <v>2</v>
      </c>
      <c r="I600" s="127">
        <v>5</v>
      </c>
      <c r="J600" s="127">
        <v>1</v>
      </c>
      <c r="K600" s="3"/>
      <c r="L600" s="2" t="s">
        <v>411</v>
      </c>
      <c r="M600" s="2"/>
      <c r="N600" s="2">
        <v>1</v>
      </c>
      <c r="O600" s="2"/>
      <c r="P600" s="3" t="s">
        <v>1615</v>
      </c>
      <c r="Q600" s="95">
        <f t="shared" si="64"/>
        <v>6.9411764705882364</v>
      </c>
      <c r="R600" s="133">
        <f>IF(P600=模板计算相关数据!$AB$24,VLOOKUP(X600,模板计算相关数据!$P$47:$T$50,2,0),VLOOKUP(X600,模板计算相关数据!$P$4:$U$7,3,0))*VLOOKUP(Y600,模板计算相关数据!$P$22:$X$30,8,0)</f>
        <v>6.9411764705882364</v>
      </c>
      <c r="S600" s="62">
        <f t="shared" si="65"/>
        <v>8.2943498888557112</v>
      </c>
      <c r="T600" s="133">
        <f>IF(P600=模板计算相关数据!$AB$24,VLOOKUP(X600,模板计算相关数据!$P$47:$T$50,5,0),VLOOKUP(X600,模板计算相关数据!$P$4:$U$7,6,0))*VLOOKUP(Y600,模板计算相关数据!$P$22:$X$30,9,0)</f>
        <v>8.2943498888557112</v>
      </c>
      <c r="U600" s="98">
        <v>1</v>
      </c>
      <c r="V600" s="95">
        <f t="shared" si="63"/>
        <v>4</v>
      </c>
      <c r="W600" s="29">
        <f>VLOOKUP(U600,模板计算相关数据!A:N,2,0)</f>
        <v>1</v>
      </c>
      <c r="X600" s="3" t="s">
        <v>151</v>
      </c>
      <c r="Y600" s="3" t="s">
        <v>234</v>
      </c>
      <c r="Z600" s="99">
        <v>1</v>
      </c>
      <c r="AA600" s="95">
        <v>1</v>
      </c>
      <c r="AB600" s="95">
        <v>1</v>
      </c>
      <c r="AC600" s="95">
        <v>1</v>
      </c>
      <c r="AD600" s="95">
        <v>0</v>
      </c>
      <c r="AE600" s="95">
        <v>0</v>
      </c>
      <c r="AF600" s="95">
        <v>0</v>
      </c>
      <c r="AG600" s="95">
        <v>0</v>
      </c>
      <c r="AH600" s="95">
        <v>0</v>
      </c>
      <c r="AI600" s="95">
        <v>0</v>
      </c>
      <c r="AJ600" s="3">
        <f>INT(VLOOKUP(U600,模板计算相关数据!A:N,4,0)*VLOOKUP(U600,模板计算相关数据!A:N,14,0)*(1+MAX(0,(VLOOKUP(U600,模板计算相关数据!A:N,7,0)-AQ600))*VLOOKUP(U600,模板计算相关数据!A:N,8,0))*(1-(AL600+AM600)*0.5/((AL600+AM600)*0.5+(VLOOKUP(U600,模板计算相关数据!A:N,2,0)+模板计算相关数据!$AC$27)*模板计算相关数据!$AC$28))*Q600*Z600)</f>
        <v>487</v>
      </c>
      <c r="AK600" s="3">
        <f>INT(VLOOKUP(U600,模板计算相关数据!A:N,3,0)/模板计算相关数据!$W$35/(1+MAX(0,(AO600/10000-VLOOKUP(U600,模板计算相关数据!A:N,9,0)))*AP600/10000)/(1-VLOOKUP(U600,模板计算相关数据!A:N,5,0)/(VLOOKUP(U600,模板计算相关数据!A:N,5,0)+(VLOOKUP(U600,模板计算相关数据!A:N,2,0)+模板计算相关数据!$AC$27)*模板计算相关数据!$AC$28))/S600*AA600)</f>
        <v>67</v>
      </c>
      <c r="AL600" s="3">
        <f>INT(VLOOKUP(U600,模板计算相关数据!A:N,5,0)*VLOOKUP(X600,模板计算相关数据!$P$4:$T$7,4,0)*VLOOKUP(Y600,模板计算相关数据!$P$22:$U$30,4,0)*AB600)</f>
        <v>153</v>
      </c>
      <c r="AM600" s="3">
        <f>INT(VLOOKUP(U600,模板计算相关数据!A:N,6,0)*VLOOKUP(X600,模板计算相关数据!$P$4:$T$7,4,0)*VLOOKUP(Y600,模板计算相关数据!$P$22:$U$30,5,0)*AC600)</f>
        <v>277</v>
      </c>
      <c r="AN600" s="3">
        <f>VLOOKUP(U600,模板计算相关数据!A:N,10,0)*0.5*VLOOKUP(Y600,模板计算相关数据!$P$22:$U$30,6,0)+AD600</f>
        <v>225</v>
      </c>
      <c r="AO600" s="3">
        <f>VLOOKUP(INT(VLOOKUP(U600,模板计算相关数据!A:N,2,0)/30)+1,模板计算相关数据!$O$35:$U$40,3,0)+AE600</f>
        <v>0</v>
      </c>
      <c r="AP600" s="3">
        <f>VLOOKUP(INT(VLOOKUP(U600,模板计算相关数据!A:N,2,0)/30)+1,模板计算相关数据!$O$35:$U$40,4,0)+AF600</f>
        <v>5000</v>
      </c>
      <c r="AQ600" s="3">
        <f>VLOOKUP(INT(VLOOKUP(U600,模板计算相关数据!A:N,2,0)/30)+1,模板计算相关数据!$O$35:$U$40,5,0)+AG600</f>
        <v>0</v>
      </c>
      <c r="AR600" s="3">
        <f>VLOOKUP(INT(VLOOKUP(U600,模板计算相关数据!A:N,2,0)/30)+1,模板计算相关数据!$O$35:$U$40,6,0)+AH600</f>
        <v>0</v>
      </c>
      <c r="AS600" s="3">
        <f>VLOOKUP(INT(VLOOKUP(U600,模板计算相关数据!A:N,2,0)/30)+1,模板计算相关数据!$O$35:$U$40,7,0)+AI600</f>
        <v>0</v>
      </c>
      <c r="AT600" s="3">
        <f>VLOOKUP(INT(VLOOKUP(U600,模板计算相关数据!A:N,2,0)/30)+1,模板计算相关数据!$O$35:$V$40,8,0)</f>
        <v>0</v>
      </c>
      <c r="AU600" s="2"/>
    </row>
    <row r="601" spans="1:47" x14ac:dyDescent="0.2">
      <c r="A601" s="2">
        <v>307541</v>
      </c>
      <c r="B601" s="2"/>
      <c r="C601" s="2" t="s">
        <v>389</v>
      </c>
      <c r="D601" s="69" t="s">
        <v>1175</v>
      </c>
      <c r="E601" s="2"/>
      <c r="F601" s="127">
        <v>3</v>
      </c>
      <c r="G601" s="127">
        <v>101</v>
      </c>
      <c r="H601" s="3">
        <v>2</v>
      </c>
      <c r="I601" s="127">
        <v>5</v>
      </c>
      <c r="J601" s="127">
        <v>1</v>
      </c>
      <c r="K601" s="3"/>
      <c r="L601" s="2" t="s">
        <v>412</v>
      </c>
      <c r="M601" s="2"/>
      <c r="N601" s="2">
        <v>1</v>
      </c>
      <c r="O601" s="2"/>
      <c r="P601" s="3" t="s">
        <v>1615</v>
      </c>
      <c r="Q601" s="95">
        <f t="shared" si="64"/>
        <v>6.9411764705882364</v>
      </c>
      <c r="R601" s="133">
        <f>IF(P601=模板计算相关数据!$AB$24,VLOOKUP(X601,模板计算相关数据!$P$47:$T$50,2,0),VLOOKUP(X601,模板计算相关数据!$P$4:$U$7,3,0))*VLOOKUP(Y601,模板计算相关数据!$P$22:$X$30,8,0)</f>
        <v>6.9411764705882364</v>
      </c>
      <c r="S601" s="62">
        <f t="shared" si="65"/>
        <v>8.2943498888557112</v>
      </c>
      <c r="T601" s="133">
        <f>IF(P601=模板计算相关数据!$AB$24,VLOOKUP(X601,模板计算相关数据!$P$47:$T$50,5,0),VLOOKUP(X601,模板计算相关数据!$P$4:$U$7,6,0))*VLOOKUP(Y601,模板计算相关数据!$P$22:$X$30,9,0)</f>
        <v>8.2943498888557112</v>
      </c>
      <c r="U601" s="98">
        <v>1</v>
      </c>
      <c r="V601" s="95">
        <f t="shared" si="63"/>
        <v>4</v>
      </c>
      <c r="W601" s="29">
        <f>VLOOKUP(U601,模板计算相关数据!A:N,2,0)</f>
        <v>1</v>
      </c>
      <c r="X601" s="3" t="s">
        <v>151</v>
      </c>
      <c r="Y601" s="3" t="s">
        <v>234</v>
      </c>
      <c r="Z601" s="99">
        <v>1</v>
      </c>
      <c r="AA601" s="95">
        <v>1</v>
      </c>
      <c r="AB601" s="95">
        <v>1</v>
      </c>
      <c r="AC601" s="95">
        <v>1</v>
      </c>
      <c r="AD601" s="95">
        <v>0</v>
      </c>
      <c r="AE601" s="95">
        <v>0</v>
      </c>
      <c r="AF601" s="95">
        <v>0</v>
      </c>
      <c r="AG601" s="95">
        <v>0</v>
      </c>
      <c r="AH601" s="95">
        <v>0</v>
      </c>
      <c r="AI601" s="95">
        <v>0</v>
      </c>
      <c r="AJ601" s="3">
        <f>INT(VLOOKUP(U601,模板计算相关数据!A:N,4,0)*VLOOKUP(U601,模板计算相关数据!A:N,14,0)*(1+MAX(0,(VLOOKUP(U601,模板计算相关数据!A:N,7,0)-AQ601))*VLOOKUP(U601,模板计算相关数据!A:N,8,0))*(1-(AL601+AM601)*0.5/((AL601+AM601)*0.5+(VLOOKUP(U601,模板计算相关数据!A:N,2,0)+模板计算相关数据!$AC$27)*模板计算相关数据!$AC$28))*Q601*Z601)</f>
        <v>487</v>
      </c>
      <c r="AK601" s="3">
        <f>INT(VLOOKUP(U601,模板计算相关数据!A:N,3,0)/模板计算相关数据!$W$35/(1+MAX(0,(AO601/10000-VLOOKUP(U601,模板计算相关数据!A:N,9,0)))*AP601/10000)/(1-VLOOKUP(U601,模板计算相关数据!A:N,5,0)/(VLOOKUP(U601,模板计算相关数据!A:N,5,0)+(VLOOKUP(U601,模板计算相关数据!A:N,2,0)+模板计算相关数据!$AC$27)*模板计算相关数据!$AC$28))/S601*AA601)</f>
        <v>67</v>
      </c>
      <c r="AL601" s="3">
        <f>INT(VLOOKUP(U601,模板计算相关数据!A:N,5,0)*VLOOKUP(X601,模板计算相关数据!$P$4:$T$7,4,0)*VLOOKUP(Y601,模板计算相关数据!$P$22:$U$30,4,0)*AB601)</f>
        <v>153</v>
      </c>
      <c r="AM601" s="3">
        <f>INT(VLOOKUP(U601,模板计算相关数据!A:N,6,0)*VLOOKUP(X601,模板计算相关数据!$P$4:$T$7,4,0)*VLOOKUP(Y601,模板计算相关数据!$P$22:$U$30,5,0)*AC601)</f>
        <v>277</v>
      </c>
      <c r="AN601" s="3">
        <f>VLOOKUP(U601,模板计算相关数据!A:N,10,0)*0.5*VLOOKUP(Y601,模板计算相关数据!$P$22:$U$30,6,0)+AD601</f>
        <v>225</v>
      </c>
      <c r="AO601" s="3">
        <f>VLOOKUP(INT(VLOOKUP(U601,模板计算相关数据!A:N,2,0)/30)+1,模板计算相关数据!$O$35:$U$40,3,0)+AE601</f>
        <v>0</v>
      </c>
      <c r="AP601" s="3">
        <f>VLOOKUP(INT(VLOOKUP(U601,模板计算相关数据!A:N,2,0)/30)+1,模板计算相关数据!$O$35:$U$40,4,0)+AF601</f>
        <v>5000</v>
      </c>
      <c r="AQ601" s="3">
        <f>VLOOKUP(INT(VLOOKUP(U601,模板计算相关数据!A:N,2,0)/30)+1,模板计算相关数据!$O$35:$U$40,5,0)+AG601</f>
        <v>0</v>
      </c>
      <c r="AR601" s="3">
        <f>VLOOKUP(INT(VLOOKUP(U601,模板计算相关数据!A:N,2,0)/30)+1,模板计算相关数据!$O$35:$U$40,6,0)+AH601</f>
        <v>0</v>
      </c>
      <c r="AS601" s="3">
        <f>VLOOKUP(INT(VLOOKUP(U601,模板计算相关数据!A:N,2,0)/30)+1,模板计算相关数据!$O$35:$U$40,7,0)+AI601</f>
        <v>0</v>
      </c>
      <c r="AT601" s="3">
        <f>VLOOKUP(INT(VLOOKUP(U601,模板计算相关数据!A:N,2,0)/30)+1,模板计算相关数据!$O$35:$V$40,8,0)</f>
        <v>0</v>
      </c>
      <c r="AU601" s="2"/>
    </row>
    <row r="602" spans="1:47" x14ac:dyDescent="0.2">
      <c r="A602" s="2">
        <v>307542</v>
      </c>
      <c r="B602" s="2"/>
      <c r="C602" s="2" t="s">
        <v>389</v>
      </c>
      <c r="D602" s="69" t="s">
        <v>1176</v>
      </c>
      <c r="E602" s="2"/>
      <c r="F602" s="127">
        <v>3</v>
      </c>
      <c r="G602" s="127">
        <v>101</v>
      </c>
      <c r="H602" s="3">
        <v>2</v>
      </c>
      <c r="I602" s="127">
        <v>5</v>
      </c>
      <c r="J602" s="127">
        <v>1</v>
      </c>
      <c r="K602" s="3"/>
      <c r="L602" s="2" t="s">
        <v>413</v>
      </c>
      <c r="M602" s="2"/>
      <c r="N602" s="2">
        <v>1</v>
      </c>
      <c r="O602" s="2"/>
      <c r="P602" s="3" t="s">
        <v>1615</v>
      </c>
      <c r="Q602" s="95">
        <f t="shared" si="64"/>
        <v>6.9411764705882364</v>
      </c>
      <c r="R602" s="133">
        <f>IF(P602=模板计算相关数据!$AB$24,VLOOKUP(X602,模板计算相关数据!$P$47:$T$50,2,0),VLOOKUP(X602,模板计算相关数据!$P$4:$U$7,3,0))*VLOOKUP(Y602,模板计算相关数据!$P$22:$X$30,8,0)</f>
        <v>6.9411764705882364</v>
      </c>
      <c r="S602" s="62">
        <f t="shared" si="65"/>
        <v>8.2943498888557112</v>
      </c>
      <c r="T602" s="133">
        <f>IF(P602=模板计算相关数据!$AB$24,VLOOKUP(X602,模板计算相关数据!$P$47:$T$50,5,0),VLOOKUP(X602,模板计算相关数据!$P$4:$U$7,6,0))*VLOOKUP(Y602,模板计算相关数据!$P$22:$X$30,9,0)</f>
        <v>8.2943498888557112</v>
      </c>
      <c r="U602" s="98">
        <v>1</v>
      </c>
      <c r="V602" s="95">
        <f t="shared" si="63"/>
        <v>4</v>
      </c>
      <c r="W602" s="29">
        <f>VLOOKUP(U602,模板计算相关数据!A:N,2,0)</f>
        <v>1</v>
      </c>
      <c r="X602" s="3" t="s">
        <v>151</v>
      </c>
      <c r="Y602" s="3" t="s">
        <v>234</v>
      </c>
      <c r="Z602" s="99">
        <v>1</v>
      </c>
      <c r="AA602" s="95">
        <v>1</v>
      </c>
      <c r="AB602" s="95">
        <v>1</v>
      </c>
      <c r="AC602" s="95">
        <v>1</v>
      </c>
      <c r="AD602" s="95">
        <v>0</v>
      </c>
      <c r="AE602" s="95">
        <v>0</v>
      </c>
      <c r="AF602" s="95">
        <v>0</v>
      </c>
      <c r="AG602" s="95">
        <v>0</v>
      </c>
      <c r="AH602" s="95">
        <v>0</v>
      </c>
      <c r="AI602" s="95">
        <v>0</v>
      </c>
      <c r="AJ602" s="3">
        <f>INT(VLOOKUP(U602,模板计算相关数据!A:N,4,0)*VLOOKUP(U602,模板计算相关数据!A:N,14,0)*(1+MAX(0,(VLOOKUP(U602,模板计算相关数据!A:N,7,0)-AQ602))*VLOOKUP(U602,模板计算相关数据!A:N,8,0))*(1-(AL602+AM602)*0.5/((AL602+AM602)*0.5+(VLOOKUP(U602,模板计算相关数据!A:N,2,0)+模板计算相关数据!$AC$27)*模板计算相关数据!$AC$28))*Q602*Z602)</f>
        <v>487</v>
      </c>
      <c r="AK602" s="3">
        <f>INT(VLOOKUP(U602,模板计算相关数据!A:N,3,0)/模板计算相关数据!$W$35/(1+MAX(0,(AO602/10000-VLOOKUP(U602,模板计算相关数据!A:N,9,0)))*AP602/10000)/(1-VLOOKUP(U602,模板计算相关数据!A:N,5,0)/(VLOOKUP(U602,模板计算相关数据!A:N,5,0)+(VLOOKUP(U602,模板计算相关数据!A:N,2,0)+模板计算相关数据!$AC$27)*模板计算相关数据!$AC$28))/S602*AA602)</f>
        <v>67</v>
      </c>
      <c r="AL602" s="3">
        <f>INT(VLOOKUP(U602,模板计算相关数据!A:N,5,0)*VLOOKUP(X602,模板计算相关数据!$P$4:$T$7,4,0)*VLOOKUP(Y602,模板计算相关数据!$P$22:$U$30,4,0)*AB602)</f>
        <v>153</v>
      </c>
      <c r="AM602" s="3">
        <f>INT(VLOOKUP(U602,模板计算相关数据!A:N,6,0)*VLOOKUP(X602,模板计算相关数据!$P$4:$T$7,4,0)*VLOOKUP(Y602,模板计算相关数据!$P$22:$U$30,5,0)*AC602)</f>
        <v>277</v>
      </c>
      <c r="AN602" s="3">
        <f>VLOOKUP(U602,模板计算相关数据!A:N,10,0)*0.5*VLOOKUP(Y602,模板计算相关数据!$P$22:$U$30,6,0)+AD602</f>
        <v>225</v>
      </c>
      <c r="AO602" s="3">
        <f>VLOOKUP(INT(VLOOKUP(U602,模板计算相关数据!A:N,2,0)/30)+1,模板计算相关数据!$O$35:$U$40,3,0)+AE602</f>
        <v>0</v>
      </c>
      <c r="AP602" s="3">
        <f>VLOOKUP(INT(VLOOKUP(U602,模板计算相关数据!A:N,2,0)/30)+1,模板计算相关数据!$O$35:$U$40,4,0)+AF602</f>
        <v>5000</v>
      </c>
      <c r="AQ602" s="3">
        <f>VLOOKUP(INT(VLOOKUP(U602,模板计算相关数据!A:N,2,0)/30)+1,模板计算相关数据!$O$35:$U$40,5,0)+AG602</f>
        <v>0</v>
      </c>
      <c r="AR602" s="3">
        <f>VLOOKUP(INT(VLOOKUP(U602,模板计算相关数据!A:N,2,0)/30)+1,模板计算相关数据!$O$35:$U$40,6,0)+AH602</f>
        <v>0</v>
      </c>
      <c r="AS602" s="3">
        <f>VLOOKUP(INT(VLOOKUP(U602,模板计算相关数据!A:N,2,0)/30)+1,模板计算相关数据!$O$35:$U$40,7,0)+AI602</f>
        <v>0</v>
      </c>
      <c r="AT602" s="3">
        <f>VLOOKUP(INT(VLOOKUP(U602,模板计算相关数据!A:N,2,0)/30)+1,模板计算相关数据!$O$35:$V$40,8,0)</f>
        <v>0</v>
      </c>
      <c r="AU602" s="2"/>
    </row>
    <row r="603" spans="1:47" x14ac:dyDescent="0.2">
      <c r="A603" s="2">
        <v>307543</v>
      </c>
      <c r="B603" s="2"/>
      <c r="C603" s="2" t="s">
        <v>152</v>
      </c>
      <c r="D603" s="2" t="s">
        <v>1177</v>
      </c>
      <c r="E603" s="2"/>
      <c r="F603" s="127">
        <v>3</v>
      </c>
      <c r="G603" s="127">
        <v>101</v>
      </c>
      <c r="H603" s="3">
        <v>1</v>
      </c>
      <c r="I603" s="127">
        <v>5</v>
      </c>
      <c r="J603" s="127">
        <v>1</v>
      </c>
      <c r="K603" s="3"/>
      <c r="L603" s="2" t="s">
        <v>414</v>
      </c>
      <c r="M603" s="2"/>
      <c r="N603" s="2">
        <v>1</v>
      </c>
      <c r="O603" s="2"/>
      <c r="P603" s="3" t="s">
        <v>1615</v>
      </c>
      <c r="Q603" s="95">
        <f t="shared" si="64"/>
        <v>4.417254901960785</v>
      </c>
      <c r="R603" s="133">
        <f>IF(P603=模板计算相关数据!$AB$24,VLOOKUP(X603,模板计算相关数据!$P$47:$T$50,2,0),VLOOKUP(X603,模板计算相关数据!$P$4:$U$7,3,0))*VLOOKUP(Y603,模板计算相关数据!$P$22:$X$30,8,0)</f>
        <v>4.417254901960785</v>
      </c>
      <c r="S603" s="62">
        <f t="shared" si="65"/>
        <v>5.4285280003474252</v>
      </c>
      <c r="T603" s="133">
        <f>IF(P603=模板计算相关数据!$AB$24,VLOOKUP(X603,模板计算相关数据!$P$47:$T$50,5,0),VLOOKUP(X603,模板计算相关数据!$P$4:$U$7,6,0))*VLOOKUP(Y603,模板计算相关数据!$P$22:$X$30,9,0)</f>
        <v>5.4285280003474252</v>
      </c>
      <c r="U603" s="98">
        <v>1</v>
      </c>
      <c r="V603" s="95">
        <f t="shared" si="63"/>
        <v>4</v>
      </c>
      <c r="W603" s="29">
        <f>VLOOKUP(U603,模板计算相关数据!A:N,2,0)</f>
        <v>1</v>
      </c>
      <c r="X603" s="3" t="s">
        <v>151</v>
      </c>
      <c r="Y603" s="3" t="s">
        <v>152</v>
      </c>
      <c r="Z603" s="99">
        <v>1</v>
      </c>
      <c r="AA603" s="95">
        <v>1</v>
      </c>
      <c r="AB603" s="95">
        <v>1</v>
      </c>
      <c r="AC603" s="95">
        <v>1</v>
      </c>
      <c r="AD603" s="95">
        <v>0</v>
      </c>
      <c r="AE603" s="95">
        <v>0</v>
      </c>
      <c r="AF603" s="95">
        <v>0</v>
      </c>
      <c r="AG603" s="95">
        <v>0</v>
      </c>
      <c r="AH603" s="95">
        <v>0</v>
      </c>
      <c r="AI603" s="95">
        <v>0</v>
      </c>
      <c r="AJ603" s="3">
        <f>INT(VLOOKUP(U603,模板计算相关数据!A:N,4,0)*VLOOKUP(U603,模板计算相关数据!A:N,14,0)*(1+MAX(0,(VLOOKUP(U603,模板计算相关数据!A:N,7,0)-AQ603))*VLOOKUP(U603,模板计算相关数据!A:N,8,0))*(1-(AL603+AM603)*0.5/((AL603+AM603)*0.5+(VLOOKUP(U603,模板计算相关数据!A:N,2,0)+模板计算相关数据!$AC$27)*模板计算相关数据!$AC$28))*Q603*Z603)</f>
        <v>325</v>
      </c>
      <c r="AK603" s="3">
        <f>INT(VLOOKUP(U603,模板计算相关数据!A:N,3,0)/模板计算相关数据!$W$35/(1+MAX(0,(AO603/10000-VLOOKUP(U603,模板计算相关数据!A:N,9,0)))*AP603/10000)/(1-VLOOKUP(U603,模板计算相关数据!A:N,5,0)/(VLOOKUP(U603,模板计算相关数据!A:N,5,0)+(VLOOKUP(U603,模板计算相关数据!A:N,2,0)+模板计算相关数据!$AC$27)*模板计算相关数据!$AC$28))/S603*AA603)</f>
        <v>102</v>
      </c>
      <c r="AL603" s="3">
        <f>INT(VLOOKUP(U603,模板计算相关数据!A:N,5,0)*VLOOKUP(X603,模板计算相关数据!$P$4:$T$7,4,0)*VLOOKUP(Y603,模板计算相关数据!$P$22:$U$30,4,0)*AB603)</f>
        <v>230</v>
      </c>
      <c r="AM603" s="3">
        <f>INT(VLOOKUP(U603,模板计算相关数据!A:N,6,0)*VLOOKUP(X603,模板计算相关数据!$P$4:$T$7,4,0)*VLOOKUP(Y603,模板计算相关数据!$P$22:$U$30,5,0)*AC603)</f>
        <v>136</v>
      </c>
      <c r="AN603" s="3">
        <f>VLOOKUP(U603,模板计算相关数据!A:N,10,0)*0.5*VLOOKUP(Y603,模板计算相关数据!$P$22:$U$30,6,0)+AD603</f>
        <v>250</v>
      </c>
      <c r="AO603" s="3">
        <f>VLOOKUP(INT(VLOOKUP(U603,模板计算相关数据!A:N,2,0)/30)+1,模板计算相关数据!$O$35:$U$40,3,0)+AE603</f>
        <v>0</v>
      </c>
      <c r="AP603" s="3">
        <f>VLOOKUP(INT(VLOOKUP(U603,模板计算相关数据!A:N,2,0)/30)+1,模板计算相关数据!$O$35:$U$40,4,0)+AF603</f>
        <v>5000</v>
      </c>
      <c r="AQ603" s="3">
        <f>VLOOKUP(INT(VLOOKUP(U603,模板计算相关数据!A:N,2,0)/30)+1,模板计算相关数据!$O$35:$U$40,5,0)+AG603</f>
        <v>0</v>
      </c>
      <c r="AR603" s="3">
        <f>VLOOKUP(INT(VLOOKUP(U603,模板计算相关数据!A:N,2,0)/30)+1,模板计算相关数据!$O$35:$U$40,6,0)+AH603</f>
        <v>0</v>
      </c>
      <c r="AS603" s="3">
        <f>VLOOKUP(INT(VLOOKUP(U603,模板计算相关数据!A:N,2,0)/30)+1,模板计算相关数据!$O$35:$U$40,7,0)+AI603</f>
        <v>0</v>
      </c>
      <c r="AT603" s="3">
        <f>VLOOKUP(INT(VLOOKUP(U603,模板计算相关数据!A:N,2,0)/30)+1,模板计算相关数据!$O$35:$V$40,8,0)</f>
        <v>0</v>
      </c>
      <c r="AU603" s="2"/>
    </row>
    <row r="604" spans="1:47" x14ac:dyDescent="0.2">
      <c r="A604" s="2">
        <v>307544</v>
      </c>
      <c r="B604" s="2"/>
      <c r="C604" s="2" t="s">
        <v>152</v>
      </c>
      <c r="D604" s="2" t="s">
        <v>1178</v>
      </c>
      <c r="E604" s="2"/>
      <c r="F604" s="127">
        <v>3</v>
      </c>
      <c r="G604" s="127">
        <v>101</v>
      </c>
      <c r="H604" s="3">
        <v>1</v>
      </c>
      <c r="I604" s="127">
        <v>5</v>
      </c>
      <c r="J604" s="127">
        <v>1</v>
      </c>
      <c r="K604" s="3"/>
      <c r="L604" s="2" t="s">
        <v>415</v>
      </c>
      <c r="M604" s="2"/>
      <c r="N604" s="2">
        <v>1</v>
      </c>
      <c r="O604" s="2"/>
      <c r="P604" s="3" t="s">
        <v>1615</v>
      </c>
      <c r="Q604" s="95">
        <f t="shared" si="64"/>
        <v>4.417254901960785</v>
      </c>
      <c r="R604" s="133">
        <f>IF(P604=模板计算相关数据!$AB$24,VLOOKUP(X604,模板计算相关数据!$P$47:$T$50,2,0),VLOOKUP(X604,模板计算相关数据!$P$4:$U$7,3,0))*VLOOKUP(Y604,模板计算相关数据!$P$22:$X$30,8,0)</f>
        <v>4.417254901960785</v>
      </c>
      <c r="S604" s="62">
        <f t="shared" si="65"/>
        <v>5.4285280003474252</v>
      </c>
      <c r="T604" s="133">
        <f>IF(P604=模板计算相关数据!$AB$24,VLOOKUP(X604,模板计算相关数据!$P$47:$T$50,5,0),VLOOKUP(X604,模板计算相关数据!$P$4:$U$7,6,0))*VLOOKUP(Y604,模板计算相关数据!$P$22:$X$30,9,0)</f>
        <v>5.4285280003474252</v>
      </c>
      <c r="U604" s="98">
        <v>1</v>
      </c>
      <c r="V604" s="95">
        <f t="shared" si="63"/>
        <v>4</v>
      </c>
      <c r="W604" s="29">
        <f>VLOOKUP(U604,模板计算相关数据!A:N,2,0)</f>
        <v>1</v>
      </c>
      <c r="X604" s="3" t="s">
        <v>151</v>
      </c>
      <c r="Y604" s="3" t="s">
        <v>152</v>
      </c>
      <c r="Z604" s="99">
        <v>1</v>
      </c>
      <c r="AA604" s="95">
        <v>1</v>
      </c>
      <c r="AB604" s="95">
        <v>1</v>
      </c>
      <c r="AC604" s="95">
        <v>1</v>
      </c>
      <c r="AD604" s="95">
        <v>0</v>
      </c>
      <c r="AE604" s="95">
        <v>0</v>
      </c>
      <c r="AF604" s="95">
        <v>0</v>
      </c>
      <c r="AG604" s="95">
        <v>0</v>
      </c>
      <c r="AH604" s="95">
        <v>0</v>
      </c>
      <c r="AI604" s="95">
        <v>0</v>
      </c>
      <c r="AJ604" s="3">
        <f>INT(VLOOKUP(U604,模板计算相关数据!A:N,4,0)*VLOOKUP(U604,模板计算相关数据!A:N,14,0)*(1+MAX(0,(VLOOKUP(U604,模板计算相关数据!A:N,7,0)-AQ604))*VLOOKUP(U604,模板计算相关数据!A:N,8,0))*(1-(AL604+AM604)*0.5/((AL604+AM604)*0.5+(VLOOKUP(U604,模板计算相关数据!A:N,2,0)+模板计算相关数据!$AC$27)*模板计算相关数据!$AC$28))*Q604*Z604)</f>
        <v>325</v>
      </c>
      <c r="AK604" s="3">
        <f>INT(VLOOKUP(U604,模板计算相关数据!A:N,3,0)/模板计算相关数据!$W$35/(1+MAX(0,(AO604/10000-VLOOKUP(U604,模板计算相关数据!A:N,9,0)))*AP604/10000)/(1-VLOOKUP(U604,模板计算相关数据!A:N,5,0)/(VLOOKUP(U604,模板计算相关数据!A:N,5,0)+(VLOOKUP(U604,模板计算相关数据!A:N,2,0)+模板计算相关数据!$AC$27)*模板计算相关数据!$AC$28))/S604*AA604)</f>
        <v>102</v>
      </c>
      <c r="AL604" s="3">
        <f>INT(VLOOKUP(U604,模板计算相关数据!A:N,5,0)*VLOOKUP(X604,模板计算相关数据!$P$4:$T$7,4,0)*VLOOKUP(Y604,模板计算相关数据!$P$22:$U$30,4,0)*AB604)</f>
        <v>230</v>
      </c>
      <c r="AM604" s="3">
        <f>INT(VLOOKUP(U604,模板计算相关数据!A:N,6,0)*VLOOKUP(X604,模板计算相关数据!$P$4:$T$7,4,0)*VLOOKUP(Y604,模板计算相关数据!$P$22:$U$30,5,0)*AC604)</f>
        <v>136</v>
      </c>
      <c r="AN604" s="3">
        <f>VLOOKUP(U604,模板计算相关数据!A:N,10,0)*0.5*VLOOKUP(Y604,模板计算相关数据!$P$22:$U$30,6,0)+AD604</f>
        <v>250</v>
      </c>
      <c r="AO604" s="3">
        <f>VLOOKUP(INT(VLOOKUP(U604,模板计算相关数据!A:N,2,0)/30)+1,模板计算相关数据!$O$35:$U$40,3,0)+AE604</f>
        <v>0</v>
      </c>
      <c r="AP604" s="3">
        <f>VLOOKUP(INT(VLOOKUP(U604,模板计算相关数据!A:N,2,0)/30)+1,模板计算相关数据!$O$35:$U$40,4,0)+AF604</f>
        <v>5000</v>
      </c>
      <c r="AQ604" s="3">
        <f>VLOOKUP(INT(VLOOKUP(U604,模板计算相关数据!A:N,2,0)/30)+1,模板计算相关数据!$O$35:$U$40,5,0)+AG604</f>
        <v>0</v>
      </c>
      <c r="AR604" s="3">
        <f>VLOOKUP(INT(VLOOKUP(U604,模板计算相关数据!A:N,2,0)/30)+1,模板计算相关数据!$O$35:$U$40,6,0)+AH604</f>
        <v>0</v>
      </c>
      <c r="AS604" s="3">
        <f>VLOOKUP(INT(VLOOKUP(U604,模板计算相关数据!A:N,2,0)/30)+1,模板计算相关数据!$O$35:$U$40,7,0)+AI604</f>
        <v>0</v>
      </c>
      <c r="AT604" s="3">
        <f>VLOOKUP(INT(VLOOKUP(U604,模板计算相关数据!A:N,2,0)/30)+1,模板计算相关数据!$O$35:$V$40,8,0)</f>
        <v>0</v>
      </c>
      <c r="AU604" s="2"/>
    </row>
    <row r="605" spans="1:47" x14ac:dyDescent="0.2">
      <c r="A605" s="2">
        <v>307545</v>
      </c>
      <c r="B605" s="2"/>
      <c r="C605" s="2" t="s">
        <v>152</v>
      </c>
      <c r="D605" s="2" t="s">
        <v>1179</v>
      </c>
      <c r="E605" s="2"/>
      <c r="F605" s="127">
        <v>3</v>
      </c>
      <c r="G605" s="127">
        <v>101</v>
      </c>
      <c r="H605" s="3">
        <v>1</v>
      </c>
      <c r="I605" s="127">
        <v>5</v>
      </c>
      <c r="J605" s="127">
        <v>1</v>
      </c>
      <c r="K605" s="3"/>
      <c r="L605" s="2" t="s">
        <v>416</v>
      </c>
      <c r="M605" s="2"/>
      <c r="N605" s="2">
        <v>1</v>
      </c>
      <c r="O605" s="2"/>
      <c r="P605" s="3" t="s">
        <v>1615</v>
      </c>
      <c r="Q605" s="95">
        <f t="shared" si="64"/>
        <v>4.417254901960785</v>
      </c>
      <c r="R605" s="133">
        <f>IF(P605=模板计算相关数据!$AB$24,VLOOKUP(X605,模板计算相关数据!$P$47:$T$50,2,0),VLOOKUP(X605,模板计算相关数据!$P$4:$U$7,3,0))*VLOOKUP(Y605,模板计算相关数据!$P$22:$X$30,8,0)</f>
        <v>4.417254901960785</v>
      </c>
      <c r="S605" s="62">
        <f t="shared" si="65"/>
        <v>5.4285280003474252</v>
      </c>
      <c r="T605" s="133">
        <f>IF(P605=模板计算相关数据!$AB$24,VLOOKUP(X605,模板计算相关数据!$P$47:$T$50,5,0),VLOOKUP(X605,模板计算相关数据!$P$4:$U$7,6,0))*VLOOKUP(Y605,模板计算相关数据!$P$22:$X$30,9,0)</f>
        <v>5.4285280003474252</v>
      </c>
      <c r="U605" s="98">
        <v>1</v>
      </c>
      <c r="V605" s="95">
        <f t="shared" si="63"/>
        <v>4</v>
      </c>
      <c r="W605" s="29">
        <f>VLOOKUP(U605,模板计算相关数据!A:N,2,0)</f>
        <v>1</v>
      </c>
      <c r="X605" s="3" t="s">
        <v>151</v>
      </c>
      <c r="Y605" s="3" t="s">
        <v>152</v>
      </c>
      <c r="Z605" s="99">
        <v>1</v>
      </c>
      <c r="AA605" s="95">
        <v>1</v>
      </c>
      <c r="AB605" s="95">
        <v>1</v>
      </c>
      <c r="AC605" s="95">
        <v>1</v>
      </c>
      <c r="AD605" s="95">
        <v>0</v>
      </c>
      <c r="AE605" s="95">
        <v>0</v>
      </c>
      <c r="AF605" s="95">
        <v>0</v>
      </c>
      <c r="AG605" s="95">
        <v>0</v>
      </c>
      <c r="AH605" s="95">
        <v>0</v>
      </c>
      <c r="AI605" s="95">
        <v>0</v>
      </c>
      <c r="AJ605" s="3">
        <f>INT(VLOOKUP(U605,模板计算相关数据!A:N,4,0)*VLOOKUP(U605,模板计算相关数据!A:N,14,0)*(1+MAX(0,(VLOOKUP(U605,模板计算相关数据!A:N,7,0)-AQ605))*VLOOKUP(U605,模板计算相关数据!A:N,8,0))*(1-(AL605+AM605)*0.5/((AL605+AM605)*0.5+(VLOOKUP(U605,模板计算相关数据!A:N,2,0)+模板计算相关数据!$AC$27)*模板计算相关数据!$AC$28))*Q605*Z605)</f>
        <v>325</v>
      </c>
      <c r="AK605" s="3">
        <f>INT(VLOOKUP(U605,模板计算相关数据!A:N,3,0)/模板计算相关数据!$W$35/(1+MAX(0,(AO605/10000-VLOOKUP(U605,模板计算相关数据!A:N,9,0)))*AP605/10000)/(1-VLOOKUP(U605,模板计算相关数据!A:N,5,0)/(VLOOKUP(U605,模板计算相关数据!A:N,5,0)+(VLOOKUP(U605,模板计算相关数据!A:N,2,0)+模板计算相关数据!$AC$27)*模板计算相关数据!$AC$28))/S605*AA605)</f>
        <v>102</v>
      </c>
      <c r="AL605" s="3">
        <f>INT(VLOOKUP(U605,模板计算相关数据!A:N,5,0)*VLOOKUP(X605,模板计算相关数据!$P$4:$T$7,4,0)*VLOOKUP(Y605,模板计算相关数据!$P$22:$U$30,4,0)*AB605)</f>
        <v>230</v>
      </c>
      <c r="AM605" s="3">
        <f>INT(VLOOKUP(U605,模板计算相关数据!A:N,6,0)*VLOOKUP(X605,模板计算相关数据!$P$4:$T$7,4,0)*VLOOKUP(Y605,模板计算相关数据!$P$22:$U$30,5,0)*AC605)</f>
        <v>136</v>
      </c>
      <c r="AN605" s="3">
        <f>VLOOKUP(U605,模板计算相关数据!A:N,10,0)*0.5*VLOOKUP(Y605,模板计算相关数据!$P$22:$U$30,6,0)+AD605</f>
        <v>250</v>
      </c>
      <c r="AO605" s="3">
        <f>VLOOKUP(INT(VLOOKUP(U605,模板计算相关数据!A:N,2,0)/30)+1,模板计算相关数据!$O$35:$U$40,3,0)+AE605</f>
        <v>0</v>
      </c>
      <c r="AP605" s="3">
        <f>VLOOKUP(INT(VLOOKUP(U605,模板计算相关数据!A:N,2,0)/30)+1,模板计算相关数据!$O$35:$U$40,4,0)+AF605</f>
        <v>5000</v>
      </c>
      <c r="AQ605" s="3">
        <f>VLOOKUP(INT(VLOOKUP(U605,模板计算相关数据!A:N,2,0)/30)+1,模板计算相关数据!$O$35:$U$40,5,0)+AG605</f>
        <v>0</v>
      </c>
      <c r="AR605" s="3">
        <f>VLOOKUP(INT(VLOOKUP(U605,模板计算相关数据!A:N,2,0)/30)+1,模板计算相关数据!$O$35:$U$40,6,0)+AH605</f>
        <v>0</v>
      </c>
      <c r="AS605" s="3">
        <f>VLOOKUP(INT(VLOOKUP(U605,模板计算相关数据!A:N,2,0)/30)+1,模板计算相关数据!$O$35:$U$40,7,0)+AI605</f>
        <v>0</v>
      </c>
      <c r="AT605" s="3">
        <f>VLOOKUP(INT(VLOOKUP(U605,模板计算相关数据!A:N,2,0)/30)+1,模板计算相关数据!$O$35:$V$40,8,0)</f>
        <v>0</v>
      </c>
      <c r="AU605" s="2"/>
    </row>
    <row r="606" spans="1:47" x14ac:dyDescent="0.2">
      <c r="A606" s="2">
        <v>307546</v>
      </c>
      <c r="B606" s="2"/>
      <c r="C606" s="2" t="s">
        <v>152</v>
      </c>
      <c r="D606" s="2" t="s">
        <v>1180</v>
      </c>
      <c r="E606" s="2"/>
      <c r="F606" s="127">
        <v>3</v>
      </c>
      <c r="G606" s="127">
        <v>101</v>
      </c>
      <c r="H606" s="3">
        <v>1</v>
      </c>
      <c r="I606" s="127">
        <v>5</v>
      </c>
      <c r="J606" s="127">
        <v>1</v>
      </c>
      <c r="K606" s="3"/>
      <c r="L606" s="2" t="s">
        <v>417</v>
      </c>
      <c r="M606" s="2"/>
      <c r="N606" s="2">
        <v>1</v>
      </c>
      <c r="O606" s="2"/>
      <c r="P606" s="3" t="s">
        <v>1615</v>
      </c>
      <c r="Q606" s="95">
        <f t="shared" si="64"/>
        <v>4.417254901960785</v>
      </c>
      <c r="R606" s="133">
        <f>IF(P606=模板计算相关数据!$AB$24,VLOOKUP(X606,模板计算相关数据!$P$47:$T$50,2,0),VLOOKUP(X606,模板计算相关数据!$P$4:$U$7,3,0))*VLOOKUP(Y606,模板计算相关数据!$P$22:$X$30,8,0)</f>
        <v>4.417254901960785</v>
      </c>
      <c r="S606" s="62">
        <f t="shared" si="65"/>
        <v>5.4285280003474252</v>
      </c>
      <c r="T606" s="133">
        <f>IF(P606=模板计算相关数据!$AB$24,VLOOKUP(X606,模板计算相关数据!$P$47:$T$50,5,0),VLOOKUP(X606,模板计算相关数据!$P$4:$U$7,6,0))*VLOOKUP(Y606,模板计算相关数据!$P$22:$X$30,9,0)</f>
        <v>5.4285280003474252</v>
      </c>
      <c r="U606" s="98">
        <v>1</v>
      </c>
      <c r="V606" s="95">
        <f t="shared" si="63"/>
        <v>4</v>
      </c>
      <c r="W606" s="29">
        <f>VLOOKUP(U606,模板计算相关数据!A:N,2,0)</f>
        <v>1</v>
      </c>
      <c r="X606" s="3" t="s">
        <v>151</v>
      </c>
      <c r="Y606" s="3" t="s">
        <v>152</v>
      </c>
      <c r="Z606" s="99">
        <v>1</v>
      </c>
      <c r="AA606" s="95">
        <v>1</v>
      </c>
      <c r="AB606" s="95">
        <v>1</v>
      </c>
      <c r="AC606" s="95">
        <v>1</v>
      </c>
      <c r="AD606" s="95">
        <v>0</v>
      </c>
      <c r="AE606" s="95">
        <v>0</v>
      </c>
      <c r="AF606" s="95">
        <v>0</v>
      </c>
      <c r="AG606" s="95">
        <v>0</v>
      </c>
      <c r="AH606" s="95">
        <v>0</v>
      </c>
      <c r="AI606" s="95">
        <v>0</v>
      </c>
      <c r="AJ606" s="3">
        <f>INT(VLOOKUP(U606,模板计算相关数据!A:N,4,0)*VLOOKUP(U606,模板计算相关数据!A:N,14,0)*(1+MAX(0,(VLOOKUP(U606,模板计算相关数据!A:N,7,0)-AQ606))*VLOOKUP(U606,模板计算相关数据!A:N,8,0))*(1-(AL606+AM606)*0.5/((AL606+AM606)*0.5+(VLOOKUP(U606,模板计算相关数据!A:N,2,0)+模板计算相关数据!$AC$27)*模板计算相关数据!$AC$28))*Q606*Z606)</f>
        <v>325</v>
      </c>
      <c r="AK606" s="3">
        <f>INT(VLOOKUP(U606,模板计算相关数据!A:N,3,0)/模板计算相关数据!$W$35/(1+MAX(0,(AO606/10000-VLOOKUP(U606,模板计算相关数据!A:N,9,0)))*AP606/10000)/(1-VLOOKUP(U606,模板计算相关数据!A:N,5,0)/(VLOOKUP(U606,模板计算相关数据!A:N,5,0)+(VLOOKUP(U606,模板计算相关数据!A:N,2,0)+模板计算相关数据!$AC$27)*模板计算相关数据!$AC$28))/S606*AA606)</f>
        <v>102</v>
      </c>
      <c r="AL606" s="3">
        <f>INT(VLOOKUP(U606,模板计算相关数据!A:N,5,0)*VLOOKUP(X606,模板计算相关数据!$P$4:$T$7,4,0)*VLOOKUP(Y606,模板计算相关数据!$P$22:$U$30,4,0)*AB606)</f>
        <v>230</v>
      </c>
      <c r="AM606" s="3">
        <f>INT(VLOOKUP(U606,模板计算相关数据!A:N,6,0)*VLOOKUP(X606,模板计算相关数据!$P$4:$T$7,4,0)*VLOOKUP(Y606,模板计算相关数据!$P$22:$U$30,5,0)*AC606)</f>
        <v>136</v>
      </c>
      <c r="AN606" s="3">
        <f>VLOOKUP(U606,模板计算相关数据!A:N,10,0)*0.5*VLOOKUP(Y606,模板计算相关数据!$P$22:$U$30,6,0)+AD606</f>
        <v>250</v>
      </c>
      <c r="AO606" s="3">
        <f>VLOOKUP(INT(VLOOKUP(U606,模板计算相关数据!A:N,2,0)/30)+1,模板计算相关数据!$O$35:$U$40,3,0)+AE606</f>
        <v>0</v>
      </c>
      <c r="AP606" s="3">
        <f>VLOOKUP(INT(VLOOKUP(U606,模板计算相关数据!A:N,2,0)/30)+1,模板计算相关数据!$O$35:$U$40,4,0)+AF606</f>
        <v>5000</v>
      </c>
      <c r="AQ606" s="3">
        <f>VLOOKUP(INT(VLOOKUP(U606,模板计算相关数据!A:N,2,0)/30)+1,模板计算相关数据!$O$35:$U$40,5,0)+AG606</f>
        <v>0</v>
      </c>
      <c r="AR606" s="3">
        <f>VLOOKUP(INT(VLOOKUP(U606,模板计算相关数据!A:N,2,0)/30)+1,模板计算相关数据!$O$35:$U$40,6,0)+AH606</f>
        <v>0</v>
      </c>
      <c r="AS606" s="3">
        <f>VLOOKUP(INT(VLOOKUP(U606,模板计算相关数据!A:N,2,0)/30)+1,模板计算相关数据!$O$35:$U$40,7,0)+AI606</f>
        <v>0</v>
      </c>
      <c r="AT606" s="3">
        <f>VLOOKUP(INT(VLOOKUP(U606,模板计算相关数据!A:N,2,0)/30)+1,模板计算相关数据!$O$35:$V$40,8,0)</f>
        <v>0</v>
      </c>
      <c r="AU606" s="2"/>
    </row>
    <row r="607" spans="1:47" x14ac:dyDescent="0.2">
      <c r="A607" s="2">
        <v>307547</v>
      </c>
      <c r="B607" s="2"/>
      <c r="C607" s="2" t="s">
        <v>152</v>
      </c>
      <c r="D607" s="2" t="s">
        <v>1181</v>
      </c>
      <c r="E607" s="2"/>
      <c r="F607" s="127">
        <v>3</v>
      </c>
      <c r="G607" s="127">
        <v>101</v>
      </c>
      <c r="H607" s="3">
        <v>1</v>
      </c>
      <c r="I607" s="127">
        <v>5</v>
      </c>
      <c r="J607" s="127">
        <v>1</v>
      </c>
      <c r="K607" s="3"/>
      <c r="L607" s="2" t="s">
        <v>418</v>
      </c>
      <c r="M607" s="2"/>
      <c r="N607" s="2">
        <v>1</v>
      </c>
      <c r="O607" s="2"/>
      <c r="P607" s="3" t="s">
        <v>1615</v>
      </c>
      <c r="Q607" s="95">
        <f t="shared" si="64"/>
        <v>4.417254901960785</v>
      </c>
      <c r="R607" s="133">
        <f>IF(P607=模板计算相关数据!$AB$24,VLOOKUP(X607,模板计算相关数据!$P$47:$T$50,2,0),VLOOKUP(X607,模板计算相关数据!$P$4:$U$7,3,0))*VLOOKUP(Y607,模板计算相关数据!$P$22:$X$30,8,0)</f>
        <v>4.417254901960785</v>
      </c>
      <c r="S607" s="62">
        <f t="shared" si="65"/>
        <v>5.4285280003474252</v>
      </c>
      <c r="T607" s="133">
        <f>IF(P607=模板计算相关数据!$AB$24,VLOOKUP(X607,模板计算相关数据!$P$47:$T$50,5,0),VLOOKUP(X607,模板计算相关数据!$P$4:$U$7,6,0))*VLOOKUP(Y607,模板计算相关数据!$P$22:$X$30,9,0)</f>
        <v>5.4285280003474252</v>
      </c>
      <c r="U607" s="98">
        <v>1</v>
      </c>
      <c r="V607" s="95">
        <f t="shared" si="63"/>
        <v>4</v>
      </c>
      <c r="W607" s="29">
        <f>VLOOKUP(U607,模板计算相关数据!A:N,2,0)</f>
        <v>1</v>
      </c>
      <c r="X607" s="3" t="s">
        <v>151</v>
      </c>
      <c r="Y607" s="3" t="s">
        <v>152</v>
      </c>
      <c r="Z607" s="99">
        <v>1</v>
      </c>
      <c r="AA607" s="95">
        <v>1</v>
      </c>
      <c r="AB607" s="95">
        <v>1</v>
      </c>
      <c r="AC607" s="95">
        <v>1</v>
      </c>
      <c r="AD607" s="95">
        <v>0</v>
      </c>
      <c r="AE607" s="95">
        <v>0</v>
      </c>
      <c r="AF607" s="95">
        <v>0</v>
      </c>
      <c r="AG607" s="95">
        <v>0</v>
      </c>
      <c r="AH607" s="95">
        <v>0</v>
      </c>
      <c r="AI607" s="95">
        <v>0</v>
      </c>
      <c r="AJ607" s="3">
        <f>INT(VLOOKUP(U607,模板计算相关数据!A:N,4,0)*VLOOKUP(U607,模板计算相关数据!A:N,14,0)*(1+MAX(0,(VLOOKUP(U607,模板计算相关数据!A:N,7,0)-AQ607))*VLOOKUP(U607,模板计算相关数据!A:N,8,0))*(1-(AL607+AM607)*0.5/((AL607+AM607)*0.5+(VLOOKUP(U607,模板计算相关数据!A:N,2,0)+模板计算相关数据!$AC$27)*模板计算相关数据!$AC$28))*Q607*Z607)</f>
        <v>325</v>
      </c>
      <c r="AK607" s="3">
        <f>INT(VLOOKUP(U607,模板计算相关数据!A:N,3,0)/模板计算相关数据!$W$35/(1+MAX(0,(AO607/10000-VLOOKUP(U607,模板计算相关数据!A:N,9,0)))*AP607/10000)/(1-VLOOKUP(U607,模板计算相关数据!A:N,5,0)/(VLOOKUP(U607,模板计算相关数据!A:N,5,0)+(VLOOKUP(U607,模板计算相关数据!A:N,2,0)+模板计算相关数据!$AC$27)*模板计算相关数据!$AC$28))/S607*AA607)</f>
        <v>102</v>
      </c>
      <c r="AL607" s="3">
        <f>INT(VLOOKUP(U607,模板计算相关数据!A:N,5,0)*VLOOKUP(X607,模板计算相关数据!$P$4:$T$7,4,0)*VLOOKUP(Y607,模板计算相关数据!$P$22:$U$30,4,0)*AB607)</f>
        <v>230</v>
      </c>
      <c r="AM607" s="3">
        <f>INT(VLOOKUP(U607,模板计算相关数据!A:N,6,0)*VLOOKUP(X607,模板计算相关数据!$P$4:$T$7,4,0)*VLOOKUP(Y607,模板计算相关数据!$P$22:$U$30,5,0)*AC607)</f>
        <v>136</v>
      </c>
      <c r="AN607" s="3">
        <f>VLOOKUP(U607,模板计算相关数据!A:N,10,0)*0.5*VLOOKUP(Y607,模板计算相关数据!$P$22:$U$30,6,0)+AD607</f>
        <v>250</v>
      </c>
      <c r="AO607" s="3">
        <f>VLOOKUP(INT(VLOOKUP(U607,模板计算相关数据!A:N,2,0)/30)+1,模板计算相关数据!$O$35:$U$40,3,0)+AE607</f>
        <v>0</v>
      </c>
      <c r="AP607" s="3">
        <f>VLOOKUP(INT(VLOOKUP(U607,模板计算相关数据!A:N,2,0)/30)+1,模板计算相关数据!$O$35:$U$40,4,0)+AF607</f>
        <v>5000</v>
      </c>
      <c r="AQ607" s="3">
        <f>VLOOKUP(INT(VLOOKUP(U607,模板计算相关数据!A:N,2,0)/30)+1,模板计算相关数据!$O$35:$U$40,5,0)+AG607</f>
        <v>0</v>
      </c>
      <c r="AR607" s="3">
        <f>VLOOKUP(INT(VLOOKUP(U607,模板计算相关数据!A:N,2,0)/30)+1,模板计算相关数据!$O$35:$U$40,6,0)+AH607</f>
        <v>0</v>
      </c>
      <c r="AS607" s="3">
        <f>VLOOKUP(INT(VLOOKUP(U607,模板计算相关数据!A:N,2,0)/30)+1,模板计算相关数据!$O$35:$U$40,7,0)+AI607</f>
        <v>0</v>
      </c>
      <c r="AT607" s="3">
        <f>VLOOKUP(INT(VLOOKUP(U607,模板计算相关数据!A:N,2,0)/30)+1,模板计算相关数据!$O$35:$V$40,8,0)</f>
        <v>0</v>
      </c>
      <c r="AU607" s="2"/>
    </row>
    <row r="608" spans="1:47" x14ac:dyDescent="0.2">
      <c r="A608" s="17">
        <v>307548</v>
      </c>
      <c r="B608" s="17"/>
      <c r="C608" s="17" t="s">
        <v>419</v>
      </c>
      <c r="D608" s="25" t="s">
        <v>1182</v>
      </c>
      <c r="E608" s="17"/>
      <c r="F608" s="152">
        <v>3</v>
      </c>
      <c r="G608" s="152">
        <v>101</v>
      </c>
      <c r="H608" s="43">
        <v>4</v>
      </c>
      <c r="I608" s="152">
        <v>5</v>
      </c>
      <c r="J608" s="152">
        <v>1</v>
      </c>
      <c r="K608" s="3"/>
      <c r="L608" s="2" t="s">
        <v>420</v>
      </c>
      <c r="M608" s="2"/>
      <c r="N608" s="2">
        <v>1</v>
      </c>
      <c r="O608" s="2"/>
      <c r="P608" s="3" t="s">
        <v>1615</v>
      </c>
      <c r="Q608" s="95">
        <f t="shared" si="64"/>
        <v>4.4674509803921572</v>
      </c>
      <c r="R608" s="133">
        <f>IF(P608=模板计算相关数据!$AB$24,VLOOKUP(X608,模板计算相关数据!$P$47:$T$50,2,0),VLOOKUP(X608,模板计算相关数据!$P$4:$U$7,3,0))*VLOOKUP(Y608,模板计算相关数据!$P$22:$X$30,8,0)</f>
        <v>4.4674509803921572</v>
      </c>
      <c r="S608" s="62">
        <f t="shared" si="65"/>
        <v>5.4739930589768004</v>
      </c>
      <c r="T608" s="133">
        <f>IF(P608=模板计算相关数据!$AB$24,VLOOKUP(X608,模板计算相关数据!$P$47:$T$50,5,0),VLOOKUP(X608,模板计算相关数据!$P$4:$U$7,6,0))*VLOOKUP(Y608,模板计算相关数据!$P$22:$X$30,9,0)</f>
        <v>5.4739930589768004</v>
      </c>
      <c r="U608" s="98">
        <v>1</v>
      </c>
      <c r="V608" s="95">
        <f t="shared" si="63"/>
        <v>4</v>
      </c>
      <c r="W608" s="29">
        <f>VLOOKUP(U608,模板计算相关数据!A:N,2,0)</f>
        <v>1</v>
      </c>
      <c r="X608" s="3" t="s">
        <v>151</v>
      </c>
      <c r="Y608" s="3" t="s">
        <v>162</v>
      </c>
      <c r="Z608" s="99">
        <v>1</v>
      </c>
      <c r="AA608" s="95">
        <v>1</v>
      </c>
      <c r="AB608" s="95">
        <v>1</v>
      </c>
      <c r="AC608" s="95">
        <v>1</v>
      </c>
      <c r="AD608" s="95">
        <v>0</v>
      </c>
      <c r="AE608" s="95">
        <v>0</v>
      </c>
      <c r="AF608" s="95">
        <v>0</v>
      </c>
      <c r="AG608" s="95">
        <v>0</v>
      </c>
      <c r="AH608" s="95">
        <v>0</v>
      </c>
      <c r="AI608" s="95">
        <v>0</v>
      </c>
      <c r="AJ608" s="3">
        <f>INT(VLOOKUP(U608,模板计算相关数据!A:N,4,0)*VLOOKUP(U608,模板计算相关数据!A:N,14,0)*(1+MAX(0,(VLOOKUP(U608,模板计算相关数据!A:N,7,0)-AQ608))*VLOOKUP(U608,模板计算相关数据!A:N,8,0))*(1-(AL608+AM608)*0.5/((AL608+AM608)*0.5+(VLOOKUP(U608,模板计算相关数据!A:N,2,0)+模板计算相关数据!$AC$27)*模板计算相关数据!$AC$28))*Q608*Z608)</f>
        <v>328</v>
      </c>
      <c r="AK608" s="3">
        <f>INT(VLOOKUP(U608,模板计算相关数据!A:N,3,0)/模板计算相关数据!$W$35/(1+MAX(0,(AO608/10000-VLOOKUP(U608,模板计算相关数据!A:N,9,0)))*AP608/10000)/(1-VLOOKUP(U608,模板计算相关数据!A:N,5,0)/(VLOOKUP(U608,模板计算相关数据!A:N,5,0)+(VLOOKUP(U608,模板计算相关数据!A:N,2,0)+模板计算相关数据!$AC$27)*模板计算相关数据!$AC$28))/S608*AA608)</f>
        <v>101</v>
      </c>
      <c r="AL608" s="3">
        <f>INT(VLOOKUP(U608,模板计算相关数据!A:N,5,0)*VLOOKUP(X608,模板计算相关数据!$P$4:$T$7,4,0)*VLOOKUP(Y608,模板计算相关数据!$P$22:$U$30,4,0)*AB608)</f>
        <v>136</v>
      </c>
      <c r="AM608" s="3">
        <f>INT(VLOOKUP(U608,模板计算相关数据!A:N,6,0)*VLOOKUP(X608,模板计算相关数据!$P$4:$T$7,4,0)*VLOOKUP(Y608,模板计算相关数据!$P$22:$U$30,5,0)*AC608)</f>
        <v>230</v>
      </c>
      <c r="AN608" s="3">
        <f>VLOOKUP(U608,模板计算相关数据!A:N,10,0)*0.5*VLOOKUP(Y608,模板计算相关数据!$P$22:$U$30,6,0)+AD608</f>
        <v>250</v>
      </c>
      <c r="AO608" s="3">
        <f>VLOOKUP(INT(VLOOKUP(U608,模板计算相关数据!A:N,2,0)/30)+1,模板计算相关数据!$O$35:$U$40,3,0)+AE608</f>
        <v>0</v>
      </c>
      <c r="AP608" s="3">
        <f>VLOOKUP(INT(VLOOKUP(U608,模板计算相关数据!A:N,2,0)/30)+1,模板计算相关数据!$O$35:$U$40,4,0)+AF608</f>
        <v>5000</v>
      </c>
      <c r="AQ608" s="3">
        <f>VLOOKUP(INT(VLOOKUP(U608,模板计算相关数据!A:N,2,0)/30)+1,模板计算相关数据!$O$35:$U$40,5,0)+AG608</f>
        <v>0</v>
      </c>
      <c r="AR608" s="3">
        <f>VLOOKUP(INT(VLOOKUP(U608,模板计算相关数据!A:N,2,0)/30)+1,模板计算相关数据!$O$35:$U$40,6,0)+AH608</f>
        <v>0</v>
      </c>
      <c r="AS608" s="3">
        <f>VLOOKUP(INT(VLOOKUP(U608,模板计算相关数据!A:N,2,0)/30)+1,模板计算相关数据!$O$35:$U$40,7,0)+AI608</f>
        <v>0</v>
      </c>
      <c r="AT608" s="3">
        <f>VLOOKUP(INT(VLOOKUP(U608,模板计算相关数据!A:N,2,0)/30)+1,模板计算相关数据!$O$35:$V$40,8,0)</f>
        <v>0</v>
      </c>
      <c r="AU608" s="2"/>
    </row>
    <row r="609" spans="1:47" x14ac:dyDescent="0.2">
      <c r="A609" s="2">
        <v>307549</v>
      </c>
      <c r="B609" s="2"/>
      <c r="C609" s="2" t="s">
        <v>162</v>
      </c>
      <c r="D609" s="69" t="s">
        <v>1183</v>
      </c>
      <c r="E609" s="2"/>
      <c r="F609" s="127">
        <v>3</v>
      </c>
      <c r="G609" s="127">
        <v>101</v>
      </c>
      <c r="H609" s="3">
        <v>4</v>
      </c>
      <c r="I609" s="127">
        <v>5</v>
      </c>
      <c r="J609" s="127">
        <v>1</v>
      </c>
      <c r="K609" s="3"/>
      <c r="L609" s="2" t="s">
        <v>421</v>
      </c>
      <c r="M609" s="2"/>
      <c r="N609" s="2">
        <v>1</v>
      </c>
      <c r="O609" s="2"/>
      <c r="P609" s="3" t="s">
        <v>1615</v>
      </c>
      <c r="Q609" s="95">
        <f t="shared" si="64"/>
        <v>4.4674509803921572</v>
      </c>
      <c r="R609" s="133">
        <f>IF(P609=模板计算相关数据!$AB$24,VLOOKUP(X609,模板计算相关数据!$P$47:$T$50,2,0),VLOOKUP(X609,模板计算相关数据!$P$4:$U$7,3,0))*VLOOKUP(Y609,模板计算相关数据!$P$22:$X$30,8,0)</f>
        <v>4.4674509803921572</v>
      </c>
      <c r="S609" s="62">
        <f t="shared" si="65"/>
        <v>5.4739930589768004</v>
      </c>
      <c r="T609" s="133">
        <f>IF(P609=模板计算相关数据!$AB$24,VLOOKUP(X609,模板计算相关数据!$P$47:$T$50,5,0),VLOOKUP(X609,模板计算相关数据!$P$4:$U$7,6,0))*VLOOKUP(Y609,模板计算相关数据!$P$22:$X$30,9,0)</f>
        <v>5.4739930589768004</v>
      </c>
      <c r="U609" s="98">
        <v>1</v>
      </c>
      <c r="V609" s="95">
        <f t="shared" si="63"/>
        <v>4</v>
      </c>
      <c r="W609" s="29">
        <f>VLOOKUP(U609,模板计算相关数据!A:N,2,0)</f>
        <v>1</v>
      </c>
      <c r="X609" s="3" t="s">
        <v>151</v>
      </c>
      <c r="Y609" s="3" t="s">
        <v>162</v>
      </c>
      <c r="Z609" s="99">
        <v>1</v>
      </c>
      <c r="AA609" s="95">
        <v>1</v>
      </c>
      <c r="AB609" s="95">
        <v>1</v>
      </c>
      <c r="AC609" s="95">
        <v>1</v>
      </c>
      <c r="AD609" s="95">
        <v>0</v>
      </c>
      <c r="AE609" s="95">
        <v>0</v>
      </c>
      <c r="AF609" s="95">
        <v>0</v>
      </c>
      <c r="AG609" s="95">
        <v>0</v>
      </c>
      <c r="AH609" s="95">
        <v>0</v>
      </c>
      <c r="AI609" s="95">
        <v>0</v>
      </c>
      <c r="AJ609" s="3">
        <f>INT(VLOOKUP(U609,模板计算相关数据!A:N,4,0)*VLOOKUP(U609,模板计算相关数据!A:N,14,0)*(1+MAX(0,(VLOOKUP(U609,模板计算相关数据!A:N,7,0)-AQ609))*VLOOKUP(U609,模板计算相关数据!A:N,8,0))*(1-(AL609+AM609)*0.5/((AL609+AM609)*0.5+(VLOOKUP(U609,模板计算相关数据!A:N,2,0)+模板计算相关数据!$AC$27)*模板计算相关数据!$AC$28))*Q609*Z609)</f>
        <v>328</v>
      </c>
      <c r="AK609" s="3">
        <f>INT(VLOOKUP(U609,模板计算相关数据!A:N,3,0)/模板计算相关数据!$W$35/(1+MAX(0,(AO609/10000-VLOOKUP(U609,模板计算相关数据!A:N,9,0)))*AP609/10000)/(1-VLOOKUP(U609,模板计算相关数据!A:N,5,0)/(VLOOKUP(U609,模板计算相关数据!A:N,5,0)+(VLOOKUP(U609,模板计算相关数据!A:N,2,0)+模板计算相关数据!$AC$27)*模板计算相关数据!$AC$28))/S609*AA609)</f>
        <v>101</v>
      </c>
      <c r="AL609" s="3">
        <f>INT(VLOOKUP(U609,模板计算相关数据!A:N,5,0)*VLOOKUP(X609,模板计算相关数据!$P$4:$T$7,4,0)*VLOOKUP(Y609,模板计算相关数据!$P$22:$U$30,4,0)*AB609)</f>
        <v>136</v>
      </c>
      <c r="AM609" s="3">
        <f>INT(VLOOKUP(U609,模板计算相关数据!A:N,6,0)*VLOOKUP(X609,模板计算相关数据!$P$4:$T$7,4,0)*VLOOKUP(Y609,模板计算相关数据!$P$22:$U$30,5,0)*AC609)</f>
        <v>230</v>
      </c>
      <c r="AN609" s="3">
        <f>VLOOKUP(U609,模板计算相关数据!A:N,10,0)*0.5*VLOOKUP(Y609,模板计算相关数据!$P$22:$U$30,6,0)+AD609</f>
        <v>250</v>
      </c>
      <c r="AO609" s="3">
        <f>VLOOKUP(INT(VLOOKUP(U609,模板计算相关数据!A:N,2,0)/30)+1,模板计算相关数据!$O$35:$U$40,3,0)+AE609</f>
        <v>0</v>
      </c>
      <c r="AP609" s="3">
        <f>VLOOKUP(INT(VLOOKUP(U609,模板计算相关数据!A:N,2,0)/30)+1,模板计算相关数据!$O$35:$U$40,4,0)+AF609</f>
        <v>5000</v>
      </c>
      <c r="AQ609" s="3">
        <f>VLOOKUP(INT(VLOOKUP(U609,模板计算相关数据!A:N,2,0)/30)+1,模板计算相关数据!$O$35:$U$40,5,0)+AG609</f>
        <v>0</v>
      </c>
      <c r="AR609" s="3">
        <f>VLOOKUP(INT(VLOOKUP(U609,模板计算相关数据!A:N,2,0)/30)+1,模板计算相关数据!$O$35:$U$40,6,0)+AH609</f>
        <v>0</v>
      </c>
      <c r="AS609" s="3">
        <f>VLOOKUP(INT(VLOOKUP(U609,模板计算相关数据!A:N,2,0)/30)+1,模板计算相关数据!$O$35:$U$40,7,0)+AI609</f>
        <v>0</v>
      </c>
      <c r="AT609" s="3">
        <f>VLOOKUP(INT(VLOOKUP(U609,模板计算相关数据!A:N,2,0)/30)+1,模板计算相关数据!$O$35:$V$40,8,0)</f>
        <v>0</v>
      </c>
      <c r="AU609" s="2"/>
    </row>
    <row r="610" spans="1:47" x14ac:dyDescent="0.2">
      <c r="A610" s="2">
        <v>307550</v>
      </c>
      <c r="B610" s="2"/>
      <c r="C610" s="2" t="s">
        <v>162</v>
      </c>
      <c r="D610" s="69" t="s">
        <v>1184</v>
      </c>
      <c r="E610" s="2"/>
      <c r="F610" s="127">
        <v>3</v>
      </c>
      <c r="G610" s="127">
        <v>101</v>
      </c>
      <c r="H610" s="3">
        <v>4</v>
      </c>
      <c r="I610" s="127">
        <v>5</v>
      </c>
      <c r="J610" s="127">
        <v>1</v>
      </c>
      <c r="K610" s="3"/>
      <c r="L610" s="2" t="s">
        <v>422</v>
      </c>
      <c r="M610" s="2"/>
      <c r="N610" s="2">
        <v>1</v>
      </c>
      <c r="O610" s="2"/>
      <c r="P610" s="3" t="s">
        <v>1615</v>
      </c>
      <c r="Q610" s="95">
        <f t="shared" si="64"/>
        <v>4.4674509803921572</v>
      </c>
      <c r="R610" s="133">
        <f>IF(P610=模板计算相关数据!$AB$24,VLOOKUP(X610,模板计算相关数据!$P$47:$T$50,2,0),VLOOKUP(X610,模板计算相关数据!$P$4:$U$7,3,0))*VLOOKUP(Y610,模板计算相关数据!$P$22:$X$30,8,0)</f>
        <v>4.4674509803921572</v>
      </c>
      <c r="S610" s="62">
        <f t="shared" si="65"/>
        <v>5.4739930589768004</v>
      </c>
      <c r="T610" s="133">
        <f>IF(P610=模板计算相关数据!$AB$24,VLOOKUP(X610,模板计算相关数据!$P$47:$T$50,5,0),VLOOKUP(X610,模板计算相关数据!$P$4:$U$7,6,0))*VLOOKUP(Y610,模板计算相关数据!$P$22:$X$30,9,0)</f>
        <v>5.4739930589768004</v>
      </c>
      <c r="U610" s="98">
        <v>1</v>
      </c>
      <c r="V610" s="95">
        <f t="shared" si="63"/>
        <v>4</v>
      </c>
      <c r="W610" s="29">
        <f>VLOOKUP(U610,模板计算相关数据!A:N,2,0)</f>
        <v>1</v>
      </c>
      <c r="X610" s="3" t="s">
        <v>151</v>
      </c>
      <c r="Y610" s="3" t="s">
        <v>162</v>
      </c>
      <c r="Z610" s="99">
        <v>1</v>
      </c>
      <c r="AA610" s="95">
        <v>1</v>
      </c>
      <c r="AB610" s="95">
        <v>1</v>
      </c>
      <c r="AC610" s="95">
        <v>1</v>
      </c>
      <c r="AD610" s="95">
        <v>0</v>
      </c>
      <c r="AE610" s="95">
        <v>0</v>
      </c>
      <c r="AF610" s="95">
        <v>0</v>
      </c>
      <c r="AG610" s="95">
        <v>0</v>
      </c>
      <c r="AH610" s="95">
        <v>0</v>
      </c>
      <c r="AI610" s="95">
        <v>0</v>
      </c>
      <c r="AJ610" s="3">
        <f>INT(VLOOKUP(U610,模板计算相关数据!A:N,4,0)*VLOOKUP(U610,模板计算相关数据!A:N,14,0)*(1+MAX(0,(VLOOKUP(U610,模板计算相关数据!A:N,7,0)-AQ610))*VLOOKUP(U610,模板计算相关数据!A:N,8,0))*(1-(AL610+AM610)*0.5/((AL610+AM610)*0.5+(VLOOKUP(U610,模板计算相关数据!A:N,2,0)+模板计算相关数据!$AC$27)*模板计算相关数据!$AC$28))*Q610*Z610)</f>
        <v>328</v>
      </c>
      <c r="AK610" s="3">
        <f>INT(VLOOKUP(U610,模板计算相关数据!A:N,3,0)/模板计算相关数据!$W$35/(1+MAX(0,(AO610/10000-VLOOKUP(U610,模板计算相关数据!A:N,9,0)))*AP610/10000)/(1-VLOOKUP(U610,模板计算相关数据!A:N,5,0)/(VLOOKUP(U610,模板计算相关数据!A:N,5,0)+(VLOOKUP(U610,模板计算相关数据!A:N,2,0)+模板计算相关数据!$AC$27)*模板计算相关数据!$AC$28))/S610*AA610)</f>
        <v>101</v>
      </c>
      <c r="AL610" s="3">
        <f>INT(VLOOKUP(U610,模板计算相关数据!A:N,5,0)*VLOOKUP(X610,模板计算相关数据!$P$4:$T$7,4,0)*VLOOKUP(Y610,模板计算相关数据!$P$22:$U$30,4,0)*AB610)</f>
        <v>136</v>
      </c>
      <c r="AM610" s="3">
        <f>INT(VLOOKUP(U610,模板计算相关数据!A:N,6,0)*VLOOKUP(X610,模板计算相关数据!$P$4:$T$7,4,0)*VLOOKUP(Y610,模板计算相关数据!$P$22:$U$30,5,0)*AC610)</f>
        <v>230</v>
      </c>
      <c r="AN610" s="3">
        <f>VLOOKUP(U610,模板计算相关数据!A:N,10,0)*0.5*VLOOKUP(Y610,模板计算相关数据!$P$22:$U$30,6,0)+AD610</f>
        <v>250</v>
      </c>
      <c r="AO610" s="3">
        <f>VLOOKUP(INT(VLOOKUP(U610,模板计算相关数据!A:N,2,0)/30)+1,模板计算相关数据!$O$35:$U$40,3,0)+AE610</f>
        <v>0</v>
      </c>
      <c r="AP610" s="3">
        <f>VLOOKUP(INT(VLOOKUP(U610,模板计算相关数据!A:N,2,0)/30)+1,模板计算相关数据!$O$35:$U$40,4,0)+AF610</f>
        <v>5000</v>
      </c>
      <c r="AQ610" s="3">
        <f>VLOOKUP(INT(VLOOKUP(U610,模板计算相关数据!A:N,2,0)/30)+1,模板计算相关数据!$O$35:$U$40,5,0)+AG610</f>
        <v>0</v>
      </c>
      <c r="AR610" s="3">
        <f>VLOOKUP(INT(VLOOKUP(U610,模板计算相关数据!A:N,2,0)/30)+1,模板计算相关数据!$O$35:$U$40,6,0)+AH610</f>
        <v>0</v>
      </c>
      <c r="AS610" s="3">
        <f>VLOOKUP(INT(VLOOKUP(U610,模板计算相关数据!A:N,2,0)/30)+1,模板计算相关数据!$O$35:$U$40,7,0)+AI610</f>
        <v>0</v>
      </c>
      <c r="AT610" s="3">
        <f>VLOOKUP(INT(VLOOKUP(U610,模板计算相关数据!A:N,2,0)/30)+1,模板计算相关数据!$O$35:$V$40,8,0)</f>
        <v>0</v>
      </c>
      <c r="AU610" s="2"/>
    </row>
    <row r="611" spans="1:47" x14ac:dyDescent="0.2">
      <c r="A611" s="2">
        <v>307551</v>
      </c>
      <c r="B611" s="2"/>
      <c r="C611" s="2" t="s">
        <v>162</v>
      </c>
      <c r="D611" s="69" t="s">
        <v>1185</v>
      </c>
      <c r="E611" s="2"/>
      <c r="F611" s="127">
        <v>3</v>
      </c>
      <c r="G611" s="127">
        <v>101</v>
      </c>
      <c r="H611" s="3">
        <v>4</v>
      </c>
      <c r="I611" s="127">
        <v>5</v>
      </c>
      <c r="J611" s="127">
        <v>1</v>
      </c>
      <c r="K611" s="3"/>
      <c r="L611" s="2" t="s">
        <v>423</v>
      </c>
      <c r="M611" s="2"/>
      <c r="N611" s="2">
        <v>1</v>
      </c>
      <c r="O611" s="2"/>
      <c r="P611" s="3" t="s">
        <v>1615</v>
      </c>
      <c r="Q611" s="95">
        <f t="shared" si="64"/>
        <v>4.4674509803921572</v>
      </c>
      <c r="R611" s="133">
        <f>IF(P611=模板计算相关数据!$AB$24,VLOOKUP(X611,模板计算相关数据!$P$47:$T$50,2,0),VLOOKUP(X611,模板计算相关数据!$P$4:$U$7,3,0))*VLOOKUP(Y611,模板计算相关数据!$P$22:$X$30,8,0)</f>
        <v>4.4674509803921572</v>
      </c>
      <c r="S611" s="62">
        <f t="shared" si="65"/>
        <v>5.4739930589768004</v>
      </c>
      <c r="T611" s="133">
        <f>IF(P611=模板计算相关数据!$AB$24,VLOOKUP(X611,模板计算相关数据!$P$47:$T$50,5,0),VLOOKUP(X611,模板计算相关数据!$P$4:$U$7,6,0))*VLOOKUP(Y611,模板计算相关数据!$P$22:$X$30,9,0)</f>
        <v>5.4739930589768004</v>
      </c>
      <c r="U611" s="98">
        <v>1</v>
      </c>
      <c r="V611" s="95">
        <f t="shared" si="63"/>
        <v>4</v>
      </c>
      <c r="W611" s="29">
        <f>VLOOKUP(U611,模板计算相关数据!A:N,2,0)</f>
        <v>1</v>
      </c>
      <c r="X611" s="3" t="s">
        <v>151</v>
      </c>
      <c r="Y611" s="3" t="s">
        <v>162</v>
      </c>
      <c r="Z611" s="99">
        <v>1</v>
      </c>
      <c r="AA611" s="95">
        <v>1</v>
      </c>
      <c r="AB611" s="95">
        <v>1</v>
      </c>
      <c r="AC611" s="95">
        <v>1</v>
      </c>
      <c r="AD611" s="95">
        <v>0</v>
      </c>
      <c r="AE611" s="95">
        <v>0</v>
      </c>
      <c r="AF611" s="95">
        <v>0</v>
      </c>
      <c r="AG611" s="95">
        <v>0</v>
      </c>
      <c r="AH611" s="95">
        <v>0</v>
      </c>
      <c r="AI611" s="95">
        <v>0</v>
      </c>
      <c r="AJ611" s="3">
        <f>INT(VLOOKUP(U611,模板计算相关数据!A:N,4,0)*VLOOKUP(U611,模板计算相关数据!A:N,14,0)*(1+MAX(0,(VLOOKUP(U611,模板计算相关数据!A:N,7,0)-AQ611))*VLOOKUP(U611,模板计算相关数据!A:N,8,0))*(1-(AL611+AM611)*0.5/((AL611+AM611)*0.5+(VLOOKUP(U611,模板计算相关数据!A:N,2,0)+模板计算相关数据!$AC$27)*模板计算相关数据!$AC$28))*Q611*Z611)</f>
        <v>328</v>
      </c>
      <c r="AK611" s="3">
        <f>INT(VLOOKUP(U611,模板计算相关数据!A:N,3,0)/模板计算相关数据!$W$35/(1+MAX(0,(AO611/10000-VLOOKUP(U611,模板计算相关数据!A:N,9,0)))*AP611/10000)/(1-VLOOKUP(U611,模板计算相关数据!A:N,5,0)/(VLOOKUP(U611,模板计算相关数据!A:N,5,0)+(VLOOKUP(U611,模板计算相关数据!A:N,2,0)+模板计算相关数据!$AC$27)*模板计算相关数据!$AC$28))/S611*AA611)</f>
        <v>101</v>
      </c>
      <c r="AL611" s="3">
        <f>INT(VLOOKUP(U611,模板计算相关数据!A:N,5,0)*VLOOKUP(X611,模板计算相关数据!$P$4:$T$7,4,0)*VLOOKUP(Y611,模板计算相关数据!$P$22:$U$30,4,0)*AB611)</f>
        <v>136</v>
      </c>
      <c r="AM611" s="3">
        <f>INT(VLOOKUP(U611,模板计算相关数据!A:N,6,0)*VLOOKUP(X611,模板计算相关数据!$P$4:$T$7,4,0)*VLOOKUP(Y611,模板计算相关数据!$P$22:$U$30,5,0)*AC611)</f>
        <v>230</v>
      </c>
      <c r="AN611" s="3">
        <f>VLOOKUP(U611,模板计算相关数据!A:N,10,0)*0.5*VLOOKUP(Y611,模板计算相关数据!$P$22:$U$30,6,0)+AD611</f>
        <v>250</v>
      </c>
      <c r="AO611" s="3">
        <f>VLOOKUP(INT(VLOOKUP(U611,模板计算相关数据!A:N,2,0)/30)+1,模板计算相关数据!$O$35:$U$40,3,0)+AE611</f>
        <v>0</v>
      </c>
      <c r="AP611" s="3">
        <f>VLOOKUP(INT(VLOOKUP(U611,模板计算相关数据!A:N,2,0)/30)+1,模板计算相关数据!$O$35:$U$40,4,0)+AF611</f>
        <v>5000</v>
      </c>
      <c r="AQ611" s="3">
        <f>VLOOKUP(INT(VLOOKUP(U611,模板计算相关数据!A:N,2,0)/30)+1,模板计算相关数据!$O$35:$U$40,5,0)+AG611</f>
        <v>0</v>
      </c>
      <c r="AR611" s="3">
        <f>VLOOKUP(INT(VLOOKUP(U611,模板计算相关数据!A:N,2,0)/30)+1,模板计算相关数据!$O$35:$U$40,6,0)+AH611</f>
        <v>0</v>
      </c>
      <c r="AS611" s="3">
        <f>VLOOKUP(INT(VLOOKUP(U611,模板计算相关数据!A:N,2,0)/30)+1,模板计算相关数据!$O$35:$U$40,7,0)+AI611</f>
        <v>0</v>
      </c>
      <c r="AT611" s="3">
        <f>VLOOKUP(INT(VLOOKUP(U611,模板计算相关数据!A:N,2,0)/30)+1,模板计算相关数据!$O$35:$V$40,8,0)</f>
        <v>0</v>
      </c>
      <c r="AU611" s="2"/>
    </row>
    <row r="612" spans="1:47" x14ac:dyDescent="0.2">
      <c r="A612" s="2">
        <v>307552</v>
      </c>
      <c r="B612" s="2"/>
      <c r="C612" s="2" t="s">
        <v>162</v>
      </c>
      <c r="D612" s="69" t="s">
        <v>1186</v>
      </c>
      <c r="E612" s="2"/>
      <c r="F612" s="127">
        <v>3</v>
      </c>
      <c r="G612" s="127">
        <v>101</v>
      </c>
      <c r="H612" s="3">
        <v>4</v>
      </c>
      <c r="I612" s="127">
        <v>5</v>
      </c>
      <c r="J612" s="127">
        <v>1</v>
      </c>
      <c r="K612" s="3"/>
      <c r="L612" s="2" t="s">
        <v>424</v>
      </c>
      <c r="M612" s="2"/>
      <c r="N612" s="2">
        <v>1</v>
      </c>
      <c r="O612" s="2"/>
      <c r="P612" s="3" t="s">
        <v>1615</v>
      </c>
      <c r="Q612" s="95">
        <f t="shared" si="64"/>
        <v>4.4674509803921572</v>
      </c>
      <c r="R612" s="133">
        <f>IF(P612=模板计算相关数据!$AB$24,VLOOKUP(X612,模板计算相关数据!$P$47:$T$50,2,0),VLOOKUP(X612,模板计算相关数据!$P$4:$U$7,3,0))*VLOOKUP(Y612,模板计算相关数据!$P$22:$X$30,8,0)</f>
        <v>4.4674509803921572</v>
      </c>
      <c r="S612" s="62">
        <f t="shared" si="65"/>
        <v>5.4739930589768004</v>
      </c>
      <c r="T612" s="133">
        <f>IF(P612=模板计算相关数据!$AB$24,VLOOKUP(X612,模板计算相关数据!$P$47:$T$50,5,0),VLOOKUP(X612,模板计算相关数据!$P$4:$U$7,6,0))*VLOOKUP(Y612,模板计算相关数据!$P$22:$X$30,9,0)</f>
        <v>5.4739930589768004</v>
      </c>
      <c r="U612" s="98">
        <v>1</v>
      </c>
      <c r="V612" s="95">
        <f t="shared" si="63"/>
        <v>4</v>
      </c>
      <c r="W612" s="29">
        <f>VLOOKUP(U612,模板计算相关数据!A:N,2,0)</f>
        <v>1</v>
      </c>
      <c r="X612" s="3" t="s">
        <v>151</v>
      </c>
      <c r="Y612" s="3" t="s">
        <v>162</v>
      </c>
      <c r="Z612" s="99">
        <v>1</v>
      </c>
      <c r="AA612" s="95">
        <v>1</v>
      </c>
      <c r="AB612" s="95">
        <v>1</v>
      </c>
      <c r="AC612" s="95">
        <v>1</v>
      </c>
      <c r="AD612" s="95">
        <v>0</v>
      </c>
      <c r="AE612" s="95">
        <v>0</v>
      </c>
      <c r="AF612" s="95">
        <v>0</v>
      </c>
      <c r="AG612" s="95">
        <v>0</v>
      </c>
      <c r="AH612" s="95">
        <v>0</v>
      </c>
      <c r="AI612" s="95">
        <v>0</v>
      </c>
      <c r="AJ612" s="3">
        <f>INT(VLOOKUP(U612,模板计算相关数据!A:N,4,0)*VLOOKUP(U612,模板计算相关数据!A:N,14,0)*(1+MAX(0,(VLOOKUP(U612,模板计算相关数据!A:N,7,0)-AQ612))*VLOOKUP(U612,模板计算相关数据!A:N,8,0))*(1-(AL612+AM612)*0.5/((AL612+AM612)*0.5+(VLOOKUP(U612,模板计算相关数据!A:N,2,0)+模板计算相关数据!$AC$27)*模板计算相关数据!$AC$28))*Q612*Z612)</f>
        <v>328</v>
      </c>
      <c r="AK612" s="3">
        <f>INT(VLOOKUP(U612,模板计算相关数据!A:N,3,0)/模板计算相关数据!$W$35/(1+MAX(0,(AO612/10000-VLOOKUP(U612,模板计算相关数据!A:N,9,0)))*AP612/10000)/(1-VLOOKUP(U612,模板计算相关数据!A:N,5,0)/(VLOOKUP(U612,模板计算相关数据!A:N,5,0)+(VLOOKUP(U612,模板计算相关数据!A:N,2,0)+模板计算相关数据!$AC$27)*模板计算相关数据!$AC$28))/S612*AA612)</f>
        <v>101</v>
      </c>
      <c r="AL612" s="3">
        <f>INT(VLOOKUP(U612,模板计算相关数据!A:N,5,0)*VLOOKUP(X612,模板计算相关数据!$P$4:$T$7,4,0)*VLOOKUP(Y612,模板计算相关数据!$P$22:$U$30,4,0)*AB612)</f>
        <v>136</v>
      </c>
      <c r="AM612" s="3">
        <f>INT(VLOOKUP(U612,模板计算相关数据!A:N,6,0)*VLOOKUP(X612,模板计算相关数据!$P$4:$T$7,4,0)*VLOOKUP(Y612,模板计算相关数据!$P$22:$U$30,5,0)*AC612)</f>
        <v>230</v>
      </c>
      <c r="AN612" s="3">
        <f>VLOOKUP(U612,模板计算相关数据!A:N,10,0)*0.5*VLOOKUP(Y612,模板计算相关数据!$P$22:$U$30,6,0)+AD612</f>
        <v>250</v>
      </c>
      <c r="AO612" s="3">
        <f>VLOOKUP(INT(VLOOKUP(U612,模板计算相关数据!A:N,2,0)/30)+1,模板计算相关数据!$O$35:$U$40,3,0)+AE612</f>
        <v>0</v>
      </c>
      <c r="AP612" s="3">
        <f>VLOOKUP(INT(VLOOKUP(U612,模板计算相关数据!A:N,2,0)/30)+1,模板计算相关数据!$O$35:$U$40,4,0)+AF612</f>
        <v>5000</v>
      </c>
      <c r="AQ612" s="3">
        <f>VLOOKUP(INT(VLOOKUP(U612,模板计算相关数据!A:N,2,0)/30)+1,模板计算相关数据!$O$35:$U$40,5,0)+AG612</f>
        <v>0</v>
      </c>
      <c r="AR612" s="3">
        <f>VLOOKUP(INT(VLOOKUP(U612,模板计算相关数据!A:N,2,0)/30)+1,模板计算相关数据!$O$35:$U$40,6,0)+AH612</f>
        <v>0</v>
      </c>
      <c r="AS612" s="3">
        <f>VLOOKUP(INT(VLOOKUP(U612,模板计算相关数据!A:N,2,0)/30)+1,模板计算相关数据!$O$35:$U$40,7,0)+AI612</f>
        <v>0</v>
      </c>
      <c r="AT612" s="3">
        <f>VLOOKUP(INT(VLOOKUP(U612,模板计算相关数据!A:N,2,0)/30)+1,模板计算相关数据!$O$35:$V$40,8,0)</f>
        <v>0</v>
      </c>
      <c r="AU612" s="2"/>
    </row>
    <row r="613" spans="1:47" x14ac:dyDescent="0.2">
      <c r="A613" s="2">
        <v>307553</v>
      </c>
      <c r="B613" s="2"/>
      <c r="C613" s="2" t="s">
        <v>326</v>
      </c>
      <c r="D613" s="2" t="s">
        <v>1187</v>
      </c>
      <c r="E613" s="2"/>
      <c r="F613" s="127">
        <v>3</v>
      </c>
      <c r="G613" s="127">
        <v>101</v>
      </c>
      <c r="H613" s="3">
        <v>5</v>
      </c>
      <c r="I613" s="127">
        <v>5</v>
      </c>
      <c r="J613" s="127">
        <v>1</v>
      </c>
      <c r="K613" s="3"/>
      <c r="L613" s="2" t="s">
        <v>425</v>
      </c>
      <c r="M613" s="2"/>
      <c r="N613" s="2">
        <v>1</v>
      </c>
      <c r="O613" s="2"/>
      <c r="P613" s="3" t="s">
        <v>1615</v>
      </c>
      <c r="Q613" s="95">
        <f t="shared" si="64"/>
        <v>5.7709803921568623</v>
      </c>
      <c r="R613" s="133">
        <f>IF(P613=模板计算相关数据!$AB$24,VLOOKUP(X613,模板计算相关数据!$P$47:$T$50,2,0),VLOOKUP(X613,模板计算相关数据!$P$4:$U$7,3,0))*VLOOKUP(Y613,模板计算相关数据!$P$22:$X$30,8,0)</f>
        <v>5.7709803921568623</v>
      </c>
      <c r="S613" s="62">
        <f t="shared" si="65"/>
        <v>6.4077918749199023</v>
      </c>
      <c r="T613" s="133">
        <f>IF(P613=模板计算相关数据!$AB$24,VLOOKUP(X613,模板计算相关数据!$P$47:$T$50,5,0),VLOOKUP(X613,模板计算相关数据!$P$4:$U$7,6,0))*VLOOKUP(Y613,模板计算相关数据!$P$22:$X$30,9,0)</f>
        <v>6.4077918749199023</v>
      </c>
      <c r="U613" s="98">
        <v>1</v>
      </c>
      <c r="V613" s="95">
        <f t="shared" si="63"/>
        <v>4</v>
      </c>
      <c r="W613" s="29">
        <f>VLOOKUP(U613,模板计算相关数据!A:N,2,0)</f>
        <v>1</v>
      </c>
      <c r="X613" s="3" t="s">
        <v>151</v>
      </c>
      <c r="Y613" s="3" t="s">
        <v>243</v>
      </c>
      <c r="Z613" s="99">
        <v>1</v>
      </c>
      <c r="AA613" s="95">
        <v>1</v>
      </c>
      <c r="AB613" s="95">
        <v>1</v>
      </c>
      <c r="AC613" s="95">
        <v>1</v>
      </c>
      <c r="AD613" s="95">
        <v>0</v>
      </c>
      <c r="AE613" s="95">
        <v>0</v>
      </c>
      <c r="AF613" s="95">
        <v>0</v>
      </c>
      <c r="AG613" s="95">
        <v>0</v>
      </c>
      <c r="AH613" s="95">
        <v>0</v>
      </c>
      <c r="AI613" s="95">
        <v>0</v>
      </c>
      <c r="AJ613" s="3">
        <f>INT(VLOOKUP(U613,模板计算相关数据!A:N,4,0)*VLOOKUP(U613,模板计算相关数据!A:N,14,0)*(1+MAX(0,(VLOOKUP(U613,模板计算相关数据!A:N,7,0)-AQ613))*VLOOKUP(U613,模板计算相关数据!A:N,8,0))*(1-(AL613+AM613)*0.5/((AL613+AM613)*0.5+(VLOOKUP(U613,模板计算相关数据!A:N,2,0)+模板计算相关数据!$AC$27)*模板计算相关数据!$AC$28))*Q613*Z613)</f>
        <v>411</v>
      </c>
      <c r="AK613" s="3">
        <f>INT(VLOOKUP(U613,模板计算相关数据!A:N,3,0)/模板计算相关数据!$W$35/(1+MAX(0,(AO613/10000-VLOOKUP(U613,模板计算相关数据!A:N,9,0)))*AP613/10000)/(1-VLOOKUP(U613,模板计算相关数据!A:N,5,0)/(VLOOKUP(U613,模板计算相关数据!A:N,5,0)+(VLOOKUP(U613,模板计算相关数据!A:N,2,0)+模板计算相关数据!$AC$27)*模板计算相关数据!$AC$28))/S613*AA613)</f>
        <v>86</v>
      </c>
      <c r="AL613" s="3">
        <f>INT(VLOOKUP(U613,模板计算相关数据!A:N,5,0)*VLOOKUP(X613,模板计算相关数据!$P$4:$T$7,4,0)*VLOOKUP(Y613,模板计算相关数据!$P$22:$U$30,4,0)*AB613)</f>
        <v>145</v>
      </c>
      <c r="AM613" s="3">
        <f>INT(VLOOKUP(U613,模板计算相关数据!A:N,6,0)*VLOOKUP(X613,模板计算相关数据!$P$4:$T$7,4,0)*VLOOKUP(Y613,模板计算相关数据!$P$22:$U$30,5,0)*AC613)</f>
        <v>264</v>
      </c>
      <c r="AN613" s="3">
        <f>VLOOKUP(U613,模板计算相关数据!A:N,10,0)*0.5*VLOOKUP(Y613,模板计算相关数据!$P$22:$U$30,6,0)+AD613</f>
        <v>275</v>
      </c>
      <c r="AO613" s="3">
        <f>VLOOKUP(INT(VLOOKUP(U613,模板计算相关数据!A:N,2,0)/30)+1,模板计算相关数据!$O$35:$U$40,3,0)+AE613</f>
        <v>0</v>
      </c>
      <c r="AP613" s="3">
        <f>VLOOKUP(INT(VLOOKUP(U613,模板计算相关数据!A:N,2,0)/30)+1,模板计算相关数据!$O$35:$U$40,4,0)+AF613</f>
        <v>5000</v>
      </c>
      <c r="AQ613" s="3">
        <f>VLOOKUP(INT(VLOOKUP(U613,模板计算相关数据!A:N,2,0)/30)+1,模板计算相关数据!$O$35:$U$40,5,0)+AG613</f>
        <v>0</v>
      </c>
      <c r="AR613" s="3">
        <f>VLOOKUP(INT(VLOOKUP(U613,模板计算相关数据!A:N,2,0)/30)+1,模板计算相关数据!$O$35:$U$40,6,0)+AH613</f>
        <v>0</v>
      </c>
      <c r="AS613" s="3">
        <f>VLOOKUP(INT(VLOOKUP(U613,模板计算相关数据!A:N,2,0)/30)+1,模板计算相关数据!$O$35:$U$40,7,0)+AI613</f>
        <v>0</v>
      </c>
      <c r="AT613" s="3">
        <f>VLOOKUP(INT(VLOOKUP(U613,模板计算相关数据!A:N,2,0)/30)+1,模板计算相关数据!$O$35:$V$40,8,0)</f>
        <v>0</v>
      </c>
      <c r="AU613" s="2"/>
    </row>
    <row r="614" spans="1:47" x14ac:dyDescent="0.2">
      <c r="A614" s="2">
        <v>307554</v>
      </c>
      <c r="B614" s="2"/>
      <c r="C614" s="2" t="s">
        <v>326</v>
      </c>
      <c r="D614" s="2" t="s">
        <v>1188</v>
      </c>
      <c r="E614" s="2"/>
      <c r="F614" s="127">
        <v>3</v>
      </c>
      <c r="G614" s="127">
        <v>101</v>
      </c>
      <c r="H614" s="3">
        <v>5</v>
      </c>
      <c r="I614" s="127">
        <v>5</v>
      </c>
      <c r="J614" s="127">
        <v>1</v>
      </c>
      <c r="K614" s="3"/>
      <c r="L614" s="2" t="s">
        <v>426</v>
      </c>
      <c r="M614" s="2"/>
      <c r="N614" s="2">
        <v>1</v>
      </c>
      <c r="O614" s="2"/>
      <c r="P614" s="3" t="s">
        <v>1615</v>
      </c>
      <c r="Q614" s="95">
        <f t="shared" si="64"/>
        <v>5.7709803921568623</v>
      </c>
      <c r="R614" s="133">
        <f>IF(P614=模板计算相关数据!$AB$24,VLOOKUP(X614,模板计算相关数据!$P$47:$T$50,2,0),VLOOKUP(X614,模板计算相关数据!$P$4:$U$7,3,0))*VLOOKUP(Y614,模板计算相关数据!$P$22:$X$30,8,0)</f>
        <v>5.7709803921568623</v>
      </c>
      <c r="S614" s="62">
        <f t="shared" si="65"/>
        <v>6.4077918749199023</v>
      </c>
      <c r="T614" s="133">
        <f>IF(P614=模板计算相关数据!$AB$24,VLOOKUP(X614,模板计算相关数据!$P$47:$T$50,5,0),VLOOKUP(X614,模板计算相关数据!$P$4:$U$7,6,0))*VLOOKUP(Y614,模板计算相关数据!$P$22:$X$30,9,0)</f>
        <v>6.4077918749199023</v>
      </c>
      <c r="U614" s="98">
        <v>1</v>
      </c>
      <c r="V614" s="95">
        <f t="shared" si="63"/>
        <v>4</v>
      </c>
      <c r="W614" s="29">
        <f>VLOOKUP(U614,模板计算相关数据!A:N,2,0)</f>
        <v>1</v>
      </c>
      <c r="X614" s="3" t="s">
        <v>151</v>
      </c>
      <c r="Y614" s="3" t="s">
        <v>243</v>
      </c>
      <c r="Z614" s="99">
        <v>1</v>
      </c>
      <c r="AA614" s="95">
        <v>1</v>
      </c>
      <c r="AB614" s="95">
        <v>1</v>
      </c>
      <c r="AC614" s="95">
        <v>1</v>
      </c>
      <c r="AD614" s="95">
        <v>0</v>
      </c>
      <c r="AE614" s="95">
        <v>0</v>
      </c>
      <c r="AF614" s="95">
        <v>0</v>
      </c>
      <c r="AG614" s="95">
        <v>0</v>
      </c>
      <c r="AH614" s="95">
        <v>0</v>
      </c>
      <c r="AI614" s="95">
        <v>0</v>
      </c>
      <c r="AJ614" s="3">
        <f>INT(VLOOKUP(U614,模板计算相关数据!A:N,4,0)*VLOOKUP(U614,模板计算相关数据!A:N,14,0)*(1+MAX(0,(VLOOKUP(U614,模板计算相关数据!A:N,7,0)-AQ614))*VLOOKUP(U614,模板计算相关数据!A:N,8,0))*(1-(AL614+AM614)*0.5/((AL614+AM614)*0.5+(VLOOKUP(U614,模板计算相关数据!A:N,2,0)+模板计算相关数据!$AC$27)*模板计算相关数据!$AC$28))*Q614*Z614)</f>
        <v>411</v>
      </c>
      <c r="AK614" s="3">
        <f>INT(VLOOKUP(U614,模板计算相关数据!A:N,3,0)/模板计算相关数据!$W$35/(1+MAX(0,(AO614/10000-VLOOKUP(U614,模板计算相关数据!A:N,9,0)))*AP614/10000)/(1-VLOOKUP(U614,模板计算相关数据!A:N,5,0)/(VLOOKUP(U614,模板计算相关数据!A:N,5,0)+(VLOOKUP(U614,模板计算相关数据!A:N,2,0)+模板计算相关数据!$AC$27)*模板计算相关数据!$AC$28))/S614*AA614)</f>
        <v>86</v>
      </c>
      <c r="AL614" s="3">
        <f>INT(VLOOKUP(U614,模板计算相关数据!A:N,5,0)*VLOOKUP(X614,模板计算相关数据!$P$4:$T$7,4,0)*VLOOKUP(Y614,模板计算相关数据!$P$22:$U$30,4,0)*AB614)</f>
        <v>145</v>
      </c>
      <c r="AM614" s="3">
        <f>INT(VLOOKUP(U614,模板计算相关数据!A:N,6,0)*VLOOKUP(X614,模板计算相关数据!$P$4:$T$7,4,0)*VLOOKUP(Y614,模板计算相关数据!$P$22:$U$30,5,0)*AC614)</f>
        <v>264</v>
      </c>
      <c r="AN614" s="3">
        <f>VLOOKUP(U614,模板计算相关数据!A:N,10,0)*0.5*VLOOKUP(Y614,模板计算相关数据!$P$22:$U$30,6,0)+AD614</f>
        <v>275</v>
      </c>
      <c r="AO614" s="3">
        <f>VLOOKUP(INT(VLOOKUP(U614,模板计算相关数据!A:N,2,0)/30)+1,模板计算相关数据!$O$35:$U$40,3,0)+AE614</f>
        <v>0</v>
      </c>
      <c r="AP614" s="3">
        <f>VLOOKUP(INT(VLOOKUP(U614,模板计算相关数据!A:N,2,0)/30)+1,模板计算相关数据!$O$35:$U$40,4,0)+AF614</f>
        <v>5000</v>
      </c>
      <c r="AQ614" s="3">
        <f>VLOOKUP(INT(VLOOKUP(U614,模板计算相关数据!A:N,2,0)/30)+1,模板计算相关数据!$O$35:$U$40,5,0)+AG614</f>
        <v>0</v>
      </c>
      <c r="AR614" s="3">
        <f>VLOOKUP(INT(VLOOKUP(U614,模板计算相关数据!A:N,2,0)/30)+1,模板计算相关数据!$O$35:$U$40,6,0)+AH614</f>
        <v>0</v>
      </c>
      <c r="AS614" s="3">
        <f>VLOOKUP(INT(VLOOKUP(U614,模板计算相关数据!A:N,2,0)/30)+1,模板计算相关数据!$O$35:$U$40,7,0)+AI614</f>
        <v>0</v>
      </c>
      <c r="AT614" s="3">
        <f>VLOOKUP(INT(VLOOKUP(U614,模板计算相关数据!A:N,2,0)/30)+1,模板计算相关数据!$O$35:$V$40,8,0)</f>
        <v>0</v>
      </c>
      <c r="AU614" s="2"/>
    </row>
    <row r="615" spans="1:47" x14ac:dyDescent="0.2">
      <c r="A615" s="2">
        <v>307555</v>
      </c>
      <c r="B615" s="2"/>
      <c r="C615" s="2" t="s">
        <v>326</v>
      </c>
      <c r="D615" s="2" t="s">
        <v>1184</v>
      </c>
      <c r="E615" s="2"/>
      <c r="F615" s="127">
        <v>3</v>
      </c>
      <c r="G615" s="127">
        <v>101</v>
      </c>
      <c r="H615" s="3">
        <v>5</v>
      </c>
      <c r="I615" s="127">
        <v>5</v>
      </c>
      <c r="J615" s="127">
        <v>1</v>
      </c>
      <c r="K615" s="3"/>
      <c r="L615" s="2" t="s">
        <v>427</v>
      </c>
      <c r="M615" s="2"/>
      <c r="N615" s="2">
        <v>1</v>
      </c>
      <c r="O615" s="2"/>
      <c r="P615" s="3" t="s">
        <v>1615</v>
      </c>
      <c r="Q615" s="95">
        <f t="shared" si="64"/>
        <v>5.7709803921568623</v>
      </c>
      <c r="R615" s="133">
        <f>IF(P615=模板计算相关数据!$AB$24,VLOOKUP(X615,模板计算相关数据!$P$47:$T$50,2,0),VLOOKUP(X615,模板计算相关数据!$P$4:$U$7,3,0))*VLOOKUP(Y615,模板计算相关数据!$P$22:$X$30,8,0)</f>
        <v>5.7709803921568623</v>
      </c>
      <c r="S615" s="62">
        <f t="shared" si="65"/>
        <v>6.4077918749199023</v>
      </c>
      <c r="T615" s="133">
        <f>IF(P615=模板计算相关数据!$AB$24,VLOOKUP(X615,模板计算相关数据!$P$47:$T$50,5,0),VLOOKUP(X615,模板计算相关数据!$P$4:$U$7,6,0))*VLOOKUP(Y615,模板计算相关数据!$P$22:$X$30,9,0)</f>
        <v>6.4077918749199023</v>
      </c>
      <c r="U615" s="98">
        <v>1</v>
      </c>
      <c r="V615" s="95">
        <f t="shared" si="63"/>
        <v>4</v>
      </c>
      <c r="W615" s="29">
        <f>VLOOKUP(U615,模板计算相关数据!A:N,2,0)</f>
        <v>1</v>
      </c>
      <c r="X615" s="3" t="s">
        <v>151</v>
      </c>
      <c r="Y615" s="3" t="s">
        <v>243</v>
      </c>
      <c r="Z615" s="99">
        <v>1</v>
      </c>
      <c r="AA615" s="95">
        <v>1</v>
      </c>
      <c r="AB615" s="95">
        <v>1</v>
      </c>
      <c r="AC615" s="95">
        <v>1</v>
      </c>
      <c r="AD615" s="95">
        <v>0</v>
      </c>
      <c r="AE615" s="95">
        <v>0</v>
      </c>
      <c r="AF615" s="95">
        <v>0</v>
      </c>
      <c r="AG615" s="95">
        <v>0</v>
      </c>
      <c r="AH615" s="95">
        <v>0</v>
      </c>
      <c r="AI615" s="95">
        <v>0</v>
      </c>
      <c r="AJ615" s="3">
        <f>INT(VLOOKUP(U615,模板计算相关数据!A:N,4,0)*VLOOKUP(U615,模板计算相关数据!A:N,14,0)*(1+MAX(0,(VLOOKUP(U615,模板计算相关数据!A:N,7,0)-AQ615))*VLOOKUP(U615,模板计算相关数据!A:N,8,0))*(1-(AL615+AM615)*0.5/((AL615+AM615)*0.5+(VLOOKUP(U615,模板计算相关数据!A:N,2,0)+模板计算相关数据!$AC$27)*模板计算相关数据!$AC$28))*Q615*Z615)</f>
        <v>411</v>
      </c>
      <c r="AK615" s="3">
        <f>INT(VLOOKUP(U615,模板计算相关数据!A:N,3,0)/模板计算相关数据!$W$35/(1+MAX(0,(AO615/10000-VLOOKUP(U615,模板计算相关数据!A:N,9,0)))*AP615/10000)/(1-VLOOKUP(U615,模板计算相关数据!A:N,5,0)/(VLOOKUP(U615,模板计算相关数据!A:N,5,0)+(VLOOKUP(U615,模板计算相关数据!A:N,2,0)+模板计算相关数据!$AC$27)*模板计算相关数据!$AC$28))/S615*AA615)</f>
        <v>86</v>
      </c>
      <c r="AL615" s="3">
        <f>INT(VLOOKUP(U615,模板计算相关数据!A:N,5,0)*VLOOKUP(X615,模板计算相关数据!$P$4:$T$7,4,0)*VLOOKUP(Y615,模板计算相关数据!$P$22:$U$30,4,0)*AB615)</f>
        <v>145</v>
      </c>
      <c r="AM615" s="3">
        <f>INT(VLOOKUP(U615,模板计算相关数据!A:N,6,0)*VLOOKUP(X615,模板计算相关数据!$P$4:$T$7,4,0)*VLOOKUP(Y615,模板计算相关数据!$P$22:$U$30,5,0)*AC615)</f>
        <v>264</v>
      </c>
      <c r="AN615" s="3">
        <f>VLOOKUP(U615,模板计算相关数据!A:N,10,0)*0.5*VLOOKUP(Y615,模板计算相关数据!$P$22:$U$30,6,0)+AD615</f>
        <v>275</v>
      </c>
      <c r="AO615" s="3">
        <f>VLOOKUP(INT(VLOOKUP(U615,模板计算相关数据!A:N,2,0)/30)+1,模板计算相关数据!$O$35:$U$40,3,0)+AE615</f>
        <v>0</v>
      </c>
      <c r="AP615" s="3">
        <f>VLOOKUP(INT(VLOOKUP(U615,模板计算相关数据!A:N,2,0)/30)+1,模板计算相关数据!$O$35:$U$40,4,0)+AF615</f>
        <v>5000</v>
      </c>
      <c r="AQ615" s="3">
        <f>VLOOKUP(INT(VLOOKUP(U615,模板计算相关数据!A:N,2,0)/30)+1,模板计算相关数据!$O$35:$U$40,5,0)+AG615</f>
        <v>0</v>
      </c>
      <c r="AR615" s="3">
        <f>VLOOKUP(INT(VLOOKUP(U615,模板计算相关数据!A:N,2,0)/30)+1,模板计算相关数据!$O$35:$U$40,6,0)+AH615</f>
        <v>0</v>
      </c>
      <c r="AS615" s="3">
        <f>VLOOKUP(INT(VLOOKUP(U615,模板计算相关数据!A:N,2,0)/30)+1,模板计算相关数据!$O$35:$U$40,7,0)+AI615</f>
        <v>0</v>
      </c>
      <c r="AT615" s="3">
        <f>VLOOKUP(INT(VLOOKUP(U615,模板计算相关数据!A:N,2,0)/30)+1,模板计算相关数据!$O$35:$V$40,8,0)</f>
        <v>0</v>
      </c>
      <c r="AU615" s="2"/>
    </row>
    <row r="616" spans="1:47" x14ac:dyDescent="0.2">
      <c r="A616" s="2">
        <v>307556</v>
      </c>
      <c r="B616" s="2"/>
      <c r="C616" s="2" t="s">
        <v>326</v>
      </c>
      <c r="D616" s="2" t="s">
        <v>1185</v>
      </c>
      <c r="E616" s="2"/>
      <c r="F616" s="127">
        <v>3</v>
      </c>
      <c r="G616" s="127">
        <v>101</v>
      </c>
      <c r="H616" s="3">
        <v>5</v>
      </c>
      <c r="I616" s="127">
        <v>5</v>
      </c>
      <c r="J616" s="127">
        <v>1</v>
      </c>
      <c r="K616" s="3"/>
      <c r="L616" s="2" t="s">
        <v>428</v>
      </c>
      <c r="M616" s="2"/>
      <c r="N616" s="2">
        <v>1</v>
      </c>
      <c r="O616" s="2"/>
      <c r="P616" s="3" t="s">
        <v>1615</v>
      </c>
      <c r="Q616" s="95">
        <f t="shared" si="64"/>
        <v>5.7709803921568623</v>
      </c>
      <c r="R616" s="133">
        <f>IF(P616=模板计算相关数据!$AB$24,VLOOKUP(X616,模板计算相关数据!$P$47:$T$50,2,0),VLOOKUP(X616,模板计算相关数据!$P$4:$U$7,3,0))*VLOOKUP(Y616,模板计算相关数据!$P$22:$X$30,8,0)</f>
        <v>5.7709803921568623</v>
      </c>
      <c r="S616" s="62">
        <f t="shared" si="65"/>
        <v>6.4077918749199023</v>
      </c>
      <c r="T616" s="133">
        <f>IF(P616=模板计算相关数据!$AB$24,VLOOKUP(X616,模板计算相关数据!$P$47:$T$50,5,0),VLOOKUP(X616,模板计算相关数据!$P$4:$U$7,6,0))*VLOOKUP(Y616,模板计算相关数据!$P$22:$X$30,9,0)</f>
        <v>6.4077918749199023</v>
      </c>
      <c r="U616" s="98">
        <v>1</v>
      </c>
      <c r="V616" s="95">
        <f t="shared" si="63"/>
        <v>4</v>
      </c>
      <c r="W616" s="29">
        <f>VLOOKUP(U616,模板计算相关数据!A:N,2,0)</f>
        <v>1</v>
      </c>
      <c r="X616" s="3" t="s">
        <v>151</v>
      </c>
      <c r="Y616" s="3" t="s">
        <v>243</v>
      </c>
      <c r="Z616" s="99">
        <v>1</v>
      </c>
      <c r="AA616" s="95">
        <v>1</v>
      </c>
      <c r="AB616" s="95">
        <v>1</v>
      </c>
      <c r="AC616" s="95">
        <v>1</v>
      </c>
      <c r="AD616" s="95">
        <v>0</v>
      </c>
      <c r="AE616" s="95">
        <v>0</v>
      </c>
      <c r="AF616" s="95">
        <v>0</v>
      </c>
      <c r="AG616" s="95">
        <v>0</v>
      </c>
      <c r="AH616" s="95">
        <v>0</v>
      </c>
      <c r="AI616" s="95">
        <v>0</v>
      </c>
      <c r="AJ616" s="3">
        <f>INT(VLOOKUP(U616,模板计算相关数据!A:N,4,0)*VLOOKUP(U616,模板计算相关数据!A:N,14,0)*(1+MAX(0,(VLOOKUP(U616,模板计算相关数据!A:N,7,0)-AQ616))*VLOOKUP(U616,模板计算相关数据!A:N,8,0))*(1-(AL616+AM616)*0.5/((AL616+AM616)*0.5+(VLOOKUP(U616,模板计算相关数据!A:N,2,0)+模板计算相关数据!$AC$27)*模板计算相关数据!$AC$28))*Q616*Z616)</f>
        <v>411</v>
      </c>
      <c r="AK616" s="3">
        <f>INT(VLOOKUP(U616,模板计算相关数据!A:N,3,0)/模板计算相关数据!$W$35/(1+MAX(0,(AO616/10000-VLOOKUP(U616,模板计算相关数据!A:N,9,0)))*AP616/10000)/(1-VLOOKUP(U616,模板计算相关数据!A:N,5,0)/(VLOOKUP(U616,模板计算相关数据!A:N,5,0)+(VLOOKUP(U616,模板计算相关数据!A:N,2,0)+模板计算相关数据!$AC$27)*模板计算相关数据!$AC$28))/S616*AA616)</f>
        <v>86</v>
      </c>
      <c r="AL616" s="3">
        <f>INT(VLOOKUP(U616,模板计算相关数据!A:N,5,0)*VLOOKUP(X616,模板计算相关数据!$P$4:$T$7,4,0)*VLOOKUP(Y616,模板计算相关数据!$P$22:$U$30,4,0)*AB616)</f>
        <v>145</v>
      </c>
      <c r="AM616" s="3">
        <f>INT(VLOOKUP(U616,模板计算相关数据!A:N,6,0)*VLOOKUP(X616,模板计算相关数据!$P$4:$T$7,4,0)*VLOOKUP(Y616,模板计算相关数据!$P$22:$U$30,5,0)*AC616)</f>
        <v>264</v>
      </c>
      <c r="AN616" s="3">
        <f>VLOOKUP(U616,模板计算相关数据!A:N,10,0)*0.5*VLOOKUP(Y616,模板计算相关数据!$P$22:$U$30,6,0)+AD616</f>
        <v>275</v>
      </c>
      <c r="AO616" s="3">
        <f>VLOOKUP(INT(VLOOKUP(U616,模板计算相关数据!A:N,2,0)/30)+1,模板计算相关数据!$O$35:$U$40,3,0)+AE616</f>
        <v>0</v>
      </c>
      <c r="AP616" s="3">
        <f>VLOOKUP(INT(VLOOKUP(U616,模板计算相关数据!A:N,2,0)/30)+1,模板计算相关数据!$O$35:$U$40,4,0)+AF616</f>
        <v>5000</v>
      </c>
      <c r="AQ616" s="3">
        <f>VLOOKUP(INT(VLOOKUP(U616,模板计算相关数据!A:N,2,0)/30)+1,模板计算相关数据!$O$35:$U$40,5,0)+AG616</f>
        <v>0</v>
      </c>
      <c r="AR616" s="3">
        <f>VLOOKUP(INT(VLOOKUP(U616,模板计算相关数据!A:N,2,0)/30)+1,模板计算相关数据!$O$35:$U$40,6,0)+AH616</f>
        <v>0</v>
      </c>
      <c r="AS616" s="3">
        <f>VLOOKUP(INT(VLOOKUP(U616,模板计算相关数据!A:N,2,0)/30)+1,模板计算相关数据!$O$35:$U$40,7,0)+AI616</f>
        <v>0</v>
      </c>
      <c r="AT616" s="3">
        <f>VLOOKUP(INT(VLOOKUP(U616,模板计算相关数据!A:N,2,0)/30)+1,模板计算相关数据!$O$35:$V$40,8,0)</f>
        <v>0</v>
      </c>
      <c r="AU616" s="2"/>
    </row>
    <row r="617" spans="1:47" x14ac:dyDescent="0.2">
      <c r="A617" s="2">
        <v>307557</v>
      </c>
      <c r="B617" s="2"/>
      <c r="C617" s="2" t="s">
        <v>326</v>
      </c>
      <c r="D617" s="2" t="s">
        <v>1186</v>
      </c>
      <c r="E617" s="2"/>
      <c r="F617" s="127">
        <v>3</v>
      </c>
      <c r="G617" s="127">
        <v>101</v>
      </c>
      <c r="H617" s="3">
        <v>5</v>
      </c>
      <c r="I617" s="127">
        <v>5</v>
      </c>
      <c r="J617" s="127">
        <v>1</v>
      </c>
      <c r="K617" s="3"/>
      <c r="L617" s="2" t="s">
        <v>429</v>
      </c>
      <c r="M617" s="2"/>
      <c r="N617" s="2">
        <v>1</v>
      </c>
      <c r="O617" s="2"/>
      <c r="P617" s="3" t="s">
        <v>1615</v>
      </c>
      <c r="Q617" s="95">
        <f t="shared" si="64"/>
        <v>5.7709803921568623</v>
      </c>
      <c r="R617" s="133">
        <f>IF(P617=模板计算相关数据!$AB$24,VLOOKUP(X617,模板计算相关数据!$P$47:$T$50,2,0),VLOOKUP(X617,模板计算相关数据!$P$4:$U$7,3,0))*VLOOKUP(Y617,模板计算相关数据!$P$22:$X$30,8,0)</f>
        <v>5.7709803921568623</v>
      </c>
      <c r="S617" s="62">
        <f t="shared" si="65"/>
        <v>6.4077918749199023</v>
      </c>
      <c r="T617" s="133">
        <f>IF(P617=模板计算相关数据!$AB$24,VLOOKUP(X617,模板计算相关数据!$P$47:$T$50,5,0),VLOOKUP(X617,模板计算相关数据!$P$4:$U$7,6,0))*VLOOKUP(Y617,模板计算相关数据!$P$22:$X$30,9,0)</f>
        <v>6.4077918749199023</v>
      </c>
      <c r="U617" s="98">
        <v>1</v>
      </c>
      <c r="V617" s="95">
        <f t="shared" si="63"/>
        <v>4</v>
      </c>
      <c r="W617" s="29">
        <f>VLOOKUP(U617,模板计算相关数据!A:N,2,0)</f>
        <v>1</v>
      </c>
      <c r="X617" s="3" t="s">
        <v>151</v>
      </c>
      <c r="Y617" s="3" t="s">
        <v>243</v>
      </c>
      <c r="Z617" s="99">
        <v>1</v>
      </c>
      <c r="AA617" s="95">
        <v>1</v>
      </c>
      <c r="AB617" s="95">
        <v>1</v>
      </c>
      <c r="AC617" s="95">
        <v>1</v>
      </c>
      <c r="AD617" s="95">
        <v>0</v>
      </c>
      <c r="AE617" s="95">
        <v>0</v>
      </c>
      <c r="AF617" s="95">
        <v>0</v>
      </c>
      <c r="AG617" s="95">
        <v>0</v>
      </c>
      <c r="AH617" s="95">
        <v>0</v>
      </c>
      <c r="AI617" s="95">
        <v>0</v>
      </c>
      <c r="AJ617" s="3">
        <f>INT(VLOOKUP(U617,模板计算相关数据!A:N,4,0)*VLOOKUP(U617,模板计算相关数据!A:N,14,0)*(1+MAX(0,(VLOOKUP(U617,模板计算相关数据!A:N,7,0)-AQ617))*VLOOKUP(U617,模板计算相关数据!A:N,8,0))*(1-(AL617+AM617)*0.5/((AL617+AM617)*0.5+(VLOOKUP(U617,模板计算相关数据!A:N,2,0)+模板计算相关数据!$AC$27)*模板计算相关数据!$AC$28))*Q617*Z617)</f>
        <v>411</v>
      </c>
      <c r="AK617" s="3">
        <f>INT(VLOOKUP(U617,模板计算相关数据!A:N,3,0)/模板计算相关数据!$W$35/(1+MAX(0,(AO617/10000-VLOOKUP(U617,模板计算相关数据!A:N,9,0)))*AP617/10000)/(1-VLOOKUP(U617,模板计算相关数据!A:N,5,0)/(VLOOKUP(U617,模板计算相关数据!A:N,5,0)+(VLOOKUP(U617,模板计算相关数据!A:N,2,0)+模板计算相关数据!$AC$27)*模板计算相关数据!$AC$28))/S617*AA617)</f>
        <v>86</v>
      </c>
      <c r="AL617" s="3">
        <f>INT(VLOOKUP(U617,模板计算相关数据!A:N,5,0)*VLOOKUP(X617,模板计算相关数据!$P$4:$T$7,4,0)*VLOOKUP(Y617,模板计算相关数据!$P$22:$U$30,4,0)*AB617)</f>
        <v>145</v>
      </c>
      <c r="AM617" s="3">
        <f>INT(VLOOKUP(U617,模板计算相关数据!A:N,6,0)*VLOOKUP(X617,模板计算相关数据!$P$4:$T$7,4,0)*VLOOKUP(Y617,模板计算相关数据!$P$22:$U$30,5,0)*AC617)</f>
        <v>264</v>
      </c>
      <c r="AN617" s="3">
        <f>VLOOKUP(U617,模板计算相关数据!A:N,10,0)*0.5*VLOOKUP(Y617,模板计算相关数据!$P$22:$U$30,6,0)+AD617</f>
        <v>275</v>
      </c>
      <c r="AO617" s="3">
        <f>VLOOKUP(INT(VLOOKUP(U617,模板计算相关数据!A:N,2,0)/30)+1,模板计算相关数据!$O$35:$U$40,3,0)+AE617</f>
        <v>0</v>
      </c>
      <c r="AP617" s="3">
        <f>VLOOKUP(INT(VLOOKUP(U617,模板计算相关数据!A:N,2,0)/30)+1,模板计算相关数据!$O$35:$U$40,4,0)+AF617</f>
        <v>5000</v>
      </c>
      <c r="AQ617" s="3">
        <f>VLOOKUP(INT(VLOOKUP(U617,模板计算相关数据!A:N,2,0)/30)+1,模板计算相关数据!$O$35:$U$40,5,0)+AG617</f>
        <v>0</v>
      </c>
      <c r="AR617" s="3">
        <f>VLOOKUP(INT(VLOOKUP(U617,模板计算相关数据!A:N,2,0)/30)+1,模板计算相关数据!$O$35:$U$40,6,0)+AH617</f>
        <v>0</v>
      </c>
      <c r="AS617" s="3">
        <f>VLOOKUP(INT(VLOOKUP(U617,模板计算相关数据!A:N,2,0)/30)+1,模板计算相关数据!$O$35:$U$40,7,0)+AI617</f>
        <v>0</v>
      </c>
      <c r="AT617" s="3">
        <f>VLOOKUP(INT(VLOOKUP(U617,模板计算相关数据!A:N,2,0)/30)+1,模板计算相关数据!$O$35:$V$40,8,0)</f>
        <v>0</v>
      </c>
      <c r="AU617" s="2"/>
    </row>
    <row r="618" spans="1:47" x14ac:dyDescent="0.2">
      <c r="A618" s="2">
        <v>307558</v>
      </c>
      <c r="B618" s="2"/>
      <c r="C618" s="2" t="s">
        <v>343</v>
      </c>
      <c r="D618" s="2" t="s">
        <v>1188</v>
      </c>
      <c r="E618" s="2"/>
      <c r="F618" s="127">
        <v>3</v>
      </c>
      <c r="G618" s="127">
        <v>101</v>
      </c>
      <c r="H618" s="3">
        <v>3</v>
      </c>
      <c r="I618" s="127">
        <v>5</v>
      </c>
      <c r="J618" s="127">
        <v>1</v>
      </c>
      <c r="K618" s="3"/>
      <c r="L618" s="2" t="s">
        <v>430</v>
      </c>
      <c r="M618" s="2"/>
      <c r="N618" s="2">
        <v>1</v>
      </c>
      <c r="O618" s="2"/>
      <c r="P618" s="3" t="s">
        <v>1615</v>
      </c>
      <c r="Q618" s="95">
        <f t="shared" si="64"/>
        <v>5.6000000000000014</v>
      </c>
      <c r="R618" s="133">
        <f>IF(P618=模板计算相关数据!$AB$24,VLOOKUP(X618,模板计算相关数据!$P$47:$T$50,2,0),VLOOKUP(X618,模板计算相关数据!$P$4:$U$7,3,0))*VLOOKUP(Y618,模板计算相关数据!$P$22:$X$30,8,0)</f>
        <v>5.6000000000000014</v>
      </c>
      <c r="S618" s="62">
        <f t="shared" si="65"/>
        <v>6.6693344004268367</v>
      </c>
      <c r="T618" s="133">
        <f>IF(P618=模板计算相关数据!$AB$24,VLOOKUP(X618,模板计算相关数据!$P$47:$T$50,5,0),VLOOKUP(X618,模板计算相关数据!$P$4:$U$7,6,0))*VLOOKUP(Y618,模板计算相关数据!$P$22:$X$30,9,0)</f>
        <v>6.6693344004268367</v>
      </c>
      <c r="U618" s="98">
        <v>1</v>
      </c>
      <c r="V618" s="95">
        <f t="shared" si="63"/>
        <v>4</v>
      </c>
      <c r="W618" s="29">
        <f>VLOOKUP(U618,模板计算相关数据!A:N,2,0)</f>
        <v>1</v>
      </c>
      <c r="X618" s="3" t="s">
        <v>151</v>
      </c>
      <c r="Y618" s="3" t="s">
        <v>255</v>
      </c>
      <c r="Z618" s="99">
        <v>1</v>
      </c>
      <c r="AA618" s="95">
        <v>1</v>
      </c>
      <c r="AB618" s="95">
        <v>1</v>
      </c>
      <c r="AC618" s="95">
        <v>1</v>
      </c>
      <c r="AD618" s="95">
        <v>0</v>
      </c>
      <c r="AE618" s="95">
        <v>0</v>
      </c>
      <c r="AF618" s="95">
        <v>0</v>
      </c>
      <c r="AG618" s="95">
        <v>0</v>
      </c>
      <c r="AH618" s="95">
        <v>0</v>
      </c>
      <c r="AI618" s="95">
        <v>0</v>
      </c>
      <c r="AJ618" s="3">
        <f>INT(VLOOKUP(U618,模板计算相关数据!A:N,4,0)*VLOOKUP(U618,模板计算相关数据!A:N,14,0)*(1+MAX(0,(VLOOKUP(U618,模板计算相关数据!A:N,7,0)-AQ618))*VLOOKUP(U618,模板计算相关数据!A:N,8,0))*(1-(AL618+AM618)*0.5/((AL618+AM618)*0.5+(VLOOKUP(U618,模板计算相关数据!A:N,2,0)+模板计算相关数据!$AC$27)*模板计算相关数据!$AC$28))*Q618*Z618)</f>
        <v>394</v>
      </c>
      <c r="AK618" s="3">
        <f>INT(VLOOKUP(U618,模板计算相关数据!A:N,3,0)/模板计算相关数据!$W$35/(1+MAX(0,(AO618/10000-VLOOKUP(U618,模板计算相关数据!A:N,9,0)))*AP618/10000)/(1-VLOOKUP(U618,模板计算相关数据!A:N,5,0)/(VLOOKUP(U618,模板计算相关数据!A:N,5,0)+(VLOOKUP(U618,模板计算相关数据!A:N,2,0)+模板计算相关数据!$AC$27)*模板计算相关数据!$AC$28))/S618*AA618)</f>
        <v>83</v>
      </c>
      <c r="AL618" s="3">
        <f>INT(VLOOKUP(U618,模板计算相关数据!A:N,5,0)*VLOOKUP(X618,模板计算相关数据!$P$4:$T$7,4,0)*VLOOKUP(Y618,模板计算相关数据!$P$22:$U$30,4,0)*AB618)</f>
        <v>149</v>
      </c>
      <c r="AM618" s="3">
        <f>INT(VLOOKUP(U618,模板计算相关数据!A:N,6,0)*VLOOKUP(X618,模板计算相关数据!$P$4:$T$7,4,0)*VLOOKUP(Y618,模板计算相关数据!$P$22:$U$30,5,0)*AC618)</f>
        <v>277</v>
      </c>
      <c r="AN618" s="3">
        <f>VLOOKUP(U618,模板计算相关数据!A:N,10,0)*0.5*VLOOKUP(Y618,模板计算相关数据!$P$22:$U$30,6,0)+AD618</f>
        <v>225</v>
      </c>
      <c r="AO618" s="3">
        <f>VLOOKUP(INT(VLOOKUP(U618,模板计算相关数据!A:N,2,0)/30)+1,模板计算相关数据!$O$35:$U$40,3,0)+AE618</f>
        <v>0</v>
      </c>
      <c r="AP618" s="3">
        <f>VLOOKUP(INT(VLOOKUP(U618,模板计算相关数据!A:N,2,0)/30)+1,模板计算相关数据!$O$35:$U$40,4,0)+AF618</f>
        <v>5000</v>
      </c>
      <c r="AQ618" s="3">
        <f>VLOOKUP(INT(VLOOKUP(U618,模板计算相关数据!A:N,2,0)/30)+1,模板计算相关数据!$O$35:$U$40,5,0)+AG618</f>
        <v>0</v>
      </c>
      <c r="AR618" s="3">
        <f>VLOOKUP(INT(VLOOKUP(U618,模板计算相关数据!A:N,2,0)/30)+1,模板计算相关数据!$O$35:$U$40,6,0)+AH618</f>
        <v>0</v>
      </c>
      <c r="AS618" s="3">
        <f>VLOOKUP(INT(VLOOKUP(U618,模板计算相关数据!A:N,2,0)/30)+1,模板计算相关数据!$O$35:$U$40,7,0)+AI618</f>
        <v>0</v>
      </c>
      <c r="AT618" s="3">
        <f>VLOOKUP(INT(VLOOKUP(U618,模板计算相关数据!A:N,2,0)/30)+1,模板计算相关数据!$O$35:$V$40,8,0)</f>
        <v>0</v>
      </c>
      <c r="AU618" s="2"/>
    </row>
    <row r="619" spans="1:47" x14ac:dyDescent="0.2">
      <c r="A619" s="2">
        <v>307559</v>
      </c>
      <c r="B619" s="2"/>
      <c r="C619" s="2" t="s">
        <v>343</v>
      </c>
      <c r="D619" s="2" t="s">
        <v>1184</v>
      </c>
      <c r="E619" s="2"/>
      <c r="F619" s="127">
        <v>3</v>
      </c>
      <c r="G619" s="127">
        <v>101</v>
      </c>
      <c r="H619" s="3">
        <v>3</v>
      </c>
      <c r="I619" s="127">
        <v>5</v>
      </c>
      <c r="J619" s="127">
        <v>1</v>
      </c>
      <c r="K619" s="3"/>
      <c r="L619" s="2" t="s">
        <v>431</v>
      </c>
      <c r="M619" s="2"/>
      <c r="N619" s="2">
        <v>1</v>
      </c>
      <c r="O619" s="2"/>
      <c r="P619" s="3" t="s">
        <v>1615</v>
      </c>
      <c r="Q619" s="95">
        <f t="shared" si="64"/>
        <v>5.6000000000000014</v>
      </c>
      <c r="R619" s="133">
        <f>IF(P619=模板计算相关数据!$AB$24,VLOOKUP(X619,模板计算相关数据!$P$47:$T$50,2,0),VLOOKUP(X619,模板计算相关数据!$P$4:$U$7,3,0))*VLOOKUP(Y619,模板计算相关数据!$P$22:$X$30,8,0)</f>
        <v>5.6000000000000014</v>
      </c>
      <c r="S619" s="62">
        <f t="shared" si="65"/>
        <v>6.6693344004268367</v>
      </c>
      <c r="T619" s="133">
        <f>IF(P619=模板计算相关数据!$AB$24,VLOOKUP(X619,模板计算相关数据!$P$47:$T$50,5,0),VLOOKUP(X619,模板计算相关数据!$P$4:$U$7,6,0))*VLOOKUP(Y619,模板计算相关数据!$P$22:$X$30,9,0)</f>
        <v>6.6693344004268367</v>
      </c>
      <c r="U619" s="98">
        <v>1</v>
      </c>
      <c r="V619" s="95">
        <f t="shared" si="63"/>
        <v>4</v>
      </c>
      <c r="W619" s="29">
        <f>VLOOKUP(U619,模板计算相关数据!A:N,2,0)</f>
        <v>1</v>
      </c>
      <c r="X619" s="3" t="s">
        <v>151</v>
      </c>
      <c r="Y619" s="3" t="s">
        <v>255</v>
      </c>
      <c r="Z619" s="99">
        <v>1</v>
      </c>
      <c r="AA619" s="95">
        <v>1</v>
      </c>
      <c r="AB619" s="95">
        <v>1</v>
      </c>
      <c r="AC619" s="95">
        <v>1</v>
      </c>
      <c r="AD619" s="95">
        <v>0</v>
      </c>
      <c r="AE619" s="95">
        <v>0</v>
      </c>
      <c r="AF619" s="95">
        <v>0</v>
      </c>
      <c r="AG619" s="95">
        <v>0</v>
      </c>
      <c r="AH619" s="95">
        <v>0</v>
      </c>
      <c r="AI619" s="95">
        <v>0</v>
      </c>
      <c r="AJ619" s="3">
        <f>INT(VLOOKUP(U619,模板计算相关数据!A:N,4,0)*VLOOKUP(U619,模板计算相关数据!A:N,14,0)*(1+MAX(0,(VLOOKUP(U619,模板计算相关数据!A:N,7,0)-AQ619))*VLOOKUP(U619,模板计算相关数据!A:N,8,0))*(1-(AL619+AM619)*0.5/((AL619+AM619)*0.5+(VLOOKUP(U619,模板计算相关数据!A:N,2,0)+模板计算相关数据!$AC$27)*模板计算相关数据!$AC$28))*Q619*Z619)</f>
        <v>394</v>
      </c>
      <c r="AK619" s="3">
        <f>INT(VLOOKUP(U619,模板计算相关数据!A:N,3,0)/模板计算相关数据!$W$35/(1+MAX(0,(AO619/10000-VLOOKUP(U619,模板计算相关数据!A:N,9,0)))*AP619/10000)/(1-VLOOKUP(U619,模板计算相关数据!A:N,5,0)/(VLOOKUP(U619,模板计算相关数据!A:N,5,0)+(VLOOKUP(U619,模板计算相关数据!A:N,2,0)+模板计算相关数据!$AC$27)*模板计算相关数据!$AC$28))/S619*AA619)</f>
        <v>83</v>
      </c>
      <c r="AL619" s="3">
        <f>INT(VLOOKUP(U619,模板计算相关数据!A:N,5,0)*VLOOKUP(X619,模板计算相关数据!$P$4:$T$7,4,0)*VLOOKUP(Y619,模板计算相关数据!$P$22:$U$30,4,0)*AB619)</f>
        <v>149</v>
      </c>
      <c r="AM619" s="3">
        <f>INT(VLOOKUP(U619,模板计算相关数据!A:N,6,0)*VLOOKUP(X619,模板计算相关数据!$P$4:$T$7,4,0)*VLOOKUP(Y619,模板计算相关数据!$P$22:$U$30,5,0)*AC619)</f>
        <v>277</v>
      </c>
      <c r="AN619" s="3">
        <f>VLOOKUP(U619,模板计算相关数据!A:N,10,0)*0.5*VLOOKUP(Y619,模板计算相关数据!$P$22:$U$30,6,0)+AD619</f>
        <v>225</v>
      </c>
      <c r="AO619" s="3">
        <f>VLOOKUP(INT(VLOOKUP(U619,模板计算相关数据!A:N,2,0)/30)+1,模板计算相关数据!$O$35:$U$40,3,0)+AE619</f>
        <v>0</v>
      </c>
      <c r="AP619" s="3">
        <f>VLOOKUP(INT(VLOOKUP(U619,模板计算相关数据!A:N,2,0)/30)+1,模板计算相关数据!$O$35:$U$40,4,0)+AF619</f>
        <v>5000</v>
      </c>
      <c r="AQ619" s="3">
        <f>VLOOKUP(INT(VLOOKUP(U619,模板计算相关数据!A:N,2,0)/30)+1,模板计算相关数据!$O$35:$U$40,5,0)+AG619</f>
        <v>0</v>
      </c>
      <c r="AR619" s="3">
        <f>VLOOKUP(INT(VLOOKUP(U619,模板计算相关数据!A:N,2,0)/30)+1,模板计算相关数据!$O$35:$U$40,6,0)+AH619</f>
        <v>0</v>
      </c>
      <c r="AS619" s="3">
        <f>VLOOKUP(INT(VLOOKUP(U619,模板计算相关数据!A:N,2,0)/30)+1,模板计算相关数据!$O$35:$U$40,7,0)+AI619</f>
        <v>0</v>
      </c>
      <c r="AT619" s="3">
        <f>VLOOKUP(INT(VLOOKUP(U619,模板计算相关数据!A:N,2,0)/30)+1,模板计算相关数据!$O$35:$V$40,8,0)</f>
        <v>0</v>
      </c>
      <c r="AU619" s="2"/>
    </row>
    <row r="620" spans="1:47" x14ac:dyDescent="0.2">
      <c r="A620" s="2">
        <v>307560</v>
      </c>
      <c r="B620" s="2"/>
      <c r="C620" s="2" t="s">
        <v>343</v>
      </c>
      <c r="D620" s="2" t="s">
        <v>1185</v>
      </c>
      <c r="E620" s="2"/>
      <c r="F620" s="127">
        <v>3</v>
      </c>
      <c r="G620" s="127">
        <v>101</v>
      </c>
      <c r="H620" s="3">
        <v>3</v>
      </c>
      <c r="I620" s="127">
        <v>5</v>
      </c>
      <c r="J620" s="127">
        <v>1</v>
      </c>
      <c r="K620" s="3"/>
      <c r="L620" s="2" t="s">
        <v>432</v>
      </c>
      <c r="M620" s="2"/>
      <c r="N620" s="2">
        <v>1</v>
      </c>
      <c r="O620" s="2"/>
      <c r="P620" s="3" t="s">
        <v>1615</v>
      </c>
      <c r="Q620" s="95">
        <f t="shared" si="64"/>
        <v>5.6000000000000014</v>
      </c>
      <c r="R620" s="133">
        <f>IF(P620=模板计算相关数据!$AB$24,VLOOKUP(X620,模板计算相关数据!$P$47:$T$50,2,0),VLOOKUP(X620,模板计算相关数据!$P$4:$U$7,3,0))*VLOOKUP(Y620,模板计算相关数据!$P$22:$X$30,8,0)</f>
        <v>5.6000000000000014</v>
      </c>
      <c r="S620" s="62">
        <f t="shared" si="65"/>
        <v>6.6693344004268367</v>
      </c>
      <c r="T620" s="133">
        <f>IF(P620=模板计算相关数据!$AB$24,VLOOKUP(X620,模板计算相关数据!$P$47:$T$50,5,0),VLOOKUP(X620,模板计算相关数据!$P$4:$U$7,6,0))*VLOOKUP(Y620,模板计算相关数据!$P$22:$X$30,9,0)</f>
        <v>6.6693344004268367</v>
      </c>
      <c r="U620" s="98">
        <v>1</v>
      </c>
      <c r="V620" s="95">
        <f t="shared" si="63"/>
        <v>4</v>
      </c>
      <c r="W620" s="29">
        <f>VLOOKUP(U620,模板计算相关数据!A:N,2,0)</f>
        <v>1</v>
      </c>
      <c r="X620" s="3" t="s">
        <v>151</v>
      </c>
      <c r="Y620" s="3" t="s">
        <v>255</v>
      </c>
      <c r="Z620" s="99">
        <v>1</v>
      </c>
      <c r="AA620" s="95">
        <v>1</v>
      </c>
      <c r="AB620" s="95">
        <v>1</v>
      </c>
      <c r="AC620" s="95">
        <v>1</v>
      </c>
      <c r="AD620" s="95">
        <v>0</v>
      </c>
      <c r="AE620" s="95">
        <v>0</v>
      </c>
      <c r="AF620" s="95">
        <v>0</v>
      </c>
      <c r="AG620" s="95">
        <v>0</v>
      </c>
      <c r="AH620" s="95">
        <v>0</v>
      </c>
      <c r="AI620" s="95">
        <v>0</v>
      </c>
      <c r="AJ620" s="3">
        <f>INT(VLOOKUP(U620,模板计算相关数据!A:N,4,0)*VLOOKUP(U620,模板计算相关数据!A:N,14,0)*(1+MAX(0,(VLOOKUP(U620,模板计算相关数据!A:N,7,0)-AQ620))*VLOOKUP(U620,模板计算相关数据!A:N,8,0))*(1-(AL620+AM620)*0.5/((AL620+AM620)*0.5+(VLOOKUP(U620,模板计算相关数据!A:N,2,0)+模板计算相关数据!$AC$27)*模板计算相关数据!$AC$28))*Q620*Z620)</f>
        <v>394</v>
      </c>
      <c r="AK620" s="3">
        <f>INT(VLOOKUP(U620,模板计算相关数据!A:N,3,0)/模板计算相关数据!$W$35/(1+MAX(0,(AO620/10000-VLOOKUP(U620,模板计算相关数据!A:N,9,0)))*AP620/10000)/(1-VLOOKUP(U620,模板计算相关数据!A:N,5,0)/(VLOOKUP(U620,模板计算相关数据!A:N,5,0)+(VLOOKUP(U620,模板计算相关数据!A:N,2,0)+模板计算相关数据!$AC$27)*模板计算相关数据!$AC$28))/S620*AA620)</f>
        <v>83</v>
      </c>
      <c r="AL620" s="3">
        <f>INT(VLOOKUP(U620,模板计算相关数据!A:N,5,0)*VLOOKUP(X620,模板计算相关数据!$P$4:$T$7,4,0)*VLOOKUP(Y620,模板计算相关数据!$P$22:$U$30,4,0)*AB620)</f>
        <v>149</v>
      </c>
      <c r="AM620" s="3">
        <f>INT(VLOOKUP(U620,模板计算相关数据!A:N,6,0)*VLOOKUP(X620,模板计算相关数据!$P$4:$T$7,4,0)*VLOOKUP(Y620,模板计算相关数据!$P$22:$U$30,5,0)*AC620)</f>
        <v>277</v>
      </c>
      <c r="AN620" s="3">
        <f>VLOOKUP(U620,模板计算相关数据!A:N,10,0)*0.5*VLOOKUP(Y620,模板计算相关数据!$P$22:$U$30,6,0)+AD620</f>
        <v>225</v>
      </c>
      <c r="AO620" s="3">
        <f>VLOOKUP(INT(VLOOKUP(U620,模板计算相关数据!A:N,2,0)/30)+1,模板计算相关数据!$O$35:$U$40,3,0)+AE620</f>
        <v>0</v>
      </c>
      <c r="AP620" s="3">
        <f>VLOOKUP(INT(VLOOKUP(U620,模板计算相关数据!A:N,2,0)/30)+1,模板计算相关数据!$O$35:$U$40,4,0)+AF620</f>
        <v>5000</v>
      </c>
      <c r="AQ620" s="3">
        <f>VLOOKUP(INT(VLOOKUP(U620,模板计算相关数据!A:N,2,0)/30)+1,模板计算相关数据!$O$35:$U$40,5,0)+AG620</f>
        <v>0</v>
      </c>
      <c r="AR620" s="3">
        <f>VLOOKUP(INT(VLOOKUP(U620,模板计算相关数据!A:N,2,0)/30)+1,模板计算相关数据!$O$35:$U$40,6,0)+AH620</f>
        <v>0</v>
      </c>
      <c r="AS620" s="3">
        <f>VLOOKUP(INT(VLOOKUP(U620,模板计算相关数据!A:N,2,0)/30)+1,模板计算相关数据!$O$35:$U$40,7,0)+AI620</f>
        <v>0</v>
      </c>
      <c r="AT620" s="3">
        <f>VLOOKUP(INT(VLOOKUP(U620,模板计算相关数据!A:N,2,0)/30)+1,模板计算相关数据!$O$35:$V$40,8,0)</f>
        <v>0</v>
      </c>
      <c r="AU620" s="2"/>
    </row>
    <row r="621" spans="1:47" x14ac:dyDescent="0.2">
      <c r="A621" s="2">
        <v>307561</v>
      </c>
      <c r="B621" s="2"/>
      <c r="C621" s="2" t="s">
        <v>343</v>
      </c>
      <c r="D621" s="2" t="s">
        <v>1186</v>
      </c>
      <c r="E621" s="2"/>
      <c r="F621" s="127">
        <v>3</v>
      </c>
      <c r="G621" s="127">
        <v>101</v>
      </c>
      <c r="H621" s="3">
        <v>3</v>
      </c>
      <c r="I621" s="127">
        <v>5</v>
      </c>
      <c r="J621" s="127">
        <v>1</v>
      </c>
      <c r="K621" s="3"/>
      <c r="L621" s="2" t="s">
        <v>433</v>
      </c>
      <c r="M621" s="2"/>
      <c r="N621" s="2">
        <v>1</v>
      </c>
      <c r="O621" s="2"/>
      <c r="P621" s="3" t="s">
        <v>1615</v>
      </c>
      <c r="Q621" s="95">
        <f t="shared" si="64"/>
        <v>5.6000000000000014</v>
      </c>
      <c r="R621" s="133">
        <f>IF(P621=模板计算相关数据!$AB$24,VLOOKUP(X621,模板计算相关数据!$P$47:$T$50,2,0),VLOOKUP(X621,模板计算相关数据!$P$4:$U$7,3,0))*VLOOKUP(Y621,模板计算相关数据!$P$22:$X$30,8,0)</f>
        <v>5.6000000000000014</v>
      </c>
      <c r="S621" s="62">
        <f t="shared" si="65"/>
        <v>6.6693344004268367</v>
      </c>
      <c r="T621" s="133">
        <f>IF(P621=模板计算相关数据!$AB$24,VLOOKUP(X621,模板计算相关数据!$P$47:$T$50,5,0),VLOOKUP(X621,模板计算相关数据!$P$4:$U$7,6,0))*VLOOKUP(Y621,模板计算相关数据!$P$22:$X$30,9,0)</f>
        <v>6.6693344004268367</v>
      </c>
      <c r="U621" s="98">
        <v>1</v>
      </c>
      <c r="V621" s="95">
        <f t="shared" si="63"/>
        <v>4</v>
      </c>
      <c r="W621" s="29">
        <f>VLOOKUP(U621,模板计算相关数据!A:N,2,0)</f>
        <v>1</v>
      </c>
      <c r="X621" s="3" t="s">
        <v>151</v>
      </c>
      <c r="Y621" s="3" t="s">
        <v>255</v>
      </c>
      <c r="Z621" s="99">
        <v>1</v>
      </c>
      <c r="AA621" s="95">
        <v>1</v>
      </c>
      <c r="AB621" s="95">
        <v>1</v>
      </c>
      <c r="AC621" s="95">
        <v>1</v>
      </c>
      <c r="AD621" s="95">
        <v>0</v>
      </c>
      <c r="AE621" s="95">
        <v>0</v>
      </c>
      <c r="AF621" s="95">
        <v>0</v>
      </c>
      <c r="AG621" s="95">
        <v>0</v>
      </c>
      <c r="AH621" s="95">
        <v>0</v>
      </c>
      <c r="AI621" s="95">
        <v>0</v>
      </c>
      <c r="AJ621" s="3">
        <f>INT(VLOOKUP(U621,模板计算相关数据!A:N,4,0)*VLOOKUP(U621,模板计算相关数据!A:N,14,0)*(1+MAX(0,(VLOOKUP(U621,模板计算相关数据!A:N,7,0)-AQ621))*VLOOKUP(U621,模板计算相关数据!A:N,8,0))*(1-(AL621+AM621)*0.5/((AL621+AM621)*0.5+(VLOOKUP(U621,模板计算相关数据!A:N,2,0)+模板计算相关数据!$AC$27)*模板计算相关数据!$AC$28))*Q621*Z621)</f>
        <v>394</v>
      </c>
      <c r="AK621" s="3">
        <f>INT(VLOOKUP(U621,模板计算相关数据!A:N,3,0)/模板计算相关数据!$W$35/(1+MAX(0,(AO621/10000-VLOOKUP(U621,模板计算相关数据!A:N,9,0)))*AP621/10000)/(1-VLOOKUP(U621,模板计算相关数据!A:N,5,0)/(VLOOKUP(U621,模板计算相关数据!A:N,5,0)+(VLOOKUP(U621,模板计算相关数据!A:N,2,0)+模板计算相关数据!$AC$27)*模板计算相关数据!$AC$28))/S621*AA621)</f>
        <v>83</v>
      </c>
      <c r="AL621" s="3">
        <f>INT(VLOOKUP(U621,模板计算相关数据!A:N,5,0)*VLOOKUP(X621,模板计算相关数据!$P$4:$T$7,4,0)*VLOOKUP(Y621,模板计算相关数据!$P$22:$U$30,4,0)*AB621)</f>
        <v>149</v>
      </c>
      <c r="AM621" s="3">
        <f>INT(VLOOKUP(U621,模板计算相关数据!A:N,6,0)*VLOOKUP(X621,模板计算相关数据!$P$4:$T$7,4,0)*VLOOKUP(Y621,模板计算相关数据!$P$22:$U$30,5,0)*AC621)</f>
        <v>277</v>
      </c>
      <c r="AN621" s="3">
        <f>VLOOKUP(U621,模板计算相关数据!A:N,10,0)*0.5*VLOOKUP(Y621,模板计算相关数据!$P$22:$U$30,6,0)+AD621</f>
        <v>225</v>
      </c>
      <c r="AO621" s="3">
        <f>VLOOKUP(INT(VLOOKUP(U621,模板计算相关数据!A:N,2,0)/30)+1,模板计算相关数据!$O$35:$U$40,3,0)+AE621</f>
        <v>0</v>
      </c>
      <c r="AP621" s="3">
        <f>VLOOKUP(INT(VLOOKUP(U621,模板计算相关数据!A:N,2,0)/30)+1,模板计算相关数据!$O$35:$U$40,4,0)+AF621</f>
        <v>5000</v>
      </c>
      <c r="AQ621" s="3">
        <f>VLOOKUP(INT(VLOOKUP(U621,模板计算相关数据!A:N,2,0)/30)+1,模板计算相关数据!$O$35:$U$40,5,0)+AG621</f>
        <v>0</v>
      </c>
      <c r="AR621" s="3">
        <f>VLOOKUP(INT(VLOOKUP(U621,模板计算相关数据!A:N,2,0)/30)+1,模板计算相关数据!$O$35:$U$40,6,0)+AH621</f>
        <v>0</v>
      </c>
      <c r="AS621" s="3">
        <f>VLOOKUP(INT(VLOOKUP(U621,模板计算相关数据!A:N,2,0)/30)+1,模板计算相关数据!$O$35:$U$40,7,0)+AI621</f>
        <v>0</v>
      </c>
      <c r="AT621" s="3">
        <f>VLOOKUP(INT(VLOOKUP(U621,模板计算相关数据!A:N,2,0)/30)+1,模板计算相关数据!$O$35:$V$40,8,0)</f>
        <v>0</v>
      </c>
      <c r="AU621" s="2"/>
    </row>
    <row r="622" spans="1:47" x14ac:dyDescent="0.2">
      <c r="A622" s="17">
        <v>307562</v>
      </c>
      <c r="B622" s="17"/>
      <c r="C622" s="17" t="s">
        <v>434</v>
      </c>
      <c r="D622" s="25" t="s">
        <v>1189</v>
      </c>
      <c r="E622" s="17"/>
      <c r="F622" s="152">
        <v>3</v>
      </c>
      <c r="G622" s="152">
        <v>101</v>
      </c>
      <c r="H622" s="43">
        <v>2</v>
      </c>
      <c r="I622" s="152">
        <v>5</v>
      </c>
      <c r="J622" s="152">
        <v>1</v>
      </c>
      <c r="K622" s="43"/>
      <c r="L622" s="2" t="s">
        <v>435</v>
      </c>
      <c r="M622" s="2"/>
      <c r="N622" s="2">
        <v>1</v>
      </c>
      <c r="O622" s="2"/>
      <c r="P622" s="3" t="s">
        <v>1615</v>
      </c>
      <c r="Q622" s="95">
        <f t="shared" si="64"/>
        <v>6.9411764705882364</v>
      </c>
      <c r="R622" s="133">
        <f>IF(P622=模板计算相关数据!$AB$24,VLOOKUP(X622,模板计算相关数据!$P$47:$T$50,2,0),VLOOKUP(X622,模板计算相关数据!$P$4:$U$7,3,0))*VLOOKUP(Y622,模板计算相关数据!$P$22:$X$30,8,0)</f>
        <v>6.9411764705882364</v>
      </c>
      <c r="S622" s="62">
        <f t="shared" si="65"/>
        <v>8.2943498888557112</v>
      </c>
      <c r="T622" s="133">
        <f>IF(P622=模板计算相关数据!$AB$24,VLOOKUP(X622,模板计算相关数据!$P$47:$T$50,5,0),VLOOKUP(X622,模板计算相关数据!$P$4:$U$7,6,0))*VLOOKUP(Y622,模板计算相关数据!$P$22:$X$30,9,0)</f>
        <v>8.2943498888557112</v>
      </c>
      <c r="U622" s="98">
        <v>1</v>
      </c>
      <c r="V622" s="95">
        <f t="shared" si="63"/>
        <v>4</v>
      </c>
      <c r="W622" s="29">
        <f>VLOOKUP(U622,模板计算相关数据!A:N,2,0)</f>
        <v>1</v>
      </c>
      <c r="X622" s="3" t="s">
        <v>151</v>
      </c>
      <c r="Y622" s="3" t="s">
        <v>155</v>
      </c>
      <c r="Z622" s="99">
        <v>1</v>
      </c>
      <c r="AA622" s="95">
        <v>1</v>
      </c>
      <c r="AB622" s="95">
        <v>1</v>
      </c>
      <c r="AC622" s="95">
        <v>1</v>
      </c>
      <c r="AD622" s="95">
        <v>0</v>
      </c>
      <c r="AE622" s="95">
        <v>0</v>
      </c>
      <c r="AF622" s="95">
        <v>0</v>
      </c>
      <c r="AG622" s="95">
        <v>0</v>
      </c>
      <c r="AH622" s="95">
        <v>0</v>
      </c>
      <c r="AI622" s="95">
        <v>0</v>
      </c>
      <c r="AJ622" s="3">
        <f>INT(VLOOKUP(U622,模板计算相关数据!A:N,4,0)*VLOOKUP(U622,模板计算相关数据!A:N,14,0)*(1+MAX(0,(VLOOKUP(U622,模板计算相关数据!A:N,7,0)-AQ622))*VLOOKUP(U622,模板计算相关数据!A:N,8,0))*(1-(AL622+AM622)*0.5/((AL622+AM622)*0.5+(VLOOKUP(U622,模板计算相关数据!A:N,2,0)+模板计算相关数据!$AC$27)*模板计算相关数据!$AC$28))*Q622*Z622)</f>
        <v>487</v>
      </c>
      <c r="AK622" s="3">
        <f>INT(VLOOKUP(U622,模板计算相关数据!A:N,3,0)/模板计算相关数据!$W$35/(1+MAX(0,(AO622/10000-VLOOKUP(U622,模板计算相关数据!A:N,9,0)))*AP622/10000)/(1-VLOOKUP(U622,模板计算相关数据!A:N,5,0)/(VLOOKUP(U622,模板计算相关数据!A:N,5,0)+(VLOOKUP(U622,模板计算相关数据!A:N,2,0)+模板计算相关数据!$AC$27)*模板计算相关数据!$AC$28))/S622*AA622)</f>
        <v>67</v>
      </c>
      <c r="AL622" s="3">
        <f>INT(VLOOKUP(U622,模板计算相关数据!A:N,5,0)*VLOOKUP(X622,模板计算相关数据!$P$4:$T$7,4,0)*VLOOKUP(Y622,模板计算相关数据!$P$22:$U$30,4,0)*AB622)</f>
        <v>277</v>
      </c>
      <c r="AM622" s="3">
        <f>INT(VLOOKUP(U622,模板计算相关数据!A:N,6,0)*VLOOKUP(X622,模板计算相关数据!$P$4:$T$7,4,0)*VLOOKUP(Y622,模板计算相关数据!$P$22:$U$30,5,0)*AC622)</f>
        <v>153</v>
      </c>
      <c r="AN622" s="3">
        <f>VLOOKUP(U622,模板计算相关数据!A:N,10,0)*0.5*VLOOKUP(Y622,模板计算相关数据!$P$22:$U$30,6,0)+AD622</f>
        <v>225</v>
      </c>
      <c r="AO622" s="3">
        <f>VLOOKUP(INT(VLOOKUP(U622,模板计算相关数据!A:N,2,0)/30)+1,模板计算相关数据!$O$35:$U$40,3,0)+AE622</f>
        <v>0</v>
      </c>
      <c r="AP622" s="3">
        <f>VLOOKUP(INT(VLOOKUP(U622,模板计算相关数据!A:N,2,0)/30)+1,模板计算相关数据!$O$35:$U$40,4,0)+AF622</f>
        <v>5000</v>
      </c>
      <c r="AQ622" s="3">
        <f>VLOOKUP(INT(VLOOKUP(U622,模板计算相关数据!A:N,2,0)/30)+1,模板计算相关数据!$O$35:$U$40,5,0)+AG622</f>
        <v>0</v>
      </c>
      <c r="AR622" s="3">
        <f>VLOOKUP(INT(VLOOKUP(U622,模板计算相关数据!A:N,2,0)/30)+1,模板计算相关数据!$O$35:$U$40,6,0)+AH622</f>
        <v>0</v>
      </c>
      <c r="AS622" s="3">
        <f>VLOOKUP(INT(VLOOKUP(U622,模板计算相关数据!A:N,2,0)/30)+1,模板计算相关数据!$O$35:$U$40,7,0)+AI622</f>
        <v>0</v>
      </c>
      <c r="AT622" s="3">
        <f>VLOOKUP(INT(VLOOKUP(U622,模板计算相关数据!A:N,2,0)/30)+1,模板计算相关数据!$O$35:$V$40,8,0)</f>
        <v>0</v>
      </c>
      <c r="AU622" s="2"/>
    </row>
    <row r="623" spans="1:47" x14ac:dyDescent="0.2">
      <c r="A623" s="2">
        <v>307563</v>
      </c>
      <c r="B623" s="2"/>
      <c r="C623" s="2" t="s">
        <v>389</v>
      </c>
      <c r="D623" s="69" t="s">
        <v>1190</v>
      </c>
      <c r="E623" s="2"/>
      <c r="F623" s="127">
        <v>3</v>
      </c>
      <c r="G623" s="127">
        <v>101</v>
      </c>
      <c r="H623" s="3">
        <v>2</v>
      </c>
      <c r="I623" s="127">
        <v>5</v>
      </c>
      <c r="J623" s="127">
        <v>1</v>
      </c>
      <c r="K623" s="3"/>
      <c r="L623" s="2" t="s">
        <v>436</v>
      </c>
      <c r="M623" s="2"/>
      <c r="N623" s="2">
        <v>1</v>
      </c>
      <c r="O623" s="2"/>
      <c r="P623" s="3" t="s">
        <v>1615</v>
      </c>
      <c r="Q623" s="95">
        <f t="shared" si="64"/>
        <v>6.9411764705882364</v>
      </c>
      <c r="R623" s="133">
        <f>IF(P623=模板计算相关数据!$AB$24,VLOOKUP(X623,模板计算相关数据!$P$47:$T$50,2,0),VLOOKUP(X623,模板计算相关数据!$P$4:$U$7,3,0))*VLOOKUP(Y623,模板计算相关数据!$P$22:$X$30,8,0)</f>
        <v>6.9411764705882364</v>
      </c>
      <c r="S623" s="62">
        <f t="shared" si="65"/>
        <v>8.2943498888557112</v>
      </c>
      <c r="T623" s="133">
        <f>IF(P623=模板计算相关数据!$AB$24,VLOOKUP(X623,模板计算相关数据!$P$47:$T$50,5,0),VLOOKUP(X623,模板计算相关数据!$P$4:$U$7,6,0))*VLOOKUP(Y623,模板计算相关数据!$P$22:$X$30,9,0)</f>
        <v>8.2943498888557112</v>
      </c>
      <c r="U623" s="98">
        <v>1</v>
      </c>
      <c r="V623" s="95">
        <f t="shared" si="63"/>
        <v>4</v>
      </c>
      <c r="W623" s="29">
        <f>VLOOKUP(U623,模板计算相关数据!A:N,2,0)</f>
        <v>1</v>
      </c>
      <c r="X623" s="3" t="s">
        <v>151</v>
      </c>
      <c r="Y623" s="3" t="s">
        <v>155</v>
      </c>
      <c r="Z623" s="99">
        <v>1</v>
      </c>
      <c r="AA623" s="95">
        <v>1</v>
      </c>
      <c r="AB623" s="95">
        <v>1</v>
      </c>
      <c r="AC623" s="95">
        <v>1</v>
      </c>
      <c r="AD623" s="95">
        <v>0</v>
      </c>
      <c r="AE623" s="95">
        <v>0</v>
      </c>
      <c r="AF623" s="95">
        <v>0</v>
      </c>
      <c r="AG623" s="95">
        <v>0</v>
      </c>
      <c r="AH623" s="95">
        <v>0</v>
      </c>
      <c r="AI623" s="95">
        <v>0</v>
      </c>
      <c r="AJ623" s="3">
        <f>INT(VLOOKUP(U623,模板计算相关数据!A:N,4,0)*VLOOKUP(U623,模板计算相关数据!A:N,14,0)*(1+MAX(0,(VLOOKUP(U623,模板计算相关数据!A:N,7,0)-AQ623))*VLOOKUP(U623,模板计算相关数据!A:N,8,0))*(1-(AL623+AM623)*0.5/((AL623+AM623)*0.5+(VLOOKUP(U623,模板计算相关数据!A:N,2,0)+模板计算相关数据!$AC$27)*模板计算相关数据!$AC$28))*Q623*Z623)</f>
        <v>487</v>
      </c>
      <c r="AK623" s="3">
        <f>INT(VLOOKUP(U623,模板计算相关数据!A:N,3,0)/模板计算相关数据!$W$35/(1+MAX(0,(AO623/10000-VLOOKUP(U623,模板计算相关数据!A:N,9,0)))*AP623/10000)/(1-VLOOKUP(U623,模板计算相关数据!A:N,5,0)/(VLOOKUP(U623,模板计算相关数据!A:N,5,0)+(VLOOKUP(U623,模板计算相关数据!A:N,2,0)+模板计算相关数据!$AC$27)*模板计算相关数据!$AC$28))/S623*AA623)</f>
        <v>67</v>
      </c>
      <c r="AL623" s="3">
        <f>INT(VLOOKUP(U623,模板计算相关数据!A:N,5,0)*VLOOKUP(X623,模板计算相关数据!$P$4:$T$7,4,0)*VLOOKUP(Y623,模板计算相关数据!$P$22:$U$30,4,0)*AB623)</f>
        <v>277</v>
      </c>
      <c r="AM623" s="3">
        <f>INT(VLOOKUP(U623,模板计算相关数据!A:N,6,0)*VLOOKUP(X623,模板计算相关数据!$P$4:$T$7,4,0)*VLOOKUP(Y623,模板计算相关数据!$P$22:$U$30,5,0)*AC623)</f>
        <v>153</v>
      </c>
      <c r="AN623" s="3">
        <f>VLOOKUP(U623,模板计算相关数据!A:N,10,0)*0.5*VLOOKUP(Y623,模板计算相关数据!$P$22:$U$30,6,0)+AD623</f>
        <v>225</v>
      </c>
      <c r="AO623" s="3">
        <f>VLOOKUP(INT(VLOOKUP(U623,模板计算相关数据!A:N,2,0)/30)+1,模板计算相关数据!$O$35:$U$40,3,0)+AE623</f>
        <v>0</v>
      </c>
      <c r="AP623" s="3">
        <f>VLOOKUP(INT(VLOOKUP(U623,模板计算相关数据!A:N,2,0)/30)+1,模板计算相关数据!$O$35:$U$40,4,0)+AF623</f>
        <v>5000</v>
      </c>
      <c r="AQ623" s="3">
        <f>VLOOKUP(INT(VLOOKUP(U623,模板计算相关数据!A:N,2,0)/30)+1,模板计算相关数据!$O$35:$U$40,5,0)+AG623</f>
        <v>0</v>
      </c>
      <c r="AR623" s="3">
        <f>VLOOKUP(INT(VLOOKUP(U623,模板计算相关数据!A:N,2,0)/30)+1,模板计算相关数据!$O$35:$U$40,6,0)+AH623</f>
        <v>0</v>
      </c>
      <c r="AS623" s="3">
        <f>VLOOKUP(INT(VLOOKUP(U623,模板计算相关数据!A:N,2,0)/30)+1,模板计算相关数据!$O$35:$U$40,7,0)+AI623</f>
        <v>0</v>
      </c>
      <c r="AT623" s="3">
        <f>VLOOKUP(INT(VLOOKUP(U623,模板计算相关数据!A:N,2,0)/30)+1,模板计算相关数据!$O$35:$V$40,8,0)</f>
        <v>0</v>
      </c>
      <c r="AU623" s="2"/>
    </row>
    <row r="624" spans="1:47" x14ac:dyDescent="0.2">
      <c r="A624" s="2">
        <v>307564</v>
      </c>
      <c r="B624" s="2"/>
      <c r="C624" s="2" t="s">
        <v>389</v>
      </c>
      <c r="D624" s="69" t="s">
        <v>1191</v>
      </c>
      <c r="E624" s="2"/>
      <c r="F624" s="127">
        <v>3</v>
      </c>
      <c r="G624" s="127">
        <v>101</v>
      </c>
      <c r="H624" s="3">
        <v>2</v>
      </c>
      <c r="I624" s="127">
        <v>5</v>
      </c>
      <c r="J624" s="127">
        <v>1</v>
      </c>
      <c r="K624" s="3"/>
      <c r="L624" s="2" t="s">
        <v>437</v>
      </c>
      <c r="M624" s="2"/>
      <c r="N624" s="2">
        <v>1</v>
      </c>
      <c r="O624" s="2"/>
      <c r="P624" s="3" t="s">
        <v>1615</v>
      </c>
      <c r="Q624" s="95">
        <f t="shared" si="64"/>
        <v>6.9411764705882364</v>
      </c>
      <c r="R624" s="133">
        <f>IF(P624=模板计算相关数据!$AB$24,VLOOKUP(X624,模板计算相关数据!$P$47:$T$50,2,0),VLOOKUP(X624,模板计算相关数据!$P$4:$U$7,3,0))*VLOOKUP(Y624,模板计算相关数据!$P$22:$X$30,8,0)</f>
        <v>6.9411764705882364</v>
      </c>
      <c r="S624" s="62">
        <f t="shared" si="65"/>
        <v>8.2943498888557112</v>
      </c>
      <c r="T624" s="133">
        <f>IF(P624=模板计算相关数据!$AB$24,VLOOKUP(X624,模板计算相关数据!$P$47:$T$50,5,0),VLOOKUP(X624,模板计算相关数据!$P$4:$U$7,6,0))*VLOOKUP(Y624,模板计算相关数据!$P$22:$X$30,9,0)</f>
        <v>8.2943498888557112</v>
      </c>
      <c r="U624" s="98">
        <v>1</v>
      </c>
      <c r="V624" s="95">
        <f t="shared" ref="V624:V687" si="66">W624+3</f>
        <v>4</v>
      </c>
      <c r="W624" s="29">
        <f>VLOOKUP(U624,模板计算相关数据!A:N,2,0)</f>
        <v>1</v>
      </c>
      <c r="X624" s="3" t="s">
        <v>151</v>
      </c>
      <c r="Y624" s="3" t="s">
        <v>155</v>
      </c>
      <c r="Z624" s="99">
        <v>1</v>
      </c>
      <c r="AA624" s="95">
        <v>1</v>
      </c>
      <c r="AB624" s="95">
        <v>1</v>
      </c>
      <c r="AC624" s="95">
        <v>1</v>
      </c>
      <c r="AD624" s="95">
        <v>0</v>
      </c>
      <c r="AE624" s="95">
        <v>0</v>
      </c>
      <c r="AF624" s="95">
        <v>0</v>
      </c>
      <c r="AG624" s="95">
        <v>0</v>
      </c>
      <c r="AH624" s="95">
        <v>0</v>
      </c>
      <c r="AI624" s="95">
        <v>0</v>
      </c>
      <c r="AJ624" s="3">
        <f>INT(VLOOKUP(U624,模板计算相关数据!A:N,4,0)*VLOOKUP(U624,模板计算相关数据!A:N,14,0)*(1+MAX(0,(VLOOKUP(U624,模板计算相关数据!A:N,7,0)-AQ624))*VLOOKUP(U624,模板计算相关数据!A:N,8,0))*(1-(AL624+AM624)*0.5/((AL624+AM624)*0.5+(VLOOKUP(U624,模板计算相关数据!A:N,2,0)+模板计算相关数据!$AC$27)*模板计算相关数据!$AC$28))*Q624*Z624)</f>
        <v>487</v>
      </c>
      <c r="AK624" s="3">
        <f>INT(VLOOKUP(U624,模板计算相关数据!A:N,3,0)/模板计算相关数据!$W$35/(1+MAX(0,(AO624/10000-VLOOKUP(U624,模板计算相关数据!A:N,9,0)))*AP624/10000)/(1-VLOOKUP(U624,模板计算相关数据!A:N,5,0)/(VLOOKUP(U624,模板计算相关数据!A:N,5,0)+(VLOOKUP(U624,模板计算相关数据!A:N,2,0)+模板计算相关数据!$AC$27)*模板计算相关数据!$AC$28))/S624*AA624)</f>
        <v>67</v>
      </c>
      <c r="AL624" s="3">
        <f>INT(VLOOKUP(U624,模板计算相关数据!A:N,5,0)*VLOOKUP(X624,模板计算相关数据!$P$4:$T$7,4,0)*VLOOKUP(Y624,模板计算相关数据!$P$22:$U$30,4,0)*AB624)</f>
        <v>277</v>
      </c>
      <c r="AM624" s="3">
        <f>INT(VLOOKUP(U624,模板计算相关数据!A:N,6,0)*VLOOKUP(X624,模板计算相关数据!$P$4:$T$7,4,0)*VLOOKUP(Y624,模板计算相关数据!$P$22:$U$30,5,0)*AC624)</f>
        <v>153</v>
      </c>
      <c r="AN624" s="3">
        <f>VLOOKUP(U624,模板计算相关数据!A:N,10,0)*0.5*VLOOKUP(Y624,模板计算相关数据!$P$22:$U$30,6,0)+AD624</f>
        <v>225</v>
      </c>
      <c r="AO624" s="3">
        <f>VLOOKUP(INT(VLOOKUP(U624,模板计算相关数据!A:N,2,0)/30)+1,模板计算相关数据!$O$35:$U$40,3,0)+AE624</f>
        <v>0</v>
      </c>
      <c r="AP624" s="3">
        <f>VLOOKUP(INT(VLOOKUP(U624,模板计算相关数据!A:N,2,0)/30)+1,模板计算相关数据!$O$35:$U$40,4,0)+AF624</f>
        <v>5000</v>
      </c>
      <c r="AQ624" s="3">
        <f>VLOOKUP(INT(VLOOKUP(U624,模板计算相关数据!A:N,2,0)/30)+1,模板计算相关数据!$O$35:$U$40,5,0)+AG624</f>
        <v>0</v>
      </c>
      <c r="AR624" s="3">
        <f>VLOOKUP(INT(VLOOKUP(U624,模板计算相关数据!A:N,2,0)/30)+1,模板计算相关数据!$O$35:$U$40,6,0)+AH624</f>
        <v>0</v>
      </c>
      <c r="AS624" s="3">
        <f>VLOOKUP(INT(VLOOKUP(U624,模板计算相关数据!A:N,2,0)/30)+1,模板计算相关数据!$O$35:$U$40,7,0)+AI624</f>
        <v>0</v>
      </c>
      <c r="AT624" s="3">
        <f>VLOOKUP(INT(VLOOKUP(U624,模板计算相关数据!A:N,2,0)/30)+1,模板计算相关数据!$O$35:$V$40,8,0)</f>
        <v>0</v>
      </c>
      <c r="AU624" s="2"/>
    </row>
    <row r="625" spans="1:47" x14ac:dyDescent="0.2">
      <c r="A625" s="2">
        <v>307565</v>
      </c>
      <c r="B625" s="2"/>
      <c r="C625" s="2" t="s">
        <v>326</v>
      </c>
      <c r="D625" s="2" t="s">
        <v>1192</v>
      </c>
      <c r="E625" s="2"/>
      <c r="F625" s="127">
        <v>3</v>
      </c>
      <c r="G625" s="127">
        <v>101</v>
      </c>
      <c r="H625" s="3">
        <v>5</v>
      </c>
      <c r="I625" s="127">
        <v>5</v>
      </c>
      <c r="J625" s="127">
        <v>1</v>
      </c>
      <c r="K625" s="3"/>
      <c r="L625" s="2" t="s">
        <v>438</v>
      </c>
      <c r="M625" s="2"/>
      <c r="N625" s="2">
        <v>1</v>
      </c>
      <c r="O625" s="2"/>
      <c r="P625" s="3" t="s">
        <v>1615</v>
      </c>
      <c r="Q625" s="95">
        <f t="shared" si="64"/>
        <v>5.7709803921568623</v>
      </c>
      <c r="R625" s="133">
        <f>IF(P625=模板计算相关数据!$AB$24,VLOOKUP(X625,模板计算相关数据!$P$47:$T$50,2,0),VLOOKUP(X625,模板计算相关数据!$P$4:$U$7,3,0))*VLOOKUP(Y625,模板计算相关数据!$P$22:$X$30,8,0)</f>
        <v>5.7709803921568623</v>
      </c>
      <c r="S625" s="62">
        <f t="shared" si="65"/>
        <v>6.4077918749199023</v>
      </c>
      <c r="T625" s="133">
        <f>IF(P625=模板计算相关数据!$AB$24,VLOOKUP(X625,模板计算相关数据!$P$47:$T$50,5,0),VLOOKUP(X625,模板计算相关数据!$P$4:$U$7,6,0))*VLOOKUP(Y625,模板计算相关数据!$P$22:$X$30,9,0)</f>
        <v>6.4077918749199023</v>
      </c>
      <c r="U625" s="98">
        <v>1</v>
      </c>
      <c r="V625" s="95">
        <f t="shared" si="66"/>
        <v>4</v>
      </c>
      <c r="W625" s="29">
        <f>VLOOKUP(U625,模板计算相关数据!A:N,2,0)</f>
        <v>1</v>
      </c>
      <c r="X625" s="3" t="s">
        <v>151</v>
      </c>
      <c r="Y625" s="3" t="s">
        <v>243</v>
      </c>
      <c r="Z625" s="99">
        <v>1</v>
      </c>
      <c r="AA625" s="95">
        <v>1</v>
      </c>
      <c r="AB625" s="95">
        <v>1</v>
      </c>
      <c r="AC625" s="95">
        <v>1</v>
      </c>
      <c r="AD625" s="95">
        <v>0</v>
      </c>
      <c r="AE625" s="95">
        <v>0</v>
      </c>
      <c r="AF625" s="95">
        <v>0</v>
      </c>
      <c r="AG625" s="95">
        <v>0</v>
      </c>
      <c r="AH625" s="95">
        <v>0</v>
      </c>
      <c r="AI625" s="95">
        <v>0</v>
      </c>
      <c r="AJ625" s="3">
        <f>INT(VLOOKUP(U625,模板计算相关数据!A:N,4,0)*VLOOKUP(U625,模板计算相关数据!A:N,14,0)*(1+MAX(0,(VLOOKUP(U625,模板计算相关数据!A:N,7,0)-AQ625))*VLOOKUP(U625,模板计算相关数据!A:N,8,0))*(1-(AL625+AM625)*0.5/((AL625+AM625)*0.5+(VLOOKUP(U625,模板计算相关数据!A:N,2,0)+模板计算相关数据!$AC$27)*模板计算相关数据!$AC$28))*Q625*Z625)</f>
        <v>411</v>
      </c>
      <c r="AK625" s="3">
        <f>INT(VLOOKUP(U625,模板计算相关数据!A:N,3,0)/模板计算相关数据!$W$35/(1+MAX(0,(AO625/10000-VLOOKUP(U625,模板计算相关数据!A:N,9,0)))*AP625/10000)/(1-VLOOKUP(U625,模板计算相关数据!A:N,5,0)/(VLOOKUP(U625,模板计算相关数据!A:N,5,0)+(VLOOKUP(U625,模板计算相关数据!A:N,2,0)+模板计算相关数据!$AC$27)*模板计算相关数据!$AC$28))/S625*AA625)</f>
        <v>86</v>
      </c>
      <c r="AL625" s="3">
        <f>INT(VLOOKUP(U625,模板计算相关数据!A:N,5,0)*VLOOKUP(X625,模板计算相关数据!$P$4:$T$7,4,0)*VLOOKUP(Y625,模板计算相关数据!$P$22:$U$30,4,0)*AB625)</f>
        <v>145</v>
      </c>
      <c r="AM625" s="3">
        <f>INT(VLOOKUP(U625,模板计算相关数据!A:N,6,0)*VLOOKUP(X625,模板计算相关数据!$P$4:$T$7,4,0)*VLOOKUP(Y625,模板计算相关数据!$P$22:$U$30,5,0)*AC625)</f>
        <v>264</v>
      </c>
      <c r="AN625" s="3">
        <f>VLOOKUP(U625,模板计算相关数据!A:N,10,0)*0.5*VLOOKUP(Y625,模板计算相关数据!$P$22:$U$30,6,0)+AD625</f>
        <v>275</v>
      </c>
      <c r="AO625" s="3">
        <f>VLOOKUP(INT(VLOOKUP(U625,模板计算相关数据!A:N,2,0)/30)+1,模板计算相关数据!$O$35:$U$40,3,0)+AE625</f>
        <v>0</v>
      </c>
      <c r="AP625" s="3">
        <f>VLOOKUP(INT(VLOOKUP(U625,模板计算相关数据!A:N,2,0)/30)+1,模板计算相关数据!$O$35:$U$40,4,0)+AF625</f>
        <v>5000</v>
      </c>
      <c r="AQ625" s="3">
        <f>VLOOKUP(INT(VLOOKUP(U625,模板计算相关数据!A:N,2,0)/30)+1,模板计算相关数据!$O$35:$U$40,5,0)+AG625</f>
        <v>0</v>
      </c>
      <c r="AR625" s="3">
        <f>VLOOKUP(INT(VLOOKUP(U625,模板计算相关数据!A:N,2,0)/30)+1,模板计算相关数据!$O$35:$U$40,6,0)+AH625</f>
        <v>0</v>
      </c>
      <c r="AS625" s="3">
        <f>VLOOKUP(INT(VLOOKUP(U625,模板计算相关数据!A:N,2,0)/30)+1,模板计算相关数据!$O$35:$U$40,7,0)+AI625</f>
        <v>0</v>
      </c>
      <c r="AT625" s="3">
        <f>VLOOKUP(INT(VLOOKUP(U625,模板计算相关数据!A:N,2,0)/30)+1,模板计算相关数据!$O$35:$V$40,8,0)</f>
        <v>0</v>
      </c>
      <c r="AU625" s="2"/>
    </row>
    <row r="626" spans="1:47" x14ac:dyDescent="0.2">
      <c r="A626" s="2">
        <v>307566</v>
      </c>
      <c r="B626" s="2"/>
      <c r="C626" s="2" t="s">
        <v>326</v>
      </c>
      <c r="D626" s="2" t="s">
        <v>1193</v>
      </c>
      <c r="E626" s="2"/>
      <c r="F626" s="127">
        <v>3</v>
      </c>
      <c r="G626" s="127">
        <v>101</v>
      </c>
      <c r="H626" s="3">
        <v>5</v>
      </c>
      <c r="I626" s="127">
        <v>5</v>
      </c>
      <c r="J626" s="127">
        <v>1</v>
      </c>
      <c r="K626" s="3"/>
      <c r="L626" s="2" t="s">
        <v>439</v>
      </c>
      <c r="M626" s="2"/>
      <c r="N626" s="2">
        <v>1</v>
      </c>
      <c r="O626" s="2"/>
      <c r="P626" s="3" t="s">
        <v>1615</v>
      </c>
      <c r="Q626" s="95">
        <f t="shared" si="64"/>
        <v>5.7709803921568623</v>
      </c>
      <c r="R626" s="133">
        <f>IF(P626=模板计算相关数据!$AB$24,VLOOKUP(X626,模板计算相关数据!$P$47:$T$50,2,0),VLOOKUP(X626,模板计算相关数据!$P$4:$U$7,3,0))*VLOOKUP(Y626,模板计算相关数据!$P$22:$X$30,8,0)</f>
        <v>5.7709803921568623</v>
      </c>
      <c r="S626" s="62">
        <f t="shared" si="65"/>
        <v>6.4077918749199023</v>
      </c>
      <c r="T626" s="133">
        <f>IF(P626=模板计算相关数据!$AB$24,VLOOKUP(X626,模板计算相关数据!$P$47:$T$50,5,0),VLOOKUP(X626,模板计算相关数据!$P$4:$U$7,6,0))*VLOOKUP(Y626,模板计算相关数据!$P$22:$X$30,9,0)</f>
        <v>6.4077918749199023</v>
      </c>
      <c r="U626" s="98">
        <v>1</v>
      </c>
      <c r="V626" s="95">
        <f t="shared" si="66"/>
        <v>4</v>
      </c>
      <c r="W626" s="29">
        <f>VLOOKUP(U626,模板计算相关数据!A:N,2,0)</f>
        <v>1</v>
      </c>
      <c r="X626" s="3" t="s">
        <v>151</v>
      </c>
      <c r="Y626" s="3" t="s">
        <v>243</v>
      </c>
      <c r="Z626" s="99">
        <v>1</v>
      </c>
      <c r="AA626" s="95">
        <v>1</v>
      </c>
      <c r="AB626" s="95">
        <v>1</v>
      </c>
      <c r="AC626" s="95">
        <v>1</v>
      </c>
      <c r="AD626" s="95">
        <v>0</v>
      </c>
      <c r="AE626" s="95">
        <v>0</v>
      </c>
      <c r="AF626" s="95">
        <v>0</v>
      </c>
      <c r="AG626" s="95">
        <v>0</v>
      </c>
      <c r="AH626" s="95">
        <v>0</v>
      </c>
      <c r="AI626" s="95">
        <v>0</v>
      </c>
      <c r="AJ626" s="3">
        <f>INT(VLOOKUP(U626,模板计算相关数据!A:N,4,0)*VLOOKUP(U626,模板计算相关数据!A:N,14,0)*(1+MAX(0,(VLOOKUP(U626,模板计算相关数据!A:N,7,0)-AQ626))*VLOOKUP(U626,模板计算相关数据!A:N,8,0))*(1-(AL626+AM626)*0.5/((AL626+AM626)*0.5+(VLOOKUP(U626,模板计算相关数据!A:N,2,0)+模板计算相关数据!$AC$27)*模板计算相关数据!$AC$28))*Q626*Z626)</f>
        <v>411</v>
      </c>
      <c r="AK626" s="3">
        <f>INT(VLOOKUP(U626,模板计算相关数据!A:N,3,0)/模板计算相关数据!$W$35/(1+MAX(0,(AO626/10000-VLOOKUP(U626,模板计算相关数据!A:N,9,0)))*AP626/10000)/(1-VLOOKUP(U626,模板计算相关数据!A:N,5,0)/(VLOOKUP(U626,模板计算相关数据!A:N,5,0)+(VLOOKUP(U626,模板计算相关数据!A:N,2,0)+模板计算相关数据!$AC$27)*模板计算相关数据!$AC$28))/S626*AA626)</f>
        <v>86</v>
      </c>
      <c r="AL626" s="3">
        <f>INT(VLOOKUP(U626,模板计算相关数据!A:N,5,0)*VLOOKUP(X626,模板计算相关数据!$P$4:$T$7,4,0)*VLOOKUP(Y626,模板计算相关数据!$P$22:$U$30,4,0)*AB626)</f>
        <v>145</v>
      </c>
      <c r="AM626" s="3">
        <f>INT(VLOOKUP(U626,模板计算相关数据!A:N,6,0)*VLOOKUP(X626,模板计算相关数据!$P$4:$T$7,4,0)*VLOOKUP(Y626,模板计算相关数据!$P$22:$U$30,5,0)*AC626)</f>
        <v>264</v>
      </c>
      <c r="AN626" s="3">
        <f>VLOOKUP(U626,模板计算相关数据!A:N,10,0)*0.5*VLOOKUP(Y626,模板计算相关数据!$P$22:$U$30,6,0)+AD626</f>
        <v>275</v>
      </c>
      <c r="AO626" s="3">
        <f>VLOOKUP(INT(VLOOKUP(U626,模板计算相关数据!A:N,2,0)/30)+1,模板计算相关数据!$O$35:$U$40,3,0)+AE626</f>
        <v>0</v>
      </c>
      <c r="AP626" s="3">
        <f>VLOOKUP(INT(VLOOKUP(U626,模板计算相关数据!A:N,2,0)/30)+1,模板计算相关数据!$O$35:$U$40,4,0)+AF626</f>
        <v>5000</v>
      </c>
      <c r="AQ626" s="3">
        <f>VLOOKUP(INT(VLOOKUP(U626,模板计算相关数据!A:N,2,0)/30)+1,模板计算相关数据!$O$35:$U$40,5,0)+AG626</f>
        <v>0</v>
      </c>
      <c r="AR626" s="3">
        <f>VLOOKUP(INT(VLOOKUP(U626,模板计算相关数据!A:N,2,0)/30)+1,模板计算相关数据!$O$35:$U$40,6,0)+AH626</f>
        <v>0</v>
      </c>
      <c r="AS626" s="3">
        <f>VLOOKUP(INT(VLOOKUP(U626,模板计算相关数据!A:N,2,0)/30)+1,模板计算相关数据!$O$35:$U$40,7,0)+AI626</f>
        <v>0</v>
      </c>
      <c r="AT626" s="3">
        <f>VLOOKUP(INT(VLOOKUP(U626,模板计算相关数据!A:N,2,0)/30)+1,模板计算相关数据!$O$35:$V$40,8,0)</f>
        <v>0</v>
      </c>
      <c r="AU626" s="2"/>
    </row>
    <row r="627" spans="1:47" x14ac:dyDescent="0.2">
      <c r="A627" s="2">
        <v>307567</v>
      </c>
      <c r="B627" s="2"/>
      <c r="C627" s="2" t="s">
        <v>326</v>
      </c>
      <c r="D627" s="2" t="s">
        <v>1194</v>
      </c>
      <c r="E627" s="2"/>
      <c r="F627" s="127">
        <v>3</v>
      </c>
      <c r="G627" s="127">
        <v>101</v>
      </c>
      <c r="H627" s="3">
        <v>5</v>
      </c>
      <c r="I627" s="127">
        <v>5</v>
      </c>
      <c r="J627" s="127">
        <v>1</v>
      </c>
      <c r="K627" s="3"/>
      <c r="L627" s="2" t="s">
        <v>440</v>
      </c>
      <c r="M627" s="2"/>
      <c r="N627" s="2">
        <v>1</v>
      </c>
      <c r="O627" s="2"/>
      <c r="P627" s="3" t="s">
        <v>1615</v>
      </c>
      <c r="Q627" s="95">
        <f t="shared" si="64"/>
        <v>5.7709803921568623</v>
      </c>
      <c r="R627" s="133">
        <f>IF(P627=模板计算相关数据!$AB$24,VLOOKUP(X627,模板计算相关数据!$P$47:$T$50,2,0),VLOOKUP(X627,模板计算相关数据!$P$4:$U$7,3,0))*VLOOKUP(Y627,模板计算相关数据!$P$22:$X$30,8,0)</f>
        <v>5.7709803921568623</v>
      </c>
      <c r="S627" s="62">
        <f t="shared" si="65"/>
        <v>6.4077918749199023</v>
      </c>
      <c r="T627" s="133">
        <f>IF(P627=模板计算相关数据!$AB$24,VLOOKUP(X627,模板计算相关数据!$P$47:$T$50,5,0),VLOOKUP(X627,模板计算相关数据!$P$4:$U$7,6,0))*VLOOKUP(Y627,模板计算相关数据!$P$22:$X$30,9,0)</f>
        <v>6.4077918749199023</v>
      </c>
      <c r="U627" s="98">
        <v>1</v>
      </c>
      <c r="V627" s="95">
        <f t="shared" si="66"/>
        <v>4</v>
      </c>
      <c r="W627" s="29">
        <f>VLOOKUP(U627,模板计算相关数据!A:N,2,0)</f>
        <v>1</v>
      </c>
      <c r="X627" s="3" t="s">
        <v>151</v>
      </c>
      <c r="Y627" s="3" t="s">
        <v>243</v>
      </c>
      <c r="Z627" s="99">
        <v>1</v>
      </c>
      <c r="AA627" s="95">
        <v>1</v>
      </c>
      <c r="AB627" s="95">
        <v>1</v>
      </c>
      <c r="AC627" s="95">
        <v>1</v>
      </c>
      <c r="AD627" s="95">
        <v>0</v>
      </c>
      <c r="AE627" s="95">
        <v>0</v>
      </c>
      <c r="AF627" s="95">
        <v>0</v>
      </c>
      <c r="AG627" s="95">
        <v>0</v>
      </c>
      <c r="AH627" s="95">
        <v>0</v>
      </c>
      <c r="AI627" s="95">
        <v>0</v>
      </c>
      <c r="AJ627" s="3">
        <f>INT(VLOOKUP(U627,模板计算相关数据!A:N,4,0)*VLOOKUP(U627,模板计算相关数据!A:N,14,0)*(1+MAX(0,(VLOOKUP(U627,模板计算相关数据!A:N,7,0)-AQ627))*VLOOKUP(U627,模板计算相关数据!A:N,8,0))*(1-(AL627+AM627)*0.5/((AL627+AM627)*0.5+(VLOOKUP(U627,模板计算相关数据!A:N,2,0)+模板计算相关数据!$AC$27)*模板计算相关数据!$AC$28))*Q627*Z627)</f>
        <v>411</v>
      </c>
      <c r="AK627" s="3">
        <f>INT(VLOOKUP(U627,模板计算相关数据!A:N,3,0)/模板计算相关数据!$W$35/(1+MAX(0,(AO627/10000-VLOOKUP(U627,模板计算相关数据!A:N,9,0)))*AP627/10000)/(1-VLOOKUP(U627,模板计算相关数据!A:N,5,0)/(VLOOKUP(U627,模板计算相关数据!A:N,5,0)+(VLOOKUP(U627,模板计算相关数据!A:N,2,0)+模板计算相关数据!$AC$27)*模板计算相关数据!$AC$28))/S627*AA627)</f>
        <v>86</v>
      </c>
      <c r="AL627" s="3">
        <f>INT(VLOOKUP(U627,模板计算相关数据!A:N,5,0)*VLOOKUP(X627,模板计算相关数据!$P$4:$T$7,4,0)*VLOOKUP(Y627,模板计算相关数据!$P$22:$U$30,4,0)*AB627)</f>
        <v>145</v>
      </c>
      <c r="AM627" s="3">
        <f>INT(VLOOKUP(U627,模板计算相关数据!A:N,6,0)*VLOOKUP(X627,模板计算相关数据!$P$4:$T$7,4,0)*VLOOKUP(Y627,模板计算相关数据!$P$22:$U$30,5,0)*AC627)</f>
        <v>264</v>
      </c>
      <c r="AN627" s="3">
        <f>VLOOKUP(U627,模板计算相关数据!A:N,10,0)*0.5*VLOOKUP(Y627,模板计算相关数据!$P$22:$U$30,6,0)+AD627</f>
        <v>275</v>
      </c>
      <c r="AO627" s="3">
        <f>VLOOKUP(INT(VLOOKUP(U627,模板计算相关数据!A:N,2,0)/30)+1,模板计算相关数据!$O$35:$U$40,3,0)+AE627</f>
        <v>0</v>
      </c>
      <c r="AP627" s="3">
        <f>VLOOKUP(INT(VLOOKUP(U627,模板计算相关数据!A:N,2,0)/30)+1,模板计算相关数据!$O$35:$U$40,4,0)+AF627</f>
        <v>5000</v>
      </c>
      <c r="AQ627" s="3">
        <f>VLOOKUP(INT(VLOOKUP(U627,模板计算相关数据!A:N,2,0)/30)+1,模板计算相关数据!$O$35:$U$40,5,0)+AG627</f>
        <v>0</v>
      </c>
      <c r="AR627" s="3">
        <f>VLOOKUP(INT(VLOOKUP(U627,模板计算相关数据!A:N,2,0)/30)+1,模板计算相关数据!$O$35:$U$40,6,0)+AH627</f>
        <v>0</v>
      </c>
      <c r="AS627" s="3">
        <f>VLOOKUP(INT(VLOOKUP(U627,模板计算相关数据!A:N,2,0)/30)+1,模板计算相关数据!$O$35:$U$40,7,0)+AI627</f>
        <v>0</v>
      </c>
      <c r="AT627" s="3">
        <f>VLOOKUP(INT(VLOOKUP(U627,模板计算相关数据!A:N,2,0)/30)+1,模板计算相关数据!$O$35:$V$40,8,0)</f>
        <v>0</v>
      </c>
      <c r="AU627" s="2"/>
    </row>
    <row r="628" spans="1:47" x14ac:dyDescent="0.2">
      <c r="A628" s="2">
        <v>307568</v>
      </c>
      <c r="B628" s="2"/>
      <c r="C628" s="2" t="s">
        <v>152</v>
      </c>
      <c r="D628" s="2" t="s">
        <v>1192</v>
      </c>
      <c r="E628" s="2"/>
      <c r="F628" s="127">
        <v>3</v>
      </c>
      <c r="G628" s="127">
        <v>101</v>
      </c>
      <c r="H628" s="3">
        <v>1</v>
      </c>
      <c r="I628" s="127">
        <v>5</v>
      </c>
      <c r="J628" s="127">
        <v>1</v>
      </c>
      <c r="K628" s="3"/>
      <c r="L628" s="2" t="s">
        <v>441</v>
      </c>
      <c r="M628" s="2"/>
      <c r="N628" s="2">
        <v>1</v>
      </c>
      <c r="O628" s="2"/>
      <c r="P628" s="3" t="s">
        <v>1615</v>
      </c>
      <c r="Q628" s="95">
        <f t="shared" si="64"/>
        <v>4.417254901960785</v>
      </c>
      <c r="R628" s="133">
        <f>IF(P628=模板计算相关数据!$AB$24,VLOOKUP(X628,模板计算相关数据!$P$47:$T$50,2,0),VLOOKUP(X628,模板计算相关数据!$P$4:$U$7,3,0))*VLOOKUP(Y628,模板计算相关数据!$P$22:$X$30,8,0)</f>
        <v>4.417254901960785</v>
      </c>
      <c r="S628" s="62">
        <f t="shared" si="65"/>
        <v>5.4285280003474252</v>
      </c>
      <c r="T628" s="133">
        <f>IF(P628=模板计算相关数据!$AB$24,VLOOKUP(X628,模板计算相关数据!$P$47:$T$50,5,0),VLOOKUP(X628,模板计算相关数据!$P$4:$U$7,6,0))*VLOOKUP(Y628,模板计算相关数据!$P$22:$X$30,9,0)</f>
        <v>5.4285280003474252</v>
      </c>
      <c r="U628" s="98">
        <v>1</v>
      </c>
      <c r="V628" s="95">
        <f t="shared" si="66"/>
        <v>4</v>
      </c>
      <c r="W628" s="29">
        <f>VLOOKUP(U628,模板计算相关数据!A:N,2,0)</f>
        <v>1</v>
      </c>
      <c r="X628" s="3" t="s">
        <v>151</v>
      </c>
      <c r="Y628" s="3" t="s">
        <v>152</v>
      </c>
      <c r="Z628" s="99">
        <v>1</v>
      </c>
      <c r="AA628" s="95">
        <v>1</v>
      </c>
      <c r="AB628" s="95">
        <v>1</v>
      </c>
      <c r="AC628" s="95">
        <v>1</v>
      </c>
      <c r="AD628" s="95">
        <v>0</v>
      </c>
      <c r="AE628" s="95">
        <v>0</v>
      </c>
      <c r="AF628" s="95">
        <v>0</v>
      </c>
      <c r="AG628" s="95">
        <v>0</v>
      </c>
      <c r="AH628" s="95">
        <v>0</v>
      </c>
      <c r="AI628" s="95">
        <v>0</v>
      </c>
      <c r="AJ628" s="3">
        <f>INT(VLOOKUP(U628,模板计算相关数据!A:N,4,0)*VLOOKUP(U628,模板计算相关数据!A:N,14,0)*(1+MAX(0,(VLOOKUP(U628,模板计算相关数据!A:N,7,0)-AQ628))*VLOOKUP(U628,模板计算相关数据!A:N,8,0))*(1-(AL628+AM628)*0.5/((AL628+AM628)*0.5+(VLOOKUP(U628,模板计算相关数据!A:N,2,0)+模板计算相关数据!$AC$27)*模板计算相关数据!$AC$28))*Q628*Z628)</f>
        <v>325</v>
      </c>
      <c r="AK628" s="3">
        <f>INT(VLOOKUP(U628,模板计算相关数据!A:N,3,0)/模板计算相关数据!$W$35/(1+MAX(0,(AO628/10000-VLOOKUP(U628,模板计算相关数据!A:N,9,0)))*AP628/10000)/(1-VLOOKUP(U628,模板计算相关数据!A:N,5,0)/(VLOOKUP(U628,模板计算相关数据!A:N,5,0)+(VLOOKUP(U628,模板计算相关数据!A:N,2,0)+模板计算相关数据!$AC$27)*模板计算相关数据!$AC$28))/S628*AA628)</f>
        <v>102</v>
      </c>
      <c r="AL628" s="3">
        <f>INT(VLOOKUP(U628,模板计算相关数据!A:N,5,0)*VLOOKUP(X628,模板计算相关数据!$P$4:$T$7,4,0)*VLOOKUP(Y628,模板计算相关数据!$P$22:$U$30,4,0)*AB628)</f>
        <v>230</v>
      </c>
      <c r="AM628" s="3">
        <f>INT(VLOOKUP(U628,模板计算相关数据!A:N,6,0)*VLOOKUP(X628,模板计算相关数据!$P$4:$T$7,4,0)*VLOOKUP(Y628,模板计算相关数据!$P$22:$U$30,5,0)*AC628)</f>
        <v>136</v>
      </c>
      <c r="AN628" s="3">
        <f>VLOOKUP(U628,模板计算相关数据!A:N,10,0)*0.5*VLOOKUP(Y628,模板计算相关数据!$P$22:$U$30,6,0)+AD628</f>
        <v>250</v>
      </c>
      <c r="AO628" s="3">
        <f>VLOOKUP(INT(VLOOKUP(U628,模板计算相关数据!A:N,2,0)/30)+1,模板计算相关数据!$O$35:$U$40,3,0)+AE628</f>
        <v>0</v>
      </c>
      <c r="AP628" s="3">
        <f>VLOOKUP(INT(VLOOKUP(U628,模板计算相关数据!A:N,2,0)/30)+1,模板计算相关数据!$O$35:$U$40,4,0)+AF628</f>
        <v>5000</v>
      </c>
      <c r="AQ628" s="3">
        <f>VLOOKUP(INT(VLOOKUP(U628,模板计算相关数据!A:N,2,0)/30)+1,模板计算相关数据!$O$35:$U$40,5,0)+AG628</f>
        <v>0</v>
      </c>
      <c r="AR628" s="3">
        <f>VLOOKUP(INT(VLOOKUP(U628,模板计算相关数据!A:N,2,0)/30)+1,模板计算相关数据!$O$35:$U$40,6,0)+AH628</f>
        <v>0</v>
      </c>
      <c r="AS628" s="3">
        <f>VLOOKUP(INT(VLOOKUP(U628,模板计算相关数据!A:N,2,0)/30)+1,模板计算相关数据!$O$35:$U$40,7,0)+AI628</f>
        <v>0</v>
      </c>
      <c r="AT628" s="3">
        <f>VLOOKUP(INT(VLOOKUP(U628,模板计算相关数据!A:N,2,0)/30)+1,模板计算相关数据!$O$35:$V$40,8,0)</f>
        <v>0</v>
      </c>
      <c r="AU628" s="2"/>
    </row>
    <row r="629" spans="1:47" x14ac:dyDescent="0.2">
      <c r="A629" s="2">
        <v>307569</v>
      </c>
      <c r="B629" s="2"/>
      <c r="C629" s="2" t="s">
        <v>152</v>
      </c>
      <c r="D629" s="2" t="s">
        <v>1193</v>
      </c>
      <c r="E629" s="2"/>
      <c r="F629" s="127">
        <v>3</v>
      </c>
      <c r="G629" s="127">
        <v>101</v>
      </c>
      <c r="H629" s="3">
        <v>1</v>
      </c>
      <c r="I629" s="127">
        <v>5</v>
      </c>
      <c r="J629" s="127">
        <v>1</v>
      </c>
      <c r="K629" s="3"/>
      <c r="L629" s="2" t="s">
        <v>442</v>
      </c>
      <c r="M629" s="2"/>
      <c r="N629" s="2">
        <v>1</v>
      </c>
      <c r="O629" s="2"/>
      <c r="P629" s="3" t="s">
        <v>1615</v>
      </c>
      <c r="Q629" s="95">
        <f t="shared" si="64"/>
        <v>4.417254901960785</v>
      </c>
      <c r="R629" s="133">
        <f>IF(P629=模板计算相关数据!$AB$24,VLOOKUP(X629,模板计算相关数据!$P$47:$T$50,2,0),VLOOKUP(X629,模板计算相关数据!$P$4:$U$7,3,0))*VLOOKUP(Y629,模板计算相关数据!$P$22:$X$30,8,0)</f>
        <v>4.417254901960785</v>
      </c>
      <c r="S629" s="62">
        <f t="shared" si="65"/>
        <v>5.4285280003474252</v>
      </c>
      <c r="T629" s="133">
        <f>IF(P629=模板计算相关数据!$AB$24,VLOOKUP(X629,模板计算相关数据!$P$47:$T$50,5,0),VLOOKUP(X629,模板计算相关数据!$P$4:$U$7,6,0))*VLOOKUP(Y629,模板计算相关数据!$P$22:$X$30,9,0)</f>
        <v>5.4285280003474252</v>
      </c>
      <c r="U629" s="98">
        <v>1</v>
      </c>
      <c r="V629" s="95">
        <f t="shared" si="66"/>
        <v>4</v>
      </c>
      <c r="W629" s="29">
        <f>VLOOKUP(U629,模板计算相关数据!A:N,2,0)</f>
        <v>1</v>
      </c>
      <c r="X629" s="3" t="s">
        <v>151</v>
      </c>
      <c r="Y629" s="3" t="s">
        <v>152</v>
      </c>
      <c r="Z629" s="99">
        <v>1</v>
      </c>
      <c r="AA629" s="95">
        <v>1</v>
      </c>
      <c r="AB629" s="95">
        <v>1</v>
      </c>
      <c r="AC629" s="95">
        <v>1</v>
      </c>
      <c r="AD629" s="95">
        <v>0</v>
      </c>
      <c r="AE629" s="95">
        <v>0</v>
      </c>
      <c r="AF629" s="95">
        <v>0</v>
      </c>
      <c r="AG629" s="95">
        <v>0</v>
      </c>
      <c r="AH629" s="95">
        <v>0</v>
      </c>
      <c r="AI629" s="95">
        <v>0</v>
      </c>
      <c r="AJ629" s="3">
        <f>INT(VLOOKUP(U629,模板计算相关数据!A:N,4,0)*VLOOKUP(U629,模板计算相关数据!A:N,14,0)*(1+MAX(0,(VLOOKUP(U629,模板计算相关数据!A:N,7,0)-AQ629))*VLOOKUP(U629,模板计算相关数据!A:N,8,0))*(1-(AL629+AM629)*0.5/((AL629+AM629)*0.5+(VLOOKUP(U629,模板计算相关数据!A:N,2,0)+模板计算相关数据!$AC$27)*模板计算相关数据!$AC$28))*Q629*Z629)</f>
        <v>325</v>
      </c>
      <c r="AK629" s="3">
        <f>INT(VLOOKUP(U629,模板计算相关数据!A:N,3,0)/模板计算相关数据!$W$35/(1+MAX(0,(AO629/10000-VLOOKUP(U629,模板计算相关数据!A:N,9,0)))*AP629/10000)/(1-VLOOKUP(U629,模板计算相关数据!A:N,5,0)/(VLOOKUP(U629,模板计算相关数据!A:N,5,0)+(VLOOKUP(U629,模板计算相关数据!A:N,2,0)+模板计算相关数据!$AC$27)*模板计算相关数据!$AC$28))/S629*AA629)</f>
        <v>102</v>
      </c>
      <c r="AL629" s="3">
        <f>INT(VLOOKUP(U629,模板计算相关数据!A:N,5,0)*VLOOKUP(X629,模板计算相关数据!$P$4:$T$7,4,0)*VLOOKUP(Y629,模板计算相关数据!$P$22:$U$30,4,0)*AB629)</f>
        <v>230</v>
      </c>
      <c r="AM629" s="3">
        <f>INT(VLOOKUP(U629,模板计算相关数据!A:N,6,0)*VLOOKUP(X629,模板计算相关数据!$P$4:$T$7,4,0)*VLOOKUP(Y629,模板计算相关数据!$P$22:$U$30,5,0)*AC629)</f>
        <v>136</v>
      </c>
      <c r="AN629" s="3">
        <f>VLOOKUP(U629,模板计算相关数据!A:N,10,0)*0.5*VLOOKUP(Y629,模板计算相关数据!$P$22:$U$30,6,0)+AD629</f>
        <v>250</v>
      </c>
      <c r="AO629" s="3">
        <f>VLOOKUP(INT(VLOOKUP(U629,模板计算相关数据!A:N,2,0)/30)+1,模板计算相关数据!$O$35:$U$40,3,0)+AE629</f>
        <v>0</v>
      </c>
      <c r="AP629" s="3">
        <f>VLOOKUP(INT(VLOOKUP(U629,模板计算相关数据!A:N,2,0)/30)+1,模板计算相关数据!$O$35:$U$40,4,0)+AF629</f>
        <v>5000</v>
      </c>
      <c r="AQ629" s="3">
        <f>VLOOKUP(INT(VLOOKUP(U629,模板计算相关数据!A:N,2,0)/30)+1,模板计算相关数据!$O$35:$U$40,5,0)+AG629</f>
        <v>0</v>
      </c>
      <c r="AR629" s="3">
        <f>VLOOKUP(INT(VLOOKUP(U629,模板计算相关数据!A:N,2,0)/30)+1,模板计算相关数据!$O$35:$U$40,6,0)+AH629</f>
        <v>0</v>
      </c>
      <c r="AS629" s="3">
        <f>VLOOKUP(INT(VLOOKUP(U629,模板计算相关数据!A:N,2,0)/30)+1,模板计算相关数据!$O$35:$U$40,7,0)+AI629</f>
        <v>0</v>
      </c>
      <c r="AT629" s="3">
        <f>VLOOKUP(INT(VLOOKUP(U629,模板计算相关数据!A:N,2,0)/30)+1,模板计算相关数据!$O$35:$V$40,8,0)</f>
        <v>0</v>
      </c>
      <c r="AU629" s="2"/>
    </row>
    <row r="630" spans="1:47" x14ac:dyDescent="0.2">
      <c r="A630" s="2">
        <v>307570</v>
      </c>
      <c r="B630" s="2"/>
      <c r="C630" s="2" t="s">
        <v>152</v>
      </c>
      <c r="D630" s="2" t="s">
        <v>1194</v>
      </c>
      <c r="E630" s="2"/>
      <c r="F630" s="127">
        <v>3</v>
      </c>
      <c r="G630" s="127">
        <v>101</v>
      </c>
      <c r="H630" s="3">
        <v>1</v>
      </c>
      <c r="I630" s="127">
        <v>5</v>
      </c>
      <c r="J630" s="127">
        <v>1</v>
      </c>
      <c r="K630" s="3"/>
      <c r="L630" s="2" t="s">
        <v>443</v>
      </c>
      <c r="M630" s="2"/>
      <c r="N630" s="2">
        <v>1</v>
      </c>
      <c r="O630" s="2"/>
      <c r="P630" s="3" t="s">
        <v>1615</v>
      </c>
      <c r="Q630" s="95">
        <f t="shared" si="64"/>
        <v>4.417254901960785</v>
      </c>
      <c r="R630" s="133">
        <f>IF(P630=模板计算相关数据!$AB$24,VLOOKUP(X630,模板计算相关数据!$P$47:$T$50,2,0),VLOOKUP(X630,模板计算相关数据!$P$4:$U$7,3,0))*VLOOKUP(Y630,模板计算相关数据!$P$22:$X$30,8,0)</f>
        <v>4.417254901960785</v>
      </c>
      <c r="S630" s="62">
        <f t="shared" si="65"/>
        <v>5.4285280003474252</v>
      </c>
      <c r="T630" s="133">
        <f>IF(P630=模板计算相关数据!$AB$24,VLOOKUP(X630,模板计算相关数据!$P$47:$T$50,5,0),VLOOKUP(X630,模板计算相关数据!$P$4:$U$7,6,0))*VLOOKUP(Y630,模板计算相关数据!$P$22:$X$30,9,0)</f>
        <v>5.4285280003474252</v>
      </c>
      <c r="U630" s="98">
        <v>1</v>
      </c>
      <c r="V630" s="95">
        <f t="shared" si="66"/>
        <v>4</v>
      </c>
      <c r="W630" s="29">
        <f>VLOOKUP(U630,模板计算相关数据!A:N,2,0)</f>
        <v>1</v>
      </c>
      <c r="X630" s="3" t="s">
        <v>151</v>
      </c>
      <c r="Y630" s="3" t="s">
        <v>152</v>
      </c>
      <c r="Z630" s="99">
        <v>1</v>
      </c>
      <c r="AA630" s="95">
        <v>1</v>
      </c>
      <c r="AB630" s="95">
        <v>1</v>
      </c>
      <c r="AC630" s="95">
        <v>1</v>
      </c>
      <c r="AD630" s="95">
        <v>0</v>
      </c>
      <c r="AE630" s="95">
        <v>0</v>
      </c>
      <c r="AF630" s="95">
        <v>0</v>
      </c>
      <c r="AG630" s="95">
        <v>0</v>
      </c>
      <c r="AH630" s="95">
        <v>0</v>
      </c>
      <c r="AI630" s="95">
        <v>0</v>
      </c>
      <c r="AJ630" s="3">
        <f>INT(VLOOKUP(U630,模板计算相关数据!A:N,4,0)*VLOOKUP(U630,模板计算相关数据!A:N,14,0)*(1+MAX(0,(VLOOKUP(U630,模板计算相关数据!A:N,7,0)-AQ630))*VLOOKUP(U630,模板计算相关数据!A:N,8,0))*(1-(AL630+AM630)*0.5/((AL630+AM630)*0.5+(VLOOKUP(U630,模板计算相关数据!A:N,2,0)+模板计算相关数据!$AC$27)*模板计算相关数据!$AC$28))*Q630*Z630)</f>
        <v>325</v>
      </c>
      <c r="AK630" s="3">
        <f>INT(VLOOKUP(U630,模板计算相关数据!A:N,3,0)/模板计算相关数据!$W$35/(1+MAX(0,(AO630/10000-VLOOKUP(U630,模板计算相关数据!A:N,9,0)))*AP630/10000)/(1-VLOOKUP(U630,模板计算相关数据!A:N,5,0)/(VLOOKUP(U630,模板计算相关数据!A:N,5,0)+(VLOOKUP(U630,模板计算相关数据!A:N,2,0)+模板计算相关数据!$AC$27)*模板计算相关数据!$AC$28))/S630*AA630)</f>
        <v>102</v>
      </c>
      <c r="AL630" s="3">
        <f>INT(VLOOKUP(U630,模板计算相关数据!A:N,5,0)*VLOOKUP(X630,模板计算相关数据!$P$4:$T$7,4,0)*VLOOKUP(Y630,模板计算相关数据!$P$22:$U$30,4,0)*AB630)</f>
        <v>230</v>
      </c>
      <c r="AM630" s="3">
        <f>INT(VLOOKUP(U630,模板计算相关数据!A:N,6,0)*VLOOKUP(X630,模板计算相关数据!$P$4:$T$7,4,0)*VLOOKUP(Y630,模板计算相关数据!$P$22:$U$30,5,0)*AC630)</f>
        <v>136</v>
      </c>
      <c r="AN630" s="3">
        <f>VLOOKUP(U630,模板计算相关数据!A:N,10,0)*0.5*VLOOKUP(Y630,模板计算相关数据!$P$22:$U$30,6,0)+AD630</f>
        <v>250</v>
      </c>
      <c r="AO630" s="3">
        <f>VLOOKUP(INT(VLOOKUP(U630,模板计算相关数据!A:N,2,0)/30)+1,模板计算相关数据!$O$35:$U$40,3,0)+AE630</f>
        <v>0</v>
      </c>
      <c r="AP630" s="3">
        <f>VLOOKUP(INT(VLOOKUP(U630,模板计算相关数据!A:N,2,0)/30)+1,模板计算相关数据!$O$35:$U$40,4,0)+AF630</f>
        <v>5000</v>
      </c>
      <c r="AQ630" s="3">
        <f>VLOOKUP(INT(VLOOKUP(U630,模板计算相关数据!A:N,2,0)/30)+1,模板计算相关数据!$O$35:$U$40,5,0)+AG630</f>
        <v>0</v>
      </c>
      <c r="AR630" s="3">
        <f>VLOOKUP(INT(VLOOKUP(U630,模板计算相关数据!A:N,2,0)/30)+1,模板计算相关数据!$O$35:$U$40,6,0)+AH630</f>
        <v>0</v>
      </c>
      <c r="AS630" s="3">
        <f>VLOOKUP(INT(VLOOKUP(U630,模板计算相关数据!A:N,2,0)/30)+1,模板计算相关数据!$O$35:$U$40,7,0)+AI630</f>
        <v>0</v>
      </c>
      <c r="AT630" s="3">
        <f>VLOOKUP(INT(VLOOKUP(U630,模板计算相关数据!A:N,2,0)/30)+1,模板计算相关数据!$O$35:$V$40,8,0)</f>
        <v>0</v>
      </c>
      <c r="AU630" s="2"/>
    </row>
    <row r="631" spans="1:47" x14ac:dyDescent="0.2">
      <c r="A631" s="17">
        <v>307571</v>
      </c>
      <c r="B631" s="17"/>
      <c r="C631" s="17" t="s">
        <v>343</v>
      </c>
      <c r="D631" s="25" t="s">
        <v>1195</v>
      </c>
      <c r="E631" s="17"/>
      <c r="F631" s="152">
        <v>3</v>
      </c>
      <c r="G631" s="152">
        <v>101</v>
      </c>
      <c r="H631" s="43">
        <v>3</v>
      </c>
      <c r="I631" s="152">
        <v>5</v>
      </c>
      <c r="J631" s="152">
        <v>1</v>
      </c>
      <c r="K631" s="43"/>
      <c r="L631" s="2" t="s">
        <v>444</v>
      </c>
      <c r="M631" s="2"/>
      <c r="N631" s="2">
        <v>1</v>
      </c>
      <c r="O631" s="2"/>
      <c r="P631" s="3" t="s">
        <v>1615</v>
      </c>
      <c r="Q631" s="95">
        <f t="shared" si="64"/>
        <v>5.6000000000000014</v>
      </c>
      <c r="R631" s="133">
        <f>IF(P631=模板计算相关数据!$AB$24,VLOOKUP(X631,模板计算相关数据!$P$47:$T$50,2,0),VLOOKUP(X631,模板计算相关数据!$P$4:$U$7,3,0))*VLOOKUP(Y631,模板计算相关数据!$P$22:$X$30,8,0)</f>
        <v>5.6000000000000014</v>
      </c>
      <c r="S631" s="62">
        <f t="shared" si="65"/>
        <v>6.6693344004268367</v>
      </c>
      <c r="T631" s="133">
        <f>IF(P631=模板计算相关数据!$AB$24,VLOOKUP(X631,模板计算相关数据!$P$47:$T$50,5,0),VLOOKUP(X631,模板计算相关数据!$P$4:$U$7,6,0))*VLOOKUP(Y631,模板计算相关数据!$P$22:$X$30,9,0)</f>
        <v>6.6693344004268367</v>
      </c>
      <c r="U631" s="98">
        <v>1</v>
      </c>
      <c r="V631" s="95">
        <f t="shared" si="66"/>
        <v>4</v>
      </c>
      <c r="W631" s="29">
        <f>VLOOKUP(U631,模板计算相关数据!A:N,2,0)</f>
        <v>1</v>
      </c>
      <c r="X631" s="3" t="s">
        <v>151</v>
      </c>
      <c r="Y631" s="3" t="s">
        <v>255</v>
      </c>
      <c r="Z631" s="99">
        <v>1</v>
      </c>
      <c r="AA631" s="95">
        <v>1</v>
      </c>
      <c r="AB631" s="95">
        <v>1</v>
      </c>
      <c r="AC631" s="95">
        <v>1</v>
      </c>
      <c r="AD631" s="95">
        <v>0</v>
      </c>
      <c r="AE631" s="95">
        <v>0</v>
      </c>
      <c r="AF631" s="95">
        <v>0</v>
      </c>
      <c r="AG631" s="95">
        <v>0</v>
      </c>
      <c r="AH631" s="95">
        <v>0</v>
      </c>
      <c r="AI631" s="95">
        <v>0</v>
      </c>
      <c r="AJ631" s="3">
        <f>INT(VLOOKUP(U631,模板计算相关数据!A:N,4,0)*VLOOKUP(U631,模板计算相关数据!A:N,14,0)*(1+MAX(0,(VLOOKUP(U631,模板计算相关数据!A:N,7,0)-AQ631))*VLOOKUP(U631,模板计算相关数据!A:N,8,0))*(1-(AL631+AM631)*0.5/((AL631+AM631)*0.5+(VLOOKUP(U631,模板计算相关数据!A:N,2,0)+模板计算相关数据!$AC$27)*模板计算相关数据!$AC$28))*Q631*Z631)</f>
        <v>394</v>
      </c>
      <c r="AK631" s="3">
        <f>INT(VLOOKUP(U631,模板计算相关数据!A:N,3,0)/模板计算相关数据!$W$35/(1+MAX(0,(AO631/10000-VLOOKUP(U631,模板计算相关数据!A:N,9,0)))*AP631/10000)/(1-VLOOKUP(U631,模板计算相关数据!A:N,5,0)/(VLOOKUP(U631,模板计算相关数据!A:N,5,0)+(VLOOKUP(U631,模板计算相关数据!A:N,2,0)+模板计算相关数据!$AC$27)*模板计算相关数据!$AC$28))/S631*AA631)</f>
        <v>83</v>
      </c>
      <c r="AL631" s="3">
        <f>INT(VLOOKUP(U631,模板计算相关数据!A:N,5,0)*VLOOKUP(X631,模板计算相关数据!$P$4:$T$7,4,0)*VLOOKUP(Y631,模板计算相关数据!$P$22:$U$30,4,0)*AB631)</f>
        <v>149</v>
      </c>
      <c r="AM631" s="3">
        <f>INT(VLOOKUP(U631,模板计算相关数据!A:N,6,0)*VLOOKUP(X631,模板计算相关数据!$P$4:$T$7,4,0)*VLOOKUP(Y631,模板计算相关数据!$P$22:$U$30,5,0)*AC631)</f>
        <v>277</v>
      </c>
      <c r="AN631" s="3">
        <f>VLOOKUP(U631,模板计算相关数据!A:N,10,0)*0.5*VLOOKUP(Y631,模板计算相关数据!$P$22:$U$30,6,0)+AD631</f>
        <v>225</v>
      </c>
      <c r="AO631" s="3">
        <f>VLOOKUP(INT(VLOOKUP(U631,模板计算相关数据!A:N,2,0)/30)+1,模板计算相关数据!$O$35:$U$40,3,0)+AE631</f>
        <v>0</v>
      </c>
      <c r="AP631" s="3">
        <f>VLOOKUP(INT(VLOOKUP(U631,模板计算相关数据!A:N,2,0)/30)+1,模板计算相关数据!$O$35:$U$40,4,0)+AF631</f>
        <v>5000</v>
      </c>
      <c r="AQ631" s="3">
        <f>VLOOKUP(INT(VLOOKUP(U631,模板计算相关数据!A:N,2,0)/30)+1,模板计算相关数据!$O$35:$U$40,5,0)+AG631</f>
        <v>0</v>
      </c>
      <c r="AR631" s="3">
        <f>VLOOKUP(INT(VLOOKUP(U631,模板计算相关数据!A:N,2,0)/30)+1,模板计算相关数据!$O$35:$U$40,6,0)+AH631</f>
        <v>0</v>
      </c>
      <c r="AS631" s="3">
        <f>VLOOKUP(INT(VLOOKUP(U631,模板计算相关数据!A:N,2,0)/30)+1,模板计算相关数据!$O$35:$U$40,7,0)+AI631</f>
        <v>0</v>
      </c>
      <c r="AT631" s="3">
        <f>VLOOKUP(INT(VLOOKUP(U631,模板计算相关数据!A:N,2,0)/30)+1,模板计算相关数据!$O$35:$V$40,8,0)</f>
        <v>0</v>
      </c>
      <c r="AU631" s="2"/>
    </row>
    <row r="632" spans="1:47" x14ac:dyDescent="0.2">
      <c r="A632" s="2">
        <v>307572</v>
      </c>
      <c r="B632" s="2"/>
      <c r="C632" s="2" t="s">
        <v>343</v>
      </c>
      <c r="D632" s="69" t="s">
        <v>1196</v>
      </c>
      <c r="E632" s="2"/>
      <c r="F632" s="127">
        <v>3</v>
      </c>
      <c r="G632" s="127">
        <v>101</v>
      </c>
      <c r="H632" s="3">
        <v>3</v>
      </c>
      <c r="I632" s="127">
        <v>5</v>
      </c>
      <c r="J632" s="127">
        <v>1</v>
      </c>
      <c r="K632" s="3"/>
      <c r="L632" s="2" t="s">
        <v>445</v>
      </c>
      <c r="M632" s="2"/>
      <c r="N632" s="2">
        <v>1</v>
      </c>
      <c r="O632" s="2"/>
      <c r="P632" s="3" t="s">
        <v>1615</v>
      </c>
      <c r="Q632" s="95">
        <f t="shared" si="64"/>
        <v>5.6000000000000014</v>
      </c>
      <c r="R632" s="133">
        <f>IF(P632=模板计算相关数据!$AB$24,VLOOKUP(X632,模板计算相关数据!$P$47:$T$50,2,0),VLOOKUP(X632,模板计算相关数据!$P$4:$U$7,3,0))*VLOOKUP(Y632,模板计算相关数据!$P$22:$X$30,8,0)</f>
        <v>5.6000000000000014</v>
      </c>
      <c r="S632" s="62">
        <f t="shared" si="65"/>
        <v>6.6693344004268367</v>
      </c>
      <c r="T632" s="133">
        <f>IF(P632=模板计算相关数据!$AB$24,VLOOKUP(X632,模板计算相关数据!$P$47:$T$50,5,0),VLOOKUP(X632,模板计算相关数据!$P$4:$U$7,6,0))*VLOOKUP(Y632,模板计算相关数据!$P$22:$X$30,9,0)</f>
        <v>6.6693344004268367</v>
      </c>
      <c r="U632" s="98">
        <v>1</v>
      </c>
      <c r="V632" s="95">
        <f t="shared" si="66"/>
        <v>4</v>
      </c>
      <c r="W632" s="29">
        <f>VLOOKUP(U632,模板计算相关数据!A:N,2,0)</f>
        <v>1</v>
      </c>
      <c r="X632" s="3" t="s">
        <v>151</v>
      </c>
      <c r="Y632" s="3" t="s">
        <v>255</v>
      </c>
      <c r="Z632" s="99">
        <v>1</v>
      </c>
      <c r="AA632" s="95">
        <v>1</v>
      </c>
      <c r="AB632" s="95">
        <v>1</v>
      </c>
      <c r="AC632" s="95">
        <v>1</v>
      </c>
      <c r="AD632" s="95">
        <v>0</v>
      </c>
      <c r="AE632" s="95">
        <v>0</v>
      </c>
      <c r="AF632" s="95">
        <v>0</v>
      </c>
      <c r="AG632" s="95">
        <v>0</v>
      </c>
      <c r="AH632" s="95">
        <v>0</v>
      </c>
      <c r="AI632" s="95">
        <v>0</v>
      </c>
      <c r="AJ632" s="3">
        <f>INT(VLOOKUP(U632,模板计算相关数据!A:N,4,0)*VLOOKUP(U632,模板计算相关数据!A:N,14,0)*(1+MAX(0,(VLOOKUP(U632,模板计算相关数据!A:N,7,0)-AQ632))*VLOOKUP(U632,模板计算相关数据!A:N,8,0))*(1-(AL632+AM632)*0.5/((AL632+AM632)*0.5+(VLOOKUP(U632,模板计算相关数据!A:N,2,0)+模板计算相关数据!$AC$27)*模板计算相关数据!$AC$28))*Q632*Z632)</f>
        <v>394</v>
      </c>
      <c r="AK632" s="3">
        <f>INT(VLOOKUP(U632,模板计算相关数据!A:N,3,0)/模板计算相关数据!$W$35/(1+MAX(0,(AO632/10000-VLOOKUP(U632,模板计算相关数据!A:N,9,0)))*AP632/10000)/(1-VLOOKUP(U632,模板计算相关数据!A:N,5,0)/(VLOOKUP(U632,模板计算相关数据!A:N,5,0)+(VLOOKUP(U632,模板计算相关数据!A:N,2,0)+模板计算相关数据!$AC$27)*模板计算相关数据!$AC$28))/S632*AA632)</f>
        <v>83</v>
      </c>
      <c r="AL632" s="3">
        <f>INT(VLOOKUP(U632,模板计算相关数据!A:N,5,0)*VLOOKUP(X632,模板计算相关数据!$P$4:$T$7,4,0)*VLOOKUP(Y632,模板计算相关数据!$P$22:$U$30,4,0)*AB632)</f>
        <v>149</v>
      </c>
      <c r="AM632" s="3">
        <f>INT(VLOOKUP(U632,模板计算相关数据!A:N,6,0)*VLOOKUP(X632,模板计算相关数据!$P$4:$T$7,4,0)*VLOOKUP(Y632,模板计算相关数据!$P$22:$U$30,5,0)*AC632)</f>
        <v>277</v>
      </c>
      <c r="AN632" s="3">
        <f>VLOOKUP(U632,模板计算相关数据!A:N,10,0)*0.5*VLOOKUP(Y632,模板计算相关数据!$P$22:$U$30,6,0)+AD632</f>
        <v>225</v>
      </c>
      <c r="AO632" s="3">
        <f>VLOOKUP(INT(VLOOKUP(U632,模板计算相关数据!A:N,2,0)/30)+1,模板计算相关数据!$O$35:$U$40,3,0)+AE632</f>
        <v>0</v>
      </c>
      <c r="AP632" s="3">
        <f>VLOOKUP(INT(VLOOKUP(U632,模板计算相关数据!A:N,2,0)/30)+1,模板计算相关数据!$O$35:$U$40,4,0)+AF632</f>
        <v>5000</v>
      </c>
      <c r="AQ632" s="3">
        <f>VLOOKUP(INT(VLOOKUP(U632,模板计算相关数据!A:N,2,0)/30)+1,模板计算相关数据!$O$35:$U$40,5,0)+AG632</f>
        <v>0</v>
      </c>
      <c r="AR632" s="3">
        <f>VLOOKUP(INT(VLOOKUP(U632,模板计算相关数据!A:N,2,0)/30)+1,模板计算相关数据!$O$35:$U$40,6,0)+AH632</f>
        <v>0</v>
      </c>
      <c r="AS632" s="3">
        <f>VLOOKUP(INT(VLOOKUP(U632,模板计算相关数据!A:N,2,0)/30)+1,模板计算相关数据!$O$35:$U$40,7,0)+AI632</f>
        <v>0</v>
      </c>
      <c r="AT632" s="3">
        <f>VLOOKUP(INT(VLOOKUP(U632,模板计算相关数据!A:N,2,0)/30)+1,模板计算相关数据!$O$35:$V$40,8,0)</f>
        <v>0</v>
      </c>
      <c r="AU632" s="2"/>
    </row>
    <row r="633" spans="1:47" x14ac:dyDescent="0.2">
      <c r="A633" s="2">
        <v>307573</v>
      </c>
      <c r="B633" s="2"/>
      <c r="C633" s="2" t="s">
        <v>343</v>
      </c>
      <c r="D633" s="69" t="s">
        <v>1197</v>
      </c>
      <c r="E633" s="2"/>
      <c r="F633" s="127">
        <v>3</v>
      </c>
      <c r="G633" s="127">
        <v>101</v>
      </c>
      <c r="H633" s="3">
        <v>3</v>
      </c>
      <c r="I633" s="127">
        <v>5</v>
      </c>
      <c r="J633" s="127">
        <v>1</v>
      </c>
      <c r="K633" s="3"/>
      <c r="L633" s="2" t="s">
        <v>446</v>
      </c>
      <c r="M633" s="2"/>
      <c r="N633" s="2">
        <v>1</v>
      </c>
      <c r="O633" s="2"/>
      <c r="P633" s="3" t="s">
        <v>1615</v>
      </c>
      <c r="Q633" s="95">
        <f t="shared" si="64"/>
        <v>5.6000000000000014</v>
      </c>
      <c r="R633" s="133">
        <f>IF(P633=模板计算相关数据!$AB$24,VLOOKUP(X633,模板计算相关数据!$P$47:$T$50,2,0),VLOOKUP(X633,模板计算相关数据!$P$4:$U$7,3,0))*VLOOKUP(Y633,模板计算相关数据!$P$22:$X$30,8,0)</f>
        <v>5.6000000000000014</v>
      </c>
      <c r="S633" s="62">
        <f t="shared" si="65"/>
        <v>6.6693344004268367</v>
      </c>
      <c r="T633" s="133">
        <f>IF(P633=模板计算相关数据!$AB$24,VLOOKUP(X633,模板计算相关数据!$P$47:$T$50,5,0),VLOOKUP(X633,模板计算相关数据!$P$4:$U$7,6,0))*VLOOKUP(Y633,模板计算相关数据!$P$22:$X$30,9,0)</f>
        <v>6.6693344004268367</v>
      </c>
      <c r="U633" s="98">
        <v>1</v>
      </c>
      <c r="V633" s="95">
        <f t="shared" si="66"/>
        <v>4</v>
      </c>
      <c r="W633" s="29">
        <f>VLOOKUP(U633,模板计算相关数据!A:N,2,0)</f>
        <v>1</v>
      </c>
      <c r="X633" s="3" t="s">
        <v>151</v>
      </c>
      <c r="Y633" s="3" t="s">
        <v>255</v>
      </c>
      <c r="Z633" s="99">
        <v>1</v>
      </c>
      <c r="AA633" s="95">
        <v>1</v>
      </c>
      <c r="AB633" s="95">
        <v>1</v>
      </c>
      <c r="AC633" s="95">
        <v>1</v>
      </c>
      <c r="AD633" s="95">
        <v>0</v>
      </c>
      <c r="AE633" s="95">
        <v>0</v>
      </c>
      <c r="AF633" s="95">
        <v>0</v>
      </c>
      <c r="AG633" s="95">
        <v>0</v>
      </c>
      <c r="AH633" s="95">
        <v>0</v>
      </c>
      <c r="AI633" s="95">
        <v>0</v>
      </c>
      <c r="AJ633" s="3">
        <f>INT(VLOOKUP(U633,模板计算相关数据!A:N,4,0)*VLOOKUP(U633,模板计算相关数据!A:N,14,0)*(1+MAX(0,(VLOOKUP(U633,模板计算相关数据!A:N,7,0)-AQ633))*VLOOKUP(U633,模板计算相关数据!A:N,8,0))*(1-(AL633+AM633)*0.5/((AL633+AM633)*0.5+(VLOOKUP(U633,模板计算相关数据!A:N,2,0)+模板计算相关数据!$AC$27)*模板计算相关数据!$AC$28))*Q633*Z633)</f>
        <v>394</v>
      </c>
      <c r="AK633" s="3">
        <f>INT(VLOOKUP(U633,模板计算相关数据!A:N,3,0)/模板计算相关数据!$W$35/(1+MAX(0,(AO633/10000-VLOOKUP(U633,模板计算相关数据!A:N,9,0)))*AP633/10000)/(1-VLOOKUP(U633,模板计算相关数据!A:N,5,0)/(VLOOKUP(U633,模板计算相关数据!A:N,5,0)+(VLOOKUP(U633,模板计算相关数据!A:N,2,0)+模板计算相关数据!$AC$27)*模板计算相关数据!$AC$28))/S633*AA633)</f>
        <v>83</v>
      </c>
      <c r="AL633" s="3">
        <f>INT(VLOOKUP(U633,模板计算相关数据!A:N,5,0)*VLOOKUP(X633,模板计算相关数据!$P$4:$T$7,4,0)*VLOOKUP(Y633,模板计算相关数据!$P$22:$U$30,4,0)*AB633)</f>
        <v>149</v>
      </c>
      <c r="AM633" s="3">
        <f>INT(VLOOKUP(U633,模板计算相关数据!A:N,6,0)*VLOOKUP(X633,模板计算相关数据!$P$4:$T$7,4,0)*VLOOKUP(Y633,模板计算相关数据!$P$22:$U$30,5,0)*AC633)</f>
        <v>277</v>
      </c>
      <c r="AN633" s="3">
        <f>VLOOKUP(U633,模板计算相关数据!A:N,10,0)*0.5*VLOOKUP(Y633,模板计算相关数据!$P$22:$U$30,6,0)+AD633</f>
        <v>225</v>
      </c>
      <c r="AO633" s="3">
        <f>VLOOKUP(INT(VLOOKUP(U633,模板计算相关数据!A:N,2,0)/30)+1,模板计算相关数据!$O$35:$U$40,3,0)+AE633</f>
        <v>0</v>
      </c>
      <c r="AP633" s="3">
        <f>VLOOKUP(INT(VLOOKUP(U633,模板计算相关数据!A:N,2,0)/30)+1,模板计算相关数据!$O$35:$U$40,4,0)+AF633</f>
        <v>5000</v>
      </c>
      <c r="AQ633" s="3">
        <f>VLOOKUP(INT(VLOOKUP(U633,模板计算相关数据!A:N,2,0)/30)+1,模板计算相关数据!$O$35:$U$40,5,0)+AG633</f>
        <v>0</v>
      </c>
      <c r="AR633" s="3">
        <f>VLOOKUP(INT(VLOOKUP(U633,模板计算相关数据!A:N,2,0)/30)+1,模板计算相关数据!$O$35:$U$40,6,0)+AH633</f>
        <v>0</v>
      </c>
      <c r="AS633" s="3">
        <f>VLOOKUP(INT(VLOOKUP(U633,模板计算相关数据!A:N,2,0)/30)+1,模板计算相关数据!$O$35:$U$40,7,0)+AI633</f>
        <v>0</v>
      </c>
      <c r="AT633" s="3">
        <f>VLOOKUP(INT(VLOOKUP(U633,模板计算相关数据!A:N,2,0)/30)+1,模板计算相关数据!$O$35:$V$40,8,0)</f>
        <v>0</v>
      </c>
      <c r="AU633" s="2"/>
    </row>
    <row r="634" spans="1:47" x14ac:dyDescent="0.2">
      <c r="A634" s="2">
        <v>307574</v>
      </c>
      <c r="B634" s="2"/>
      <c r="C634" s="2" t="s">
        <v>162</v>
      </c>
      <c r="D634" s="2" t="s">
        <v>1198</v>
      </c>
      <c r="E634" s="2"/>
      <c r="F634" s="127">
        <v>3</v>
      </c>
      <c r="G634" s="127">
        <v>101</v>
      </c>
      <c r="H634" s="3">
        <v>4</v>
      </c>
      <c r="I634" s="127">
        <v>5</v>
      </c>
      <c r="J634" s="127">
        <v>1</v>
      </c>
      <c r="K634" s="3"/>
      <c r="L634" s="2" t="s">
        <v>447</v>
      </c>
      <c r="M634" s="2"/>
      <c r="N634" s="2">
        <v>1</v>
      </c>
      <c r="O634" s="2"/>
      <c r="P634" s="3" t="s">
        <v>1615</v>
      </c>
      <c r="Q634" s="95">
        <f t="shared" si="64"/>
        <v>4.4674509803921572</v>
      </c>
      <c r="R634" s="133">
        <f>IF(P634=模板计算相关数据!$AB$24,VLOOKUP(X634,模板计算相关数据!$P$47:$T$50,2,0),VLOOKUP(X634,模板计算相关数据!$P$4:$U$7,3,0))*VLOOKUP(Y634,模板计算相关数据!$P$22:$X$30,8,0)</f>
        <v>4.4674509803921572</v>
      </c>
      <c r="S634" s="62">
        <f t="shared" si="65"/>
        <v>5.4739930589768004</v>
      </c>
      <c r="T634" s="133">
        <f>IF(P634=模板计算相关数据!$AB$24,VLOOKUP(X634,模板计算相关数据!$P$47:$T$50,5,0),VLOOKUP(X634,模板计算相关数据!$P$4:$U$7,6,0))*VLOOKUP(Y634,模板计算相关数据!$P$22:$X$30,9,0)</f>
        <v>5.4739930589768004</v>
      </c>
      <c r="U634" s="98">
        <v>1</v>
      </c>
      <c r="V634" s="95">
        <f t="shared" si="66"/>
        <v>4</v>
      </c>
      <c r="W634" s="29">
        <f>VLOOKUP(U634,模板计算相关数据!A:N,2,0)</f>
        <v>1</v>
      </c>
      <c r="X634" s="3" t="s">
        <v>151</v>
      </c>
      <c r="Y634" s="3" t="s">
        <v>162</v>
      </c>
      <c r="Z634" s="99">
        <v>1</v>
      </c>
      <c r="AA634" s="95">
        <v>1</v>
      </c>
      <c r="AB634" s="95">
        <v>1</v>
      </c>
      <c r="AC634" s="95">
        <v>1</v>
      </c>
      <c r="AD634" s="95">
        <v>0</v>
      </c>
      <c r="AE634" s="95">
        <v>0</v>
      </c>
      <c r="AF634" s="95">
        <v>0</v>
      </c>
      <c r="AG634" s="95">
        <v>0</v>
      </c>
      <c r="AH634" s="95">
        <v>0</v>
      </c>
      <c r="AI634" s="95">
        <v>0</v>
      </c>
      <c r="AJ634" s="3">
        <f>INT(VLOOKUP(U634,模板计算相关数据!A:N,4,0)*VLOOKUP(U634,模板计算相关数据!A:N,14,0)*(1+MAX(0,(VLOOKUP(U634,模板计算相关数据!A:N,7,0)-AQ634))*VLOOKUP(U634,模板计算相关数据!A:N,8,0))*(1-(AL634+AM634)*0.5/((AL634+AM634)*0.5+(VLOOKUP(U634,模板计算相关数据!A:N,2,0)+模板计算相关数据!$AC$27)*模板计算相关数据!$AC$28))*Q634*Z634)</f>
        <v>328</v>
      </c>
      <c r="AK634" s="3">
        <f>INT(VLOOKUP(U634,模板计算相关数据!A:N,3,0)/模板计算相关数据!$W$35/(1+MAX(0,(AO634/10000-VLOOKUP(U634,模板计算相关数据!A:N,9,0)))*AP634/10000)/(1-VLOOKUP(U634,模板计算相关数据!A:N,5,0)/(VLOOKUP(U634,模板计算相关数据!A:N,5,0)+(VLOOKUP(U634,模板计算相关数据!A:N,2,0)+模板计算相关数据!$AC$27)*模板计算相关数据!$AC$28))/S634*AA634)</f>
        <v>101</v>
      </c>
      <c r="AL634" s="3">
        <f>INT(VLOOKUP(U634,模板计算相关数据!A:N,5,0)*VLOOKUP(X634,模板计算相关数据!$P$4:$T$7,4,0)*VLOOKUP(Y634,模板计算相关数据!$P$22:$U$30,4,0)*AB634)</f>
        <v>136</v>
      </c>
      <c r="AM634" s="3">
        <f>INT(VLOOKUP(U634,模板计算相关数据!A:N,6,0)*VLOOKUP(X634,模板计算相关数据!$P$4:$T$7,4,0)*VLOOKUP(Y634,模板计算相关数据!$P$22:$U$30,5,0)*AC634)</f>
        <v>230</v>
      </c>
      <c r="AN634" s="3">
        <f>VLOOKUP(U634,模板计算相关数据!A:N,10,0)*0.5*VLOOKUP(Y634,模板计算相关数据!$P$22:$U$30,6,0)+AD634</f>
        <v>250</v>
      </c>
      <c r="AO634" s="3">
        <f>VLOOKUP(INT(VLOOKUP(U634,模板计算相关数据!A:N,2,0)/30)+1,模板计算相关数据!$O$35:$U$40,3,0)+AE634</f>
        <v>0</v>
      </c>
      <c r="AP634" s="3">
        <f>VLOOKUP(INT(VLOOKUP(U634,模板计算相关数据!A:N,2,0)/30)+1,模板计算相关数据!$O$35:$U$40,4,0)+AF634</f>
        <v>5000</v>
      </c>
      <c r="AQ634" s="3">
        <f>VLOOKUP(INT(VLOOKUP(U634,模板计算相关数据!A:N,2,0)/30)+1,模板计算相关数据!$O$35:$U$40,5,0)+AG634</f>
        <v>0</v>
      </c>
      <c r="AR634" s="3">
        <f>VLOOKUP(INT(VLOOKUP(U634,模板计算相关数据!A:N,2,0)/30)+1,模板计算相关数据!$O$35:$U$40,6,0)+AH634</f>
        <v>0</v>
      </c>
      <c r="AS634" s="3">
        <f>VLOOKUP(INT(VLOOKUP(U634,模板计算相关数据!A:N,2,0)/30)+1,模板计算相关数据!$O$35:$U$40,7,0)+AI634</f>
        <v>0</v>
      </c>
      <c r="AT634" s="3">
        <f>VLOOKUP(INT(VLOOKUP(U634,模板计算相关数据!A:N,2,0)/30)+1,模板计算相关数据!$O$35:$V$40,8,0)</f>
        <v>0</v>
      </c>
      <c r="AU634" s="2"/>
    </row>
    <row r="635" spans="1:47" x14ac:dyDescent="0.2">
      <c r="A635" s="2">
        <v>307575</v>
      </c>
      <c r="B635" s="2"/>
      <c r="C635" s="2" t="s">
        <v>162</v>
      </c>
      <c r="D635" s="2" t="s">
        <v>1199</v>
      </c>
      <c r="E635" s="2"/>
      <c r="F635" s="127">
        <v>3</v>
      </c>
      <c r="G635" s="127">
        <v>101</v>
      </c>
      <c r="H635" s="3">
        <v>4</v>
      </c>
      <c r="I635" s="127">
        <v>5</v>
      </c>
      <c r="J635" s="127">
        <v>1</v>
      </c>
      <c r="K635" s="3"/>
      <c r="L635" s="2" t="s">
        <v>448</v>
      </c>
      <c r="M635" s="2"/>
      <c r="N635" s="2">
        <v>1</v>
      </c>
      <c r="O635" s="2"/>
      <c r="P635" s="3" t="s">
        <v>1615</v>
      </c>
      <c r="Q635" s="95">
        <f t="shared" si="64"/>
        <v>4.4674509803921572</v>
      </c>
      <c r="R635" s="133">
        <f>IF(P635=模板计算相关数据!$AB$24,VLOOKUP(X635,模板计算相关数据!$P$47:$T$50,2,0),VLOOKUP(X635,模板计算相关数据!$P$4:$U$7,3,0))*VLOOKUP(Y635,模板计算相关数据!$P$22:$X$30,8,0)</f>
        <v>4.4674509803921572</v>
      </c>
      <c r="S635" s="62">
        <f t="shared" si="65"/>
        <v>5.4739930589768004</v>
      </c>
      <c r="T635" s="133">
        <f>IF(P635=模板计算相关数据!$AB$24,VLOOKUP(X635,模板计算相关数据!$P$47:$T$50,5,0),VLOOKUP(X635,模板计算相关数据!$P$4:$U$7,6,0))*VLOOKUP(Y635,模板计算相关数据!$P$22:$X$30,9,0)</f>
        <v>5.4739930589768004</v>
      </c>
      <c r="U635" s="98">
        <v>1</v>
      </c>
      <c r="V635" s="95">
        <f t="shared" si="66"/>
        <v>4</v>
      </c>
      <c r="W635" s="29">
        <f>VLOOKUP(U635,模板计算相关数据!A:N,2,0)</f>
        <v>1</v>
      </c>
      <c r="X635" s="3" t="s">
        <v>151</v>
      </c>
      <c r="Y635" s="3" t="s">
        <v>162</v>
      </c>
      <c r="Z635" s="99">
        <v>1</v>
      </c>
      <c r="AA635" s="95">
        <v>1</v>
      </c>
      <c r="AB635" s="95">
        <v>1</v>
      </c>
      <c r="AC635" s="95">
        <v>1</v>
      </c>
      <c r="AD635" s="95">
        <v>0</v>
      </c>
      <c r="AE635" s="95">
        <v>0</v>
      </c>
      <c r="AF635" s="95">
        <v>0</v>
      </c>
      <c r="AG635" s="95">
        <v>0</v>
      </c>
      <c r="AH635" s="95">
        <v>0</v>
      </c>
      <c r="AI635" s="95">
        <v>0</v>
      </c>
      <c r="AJ635" s="3">
        <f>INT(VLOOKUP(U635,模板计算相关数据!A:N,4,0)*VLOOKUP(U635,模板计算相关数据!A:N,14,0)*(1+MAX(0,(VLOOKUP(U635,模板计算相关数据!A:N,7,0)-AQ635))*VLOOKUP(U635,模板计算相关数据!A:N,8,0))*(1-(AL635+AM635)*0.5/((AL635+AM635)*0.5+(VLOOKUP(U635,模板计算相关数据!A:N,2,0)+模板计算相关数据!$AC$27)*模板计算相关数据!$AC$28))*Q635*Z635)</f>
        <v>328</v>
      </c>
      <c r="AK635" s="3">
        <f>INT(VLOOKUP(U635,模板计算相关数据!A:N,3,0)/模板计算相关数据!$W$35/(1+MAX(0,(AO635/10000-VLOOKUP(U635,模板计算相关数据!A:N,9,0)))*AP635/10000)/(1-VLOOKUP(U635,模板计算相关数据!A:N,5,0)/(VLOOKUP(U635,模板计算相关数据!A:N,5,0)+(VLOOKUP(U635,模板计算相关数据!A:N,2,0)+模板计算相关数据!$AC$27)*模板计算相关数据!$AC$28))/S635*AA635)</f>
        <v>101</v>
      </c>
      <c r="AL635" s="3">
        <f>INT(VLOOKUP(U635,模板计算相关数据!A:N,5,0)*VLOOKUP(X635,模板计算相关数据!$P$4:$T$7,4,0)*VLOOKUP(Y635,模板计算相关数据!$P$22:$U$30,4,0)*AB635)</f>
        <v>136</v>
      </c>
      <c r="AM635" s="3">
        <f>INT(VLOOKUP(U635,模板计算相关数据!A:N,6,0)*VLOOKUP(X635,模板计算相关数据!$P$4:$T$7,4,0)*VLOOKUP(Y635,模板计算相关数据!$P$22:$U$30,5,0)*AC635)</f>
        <v>230</v>
      </c>
      <c r="AN635" s="3">
        <f>VLOOKUP(U635,模板计算相关数据!A:N,10,0)*0.5*VLOOKUP(Y635,模板计算相关数据!$P$22:$U$30,6,0)+AD635</f>
        <v>250</v>
      </c>
      <c r="AO635" s="3">
        <f>VLOOKUP(INT(VLOOKUP(U635,模板计算相关数据!A:N,2,0)/30)+1,模板计算相关数据!$O$35:$U$40,3,0)+AE635</f>
        <v>0</v>
      </c>
      <c r="AP635" s="3">
        <f>VLOOKUP(INT(VLOOKUP(U635,模板计算相关数据!A:N,2,0)/30)+1,模板计算相关数据!$O$35:$U$40,4,0)+AF635</f>
        <v>5000</v>
      </c>
      <c r="AQ635" s="3">
        <f>VLOOKUP(INT(VLOOKUP(U635,模板计算相关数据!A:N,2,0)/30)+1,模板计算相关数据!$O$35:$U$40,5,0)+AG635</f>
        <v>0</v>
      </c>
      <c r="AR635" s="3">
        <f>VLOOKUP(INT(VLOOKUP(U635,模板计算相关数据!A:N,2,0)/30)+1,模板计算相关数据!$O$35:$U$40,6,0)+AH635</f>
        <v>0</v>
      </c>
      <c r="AS635" s="3">
        <f>VLOOKUP(INT(VLOOKUP(U635,模板计算相关数据!A:N,2,0)/30)+1,模板计算相关数据!$O$35:$U$40,7,0)+AI635</f>
        <v>0</v>
      </c>
      <c r="AT635" s="3">
        <f>VLOOKUP(INT(VLOOKUP(U635,模板计算相关数据!A:N,2,0)/30)+1,模板计算相关数据!$O$35:$V$40,8,0)</f>
        <v>0</v>
      </c>
      <c r="AU635" s="2"/>
    </row>
    <row r="636" spans="1:47" x14ac:dyDescent="0.2">
      <c r="A636" s="2">
        <v>307576</v>
      </c>
      <c r="B636" s="2"/>
      <c r="C636" s="2" t="s">
        <v>162</v>
      </c>
      <c r="D636" s="2" t="s">
        <v>1200</v>
      </c>
      <c r="E636" s="2"/>
      <c r="F636" s="127">
        <v>3</v>
      </c>
      <c r="G636" s="127">
        <v>101</v>
      </c>
      <c r="H636" s="3">
        <v>4</v>
      </c>
      <c r="I636" s="127">
        <v>5</v>
      </c>
      <c r="J636" s="127">
        <v>1</v>
      </c>
      <c r="K636" s="3"/>
      <c r="L636" s="2" t="s">
        <v>449</v>
      </c>
      <c r="M636" s="2"/>
      <c r="N636" s="2">
        <v>1</v>
      </c>
      <c r="O636" s="2"/>
      <c r="P636" s="3" t="s">
        <v>1615</v>
      </c>
      <c r="Q636" s="95">
        <f t="shared" si="64"/>
        <v>4.4674509803921572</v>
      </c>
      <c r="R636" s="133">
        <f>IF(P636=模板计算相关数据!$AB$24,VLOOKUP(X636,模板计算相关数据!$P$47:$T$50,2,0),VLOOKUP(X636,模板计算相关数据!$P$4:$U$7,3,0))*VLOOKUP(Y636,模板计算相关数据!$P$22:$X$30,8,0)</f>
        <v>4.4674509803921572</v>
      </c>
      <c r="S636" s="62">
        <f t="shared" si="65"/>
        <v>5.4739930589768004</v>
      </c>
      <c r="T636" s="133">
        <f>IF(P636=模板计算相关数据!$AB$24,VLOOKUP(X636,模板计算相关数据!$P$47:$T$50,5,0),VLOOKUP(X636,模板计算相关数据!$P$4:$U$7,6,0))*VLOOKUP(Y636,模板计算相关数据!$P$22:$X$30,9,0)</f>
        <v>5.4739930589768004</v>
      </c>
      <c r="U636" s="98">
        <v>1</v>
      </c>
      <c r="V636" s="95">
        <f t="shared" si="66"/>
        <v>4</v>
      </c>
      <c r="W636" s="29">
        <f>VLOOKUP(U636,模板计算相关数据!A:N,2,0)</f>
        <v>1</v>
      </c>
      <c r="X636" s="3" t="s">
        <v>151</v>
      </c>
      <c r="Y636" s="3" t="s">
        <v>162</v>
      </c>
      <c r="Z636" s="99">
        <v>1</v>
      </c>
      <c r="AA636" s="95">
        <v>1</v>
      </c>
      <c r="AB636" s="95">
        <v>1</v>
      </c>
      <c r="AC636" s="95">
        <v>1</v>
      </c>
      <c r="AD636" s="95">
        <v>0</v>
      </c>
      <c r="AE636" s="95">
        <v>0</v>
      </c>
      <c r="AF636" s="95">
        <v>0</v>
      </c>
      <c r="AG636" s="95">
        <v>0</v>
      </c>
      <c r="AH636" s="95">
        <v>0</v>
      </c>
      <c r="AI636" s="95">
        <v>0</v>
      </c>
      <c r="AJ636" s="3">
        <f>INT(VLOOKUP(U636,模板计算相关数据!A:N,4,0)*VLOOKUP(U636,模板计算相关数据!A:N,14,0)*(1+MAX(0,(VLOOKUP(U636,模板计算相关数据!A:N,7,0)-AQ636))*VLOOKUP(U636,模板计算相关数据!A:N,8,0))*(1-(AL636+AM636)*0.5/((AL636+AM636)*0.5+(VLOOKUP(U636,模板计算相关数据!A:N,2,0)+模板计算相关数据!$AC$27)*模板计算相关数据!$AC$28))*Q636*Z636)</f>
        <v>328</v>
      </c>
      <c r="AK636" s="3">
        <f>INT(VLOOKUP(U636,模板计算相关数据!A:N,3,0)/模板计算相关数据!$W$35/(1+MAX(0,(AO636/10000-VLOOKUP(U636,模板计算相关数据!A:N,9,0)))*AP636/10000)/(1-VLOOKUP(U636,模板计算相关数据!A:N,5,0)/(VLOOKUP(U636,模板计算相关数据!A:N,5,0)+(VLOOKUP(U636,模板计算相关数据!A:N,2,0)+模板计算相关数据!$AC$27)*模板计算相关数据!$AC$28))/S636*AA636)</f>
        <v>101</v>
      </c>
      <c r="AL636" s="3">
        <f>INT(VLOOKUP(U636,模板计算相关数据!A:N,5,0)*VLOOKUP(X636,模板计算相关数据!$P$4:$T$7,4,0)*VLOOKUP(Y636,模板计算相关数据!$P$22:$U$30,4,0)*AB636)</f>
        <v>136</v>
      </c>
      <c r="AM636" s="3">
        <f>INT(VLOOKUP(U636,模板计算相关数据!A:N,6,0)*VLOOKUP(X636,模板计算相关数据!$P$4:$T$7,4,0)*VLOOKUP(Y636,模板计算相关数据!$P$22:$U$30,5,0)*AC636)</f>
        <v>230</v>
      </c>
      <c r="AN636" s="3">
        <f>VLOOKUP(U636,模板计算相关数据!A:N,10,0)*0.5*VLOOKUP(Y636,模板计算相关数据!$P$22:$U$30,6,0)+AD636</f>
        <v>250</v>
      </c>
      <c r="AO636" s="3">
        <f>VLOOKUP(INT(VLOOKUP(U636,模板计算相关数据!A:N,2,0)/30)+1,模板计算相关数据!$O$35:$U$40,3,0)+AE636</f>
        <v>0</v>
      </c>
      <c r="AP636" s="3">
        <f>VLOOKUP(INT(VLOOKUP(U636,模板计算相关数据!A:N,2,0)/30)+1,模板计算相关数据!$O$35:$U$40,4,0)+AF636</f>
        <v>5000</v>
      </c>
      <c r="AQ636" s="3">
        <f>VLOOKUP(INT(VLOOKUP(U636,模板计算相关数据!A:N,2,0)/30)+1,模板计算相关数据!$O$35:$U$40,5,0)+AG636</f>
        <v>0</v>
      </c>
      <c r="AR636" s="3">
        <f>VLOOKUP(INT(VLOOKUP(U636,模板计算相关数据!A:N,2,0)/30)+1,模板计算相关数据!$O$35:$U$40,6,0)+AH636</f>
        <v>0</v>
      </c>
      <c r="AS636" s="3">
        <f>VLOOKUP(INT(VLOOKUP(U636,模板计算相关数据!A:N,2,0)/30)+1,模板计算相关数据!$O$35:$U$40,7,0)+AI636</f>
        <v>0</v>
      </c>
      <c r="AT636" s="3">
        <f>VLOOKUP(INT(VLOOKUP(U636,模板计算相关数据!A:N,2,0)/30)+1,模板计算相关数据!$O$35:$V$40,8,0)</f>
        <v>0</v>
      </c>
      <c r="AU636" s="2"/>
    </row>
    <row r="637" spans="1:47" x14ac:dyDescent="0.2">
      <c r="A637" s="2">
        <v>307577</v>
      </c>
      <c r="B637" s="2"/>
      <c r="C637" s="2" t="s">
        <v>152</v>
      </c>
      <c r="D637" s="2" t="s">
        <v>1198</v>
      </c>
      <c r="E637" s="2"/>
      <c r="F637" s="127">
        <v>3</v>
      </c>
      <c r="G637" s="127">
        <v>101</v>
      </c>
      <c r="H637" s="3">
        <v>1</v>
      </c>
      <c r="I637" s="127">
        <v>5</v>
      </c>
      <c r="J637" s="127">
        <v>1</v>
      </c>
      <c r="K637" s="3"/>
      <c r="L637" s="2" t="s">
        <v>450</v>
      </c>
      <c r="M637" s="2"/>
      <c r="N637" s="2">
        <v>1</v>
      </c>
      <c r="O637" s="2"/>
      <c r="P637" s="3" t="s">
        <v>1615</v>
      </c>
      <c r="Q637" s="95">
        <f t="shared" si="64"/>
        <v>4.417254901960785</v>
      </c>
      <c r="R637" s="133">
        <f>IF(P637=模板计算相关数据!$AB$24,VLOOKUP(X637,模板计算相关数据!$P$47:$T$50,2,0),VLOOKUP(X637,模板计算相关数据!$P$4:$U$7,3,0))*VLOOKUP(Y637,模板计算相关数据!$P$22:$X$30,8,0)</f>
        <v>4.417254901960785</v>
      </c>
      <c r="S637" s="62">
        <f t="shared" si="65"/>
        <v>5.4285280003474252</v>
      </c>
      <c r="T637" s="133">
        <f>IF(P637=模板计算相关数据!$AB$24,VLOOKUP(X637,模板计算相关数据!$P$47:$T$50,5,0),VLOOKUP(X637,模板计算相关数据!$P$4:$U$7,6,0))*VLOOKUP(Y637,模板计算相关数据!$P$22:$X$30,9,0)</f>
        <v>5.4285280003474252</v>
      </c>
      <c r="U637" s="98">
        <v>1</v>
      </c>
      <c r="V637" s="95">
        <f t="shared" si="66"/>
        <v>4</v>
      </c>
      <c r="W637" s="29">
        <f>VLOOKUP(U637,模板计算相关数据!A:N,2,0)</f>
        <v>1</v>
      </c>
      <c r="X637" s="3" t="s">
        <v>151</v>
      </c>
      <c r="Y637" s="3" t="s">
        <v>152</v>
      </c>
      <c r="Z637" s="99">
        <v>1</v>
      </c>
      <c r="AA637" s="95">
        <v>1</v>
      </c>
      <c r="AB637" s="95">
        <v>1</v>
      </c>
      <c r="AC637" s="95">
        <v>1</v>
      </c>
      <c r="AD637" s="95">
        <v>0</v>
      </c>
      <c r="AE637" s="95">
        <v>0</v>
      </c>
      <c r="AF637" s="95">
        <v>0</v>
      </c>
      <c r="AG637" s="95">
        <v>0</v>
      </c>
      <c r="AH637" s="95">
        <v>0</v>
      </c>
      <c r="AI637" s="95">
        <v>0</v>
      </c>
      <c r="AJ637" s="3">
        <f>INT(VLOOKUP(U637,模板计算相关数据!A:N,4,0)*VLOOKUP(U637,模板计算相关数据!A:N,14,0)*(1+MAX(0,(VLOOKUP(U637,模板计算相关数据!A:N,7,0)-AQ637))*VLOOKUP(U637,模板计算相关数据!A:N,8,0))*(1-(AL637+AM637)*0.5/((AL637+AM637)*0.5+(VLOOKUP(U637,模板计算相关数据!A:N,2,0)+模板计算相关数据!$AC$27)*模板计算相关数据!$AC$28))*Q637*Z637)</f>
        <v>325</v>
      </c>
      <c r="AK637" s="3">
        <f>INT(VLOOKUP(U637,模板计算相关数据!A:N,3,0)/模板计算相关数据!$W$35/(1+MAX(0,(AO637/10000-VLOOKUP(U637,模板计算相关数据!A:N,9,0)))*AP637/10000)/(1-VLOOKUP(U637,模板计算相关数据!A:N,5,0)/(VLOOKUP(U637,模板计算相关数据!A:N,5,0)+(VLOOKUP(U637,模板计算相关数据!A:N,2,0)+模板计算相关数据!$AC$27)*模板计算相关数据!$AC$28))/S637*AA637)</f>
        <v>102</v>
      </c>
      <c r="AL637" s="3">
        <f>INT(VLOOKUP(U637,模板计算相关数据!A:N,5,0)*VLOOKUP(X637,模板计算相关数据!$P$4:$T$7,4,0)*VLOOKUP(Y637,模板计算相关数据!$P$22:$U$30,4,0)*AB637)</f>
        <v>230</v>
      </c>
      <c r="AM637" s="3">
        <f>INT(VLOOKUP(U637,模板计算相关数据!A:N,6,0)*VLOOKUP(X637,模板计算相关数据!$P$4:$T$7,4,0)*VLOOKUP(Y637,模板计算相关数据!$P$22:$U$30,5,0)*AC637)</f>
        <v>136</v>
      </c>
      <c r="AN637" s="3">
        <f>VLOOKUP(U637,模板计算相关数据!A:N,10,0)*0.5*VLOOKUP(Y637,模板计算相关数据!$P$22:$U$30,6,0)+AD637</f>
        <v>250</v>
      </c>
      <c r="AO637" s="3">
        <f>VLOOKUP(INT(VLOOKUP(U637,模板计算相关数据!A:N,2,0)/30)+1,模板计算相关数据!$O$35:$U$40,3,0)+AE637</f>
        <v>0</v>
      </c>
      <c r="AP637" s="3">
        <f>VLOOKUP(INT(VLOOKUP(U637,模板计算相关数据!A:N,2,0)/30)+1,模板计算相关数据!$O$35:$U$40,4,0)+AF637</f>
        <v>5000</v>
      </c>
      <c r="AQ637" s="3">
        <f>VLOOKUP(INT(VLOOKUP(U637,模板计算相关数据!A:N,2,0)/30)+1,模板计算相关数据!$O$35:$U$40,5,0)+AG637</f>
        <v>0</v>
      </c>
      <c r="AR637" s="3">
        <f>VLOOKUP(INT(VLOOKUP(U637,模板计算相关数据!A:N,2,0)/30)+1,模板计算相关数据!$O$35:$U$40,6,0)+AH637</f>
        <v>0</v>
      </c>
      <c r="AS637" s="3">
        <f>VLOOKUP(INT(VLOOKUP(U637,模板计算相关数据!A:N,2,0)/30)+1,模板计算相关数据!$O$35:$U$40,7,0)+AI637</f>
        <v>0</v>
      </c>
      <c r="AT637" s="3">
        <f>VLOOKUP(INT(VLOOKUP(U637,模板计算相关数据!A:N,2,0)/30)+1,模板计算相关数据!$O$35:$V$40,8,0)</f>
        <v>0</v>
      </c>
      <c r="AU637" s="2"/>
    </row>
    <row r="638" spans="1:47" x14ac:dyDescent="0.2">
      <c r="A638" s="2">
        <v>307578</v>
      </c>
      <c r="B638" s="2"/>
      <c r="C638" s="2" t="s">
        <v>152</v>
      </c>
      <c r="D638" s="2" t="s">
        <v>1199</v>
      </c>
      <c r="E638" s="2"/>
      <c r="F638" s="127">
        <v>3</v>
      </c>
      <c r="G638" s="127">
        <v>101</v>
      </c>
      <c r="H638" s="3">
        <v>1</v>
      </c>
      <c r="I638" s="127">
        <v>5</v>
      </c>
      <c r="J638" s="127">
        <v>1</v>
      </c>
      <c r="K638" s="3"/>
      <c r="L638" s="2" t="s">
        <v>451</v>
      </c>
      <c r="M638" s="2"/>
      <c r="N638" s="2">
        <v>1</v>
      </c>
      <c r="O638" s="2"/>
      <c r="P638" s="3" t="s">
        <v>1615</v>
      </c>
      <c r="Q638" s="95">
        <f t="shared" si="64"/>
        <v>4.417254901960785</v>
      </c>
      <c r="R638" s="133">
        <f>IF(P638=模板计算相关数据!$AB$24,VLOOKUP(X638,模板计算相关数据!$P$47:$T$50,2,0),VLOOKUP(X638,模板计算相关数据!$P$4:$U$7,3,0))*VLOOKUP(Y638,模板计算相关数据!$P$22:$X$30,8,0)</f>
        <v>4.417254901960785</v>
      </c>
      <c r="S638" s="62">
        <f t="shared" si="65"/>
        <v>5.4285280003474252</v>
      </c>
      <c r="T638" s="133">
        <f>IF(P638=模板计算相关数据!$AB$24,VLOOKUP(X638,模板计算相关数据!$P$47:$T$50,5,0),VLOOKUP(X638,模板计算相关数据!$P$4:$U$7,6,0))*VLOOKUP(Y638,模板计算相关数据!$P$22:$X$30,9,0)</f>
        <v>5.4285280003474252</v>
      </c>
      <c r="U638" s="98">
        <v>1</v>
      </c>
      <c r="V638" s="95">
        <f t="shared" si="66"/>
        <v>4</v>
      </c>
      <c r="W638" s="29">
        <f>VLOOKUP(U638,模板计算相关数据!A:N,2,0)</f>
        <v>1</v>
      </c>
      <c r="X638" s="3" t="s">
        <v>151</v>
      </c>
      <c r="Y638" s="3" t="s">
        <v>152</v>
      </c>
      <c r="Z638" s="99">
        <v>1</v>
      </c>
      <c r="AA638" s="95">
        <v>1</v>
      </c>
      <c r="AB638" s="95">
        <v>1</v>
      </c>
      <c r="AC638" s="95">
        <v>1</v>
      </c>
      <c r="AD638" s="95">
        <v>0</v>
      </c>
      <c r="AE638" s="95">
        <v>0</v>
      </c>
      <c r="AF638" s="95">
        <v>0</v>
      </c>
      <c r="AG638" s="95">
        <v>0</v>
      </c>
      <c r="AH638" s="95">
        <v>0</v>
      </c>
      <c r="AI638" s="95">
        <v>0</v>
      </c>
      <c r="AJ638" s="3">
        <f>INT(VLOOKUP(U638,模板计算相关数据!A:N,4,0)*VLOOKUP(U638,模板计算相关数据!A:N,14,0)*(1+MAX(0,(VLOOKUP(U638,模板计算相关数据!A:N,7,0)-AQ638))*VLOOKUP(U638,模板计算相关数据!A:N,8,0))*(1-(AL638+AM638)*0.5/((AL638+AM638)*0.5+(VLOOKUP(U638,模板计算相关数据!A:N,2,0)+模板计算相关数据!$AC$27)*模板计算相关数据!$AC$28))*Q638*Z638)</f>
        <v>325</v>
      </c>
      <c r="AK638" s="3">
        <f>INT(VLOOKUP(U638,模板计算相关数据!A:N,3,0)/模板计算相关数据!$W$35/(1+MAX(0,(AO638/10000-VLOOKUP(U638,模板计算相关数据!A:N,9,0)))*AP638/10000)/(1-VLOOKUP(U638,模板计算相关数据!A:N,5,0)/(VLOOKUP(U638,模板计算相关数据!A:N,5,0)+(VLOOKUP(U638,模板计算相关数据!A:N,2,0)+模板计算相关数据!$AC$27)*模板计算相关数据!$AC$28))/S638*AA638)</f>
        <v>102</v>
      </c>
      <c r="AL638" s="3">
        <f>INT(VLOOKUP(U638,模板计算相关数据!A:N,5,0)*VLOOKUP(X638,模板计算相关数据!$P$4:$T$7,4,0)*VLOOKUP(Y638,模板计算相关数据!$P$22:$U$30,4,0)*AB638)</f>
        <v>230</v>
      </c>
      <c r="AM638" s="3">
        <f>INT(VLOOKUP(U638,模板计算相关数据!A:N,6,0)*VLOOKUP(X638,模板计算相关数据!$P$4:$T$7,4,0)*VLOOKUP(Y638,模板计算相关数据!$P$22:$U$30,5,0)*AC638)</f>
        <v>136</v>
      </c>
      <c r="AN638" s="3">
        <f>VLOOKUP(U638,模板计算相关数据!A:N,10,0)*0.5*VLOOKUP(Y638,模板计算相关数据!$P$22:$U$30,6,0)+AD638</f>
        <v>250</v>
      </c>
      <c r="AO638" s="3">
        <f>VLOOKUP(INT(VLOOKUP(U638,模板计算相关数据!A:N,2,0)/30)+1,模板计算相关数据!$O$35:$U$40,3,0)+AE638</f>
        <v>0</v>
      </c>
      <c r="AP638" s="3">
        <f>VLOOKUP(INT(VLOOKUP(U638,模板计算相关数据!A:N,2,0)/30)+1,模板计算相关数据!$O$35:$U$40,4,0)+AF638</f>
        <v>5000</v>
      </c>
      <c r="AQ638" s="3">
        <f>VLOOKUP(INT(VLOOKUP(U638,模板计算相关数据!A:N,2,0)/30)+1,模板计算相关数据!$O$35:$U$40,5,0)+AG638</f>
        <v>0</v>
      </c>
      <c r="AR638" s="3">
        <f>VLOOKUP(INT(VLOOKUP(U638,模板计算相关数据!A:N,2,0)/30)+1,模板计算相关数据!$O$35:$U$40,6,0)+AH638</f>
        <v>0</v>
      </c>
      <c r="AS638" s="3">
        <f>VLOOKUP(INT(VLOOKUP(U638,模板计算相关数据!A:N,2,0)/30)+1,模板计算相关数据!$O$35:$U$40,7,0)+AI638</f>
        <v>0</v>
      </c>
      <c r="AT638" s="3">
        <f>VLOOKUP(INT(VLOOKUP(U638,模板计算相关数据!A:N,2,0)/30)+1,模板计算相关数据!$O$35:$V$40,8,0)</f>
        <v>0</v>
      </c>
      <c r="AU638" s="2"/>
    </row>
    <row r="639" spans="1:47" x14ac:dyDescent="0.2">
      <c r="A639" s="2">
        <v>307579</v>
      </c>
      <c r="B639" s="2"/>
      <c r="C639" s="2" t="s">
        <v>152</v>
      </c>
      <c r="D639" s="2" t="s">
        <v>1200</v>
      </c>
      <c r="E639" s="2"/>
      <c r="F639" s="127">
        <v>3</v>
      </c>
      <c r="G639" s="127">
        <v>101</v>
      </c>
      <c r="H639" s="3">
        <v>1</v>
      </c>
      <c r="I639" s="127">
        <v>5</v>
      </c>
      <c r="J639" s="127">
        <v>1</v>
      </c>
      <c r="K639" s="3"/>
      <c r="L639" s="2" t="s">
        <v>452</v>
      </c>
      <c r="M639" s="2"/>
      <c r="N639" s="2">
        <v>1</v>
      </c>
      <c r="O639" s="2"/>
      <c r="P639" s="3" t="s">
        <v>1615</v>
      </c>
      <c r="Q639" s="95">
        <f t="shared" si="64"/>
        <v>4.417254901960785</v>
      </c>
      <c r="R639" s="133">
        <f>IF(P639=模板计算相关数据!$AB$24,VLOOKUP(X639,模板计算相关数据!$P$47:$T$50,2,0),VLOOKUP(X639,模板计算相关数据!$P$4:$U$7,3,0))*VLOOKUP(Y639,模板计算相关数据!$P$22:$X$30,8,0)</f>
        <v>4.417254901960785</v>
      </c>
      <c r="S639" s="62">
        <f t="shared" si="65"/>
        <v>5.4285280003474252</v>
      </c>
      <c r="T639" s="133">
        <f>IF(P639=模板计算相关数据!$AB$24,VLOOKUP(X639,模板计算相关数据!$P$47:$T$50,5,0),VLOOKUP(X639,模板计算相关数据!$P$4:$U$7,6,0))*VLOOKUP(Y639,模板计算相关数据!$P$22:$X$30,9,0)</f>
        <v>5.4285280003474252</v>
      </c>
      <c r="U639" s="98">
        <v>1</v>
      </c>
      <c r="V639" s="95">
        <f t="shared" si="66"/>
        <v>4</v>
      </c>
      <c r="W639" s="29">
        <f>VLOOKUP(U639,模板计算相关数据!A:N,2,0)</f>
        <v>1</v>
      </c>
      <c r="X639" s="3" t="s">
        <v>151</v>
      </c>
      <c r="Y639" s="3" t="s">
        <v>152</v>
      </c>
      <c r="Z639" s="99">
        <v>1</v>
      </c>
      <c r="AA639" s="95">
        <v>1</v>
      </c>
      <c r="AB639" s="95">
        <v>1</v>
      </c>
      <c r="AC639" s="95">
        <v>1</v>
      </c>
      <c r="AD639" s="95">
        <v>0</v>
      </c>
      <c r="AE639" s="95">
        <v>0</v>
      </c>
      <c r="AF639" s="95">
        <v>0</v>
      </c>
      <c r="AG639" s="95">
        <v>0</v>
      </c>
      <c r="AH639" s="95">
        <v>0</v>
      </c>
      <c r="AI639" s="95">
        <v>0</v>
      </c>
      <c r="AJ639" s="3">
        <f>INT(VLOOKUP(U639,模板计算相关数据!A:N,4,0)*VLOOKUP(U639,模板计算相关数据!A:N,14,0)*(1+MAX(0,(VLOOKUP(U639,模板计算相关数据!A:N,7,0)-AQ639))*VLOOKUP(U639,模板计算相关数据!A:N,8,0))*(1-(AL639+AM639)*0.5/((AL639+AM639)*0.5+(VLOOKUP(U639,模板计算相关数据!A:N,2,0)+模板计算相关数据!$AC$27)*模板计算相关数据!$AC$28))*Q639*Z639)</f>
        <v>325</v>
      </c>
      <c r="AK639" s="3">
        <f>INT(VLOOKUP(U639,模板计算相关数据!A:N,3,0)/模板计算相关数据!$W$35/(1+MAX(0,(AO639/10000-VLOOKUP(U639,模板计算相关数据!A:N,9,0)))*AP639/10000)/(1-VLOOKUP(U639,模板计算相关数据!A:N,5,0)/(VLOOKUP(U639,模板计算相关数据!A:N,5,0)+(VLOOKUP(U639,模板计算相关数据!A:N,2,0)+模板计算相关数据!$AC$27)*模板计算相关数据!$AC$28))/S639*AA639)</f>
        <v>102</v>
      </c>
      <c r="AL639" s="3">
        <f>INT(VLOOKUP(U639,模板计算相关数据!A:N,5,0)*VLOOKUP(X639,模板计算相关数据!$P$4:$T$7,4,0)*VLOOKUP(Y639,模板计算相关数据!$P$22:$U$30,4,0)*AB639)</f>
        <v>230</v>
      </c>
      <c r="AM639" s="3">
        <f>INT(VLOOKUP(U639,模板计算相关数据!A:N,6,0)*VLOOKUP(X639,模板计算相关数据!$P$4:$T$7,4,0)*VLOOKUP(Y639,模板计算相关数据!$P$22:$U$30,5,0)*AC639)</f>
        <v>136</v>
      </c>
      <c r="AN639" s="3">
        <f>VLOOKUP(U639,模板计算相关数据!A:N,10,0)*0.5*VLOOKUP(Y639,模板计算相关数据!$P$22:$U$30,6,0)+AD639</f>
        <v>250</v>
      </c>
      <c r="AO639" s="3">
        <f>VLOOKUP(INT(VLOOKUP(U639,模板计算相关数据!A:N,2,0)/30)+1,模板计算相关数据!$O$35:$U$40,3,0)+AE639</f>
        <v>0</v>
      </c>
      <c r="AP639" s="3">
        <f>VLOOKUP(INT(VLOOKUP(U639,模板计算相关数据!A:N,2,0)/30)+1,模板计算相关数据!$O$35:$U$40,4,0)+AF639</f>
        <v>5000</v>
      </c>
      <c r="AQ639" s="3">
        <f>VLOOKUP(INT(VLOOKUP(U639,模板计算相关数据!A:N,2,0)/30)+1,模板计算相关数据!$O$35:$U$40,5,0)+AG639</f>
        <v>0</v>
      </c>
      <c r="AR639" s="3">
        <f>VLOOKUP(INT(VLOOKUP(U639,模板计算相关数据!A:N,2,0)/30)+1,模板计算相关数据!$O$35:$U$40,6,0)+AH639</f>
        <v>0</v>
      </c>
      <c r="AS639" s="3">
        <f>VLOOKUP(INT(VLOOKUP(U639,模板计算相关数据!A:N,2,0)/30)+1,模板计算相关数据!$O$35:$U$40,7,0)+AI639</f>
        <v>0</v>
      </c>
      <c r="AT639" s="3">
        <f>VLOOKUP(INT(VLOOKUP(U639,模板计算相关数据!A:N,2,0)/30)+1,模板计算相关数据!$O$35:$V$40,8,0)</f>
        <v>0</v>
      </c>
      <c r="AU639" s="2"/>
    </row>
    <row r="640" spans="1:47" x14ac:dyDescent="0.2">
      <c r="A640" s="2">
        <v>307580</v>
      </c>
      <c r="B640" s="2"/>
      <c r="C640" s="2" t="s">
        <v>326</v>
      </c>
      <c r="D640" s="2" t="s">
        <v>1198</v>
      </c>
      <c r="E640" s="2"/>
      <c r="F640" s="127">
        <v>3</v>
      </c>
      <c r="G640" s="127">
        <v>101</v>
      </c>
      <c r="H640" s="3">
        <v>5</v>
      </c>
      <c r="I640" s="127">
        <v>5</v>
      </c>
      <c r="J640" s="127">
        <v>1</v>
      </c>
      <c r="K640" s="3"/>
      <c r="L640" s="2" t="s">
        <v>453</v>
      </c>
      <c r="M640" s="2"/>
      <c r="N640" s="2">
        <v>1</v>
      </c>
      <c r="O640" s="2"/>
      <c r="P640" s="3" t="s">
        <v>1615</v>
      </c>
      <c r="Q640" s="95">
        <f t="shared" si="64"/>
        <v>5.7709803921568623</v>
      </c>
      <c r="R640" s="133">
        <f>IF(P640=模板计算相关数据!$AB$24,VLOOKUP(X640,模板计算相关数据!$P$47:$T$50,2,0),VLOOKUP(X640,模板计算相关数据!$P$4:$U$7,3,0))*VLOOKUP(Y640,模板计算相关数据!$P$22:$X$30,8,0)</f>
        <v>5.7709803921568623</v>
      </c>
      <c r="S640" s="62">
        <f t="shared" si="65"/>
        <v>6.4077918749199023</v>
      </c>
      <c r="T640" s="133">
        <f>IF(P640=模板计算相关数据!$AB$24,VLOOKUP(X640,模板计算相关数据!$P$47:$T$50,5,0),VLOOKUP(X640,模板计算相关数据!$P$4:$U$7,6,0))*VLOOKUP(Y640,模板计算相关数据!$P$22:$X$30,9,0)</f>
        <v>6.4077918749199023</v>
      </c>
      <c r="U640" s="98">
        <v>1</v>
      </c>
      <c r="V640" s="95">
        <f t="shared" si="66"/>
        <v>4</v>
      </c>
      <c r="W640" s="29">
        <f>VLOOKUP(U640,模板计算相关数据!A:N,2,0)</f>
        <v>1</v>
      </c>
      <c r="X640" s="3" t="s">
        <v>151</v>
      </c>
      <c r="Y640" s="3" t="s">
        <v>243</v>
      </c>
      <c r="Z640" s="99">
        <v>1</v>
      </c>
      <c r="AA640" s="95">
        <v>1</v>
      </c>
      <c r="AB640" s="95">
        <v>1</v>
      </c>
      <c r="AC640" s="95">
        <v>1</v>
      </c>
      <c r="AD640" s="95">
        <v>0</v>
      </c>
      <c r="AE640" s="95">
        <v>0</v>
      </c>
      <c r="AF640" s="95">
        <v>0</v>
      </c>
      <c r="AG640" s="95">
        <v>0</v>
      </c>
      <c r="AH640" s="95">
        <v>0</v>
      </c>
      <c r="AI640" s="95">
        <v>0</v>
      </c>
      <c r="AJ640" s="3">
        <f>INT(VLOOKUP(U640,模板计算相关数据!A:N,4,0)*VLOOKUP(U640,模板计算相关数据!A:N,14,0)*(1+MAX(0,(VLOOKUP(U640,模板计算相关数据!A:N,7,0)-AQ640))*VLOOKUP(U640,模板计算相关数据!A:N,8,0))*(1-(AL640+AM640)*0.5/((AL640+AM640)*0.5+(VLOOKUP(U640,模板计算相关数据!A:N,2,0)+模板计算相关数据!$AC$27)*模板计算相关数据!$AC$28))*Q640*Z640)</f>
        <v>411</v>
      </c>
      <c r="AK640" s="3">
        <f>INT(VLOOKUP(U640,模板计算相关数据!A:N,3,0)/模板计算相关数据!$W$35/(1+MAX(0,(AO640/10000-VLOOKUP(U640,模板计算相关数据!A:N,9,0)))*AP640/10000)/(1-VLOOKUP(U640,模板计算相关数据!A:N,5,0)/(VLOOKUP(U640,模板计算相关数据!A:N,5,0)+(VLOOKUP(U640,模板计算相关数据!A:N,2,0)+模板计算相关数据!$AC$27)*模板计算相关数据!$AC$28))/S640*AA640)</f>
        <v>86</v>
      </c>
      <c r="AL640" s="3">
        <f>INT(VLOOKUP(U640,模板计算相关数据!A:N,5,0)*VLOOKUP(X640,模板计算相关数据!$P$4:$T$7,4,0)*VLOOKUP(Y640,模板计算相关数据!$P$22:$U$30,4,0)*AB640)</f>
        <v>145</v>
      </c>
      <c r="AM640" s="3">
        <f>INT(VLOOKUP(U640,模板计算相关数据!A:N,6,0)*VLOOKUP(X640,模板计算相关数据!$P$4:$T$7,4,0)*VLOOKUP(Y640,模板计算相关数据!$P$22:$U$30,5,0)*AC640)</f>
        <v>264</v>
      </c>
      <c r="AN640" s="3">
        <f>VLOOKUP(U640,模板计算相关数据!A:N,10,0)*0.5*VLOOKUP(Y640,模板计算相关数据!$P$22:$U$30,6,0)+AD640</f>
        <v>275</v>
      </c>
      <c r="AO640" s="3">
        <f>VLOOKUP(INT(VLOOKUP(U640,模板计算相关数据!A:N,2,0)/30)+1,模板计算相关数据!$O$35:$U$40,3,0)+AE640</f>
        <v>0</v>
      </c>
      <c r="AP640" s="3">
        <f>VLOOKUP(INT(VLOOKUP(U640,模板计算相关数据!A:N,2,0)/30)+1,模板计算相关数据!$O$35:$U$40,4,0)+AF640</f>
        <v>5000</v>
      </c>
      <c r="AQ640" s="3">
        <f>VLOOKUP(INT(VLOOKUP(U640,模板计算相关数据!A:N,2,0)/30)+1,模板计算相关数据!$O$35:$U$40,5,0)+AG640</f>
        <v>0</v>
      </c>
      <c r="AR640" s="3">
        <f>VLOOKUP(INT(VLOOKUP(U640,模板计算相关数据!A:N,2,0)/30)+1,模板计算相关数据!$O$35:$U$40,6,0)+AH640</f>
        <v>0</v>
      </c>
      <c r="AS640" s="3">
        <f>VLOOKUP(INT(VLOOKUP(U640,模板计算相关数据!A:N,2,0)/30)+1,模板计算相关数据!$O$35:$U$40,7,0)+AI640</f>
        <v>0</v>
      </c>
      <c r="AT640" s="3">
        <f>VLOOKUP(INT(VLOOKUP(U640,模板计算相关数据!A:N,2,0)/30)+1,模板计算相关数据!$O$35:$V$40,8,0)</f>
        <v>0</v>
      </c>
      <c r="AU640" s="2"/>
    </row>
    <row r="641" spans="1:47" x14ac:dyDescent="0.2">
      <c r="A641" s="2">
        <v>307581</v>
      </c>
      <c r="B641" s="2"/>
      <c r="C641" s="2" t="s">
        <v>326</v>
      </c>
      <c r="D641" s="2" t="s">
        <v>1199</v>
      </c>
      <c r="E641" s="2"/>
      <c r="F641" s="127">
        <v>3</v>
      </c>
      <c r="G641" s="127">
        <v>101</v>
      </c>
      <c r="H641" s="3">
        <v>5</v>
      </c>
      <c r="I641" s="127">
        <v>5</v>
      </c>
      <c r="J641" s="127">
        <v>1</v>
      </c>
      <c r="K641" s="3"/>
      <c r="L641" s="2" t="s">
        <v>454</v>
      </c>
      <c r="M641" s="2"/>
      <c r="N641" s="2">
        <v>1</v>
      </c>
      <c r="O641" s="2"/>
      <c r="P641" s="3" t="s">
        <v>1615</v>
      </c>
      <c r="Q641" s="95">
        <f t="shared" si="64"/>
        <v>5.7709803921568623</v>
      </c>
      <c r="R641" s="133">
        <f>IF(P641=模板计算相关数据!$AB$24,VLOOKUP(X641,模板计算相关数据!$P$47:$T$50,2,0),VLOOKUP(X641,模板计算相关数据!$P$4:$U$7,3,0))*VLOOKUP(Y641,模板计算相关数据!$P$22:$X$30,8,0)</f>
        <v>5.7709803921568623</v>
      </c>
      <c r="S641" s="62">
        <f t="shared" si="65"/>
        <v>6.4077918749199023</v>
      </c>
      <c r="T641" s="133">
        <f>IF(P641=模板计算相关数据!$AB$24,VLOOKUP(X641,模板计算相关数据!$P$47:$T$50,5,0),VLOOKUP(X641,模板计算相关数据!$P$4:$U$7,6,0))*VLOOKUP(Y641,模板计算相关数据!$P$22:$X$30,9,0)</f>
        <v>6.4077918749199023</v>
      </c>
      <c r="U641" s="98">
        <v>1</v>
      </c>
      <c r="V641" s="95">
        <f t="shared" si="66"/>
        <v>4</v>
      </c>
      <c r="W641" s="29">
        <f>VLOOKUP(U641,模板计算相关数据!A:N,2,0)</f>
        <v>1</v>
      </c>
      <c r="X641" s="3" t="s">
        <v>151</v>
      </c>
      <c r="Y641" s="3" t="s">
        <v>243</v>
      </c>
      <c r="Z641" s="99">
        <v>1</v>
      </c>
      <c r="AA641" s="95">
        <v>1</v>
      </c>
      <c r="AB641" s="95">
        <v>1</v>
      </c>
      <c r="AC641" s="95">
        <v>1</v>
      </c>
      <c r="AD641" s="95">
        <v>0</v>
      </c>
      <c r="AE641" s="95">
        <v>0</v>
      </c>
      <c r="AF641" s="95">
        <v>0</v>
      </c>
      <c r="AG641" s="95">
        <v>0</v>
      </c>
      <c r="AH641" s="95">
        <v>0</v>
      </c>
      <c r="AI641" s="95">
        <v>0</v>
      </c>
      <c r="AJ641" s="3">
        <f>INT(VLOOKUP(U641,模板计算相关数据!A:N,4,0)*VLOOKUP(U641,模板计算相关数据!A:N,14,0)*(1+MAX(0,(VLOOKUP(U641,模板计算相关数据!A:N,7,0)-AQ641))*VLOOKUP(U641,模板计算相关数据!A:N,8,0))*(1-(AL641+AM641)*0.5/((AL641+AM641)*0.5+(VLOOKUP(U641,模板计算相关数据!A:N,2,0)+模板计算相关数据!$AC$27)*模板计算相关数据!$AC$28))*Q641*Z641)</f>
        <v>411</v>
      </c>
      <c r="AK641" s="3">
        <f>INT(VLOOKUP(U641,模板计算相关数据!A:N,3,0)/模板计算相关数据!$W$35/(1+MAX(0,(AO641/10000-VLOOKUP(U641,模板计算相关数据!A:N,9,0)))*AP641/10000)/(1-VLOOKUP(U641,模板计算相关数据!A:N,5,0)/(VLOOKUP(U641,模板计算相关数据!A:N,5,0)+(VLOOKUP(U641,模板计算相关数据!A:N,2,0)+模板计算相关数据!$AC$27)*模板计算相关数据!$AC$28))/S641*AA641)</f>
        <v>86</v>
      </c>
      <c r="AL641" s="3">
        <f>INT(VLOOKUP(U641,模板计算相关数据!A:N,5,0)*VLOOKUP(X641,模板计算相关数据!$P$4:$T$7,4,0)*VLOOKUP(Y641,模板计算相关数据!$P$22:$U$30,4,0)*AB641)</f>
        <v>145</v>
      </c>
      <c r="AM641" s="3">
        <f>INT(VLOOKUP(U641,模板计算相关数据!A:N,6,0)*VLOOKUP(X641,模板计算相关数据!$P$4:$T$7,4,0)*VLOOKUP(Y641,模板计算相关数据!$P$22:$U$30,5,0)*AC641)</f>
        <v>264</v>
      </c>
      <c r="AN641" s="3">
        <f>VLOOKUP(U641,模板计算相关数据!A:N,10,0)*0.5*VLOOKUP(Y641,模板计算相关数据!$P$22:$U$30,6,0)+AD641</f>
        <v>275</v>
      </c>
      <c r="AO641" s="3">
        <f>VLOOKUP(INT(VLOOKUP(U641,模板计算相关数据!A:N,2,0)/30)+1,模板计算相关数据!$O$35:$U$40,3,0)+AE641</f>
        <v>0</v>
      </c>
      <c r="AP641" s="3">
        <f>VLOOKUP(INT(VLOOKUP(U641,模板计算相关数据!A:N,2,0)/30)+1,模板计算相关数据!$O$35:$U$40,4,0)+AF641</f>
        <v>5000</v>
      </c>
      <c r="AQ641" s="3">
        <f>VLOOKUP(INT(VLOOKUP(U641,模板计算相关数据!A:N,2,0)/30)+1,模板计算相关数据!$O$35:$U$40,5,0)+AG641</f>
        <v>0</v>
      </c>
      <c r="AR641" s="3">
        <f>VLOOKUP(INT(VLOOKUP(U641,模板计算相关数据!A:N,2,0)/30)+1,模板计算相关数据!$O$35:$U$40,6,0)+AH641</f>
        <v>0</v>
      </c>
      <c r="AS641" s="3">
        <f>VLOOKUP(INT(VLOOKUP(U641,模板计算相关数据!A:N,2,0)/30)+1,模板计算相关数据!$O$35:$U$40,7,0)+AI641</f>
        <v>0</v>
      </c>
      <c r="AT641" s="3">
        <f>VLOOKUP(INT(VLOOKUP(U641,模板计算相关数据!A:N,2,0)/30)+1,模板计算相关数据!$O$35:$V$40,8,0)</f>
        <v>0</v>
      </c>
      <c r="AU641" s="2"/>
    </row>
    <row r="642" spans="1:47" x14ac:dyDescent="0.2">
      <c r="A642" s="2">
        <v>307582</v>
      </c>
      <c r="B642" s="2"/>
      <c r="C642" s="2" t="s">
        <v>326</v>
      </c>
      <c r="D642" s="2" t="s">
        <v>1200</v>
      </c>
      <c r="E642" s="2"/>
      <c r="F642" s="127">
        <v>3</v>
      </c>
      <c r="G642" s="127">
        <v>101</v>
      </c>
      <c r="H642" s="3">
        <v>5</v>
      </c>
      <c r="I642" s="127">
        <v>5</v>
      </c>
      <c r="J642" s="127">
        <v>1</v>
      </c>
      <c r="K642" s="3"/>
      <c r="L642" s="2" t="s">
        <v>455</v>
      </c>
      <c r="M642" s="2"/>
      <c r="N642" s="2">
        <v>1</v>
      </c>
      <c r="O642" s="2"/>
      <c r="P642" s="3" t="s">
        <v>1615</v>
      </c>
      <c r="Q642" s="95">
        <f t="shared" si="64"/>
        <v>5.7709803921568623</v>
      </c>
      <c r="R642" s="133">
        <f>IF(P642=模板计算相关数据!$AB$24,VLOOKUP(X642,模板计算相关数据!$P$47:$T$50,2,0),VLOOKUP(X642,模板计算相关数据!$P$4:$U$7,3,0))*VLOOKUP(Y642,模板计算相关数据!$P$22:$X$30,8,0)</f>
        <v>5.7709803921568623</v>
      </c>
      <c r="S642" s="62">
        <f t="shared" si="65"/>
        <v>6.4077918749199023</v>
      </c>
      <c r="T642" s="133">
        <f>IF(P642=模板计算相关数据!$AB$24,VLOOKUP(X642,模板计算相关数据!$P$47:$T$50,5,0),VLOOKUP(X642,模板计算相关数据!$P$4:$U$7,6,0))*VLOOKUP(Y642,模板计算相关数据!$P$22:$X$30,9,0)</f>
        <v>6.4077918749199023</v>
      </c>
      <c r="U642" s="98">
        <v>1</v>
      </c>
      <c r="V642" s="95">
        <f t="shared" si="66"/>
        <v>4</v>
      </c>
      <c r="W642" s="29">
        <f>VLOOKUP(U642,模板计算相关数据!A:N,2,0)</f>
        <v>1</v>
      </c>
      <c r="X642" s="3" t="s">
        <v>151</v>
      </c>
      <c r="Y642" s="3" t="s">
        <v>243</v>
      </c>
      <c r="Z642" s="99">
        <v>1</v>
      </c>
      <c r="AA642" s="95">
        <v>1</v>
      </c>
      <c r="AB642" s="95">
        <v>1</v>
      </c>
      <c r="AC642" s="95">
        <v>1</v>
      </c>
      <c r="AD642" s="95">
        <v>0</v>
      </c>
      <c r="AE642" s="95">
        <v>0</v>
      </c>
      <c r="AF642" s="95">
        <v>0</v>
      </c>
      <c r="AG642" s="95">
        <v>0</v>
      </c>
      <c r="AH642" s="95">
        <v>0</v>
      </c>
      <c r="AI642" s="95">
        <v>0</v>
      </c>
      <c r="AJ642" s="3">
        <f>INT(VLOOKUP(U642,模板计算相关数据!A:N,4,0)*VLOOKUP(U642,模板计算相关数据!A:N,14,0)*(1+MAX(0,(VLOOKUP(U642,模板计算相关数据!A:N,7,0)-AQ642))*VLOOKUP(U642,模板计算相关数据!A:N,8,0))*(1-(AL642+AM642)*0.5/((AL642+AM642)*0.5+(VLOOKUP(U642,模板计算相关数据!A:N,2,0)+模板计算相关数据!$AC$27)*模板计算相关数据!$AC$28))*Q642*Z642)</f>
        <v>411</v>
      </c>
      <c r="AK642" s="3">
        <f>INT(VLOOKUP(U642,模板计算相关数据!A:N,3,0)/模板计算相关数据!$W$35/(1+MAX(0,(AO642/10000-VLOOKUP(U642,模板计算相关数据!A:N,9,0)))*AP642/10000)/(1-VLOOKUP(U642,模板计算相关数据!A:N,5,0)/(VLOOKUP(U642,模板计算相关数据!A:N,5,0)+(VLOOKUP(U642,模板计算相关数据!A:N,2,0)+模板计算相关数据!$AC$27)*模板计算相关数据!$AC$28))/S642*AA642)</f>
        <v>86</v>
      </c>
      <c r="AL642" s="3">
        <f>INT(VLOOKUP(U642,模板计算相关数据!A:N,5,0)*VLOOKUP(X642,模板计算相关数据!$P$4:$T$7,4,0)*VLOOKUP(Y642,模板计算相关数据!$P$22:$U$30,4,0)*AB642)</f>
        <v>145</v>
      </c>
      <c r="AM642" s="3">
        <f>INT(VLOOKUP(U642,模板计算相关数据!A:N,6,0)*VLOOKUP(X642,模板计算相关数据!$P$4:$T$7,4,0)*VLOOKUP(Y642,模板计算相关数据!$P$22:$U$30,5,0)*AC642)</f>
        <v>264</v>
      </c>
      <c r="AN642" s="3">
        <f>VLOOKUP(U642,模板计算相关数据!A:N,10,0)*0.5*VLOOKUP(Y642,模板计算相关数据!$P$22:$U$30,6,0)+AD642</f>
        <v>275</v>
      </c>
      <c r="AO642" s="3">
        <f>VLOOKUP(INT(VLOOKUP(U642,模板计算相关数据!A:N,2,0)/30)+1,模板计算相关数据!$O$35:$U$40,3,0)+AE642</f>
        <v>0</v>
      </c>
      <c r="AP642" s="3">
        <f>VLOOKUP(INT(VLOOKUP(U642,模板计算相关数据!A:N,2,0)/30)+1,模板计算相关数据!$O$35:$U$40,4,0)+AF642</f>
        <v>5000</v>
      </c>
      <c r="AQ642" s="3">
        <f>VLOOKUP(INT(VLOOKUP(U642,模板计算相关数据!A:N,2,0)/30)+1,模板计算相关数据!$O$35:$U$40,5,0)+AG642</f>
        <v>0</v>
      </c>
      <c r="AR642" s="3">
        <f>VLOOKUP(INT(VLOOKUP(U642,模板计算相关数据!A:N,2,0)/30)+1,模板计算相关数据!$O$35:$U$40,6,0)+AH642</f>
        <v>0</v>
      </c>
      <c r="AS642" s="3">
        <f>VLOOKUP(INT(VLOOKUP(U642,模板计算相关数据!A:N,2,0)/30)+1,模板计算相关数据!$O$35:$U$40,7,0)+AI642</f>
        <v>0</v>
      </c>
      <c r="AT642" s="3">
        <f>VLOOKUP(INT(VLOOKUP(U642,模板计算相关数据!A:N,2,0)/30)+1,模板计算相关数据!$O$35:$V$40,8,0)</f>
        <v>0</v>
      </c>
      <c r="AU642" s="2"/>
    </row>
    <row r="643" spans="1:47" x14ac:dyDescent="0.2">
      <c r="A643" s="17">
        <v>307201</v>
      </c>
      <c r="B643" s="17"/>
      <c r="C643" s="17" t="s">
        <v>456</v>
      </c>
      <c r="D643" s="25" t="s">
        <v>1201</v>
      </c>
      <c r="E643" s="17"/>
      <c r="F643" s="152">
        <v>3</v>
      </c>
      <c r="G643" s="152">
        <v>101</v>
      </c>
      <c r="H643" s="43">
        <v>2</v>
      </c>
      <c r="I643" s="152">
        <v>5</v>
      </c>
      <c r="J643" s="152">
        <v>1</v>
      </c>
      <c r="K643" s="43"/>
      <c r="L643" s="2" t="s">
        <v>457</v>
      </c>
      <c r="M643" s="2"/>
      <c r="N643" s="2">
        <v>1</v>
      </c>
      <c r="O643" s="2"/>
      <c r="P643" s="3" t="s">
        <v>1615</v>
      </c>
      <c r="Q643" s="95">
        <f t="shared" si="64"/>
        <v>6.9411764705882364</v>
      </c>
      <c r="R643" s="133">
        <f>IF(P643=模板计算相关数据!$AB$24,VLOOKUP(X643,模板计算相关数据!$P$47:$T$50,2,0),VLOOKUP(X643,模板计算相关数据!$P$4:$U$7,3,0))*VLOOKUP(Y643,模板计算相关数据!$P$22:$X$30,8,0)</f>
        <v>6.9411764705882364</v>
      </c>
      <c r="S643" s="62">
        <f t="shared" si="65"/>
        <v>8.2943498888557112</v>
      </c>
      <c r="T643" s="133">
        <f>IF(P643=模板计算相关数据!$AB$24,VLOOKUP(X643,模板计算相关数据!$P$47:$T$50,5,0),VLOOKUP(X643,模板计算相关数据!$P$4:$U$7,6,0))*VLOOKUP(Y643,模板计算相关数据!$P$22:$X$30,9,0)</f>
        <v>8.2943498888557112</v>
      </c>
      <c r="U643" s="98">
        <v>1</v>
      </c>
      <c r="V643" s="95">
        <f t="shared" si="66"/>
        <v>4</v>
      </c>
      <c r="W643" s="29">
        <f>VLOOKUP(U643,模板计算相关数据!A:N,2,0)</f>
        <v>1</v>
      </c>
      <c r="X643" s="3" t="s">
        <v>151</v>
      </c>
      <c r="Y643" s="3" t="s">
        <v>155</v>
      </c>
      <c r="Z643" s="99">
        <v>1</v>
      </c>
      <c r="AA643" s="95">
        <v>1</v>
      </c>
      <c r="AB643" s="95">
        <v>1</v>
      </c>
      <c r="AC643" s="95">
        <v>1</v>
      </c>
      <c r="AD643" s="95">
        <v>0</v>
      </c>
      <c r="AE643" s="95">
        <v>0</v>
      </c>
      <c r="AF643" s="95">
        <v>0</v>
      </c>
      <c r="AG643" s="95">
        <v>0</v>
      </c>
      <c r="AH643" s="95">
        <v>0</v>
      </c>
      <c r="AI643" s="95">
        <v>0</v>
      </c>
      <c r="AJ643" s="3">
        <f>INT(VLOOKUP(U643,模板计算相关数据!A:N,4,0)*VLOOKUP(U643,模板计算相关数据!A:N,14,0)*(1+MAX(0,(VLOOKUP(U643,模板计算相关数据!A:N,7,0)-AQ643))*VLOOKUP(U643,模板计算相关数据!A:N,8,0))*(1-(AL643+AM643)*0.5/((AL643+AM643)*0.5+(VLOOKUP(U643,模板计算相关数据!A:N,2,0)+模板计算相关数据!$AC$27)*模板计算相关数据!$AC$28))*Q643*Z643)</f>
        <v>487</v>
      </c>
      <c r="AK643" s="3">
        <f>INT(VLOOKUP(U643,模板计算相关数据!A:N,3,0)/模板计算相关数据!$W$35/(1+MAX(0,(AO643/10000-VLOOKUP(U643,模板计算相关数据!A:N,9,0)))*AP643/10000)/(1-VLOOKUP(U643,模板计算相关数据!A:N,5,0)/(VLOOKUP(U643,模板计算相关数据!A:N,5,0)+(VLOOKUP(U643,模板计算相关数据!A:N,2,0)+模板计算相关数据!$AC$27)*模板计算相关数据!$AC$28))/S643*AA643)</f>
        <v>67</v>
      </c>
      <c r="AL643" s="3">
        <f>INT(VLOOKUP(U643,模板计算相关数据!A:N,5,0)*VLOOKUP(X643,模板计算相关数据!$P$4:$T$7,4,0)*VLOOKUP(Y643,模板计算相关数据!$P$22:$U$30,4,0)*AB643)</f>
        <v>277</v>
      </c>
      <c r="AM643" s="3">
        <f>INT(VLOOKUP(U643,模板计算相关数据!A:N,6,0)*VLOOKUP(X643,模板计算相关数据!$P$4:$T$7,4,0)*VLOOKUP(Y643,模板计算相关数据!$P$22:$U$30,5,0)*AC643)</f>
        <v>153</v>
      </c>
      <c r="AN643" s="3">
        <f>VLOOKUP(U643,模板计算相关数据!A:N,10,0)*0.5*VLOOKUP(Y643,模板计算相关数据!$P$22:$U$30,6,0)+AD643</f>
        <v>225</v>
      </c>
      <c r="AO643" s="3">
        <f>VLOOKUP(INT(VLOOKUP(U643,模板计算相关数据!A:N,2,0)/30)+1,模板计算相关数据!$O$35:$U$40,3,0)+AE643</f>
        <v>0</v>
      </c>
      <c r="AP643" s="3">
        <f>VLOOKUP(INT(VLOOKUP(U643,模板计算相关数据!A:N,2,0)/30)+1,模板计算相关数据!$O$35:$U$40,4,0)+AF643</f>
        <v>5000</v>
      </c>
      <c r="AQ643" s="3">
        <f>VLOOKUP(INT(VLOOKUP(U643,模板计算相关数据!A:N,2,0)/30)+1,模板计算相关数据!$O$35:$U$40,5,0)+AG643</f>
        <v>0</v>
      </c>
      <c r="AR643" s="3">
        <f>VLOOKUP(INT(VLOOKUP(U643,模板计算相关数据!A:N,2,0)/30)+1,模板计算相关数据!$O$35:$U$40,6,0)+AH643</f>
        <v>0</v>
      </c>
      <c r="AS643" s="3">
        <f>VLOOKUP(INT(VLOOKUP(U643,模板计算相关数据!A:N,2,0)/30)+1,模板计算相关数据!$O$35:$U$40,7,0)+AI643</f>
        <v>0</v>
      </c>
      <c r="AT643" s="3">
        <f>VLOOKUP(INT(VLOOKUP(U643,模板计算相关数据!A:N,2,0)/30)+1,模板计算相关数据!$O$35:$V$40,8,0)</f>
        <v>0</v>
      </c>
      <c r="AU643" s="2"/>
    </row>
    <row r="644" spans="1:47" x14ac:dyDescent="0.2">
      <c r="A644" s="2">
        <v>307202</v>
      </c>
      <c r="B644" s="2"/>
      <c r="C644" s="2" t="s">
        <v>389</v>
      </c>
      <c r="D644" s="69" t="s">
        <v>1202</v>
      </c>
      <c r="E644" s="2"/>
      <c r="F644" s="127">
        <v>3</v>
      </c>
      <c r="G644" s="127">
        <v>101</v>
      </c>
      <c r="H644" s="3">
        <v>2</v>
      </c>
      <c r="I644" s="127">
        <v>5</v>
      </c>
      <c r="J644" s="127">
        <v>1</v>
      </c>
      <c r="K644" s="3"/>
      <c r="L644" s="2" t="s">
        <v>458</v>
      </c>
      <c r="M644" s="2"/>
      <c r="N644" s="2">
        <v>1</v>
      </c>
      <c r="O644" s="2"/>
      <c r="P644" s="3" t="s">
        <v>1615</v>
      </c>
      <c r="Q644" s="95">
        <f t="shared" si="64"/>
        <v>6.9411764705882364</v>
      </c>
      <c r="R644" s="133">
        <f>IF(P644=模板计算相关数据!$AB$24,VLOOKUP(X644,模板计算相关数据!$P$47:$T$50,2,0),VLOOKUP(X644,模板计算相关数据!$P$4:$U$7,3,0))*VLOOKUP(Y644,模板计算相关数据!$P$22:$X$30,8,0)</f>
        <v>6.9411764705882364</v>
      </c>
      <c r="S644" s="62">
        <f t="shared" si="65"/>
        <v>8.2943498888557112</v>
      </c>
      <c r="T644" s="133">
        <f>IF(P644=模板计算相关数据!$AB$24,VLOOKUP(X644,模板计算相关数据!$P$47:$T$50,5,0),VLOOKUP(X644,模板计算相关数据!$P$4:$U$7,6,0))*VLOOKUP(Y644,模板计算相关数据!$P$22:$X$30,9,0)</f>
        <v>8.2943498888557112</v>
      </c>
      <c r="U644" s="98">
        <v>1</v>
      </c>
      <c r="V644" s="95">
        <f t="shared" si="66"/>
        <v>4</v>
      </c>
      <c r="W644" s="29">
        <f>VLOOKUP(U644,模板计算相关数据!A:N,2,0)</f>
        <v>1</v>
      </c>
      <c r="X644" s="3" t="s">
        <v>151</v>
      </c>
      <c r="Y644" s="3" t="s">
        <v>155</v>
      </c>
      <c r="Z644" s="99">
        <v>1</v>
      </c>
      <c r="AA644" s="95">
        <v>1</v>
      </c>
      <c r="AB644" s="95">
        <v>1</v>
      </c>
      <c r="AC644" s="95">
        <v>1</v>
      </c>
      <c r="AD644" s="95">
        <v>0</v>
      </c>
      <c r="AE644" s="95">
        <v>0</v>
      </c>
      <c r="AF644" s="95">
        <v>0</v>
      </c>
      <c r="AG644" s="95">
        <v>0</v>
      </c>
      <c r="AH644" s="95">
        <v>0</v>
      </c>
      <c r="AI644" s="95">
        <v>0</v>
      </c>
      <c r="AJ644" s="3">
        <f>INT(VLOOKUP(U644,模板计算相关数据!A:N,4,0)*VLOOKUP(U644,模板计算相关数据!A:N,14,0)*(1+MAX(0,(VLOOKUP(U644,模板计算相关数据!A:N,7,0)-AQ644))*VLOOKUP(U644,模板计算相关数据!A:N,8,0))*(1-(AL644+AM644)*0.5/((AL644+AM644)*0.5+(VLOOKUP(U644,模板计算相关数据!A:N,2,0)+模板计算相关数据!$AC$27)*模板计算相关数据!$AC$28))*Q644*Z644)</f>
        <v>487</v>
      </c>
      <c r="AK644" s="3">
        <f>INT(VLOOKUP(U644,模板计算相关数据!A:N,3,0)/模板计算相关数据!$W$35/(1+MAX(0,(AO644/10000-VLOOKUP(U644,模板计算相关数据!A:N,9,0)))*AP644/10000)/(1-VLOOKUP(U644,模板计算相关数据!A:N,5,0)/(VLOOKUP(U644,模板计算相关数据!A:N,5,0)+(VLOOKUP(U644,模板计算相关数据!A:N,2,0)+模板计算相关数据!$AC$27)*模板计算相关数据!$AC$28))/S644*AA644)</f>
        <v>67</v>
      </c>
      <c r="AL644" s="3">
        <f>INT(VLOOKUP(U644,模板计算相关数据!A:N,5,0)*VLOOKUP(X644,模板计算相关数据!$P$4:$T$7,4,0)*VLOOKUP(Y644,模板计算相关数据!$P$22:$U$30,4,0)*AB644)</f>
        <v>277</v>
      </c>
      <c r="AM644" s="3">
        <f>INT(VLOOKUP(U644,模板计算相关数据!A:N,6,0)*VLOOKUP(X644,模板计算相关数据!$P$4:$T$7,4,0)*VLOOKUP(Y644,模板计算相关数据!$P$22:$U$30,5,0)*AC644)</f>
        <v>153</v>
      </c>
      <c r="AN644" s="3">
        <f>VLOOKUP(U644,模板计算相关数据!A:N,10,0)*0.5*VLOOKUP(Y644,模板计算相关数据!$P$22:$U$30,6,0)+AD644</f>
        <v>225</v>
      </c>
      <c r="AO644" s="3">
        <f>VLOOKUP(INT(VLOOKUP(U644,模板计算相关数据!A:N,2,0)/30)+1,模板计算相关数据!$O$35:$U$40,3,0)+AE644</f>
        <v>0</v>
      </c>
      <c r="AP644" s="3">
        <f>VLOOKUP(INT(VLOOKUP(U644,模板计算相关数据!A:N,2,0)/30)+1,模板计算相关数据!$O$35:$U$40,4,0)+AF644</f>
        <v>5000</v>
      </c>
      <c r="AQ644" s="3">
        <f>VLOOKUP(INT(VLOOKUP(U644,模板计算相关数据!A:N,2,0)/30)+1,模板计算相关数据!$O$35:$U$40,5,0)+AG644</f>
        <v>0</v>
      </c>
      <c r="AR644" s="3">
        <f>VLOOKUP(INT(VLOOKUP(U644,模板计算相关数据!A:N,2,0)/30)+1,模板计算相关数据!$O$35:$U$40,6,0)+AH644</f>
        <v>0</v>
      </c>
      <c r="AS644" s="3">
        <f>VLOOKUP(INT(VLOOKUP(U644,模板计算相关数据!A:N,2,0)/30)+1,模板计算相关数据!$O$35:$U$40,7,0)+AI644</f>
        <v>0</v>
      </c>
      <c r="AT644" s="3">
        <f>VLOOKUP(INT(VLOOKUP(U644,模板计算相关数据!A:N,2,0)/30)+1,模板计算相关数据!$O$35:$V$40,8,0)</f>
        <v>0</v>
      </c>
      <c r="AU644" s="2"/>
    </row>
    <row r="645" spans="1:47" x14ac:dyDescent="0.2">
      <c r="A645" s="2">
        <v>307203</v>
      </c>
      <c r="B645" s="2"/>
      <c r="C645" s="2" t="s">
        <v>389</v>
      </c>
      <c r="D645" s="69" t="s">
        <v>1203</v>
      </c>
      <c r="E645" s="2"/>
      <c r="F645" s="127">
        <v>3</v>
      </c>
      <c r="G645" s="127">
        <v>101</v>
      </c>
      <c r="H645" s="3">
        <v>2</v>
      </c>
      <c r="I645" s="127">
        <v>5</v>
      </c>
      <c r="J645" s="127">
        <v>1</v>
      </c>
      <c r="K645" s="3"/>
      <c r="L645" s="2" t="s">
        <v>459</v>
      </c>
      <c r="M645" s="2"/>
      <c r="N645" s="2">
        <v>1</v>
      </c>
      <c r="O645" s="2"/>
      <c r="P645" s="3" t="s">
        <v>1615</v>
      </c>
      <c r="Q645" s="95">
        <f t="shared" si="64"/>
        <v>6.9411764705882364</v>
      </c>
      <c r="R645" s="133">
        <f>IF(P645=模板计算相关数据!$AB$24,VLOOKUP(X645,模板计算相关数据!$P$47:$T$50,2,0),VLOOKUP(X645,模板计算相关数据!$P$4:$U$7,3,0))*VLOOKUP(Y645,模板计算相关数据!$P$22:$X$30,8,0)</f>
        <v>6.9411764705882364</v>
      </c>
      <c r="S645" s="62">
        <f t="shared" si="65"/>
        <v>8.2943498888557112</v>
      </c>
      <c r="T645" s="133">
        <f>IF(P645=模板计算相关数据!$AB$24,VLOOKUP(X645,模板计算相关数据!$P$47:$T$50,5,0),VLOOKUP(X645,模板计算相关数据!$P$4:$U$7,6,0))*VLOOKUP(Y645,模板计算相关数据!$P$22:$X$30,9,0)</f>
        <v>8.2943498888557112</v>
      </c>
      <c r="U645" s="98">
        <v>1</v>
      </c>
      <c r="V645" s="95">
        <f t="shared" si="66"/>
        <v>4</v>
      </c>
      <c r="W645" s="29">
        <f>VLOOKUP(U645,模板计算相关数据!A:N,2,0)</f>
        <v>1</v>
      </c>
      <c r="X645" s="3" t="s">
        <v>151</v>
      </c>
      <c r="Y645" s="3" t="s">
        <v>155</v>
      </c>
      <c r="Z645" s="99">
        <v>1</v>
      </c>
      <c r="AA645" s="95">
        <v>1</v>
      </c>
      <c r="AB645" s="95">
        <v>1</v>
      </c>
      <c r="AC645" s="95">
        <v>1</v>
      </c>
      <c r="AD645" s="95">
        <v>0</v>
      </c>
      <c r="AE645" s="95">
        <v>0</v>
      </c>
      <c r="AF645" s="95">
        <v>0</v>
      </c>
      <c r="AG645" s="95">
        <v>0</v>
      </c>
      <c r="AH645" s="95">
        <v>0</v>
      </c>
      <c r="AI645" s="95">
        <v>0</v>
      </c>
      <c r="AJ645" s="3">
        <f>INT(VLOOKUP(U645,模板计算相关数据!A:N,4,0)*VLOOKUP(U645,模板计算相关数据!A:N,14,0)*(1+MAX(0,(VLOOKUP(U645,模板计算相关数据!A:N,7,0)-AQ645))*VLOOKUP(U645,模板计算相关数据!A:N,8,0))*(1-(AL645+AM645)*0.5/((AL645+AM645)*0.5+(VLOOKUP(U645,模板计算相关数据!A:N,2,0)+模板计算相关数据!$AC$27)*模板计算相关数据!$AC$28))*Q645*Z645)</f>
        <v>487</v>
      </c>
      <c r="AK645" s="3">
        <f>INT(VLOOKUP(U645,模板计算相关数据!A:N,3,0)/模板计算相关数据!$W$35/(1+MAX(0,(AO645/10000-VLOOKUP(U645,模板计算相关数据!A:N,9,0)))*AP645/10000)/(1-VLOOKUP(U645,模板计算相关数据!A:N,5,0)/(VLOOKUP(U645,模板计算相关数据!A:N,5,0)+(VLOOKUP(U645,模板计算相关数据!A:N,2,0)+模板计算相关数据!$AC$27)*模板计算相关数据!$AC$28))/S645*AA645)</f>
        <v>67</v>
      </c>
      <c r="AL645" s="3">
        <f>INT(VLOOKUP(U645,模板计算相关数据!A:N,5,0)*VLOOKUP(X645,模板计算相关数据!$P$4:$T$7,4,0)*VLOOKUP(Y645,模板计算相关数据!$P$22:$U$30,4,0)*AB645)</f>
        <v>277</v>
      </c>
      <c r="AM645" s="3">
        <f>INT(VLOOKUP(U645,模板计算相关数据!A:N,6,0)*VLOOKUP(X645,模板计算相关数据!$P$4:$T$7,4,0)*VLOOKUP(Y645,模板计算相关数据!$P$22:$U$30,5,0)*AC645)</f>
        <v>153</v>
      </c>
      <c r="AN645" s="3">
        <f>VLOOKUP(U645,模板计算相关数据!A:N,10,0)*0.5*VLOOKUP(Y645,模板计算相关数据!$P$22:$U$30,6,0)+AD645</f>
        <v>225</v>
      </c>
      <c r="AO645" s="3">
        <f>VLOOKUP(INT(VLOOKUP(U645,模板计算相关数据!A:N,2,0)/30)+1,模板计算相关数据!$O$35:$U$40,3,0)+AE645</f>
        <v>0</v>
      </c>
      <c r="AP645" s="3">
        <f>VLOOKUP(INT(VLOOKUP(U645,模板计算相关数据!A:N,2,0)/30)+1,模板计算相关数据!$O$35:$U$40,4,0)+AF645</f>
        <v>5000</v>
      </c>
      <c r="AQ645" s="3">
        <f>VLOOKUP(INT(VLOOKUP(U645,模板计算相关数据!A:N,2,0)/30)+1,模板计算相关数据!$O$35:$U$40,5,0)+AG645</f>
        <v>0</v>
      </c>
      <c r="AR645" s="3">
        <f>VLOOKUP(INT(VLOOKUP(U645,模板计算相关数据!A:N,2,0)/30)+1,模板计算相关数据!$O$35:$U$40,6,0)+AH645</f>
        <v>0</v>
      </c>
      <c r="AS645" s="3">
        <f>VLOOKUP(INT(VLOOKUP(U645,模板计算相关数据!A:N,2,0)/30)+1,模板计算相关数据!$O$35:$U$40,7,0)+AI645</f>
        <v>0</v>
      </c>
      <c r="AT645" s="3">
        <f>VLOOKUP(INT(VLOOKUP(U645,模板计算相关数据!A:N,2,0)/30)+1,模板计算相关数据!$O$35:$V$40,8,0)</f>
        <v>0</v>
      </c>
      <c r="AU645" s="2"/>
    </row>
    <row r="646" spans="1:47" x14ac:dyDescent="0.2">
      <c r="A646" s="2">
        <v>307204</v>
      </c>
      <c r="B646" s="2"/>
      <c r="C646" s="2" t="s">
        <v>389</v>
      </c>
      <c r="D646" s="69" t="s">
        <v>1204</v>
      </c>
      <c r="E646" s="2"/>
      <c r="F646" s="127">
        <v>3</v>
      </c>
      <c r="G646" s="127">
        <v>101</v>
      </c>
      <c r="H646" s="3">
        <v>2</v>
      </c>
      <c r="I646" s="127">
        <v>5</v>
      </c>
      <c r="J646" s="127">
        <v>1</v>
      </c>
      <c r="K646" s="3"/>
      <c r="L646" s="2" t="s">
        <v>460</v>
      </c>
      <c r="M646" s="2"/>
      <c r="N646" s="2">
        <v>1</v>
      </c>
      <c r="O646" s="2"/>
      <c r="P646" s="3" t="s">
        <v>1615</v>
      </c>
      <c r="Q646" s="95">
        <f t="shared" si="64"/>
        <v>6.9411764705882364</v>
      </c>
      <c r="R646" s="133">
        <f>IF(P646=模板计算相关数据!$AB$24,VLOOKUP(X646,模板计算相关数据!$P$47:$T$50,2,0),VLOOKUP(X646,模板计算相关数据!$P$4:$U$7,3,0))*VLOOKUP(Y646,模板计算相关数据!$P$22:$X$30,8,0)</f>
        <v>6.9411764705882364</v>
      </c>
      <c r="S646" s="62">
        <f t="shared" si="65"/>
        <v>8.2943498888557112</v>
      </c>
      <c r="T646" s="133">
        <f>IF(P646=模板计算相关数据!$AB$24,VLOOKUP(X646,模板计算相关数据!$P$47:$T$50,5,0),VLOOKUP(X646,模板计算相关数据!$P$4:$U$7,6,0))*VLOOKUP(Y646,模板计算相关数据!$P$22:$X$30,9,0)</f>
        <v>8.2943498888557112</v>
      </c>
      <c r="U646" s="98">
        <v>1</v>
      </c>
      <c r="V646" s="95">
        <f t="shared" si="66"/>
        <v>4</v>
      </c>
      <c r="W646" s="29">
        <f>VLOOKUP(U646,模板计算相关数据!A:N,2,0)</f>
        <v>1</v>
      </c>
      <c r="X646" s="3" t="s">
        <v>151</v>
      </c>
      <c r="Y646" s="3" t="s">
        <v>155</v>
      </c>
      <c r="Z646" s="99">
        <v>1</v>
      </c>
      <c r="AA646" s="95">
        <v>1</v>
      </c>
      <c r="AB646" s="95">
        <v>1</v>
      </c>
      <c r="AC646" s="95">
        <v>1</v>
      </c>
      <c r="AD646" s="95">
        <v>0</v>
      </c>
      <c r="AE646" s="95">
        <v>0</v>
      </c>
      <c r="AF646" s="95">
        <v>0</v>
      </c>
      <c r="AG646" s="95">
        <v>0</v>
      </c>
      <c r="AH646" s="95">
        <v>0</v>
      </c>
      <c r="AI646" s="95">
        <v>0</v>
      </c>
      <c r="AJ646" s="3">
        <f>INT(VLOOKUP(U646,模板计算相关数据!A:N,4,0)*VLOOKUP(U646,模板计算相关数据!A:N,14,0)*(1+MAX(0,(VLOOKUP(U646,模板计算相关数据!A:N,7,0)-AQ646))*VLOOKUP(U646,模板计算相关数据!A:N,8,0))*(1-(AL646+AM646)*0.5/((AL646+AM646)*0.5+(VLOOKUP(U646,模板计算相关数据!A:N,2,0)+模板计算相关数据!$AC$27)*模板计算相关数据!$AC$28))*Q646*Z646)</f>
        <v>487</v>
      </c>
      <c r="AK646" s="3">
        <f>INT(VLOOKUP(U646,模板计算相关数据!A:N,3,0)/模板计算相关数据!$W$35/(1+MAX(0,(AO646/10000-VLOOKUP(U646,模板计算相关数据!A:N,9,0)))*AP646/10000)/(1-VLOOKUP(U646,模板计算相关数据!A:N,5,0)/(VLOOKUP(U646,模板计算相关数据!A:N,5,0)+(VLOOKUP(U646,模板计算相关数据!A:N,2,0)+模板计算相关数据!$AC$27)*模板计算相关数据!$AC$28))/S646*AA646)</f>
        <v>67</v>
      </c>
      <c r="AL646" s="3">
        <f>INT(VLOOKUP(U646,模板计算相关数据!A:N,5,0)*VLOOKUP(X646,模板计算相关数据!$P$4:$T$7,4,0)*VLOOKUP(Y646,模板计算相关数据!$P$22:$U$30,4,0)*AB646)</f>
        <v>277</v>
      </c>
      <c r="AM646" s="3">
        <f>INT(VLOOKUP(U646,模板计算相关数据!A:N,6,0)*VLOOKUP(X646,模板计算相关数据!$P$4:$T$7,4,0)*VLOOKUP(Y646,模板计算相关数据!$P$22:$U$30,5,0)*AC646)</f>
        <v>153</v>
      </c>
      <c r="AN646" s="3">
        <f>VLOOKUP(U646,模板计算相关数据!A:N,10,0)*0.5*VLOOKUP(Y646,模板计算相关数据!$P$22:$U$30,6,0)+AD646</f>
        <v>225</v>
      </c>
      <c r="AO646" s="3">
        <f>VLOOKUP(INT(VLOOKUP(U646,模板计算相关数据!A:N,2,0)/30)+1,模板计算相关数据!$O$35:$U$40,3,0)+AE646</f>
        <v>0</v>
      </c>
      <c r="AP646" s="3">
        <f>VLOOKUP(INT(VLOOKUP(U646,模板计算相关数据!A:N,2,0)/30)+1,模板计算相关数据!$O$35:$U$40,4,0)+AF646</f>
        <v>5000</v>
      </c>
      <c r="AQ646" s="3">
        <f>VLOOKUP(INT(VLOOKUP(U646,模板计算相关数据!A:N,2,0)/30)+1,模板计算相关数据!$O$35:$U$40,5,0)+AG646</f>
        <v>0</v>
      </c>
      <c r="AR646" s="3">
        <f>VLOOKUP(INT(VLOOKUP(U646,模板计算相关数据!A:N,2,0)/30)+1,模板计算相关数据!$O$35:$U$40,6,0)+AH646</f>
        <v>0</v>
      </c>
      <c r="AS646" s="3">
        <f>VLOOKUP(INT(VLOOKUP(U646,模板计算相关数据!A:N,2,0)/30)+1,模板计算相关数据!$O$35:$U$40,7,0)+AI646</f>
        <v>0</v>
      </c>
      <c r="AT646" s="3">
        <f>VLOOKUP(INT(VLOOKUP(U646,模板计算相关数据!A:N,2,0)/30)+1,模板计算相关数据!$O$35:$V$40,8,0)</f>
        <v>0</v>
      </c>
      <c r="AU646" s="2"/>
    </row>
    <row r="647" spans="1:47" x14ac:dyDescent="0.2">
      <c r="A647" s="2">
        <v>307205</v>
      </c>
      <c r="B647" s="2"/>
      <c r="C647" s="2" t="s">
        <v>389</v>
      </c>
      <c r="D647" s="69" t="s">
        <v>1205</v>
      </c>
      <c r="E647" s="2"/>
      <c r="F647" s="127">
        <v>3</v>
      </c>
      <c r="G647" s="127">
        <v>101</v>
      </c>
      <c r="H647" s="3">
        <v>2</v>
      </c>
      <c r="I647" s="127">
        <v>5</v>
      </c>
      <c r="J647" s="127">
        <v>1</v>
      </c>
      <c r="K647" s="3"/>
      <c r="L647" s="2" t="s">
        <v>461</v>
      </c>
      <c r="M647" s="2"/>
      <c r="N647" s="2">
        <v>1</v>
      </c>
      <c r="O647" s="2"/>
      <c r="P647" s="3" t="s">
        <v>1615</v>
      </c>
      <c r="Q647" s="95">
        <f t="shared" si="64"/>
        <v>6.9411764705882364</v>
      </c>
      <c r="R647" s="133">
        <f>IF(P647=模板计算相关数据!$AB$24,VLOOKUP(X647,模板计算相关数据!$P$47:$T$50,2,0),VLOOKUP(X647,模板计算相关数据!$P$4:$U$7,3,0))*VLOOKUP(Y647,模板计算相关数据!$P$22:$X$30,8,0)</f>
        <v>6.9411764705882364</v>
      </c>
      <c r="S647" s="62">
        <f t="shared" si="65"/>
        <v>8.2943498888557112</v>
      </c>
      <c r="T647" s="133">
        <f>IF(P647=模板计算相关数据!$AB$24,VLOOKUP(X647,模板计算相关数据!$P$47:$T$50,5,0),VLOOKUP(X647,模板计算相关数据!$P$4:$U$7,6,0))*VLOOKUP(Y647,模板计算相关数据!$P$22:$X$30,9,0)</f>
        <v>8.2943498888557112</v>
      </c>
      <c r="U647" s="98">
        <v>1</v>
      </c>
      <c r="V647" s="95">
        <f t="shared" si="66"/>
        <v>4</v>
      </c>
      <c r="W647" s="29">
        <f>VLOOKUP(U647,模板计算相关数据!A:N,2,0)</f>
        <v>1</v>
      </c>
      <c r="X647" s="3" t="s">
        <v>151</v>
      </c>
      <c r="Y647" s="3" t="s">
        <v>155</v>
      </c>
      <c r="Z647" s="99">
        <v>1</v>
      </c>
      <c r="AA647" s="95">
        <v>1</v>
      </c>
      <c r="AB647" s="95">
        <v>1</v>
      </c>
      <c r="AC647" s="95">
        <v>1</v>
      </c>
      <c r="AD647" s="95">
        <v>0</v>
      </c>
      <c r="AE647" s="95">
        <v>0</v>
      </c>
      <c r="AF647" s="95">
        <v>0</v>
      </c>
      <c r="AG647" s="95">
        <v>0</v>
      </c>
      <c r="AH647" s="95">
        <v>0</v>
      </c>
      <c r="AI647" s="95">
        <v>0</v>
      </c>
      <c r="AJ647" s="3">
        <f>INT(VLOOKUP(U647,模板计算相关数据!A:N,4,0)*VLOOKUP(U647,模板计算相关数据!A:N,14,0)*(1+MAX(0,(VLOOKUP(U647,模板计算相关数据!A:N,7,0)-AQ647))*VLOOKUP(U647,模板计算相关数据!A:N,8,0))*(1-(AL647+AM647)*0.5/((AL647+AM647)*0.5+(VLOOKUP(U647,模板计算相关数据!A:N,2,0)+模板计算相关数据!$AC$27)*模板计算相关数据!$AC$28))*Q647*Z647)</f>
        <v>487</v>
      </c>
      <c r="AK647" s="3">
        <f>INT(VLOOKUP(U647,模板计算相关数据!A:N,3,0)/模板计算相关数据!$W$35/(1+MAX(0,(AO647/10000-VLOOKUP(U647,模板计算相关数据!A:N,9,0)))*AP647/10000)/(1-VLOOKUP(U647,模板计算相关数据!A:N,5,0)/(VLOOKUP(U647,模板计算相关数据!A:N,5,0)+(VLOOKUP(U647,模板计算相关数据!A:N,2,0)+模板计算相关数据!$AC$27)*模板计算相关数据!$AC$28))/S647*AA647)</f>
        <v>67</v>
      </c>
      <c r="AL647" s="3">
        <f>INT(VLOOKUP(U647,模板计算相关数据!A:N,5,0)*VLOOKUP(X647,模板计算相关数据!$P$4:$T$7,4,0)*VLOOKUP(Y647,模板计算相关数据!$P$22:$U$30,4,0)*AB647)</f>
        <v>277</v>
      </c>
      <c r="AM647" s="3">
        <f>INT(VLOOKUP(U647,模板计算相关数据!A:N,6,0)*VLOOKUP(X647,模板计算相关数据!$P$4:$T$7,4,0)*VLOOKUP(Y647,模板计算相关数据!$P$22:$U$30,5,0)*AC647)</f>
        <v>153</v>
      </c>
      <c r="AN647" s="3">
        <f>VLOOKUP(U647,模板计算相关数据!A:N,10,0)*0.5*VLOOKUP(Y647,模板计算相关数据!$P$22:$U$30,6,0)+AD647</f>
        <v>225</v>
      </c>
      <c r="AO647" s="3">
        <f>VLOOKUP(INT(VLOOKUP(U647,模板计算相关数据!A:N,2,0)/30)+1,模板计算相关数据!$O$35:$U$40,3,0)+AE647</f>
        <v>0</v>
      </c>
      <c r="AP647" s="3">
        <f>VLOOKUP(INT(VLOOKUP(U647,模板计算相关数据!A:N,2,0)/30)+1,模板计算相关数据!$O$35:$U$40,4,0)+AF647</f>
        <v>5000</v>
      </c>
      <c r="AQ647" s="3">
        <f>VLOOKUP(INT(VLOOKUP(U647,模板计算相关数据!A:N,2,0)/30)+1,模板计算相关数据!$O$35:$U$40,5,0)+AG647</f>
        <v>0</v>
      </c>
      <c r="AR647" s="3">
        <f>VLOOKUP(INT(VLOOKUP(U647,模板计算相关数据!A:N,2,0)/30)+1,模板计算相关数据!$O$35:$U$40,6,0)+AH647</f>
        <v>0</v>
      </c>
      <c r="AS647" s="3">
        <f>VLOOKUP(INT(VLOOKUP(U647,模板计算相关数据!A:N,2,0)/30)+1,模板计算相关数据!$O$35:$U$40,7,0)+AI647</f>
        <v>0</v>
      </c>
      <c r="AT647" s="3">
        <f>VLOOKUP(INT(VLOOKUP(U647,模板计算相关数据!A:N,2,0)/30)+1,模板计算相关数据!$O$35:$V$40,8,0)</f>
        <v>0</v>
      </c>
      <c r="AU647" s="2"/>
    </row>
    <row r="648" spans="1:47" x14ac:dyDescent="0.2">
      <c r="A648" s="2">
        <v>307206</v>
      </c>
      <c r="B648" s="2"/>
      <c r="C648" s="2" t="s">
        <v>326</v>
      </c>
      <c r="D648" s="2" t="s">
        <v>1206</v>
      </c>
      <c r="E648" s="2"/>
      <c r="F648" s="127">
        <v>3</v>
      </c>
      <c r="G648" s="127">
        <v>101</v>
      </c>
      <c r="H648" s="3">
        <v>5</v>
      </c>
      <c r="I648" s="127">
        <v>5</v>
      </c>
      <c r="J648" s="127">
        <v>1</v>
      </c>
      <c r="K648" s="3"/>
      <c r="L648" s="2" t="s">
        <v>462</v>
      </c>
      <c r="M648" s="2"/>
      <c r="N648" s="2">
        <v>1</v>
      </c>
      <c r="O648" s="2"/>
      <c r="P648" s="3" t="s">
        <v>1615</v>
      </c>
      <c r="Q648" s="95">
        <f t="shared" si="64"/>
        <v>5.7709803921568623</v>
      </c>
      <c r="R648" s="133">
        <f>IF(P648=模板计算相关数据!$AB$24,VLOOKUP(X648,模板计算相关数据!$P$47:$T$50,2,0),VLOOKUP(X648,模板计算相关数据!$P$4:$U$7,3,0))*VLOOKUP(Y648,模板计算相关数据!$P$22:$X$30,8,0)</f>
        <v>5.7709803921568623</v>
      </c>
      <c r="S648" s="62">
        <f t="shared" si="65"/>
        <v>6.4077918749199023</v>
      </c>
      <c r="T648" s="133">
        <f>IF(P648=模板计算相关数据!$AB$24,VLOOKUP(X648,模板计算相关数据!$P$47:$T$50,5,0),VLOOKUP(X648,模板计算相关数据!$P$4:$U$7,6,0))*VLOOKUP(Y648,模板计算相关数据!$P$22:$X$30,9,0)</f>
        <v>6.4077918749199023</v>
      </c>
      <c r="U648" s="98">
        <v>1</v>
      </c>
      <c r="V648" s="95">
        <f t="shared" si="66"/>
        <v>4</v>
      </c>
      <c r="W648" s="29">
        <f>VLOOKUP(U648,模板计算相关数据!A:N,2,0)</f>
        <v>1</v>
      </c>
      <c r="X648" s="3" t="s">
        <v>151</v>
      </c>
      <c r="Y648" s="3" t="s">
        <v>243</v>
      </c>
      <c r="Z648" s="99">
        <v>1</v>
      </c>
      <c r="AA648" s="95">
        <v>1</v>
      </c>
      <c r="AB648" s="95">
        <v>1</v>
      </c>
      <c r="AC648" s="95">
        <v>1</v>
      </c>
      <c r="AD648" s="95">
        <v>0</v>
      </c>
      <c r="AE648" s="95">
        <v>0</v>
      </c>
      <c r="AF648" s="95">
        <v>0</v>
      </c>
      <c r="AG648" s="95">
        <v>0</v>
      </c>
      <c r="AH648" s="95">
        <v>0</v>
      </c>
      <c r="AI648" s="95">
        <v>0</v>
      </c>
      <c r="AJ648" s="3">
        <f>INT(VLOOKUP(U648,模板计算相关数据!A:N,4,0)*VLOOKUP(U648,模板计算相关数据!A:N,14,0)*(1+MAX(0,(VLOOKUP(U648,模板计算相关数据!A:N,7,0)-AQ648))*VLOOKUP(U648,模板计算相关数据!A:N,8,0))*(1-(AL648+AM648)*0.5/((AL648+AM648)*0.5+(VLOOKUP(U648,模板计算相关数据!A:N,2,0)+模板计算相关数据!$AC$27)*模板计算相关数据!$AC$28))*Q648*Z648)</f>
        <v>411</v>
      </c>
      <c r="AK648" s="3">
        <f>INT(VLOOKUP(U648,模板计算相关数据!A:N,3,0)/模板计算相关数据!$W$35/(1+MAX(0,(AO648/10000-VLOOKUP(U648,模板计算相关数据!A:N,9,0)))*AP648/10000)/(1-VLOOKUP(U648,模板计算相关数据!A:N,5,0)/(VLOOKUP(U648,模板计算相关数据!A:N,5,0)+(VLOOKUP(U648,模板计算相关数据!A:N,2,0)+模板计算相关数据!$AC$27)*模板计算相关数据!$AC$28))/S648*AA648)</f>
        <v>86</v>
      </c>
      <c r="AL648" s="3">
        <f>INT(VLOOKUP(U648,模板计算相关数据!A:N,5,0)*VLOOKUP(X648,模板计算相关数据!$P$4:$T$7,4,0)*VLOOKUP(Y648,模板计算相关数据!$P$22:$U$30,4,0)*AB648)</f>
        <v>145</v>
      </c>
      <c r="AM648" s="3">
        <f>INT(VLOOKUP(U648,模板计算相关数据!A:N,6,0)*VLOOKUP(X648,模板计算相关数据!$P$4:$T$7,4,0)*VLOOKUP(Y648,模板计算相关数据!$P$22:$U$30,5,0)*AC648)</f>
        <v>264</v>
      </c>
      <c r="AN648" s="3">
        <f>VLOOKUP(U648,模板计算相关数据!A:N,10,0)*0.5*VLOOKUP(Y648,模板计算相关数据!$P$22:$U$30,6,0)+AD648</f>
        <v>275</v>
      </c>
      <c r="AO648" s="3">
        <f>VLOOKUP(INT(VLOOKUP(U648,模板计算相关数据!A:N,2,0)/30)+1,模板计算相关数据!$O$35:$U$40,3,0)+AE648</f>
        <v>0</v>
      </c>
      <c r="AP648" s="3">
        <f>VLOOKUP(INT(VLOOKUP(U648,模板计算相关数据!A:N,2,0)/30)+1,模板计算相关数据!$O$35:$U$40,4,0)+AF648</f>
        <v>5000</v>
      </c>
      <c r="AQ648" s="3">
        <f>VLOOKUP(INT(VLOOKUP(U648,模板计算相关数据!A:N,2,0)/30)+1,模板计算相关数据!$O$35:$U$40,5,0)+AG648</f>
        <v>0</v>
      </c>
      <c r="AR648" s="3">
        <f>VLOOKUP(INT(VLOOKUP(U648,模板计算相关数据!A:N,2,0)/30)+1,模板计算相关数据!$O$35:$U$40,6,0)+AH648</f>
        <v>0</v>
      </c>
      <c r="AS648" s="3">
        <f>VLOOKUP(INT(VLOOKUP(U648,模板计算相关数据!A:N,2,0)/30)+1,模板计算相关数据!$O$35:$U$40,7,0)+AI648</f>
        <v>0</v>
      </c>
      <c r="AT648" s="3">
        <f>VLOOKUP(INT(VLOOKUP(U648,模板计算相关数据!A:N,2,0)/30)+1,模板计算相关数据!$O$35:$V$40,8,0)</f>
        <v>0</v>
      </c>
      <c r="AU648" s="2"/>
    </row>
    <row r="649" spans="1:47" x14ac:dyDescent="0.2">
      <c r="A649" s="2">
        <v>307207</v>
      </c>
      <c r="B649" s="2"/>
      <c r="C649" s="2" t="s">
        <v>326</v>
      </c>
      <c r="D649" s="2" t="s">
        <v>1207</v>
      </c>
      <c r="E649" s="2"/>
      <c r="F649" s="127">
        <v>3</v>
      </c>
      <c r="G649" s="127">
        <v>101</v>
      </c>
      <c r="H649" s="3">
        <v>5</v>
      </c>
      <c r="I649" s="127">
        <v>5</v>
      </c>
      <c r="J649" s="127">
        <v>1</v>
      </c>
      <c r="K649" s="3"/>
      <c r="L649" s="2" t="s">
        <v>463</v>
      </c>
      <c r="M649" s="2"/>
      <c r="N649" s="2">
        <v>1</v>
      </c>
      <c r="O649" s="2"/>
      <c r="P649" s="3" t="s">
        <v>1615</v>
      </c>
      <c r="Q649" s="95">
        <f t="shared" si="64"/>
        <v>5.7709803921568623</v>
      </c>
      <c r="R649" s="133">
        <f>IF(P649=模板计算相关数据!$AB$24,VLOOKUP(X649,模板计算相关数据!$P$47:$T$50,2,0),VLOOKUP(X649,模板计算相关数据!$P$4:$U$7,3,0))*VLOOKUP(Y649,模板计算相关数据!$P$22:$X$30,8,0)</f>
        <v>5.7709803921568623</v>
      </c>
      <c r="S649" s="62">
        <f t="shared" si="65"/>
        <v>6.4077918749199023</v>
      </c>
      <c r="T649" s="133">
        <f>IF(P649=模板计算相关数据!$AB$24,VLOOKUP(X649,模板计算相关数据!$P$47:$T$50,5,0),VLOOKUP(X649,模板计算相关数据!$P$4:$U$7,6,0))*VLOOKUP(Y649,模板计算相关数据!$P$22:$X$30,9,0)</f>
        <v>6.4077918749199023</v>
      </c>
      <c r="U649" s="98">
        <v>1</v>
      </c>
      <c r="V649" s="95">
        <f t="shared" si="66"/>
        <v>4</v>
      </c>
      <c r="W649" s="29">
        <f>VLOOKUP(U649,模板计算相关数据!A:N,2,0)</f>
        <v>1</v>
      </c>
      <c r="X649" s="3" t="s">
        <v>151</v>
      </c>
      <c r="Y649" s="3" t="s">
        <v>243</v>
      </c>
      <c r="Z649" s="99">
        <v>1</v>
      </c>
      <c r="AA649" s="95">
        <v>1</v>
      </c>
      <c r="AB649" s="95">
        <v>1</v>
      </c>
      <c r="AC649" s="95">
        <v>1</v>
      </c>
      <c r="AD649" s="95">
        <v>0</v>
      </c>
      <c r="AE649" s="95">
        <v>0</v>
      </c>
      <c r="AF649" s="95">
        <v>0</v>
      </c>
      <c r="AG649" s="95">
        <v>0</v>
      </c>
      <c r="AH649" s="95">
        <v>0</v>
      </c>
      <c r="AI649" s="95">
        <v>0</v>
      </c>
      <c r="AJ649" s="3">
        <f>INT(VLOOKUP(U649,模板计算相关数据!A:N,4,0)*VLOOKUP(U649,模板计算相关数据!A:N,14,0)*(1+MAX(0,(VLOOKUP(U649,模板计算相关数据!A:N,7,0)-AQ649))*VLOOKUP(U649,模板计算相关数据!A:N,8,0))*(1-(AL649+AM649)*0.5/((AL649+AM649)*0.5+(VLOOKUP(U649,模板计算相关数据!A:N,2,0)+模板计算相关数据!$AC$27)*模板计算相关数据!$AC$28))*Q649*Z649)</f>
        <v>411</v>
      </c>
      <c r="AK649" s="3">
        <f>INT(VLOOKUP(U649,模板计算相关数据!A:N,3,0)/模板计算相关数据!$W$35/(1+MAX(0,(AO649/10000-VLOOKUP(U649,模板计算相关数据!A:N,9,0)))*AP649/10000)/(1-VLOOKUP(U649,模板计算相关数据!A:N,5,0)/(VLOOKUP(U649,模板计算相关数据!A:N,5,0)+(VLOOKUP(U649,模板计算相关数据!A:N,2,0)+模板计算相关数据!$AC$27)*模板计算相关数据!$AC$28))/S649*AA649)</f>
        <v>86</v>
      </c>
      <c r="AL649" s="3">
        <f>INT(VLOOKUP(U649,模板计算相关数据!A:N,5,0)*VLOOKUP(X649,模板计算相关数据!$P$4:$T$7,4,0)*VLOOKUP(Y649,模板计算相关数据!$P$22:$U$30,4,0)*AB649)</f>
        <v>145</v>
      </c>
      <c r="AM649" s="3">
        <f>INT(VLOOKUP(U649,模板计算相关数据!A:N,6,0)*VLOOKUP(X649,模板计算相关数据!$P$4:$T$7,4,0)*VLOOKUP(Y649,模板计算相关数据!$P$22:$U$30,5,0)*AC649)</f>
        <v>264</v>
      </c>
      <c r="AN649" s="3">
        <f>VLOOKUP(U649,模板计算相关数据!A:N,10,0)*0.5*VLOOKUP(Y649,模板计算相关数据!$P$22:$U$30,6,0)+AD649</f>
        <v>275</v>
      </c>
      <c r="AO649" s="3">
        <f>VLOOKUP(INT(VLOOKUP(U649,模板计算相关数据!A:N,2,0)/30)+1,模板计算相关数据!$O$35:$U$40,3,0)+AE649</f>
        <v>0</v>
      </c>
      <c r="AP649" s="3">
        <f>VLOOKUP(INT(VLOOKUP(U649,模板计算相关数据!A:N,2,0)/30)+1,模板计算相关数据!$O$35:$U$40,4,0)+AF649</f>
        <v>5000</v>
      </c>
      <c r="AQ649" s="3">
        <f>VLOOKUP(INT(VLOOKUP(U649,模板计算相关数据!A:N,2,0)/30)+1,模板计算相关数据!$O$35:$U$40,5,0)+AG649</f>
        <v>0</v>
      </c>
      <c r="AR649" s="3">
        <f>VLOOKUP(INT(VLOOKUP(U649,模板计算相关数据!A:N,2,0)/30)+1,模板计算相关数据!$O$35:$U$40,6,0)+AH649</f>
        <v>0</v>
      </c>
      <c r="AS649" s="3">
        <f>VLOOKUP(INT(VLOOKUP(U649,模板计算相关数据!A:N,2,0)/30)+1,模板计算相关数据!$O$35:$U$40,7,0)+AI649</f>
        <v>0</v>
      </c>
      <c r="AT649" s="3">
        <f>VLOOKUP(INT(VLOOKUP(U649,模板计算相关数据!A:N,2,0)/30)+1,模板计算相关数据!$O$35:$V$40,8,0)</f>
        <v>0</v>
      </c>
      <c r="AU649" s="2"/>
    </row>
    <row r="650" spans="1:47" x14ac:dyDescent="0.2">
      <c r="A650" s="2">
        <v>307208</v>
      </c>
      <c r="B650" s="2"/>
      <c r="C650" s="2" t="s">
        <v>326</v>
      </c>
      <c r="D650" s="2" t="s">
        <v>1208</v>
      </c>
      <c r="E650" s="2"/>
      <c r="F650" s="127">
        <v>3</v>
      </c>
      <c r="G650" s="127">
        <v>101</v>
      </c>
      <c r="H650" s="3">
        <v>5</v>
      </c>
      <c r="I650" s="127">
        <v>5</v>
      </c>
      <c r="J650" s="127">
        <v>1</v>
      </c>
      <c r="K650" s="3"/>
      <c r="L650" s="2" t="s">
        <v>464</v>
      </c>
      <c r="M650" s="2"/>
      <c r="N650" s="2">
        <v>1</v>
      </c>
      <c r="O650" s="2"/>
      <c r="P650" s="3" t="s">
        <v>1615</v>
      </c>
      <c r="Q650" s="95">
        <f t="shared" si="64"/>
        <v>5.7709803921568623</v>
      </c>
      <c r="R650" s="133">
        <f>IF(P650=模板计算相关数据!$AB$24,VLOOKUP(X650,模板计算相关数据!$P$47:$T$50,2,0),VLOOKUP(X650,模板计算相关数据!$P$4:$U$7,3,0))*VLOOKUP(Y650,模板计算相关数据!$P$22:$X$30,8,0)</f>
        <v>5.7709803921568623</v>
      </c>
      <c r="S650" s="62">
        <f t="shared" si="65"/>
        <v>6.4077918749199023</v>
      </c>
      <c r="T650" s="133">
        <f>IF(P650=模板计算相关数据!$AB$24,VLOOKUP(X650,模板计算相关数据!$P$47:$T$50,5,0),VLOOKUP(X650,模板计算相关数据!$P$4:$U$7,6,0))*VLOOKUP(Y650,模板计算相关数据!$P$22:$X$30,9,0)</f>
        <v>6.4077918749199023</v>
      </c>
      <c r="U650" s="98">
        <v>1</v>
      </c>
      <c r="V650" s="95">
        <f t="shared" si="66"/>
        <v>4</v>
      </c>
      <c r="W650" s="29">
        <f>VLOOKUP(U650,模板计算相关数据!A:N,2,0)</f>
        <v>1</v>
      </c>
      <c r="X650" s="3" t="s">
        <v>151</v>
      </c>
      <c r="Y650" s="3" t="s">
        <v>243</v>
      </c>
      <c r="Z650" s="99">
        <v>1</v>
      </c>
      <c r="AA650" s="95">
        <v>1</v>
      </c>
      <c r="AB650" s="95">
        <v>1</v>
      </c>
      <c r="AC650" s="95">
        <v>1</v>
      </c>
      <c r="AD650" s="95">
        <v>0</v>
      </c>
      <c r="AE650" s="95">
        <v>0</v>
      </c>
      <c r="AF650" s="95">
        <v>0</v>
      </c>
      <c r="AG650" s="95">
        <v>0</v>
      </c>
      <c r="AH650" s="95">
        <v>0</v>
      </c>
      <c r="AI650" s="95">
        <v>0</v>
      </c>
      <c r="AJ650" s="3">
        <f>INT(VLOOKUP(U650,模板计算相关数据!A:N,4,0)*VLOOKUP(U650,模板计算相关数据!A:N,14,0)*(1+MAX(0,(VLOOKUP(U650,模板计算相关数据!A:N,7,0)-AQ650))*VLOOKUP(U650,模板计算相关数据!A:N,8,0))*(1-(AL650+AM650)*0.5/((AL650+AM650)*0.5+(VLOOKUP(U650,模板计算相关数据!A:N,2,0)+模板计算相关数据!$AC$27)*模板计算相关数据!$AC$28))*Q650*Z650)</f>
        <v>411</v>
      </c>
      <c r="AK650" s="3">
        <f>INT(VLOOKUP(U650,模板计算相关数据!A:N,3,0)/模板计算相关数据!$W$35/(1+MAX(0,(AO650/10000-VLOOKUP(U650,模板计算相关数据!A:N,9,0)))*AP650/10000)/(1-VLOOKUP(U650,模板计算相关数据!A:N,5,0)/(VLOOKUP(U650,模板计算相关数据!A:N,5,0)+(VLOOKUP(U650,模板计算相关数据!A:N,2,0)+模板计算相关数据!$AC$27)*模板计算相关数据!$AC$28))/S650*AA650)</f>
        <v>86</v>
      </c>
      <c r="AL650" s="3">
        <f>INT(VLOOKUP(U650,模板计算相关数据!A:N,5,0)*VLOOKUP(X650,模板计算相关数据!$P$4:$T$7,4,0)*VLOOKUP(Y650,模板计算相关数据!$P$22:$U$30,4,0)*AB650)</f>
        <v>145</v>
      </c>
      <c r="AM650" s="3">
        <f>INT(VLOOKUP(U650,模板计算相关数据!A:N,6,0)*VLOOKUP(X650,模板计算相关数据!$P$4:$T$7,4,0)*VLOOKUP(Y650,模板计算相关数据!$P$22:$U$30,5,0)*AC650)</f>
        <v>264</v>
      </c>
      <c r="AN650" s="3">
        <f>VLOOKUP(U650,模板计算相关数据!A:N,10,0)*0.5*VLOOKUP(Y650,模板计算相关数据!$P$22:$U$30,6,0)+AD650</f>
        <v>275</v>
      </c>
      <c r="AO650" s="3">
        <f>VLOOKUP(INT(VLOOKUP(U650,模板计算相关数据!A:N,2,0)/30)+1,模板计算相关数据!$O$35:$U$40,3,0)+AE650</f>
        <v>0</v>
      </c>
      <c r="AP650" s="3">
        <f>VLOOKUP(INT(VLOOKUP(U650,模板计算相关数据!A:N,2,0)/30)+1,模板计算相关数据!$O$35:$U$40,4,0)+AF650</f>
        <v>5000</v>
      </c>
      <c r="AQ650" s="3">
        <f>VLOOKUP(INT(VLOOKUP(U650,模板计算相关数据!A:N,2,0)/30)+1,模板计算相关数据!$O$35:$U$40,5,0)+AG650</f>
        <v>0</v>
      </c>
      <c r="AR650" s="3">
        <f>VLOOKUP(INT(VLOOKUP(U650,模板计算相关数据!A:N,2,0)/30)+1,模板计算相关数据!$O$35:$U$40,6,0)+AH650</f>
        <v>0</v>
      </c>
      <c r="AS650" s="3">
        <f>VLOOKUP(INT(VLOOKUP(U650,模板计算相关数据!A:N,2,0)/30)+1,模板计算相关数据!$O$35:$U$40,7,0)+AI650</f>
        <v>0</v>
      </c>
      <c r="AT650" s="3">
        <f>VLOOKUP(INT(VLOOKUP(U650,模板计算相关数据!A:N,2,0)/30)+1,模板计算相关数据!$O$35:$V$40,8,0)</f>
        <v>0</v>
      </c>
      <c r="AU650" s="2"/>
    </row>
    <row r="651" spans="1:47" x14ac:dyDescent="0.2">
      <c r="A651" s="2">
        <v>307209</v>
      </c>
      <c r="B651" s="2"/>
      <c r="C651" s="2" t="s">
        <v>326</v>
      </c>
      <c r="D651" s="2" t="s">
        <v>1209</v>
      </c>
      <c r="E651" s="2"/>
      <c r="F651" s="127">
        <v>3</v>
      </c>
      <c r="G651" s="127">
        <v>101</v>
      </c>
      <c r="H651" s="3">
        <v>5</v>
      </c>
      <c r="I651" s="127">
        <v>5</v>
      </c>
      <c r="J651" s="127">
        <v>1</v>
      </c>
      <c r="K651" s="3"/>
      <c r="L651" s="2" t="s">
        <v>465</v>
      </c>
      <c r="M651" s="2"/>
      <c r="N651" s="2">
        <v>1</v>
      </c>
      <c r="O651" s="2"/>
      <c r="P651" s="3" t="s">
        <v>1615</v>
      </c>
      <c r="Q651" s="95">
        <f t="shared" si="64"/>
        <v>5.7709803921568623</v>
      </c>
      <c r="R651" s="133">
        <f>IF(P651=模板计算相关数据!$AB$24,VLOOKUP(X651,模板计算相关数据!$P$47:$T$50,2,0),VLOOKUP(X651,模板计算相关数据!$P$4:$U$7,3,0))*VLOOKUP(Y651,模板计算相关数据!$P$22:$X$30,8,0)</f>
        <v>5.7709803921568623</v>
      </c>
      <c r="S651" s="62">
        <f t="shared" si="65"/>
        <v>6.4077918749199023</v>
      </c>
      <c r="T651" s="133">
        <f>IF(P651=模板计算相关数据!$AB$24,VLOOKUP(X651,模板计算相关数据!$P$47:$T$50,5,0),VLOOKUP(X651,模板计算相关数据!$P$4:$U$7,6,0))*VLOOKUP(Y651,模板计算相关数据!$P$22:$X$30,9,0)</f>
        <v>6.4077918749199023</v>
      </c>
      <c r="U651" s="98">
        <v>1</v>
      </c>
      <c r="V651" s="95">
        <f t="shared" si="66"/>
        <v>4</v>
      </c>
      <c r="W651" s="29">
        <f>VLOOKUP(U651,模板计算相关数据!A:N,2,0)</f>
        <v>1</v>
      </c>
      <c r="X651" s="3" t="s">
        <v>151</v>
      </c>
      <c r="Y651" s="3" t="s">
        <v>243</v>
      </c>
      <c r="Z651" s="99">
        <v>1</v>
      </c>
      <c r="AA651" s="95">
        <v>1</v>
      </c>
      <c r="AB651" s="95">
        <v>1</v>
      </c>
      <c r="AC651" s="95">
        <v>1</v>
      </c>
      <c r="AD651" s="95">
        <v>0</v>
      </c>
      <c r="AE651" s="95">
        <v>0</v>
      </c>
      <c r="AF651" s="95">
        <v>0</v>
      </c>
      <c r="AG651" s="95">
        <v>0</v>
      </c>
      <c r="AH651" s="95">
        <v>0</v>
      </c>
      <c r="AI651" s="95">
        <v>0</v>
      </c>
      <c r="AJ651" s="3">
        <f>INT(VLOOKUP(U651,模板计算相关数据!A:N,4,0)*VLOOKUP(U651,模板计算相关数据!A:N,14,0)*(1+MAX(0,(VLOOKUP(U651,模板计算相关数据!A:N,7,0)-AQ651))*VLOOKUP(U651,模板计算相关数据!A:N,8,0))*(1-(AL651+AM651)*0.5/((AL651+AM651)*0.5+(VLOOKUP(U651,模板计算相关数据!A:N,2,0)+模板计算相关数据!$AC$27)*模板计算相关数据!$AC$28))*Q651*Z651)</f>
        <v>411</v>
      </c>
      <c r="AK651" s="3">
        <f>INT(VLOOKUP(U651,模板计算相关数据!A:N,3,0)/模板计算相关数据!$W$35/(1+MAX(0,(AO651/10000-VLOOKUP(U651,模板计算相关数据!A:N,9,0)))*AP651/10000)/(1-VLOOKUP(U651,模板计算相关数据!A:N,5,0)/(VLOOKUP(U651,模板计算相关数据!A:N,5,0)+(VLOOKUP(U651,模板计算相关数据!A:N,2,0)+模板计算相关数据!$AC$27)*模板计算相关数据!$AC$28))/S651*AA651)</f>
        <v>86</v>
      </c>
      <c r="AL651" s="3">
        <f>INT(VLOOKUP(U651,模板计算相关数据!A:N,5,0)*VLOOKUP(X651,模板计算相关数据!$P$4:$T$7,4,0)*VLOOKUP(Y651,模板计算相关数据!$P$22:$U$30,4,0)*AB651)</f>
        <v>145</v>
      </c>
      <c r="AM651" s="3">
        <f>INT(VLOOKUP(U651,模板计算相关数据!A:N,6,0)*VLOOKUP(X651,模板计算相关数据!$P$4:$T$7,4,0)*VLOOKUP(Y651,模板计算相关数据!$P$22:$U$30,5,0)*AC651)</f>
        <v>264</v>
      </c>
      <c r="AN651" s="3">
        <f>VLOOKUP(U651,模板计算相关数据!A:N,10,0)*0.5*VLOOKUP(Y651,模板计算相关数据!$P$22:$U$30,6,0)+AD651</f>
        <v>275</v>
      </c>
      <c r="AO651" s="3">
        <f>VLOOKUP(INT(VLOOKUP(U651,模板计算相关数据!A:N,2,0)/30)+1,模板计算相关数据!$O$35:$U$40,3,0)+AE651</f>
        <v>0</v>
      </c>
      <c r="AP651" s="3">
        <f>VLOOKUP(INT(VLOOKUP(U651,模板计算相关数据!A:N,2,0)/30)+1,模板计算相关数据!$O$35:$U$40,4,0)+AF651</f>
        <v>5000</v>
      </c>
      <c r="AQ651" s="3">
        <f>VLOOKUP(INT(VLOOKUP(U651,模板计算相关数据!A:N,2,0)/30)+1,模板计算相关数据!$O$35:$U$40,5,0)+AG651</f>
        <v>0</v>
      </c>
      <c r="AR651" s="3">
        <f>VLOOKUP(INT(VLOOKUP(U651,模板计算相关数据!A:N,2,0)/30)+1,模板计算相关数据!$O$35:$U$40,6,0)+AH651</f>
        <v>0</v>
      </c>
      <c r="AS651" s="3">
        <f>VLOOKUP(INT(VLOOKUP(U651,模板计算相关数据!A:N,2,0)/30)+1,模板计算相关数据!$O$35:$U$40,7,0)+AI651</f>
        <v>0</v>
      </c>
      <c r="AT651" s="3">
        <f>VLOOKUP(INT(VLOOKUP(U651,模板计算相关数据!A:N,2,0)/30)+1,模板计算相关数据!$O$35:$V$40,8,0)</f>
        <v>0</v>
      </c>
      <c r="AU651" s="2"/>
    </row>
    <row r="652" spans="1:47" x14ac:dyDescent="0.2">
      <c r="A652" s="2">
        <v>307210</v>
      </c>
      <c r="B652" s="2"/>
      <c r="C652" s="2" t="s">
        <v>326</v>
      </c>
      <c r="D652" s="2" t="s">
        <v>1210</v>
      </c>
      <c r="E652" s="2"/>
      <c r="F652" s="127">
        <v>3</v>
      </c>
      <c r="G652" s="127">
        <v>101</v>
      </c>
      <c r="H652" s="3">
        <v>5</v>
      </c>
      <c r="I652" s="127">
        <v>5</v>
      </c>
      <c r="J652" s="127">
        <v>1</v>
      </c>
      <c r="K652" s="3"/>
      <c r="L652" s="2" t="s">
        <v>466</v>
      </c>
      <c r="M652" s="2"/>
      <c r="N652" s="2">
        <v>1</v>
      </c>
      <c r="O652" s="2"/>
      <c r="P652" s="3" t="s">
        <v>1615</v>
      </c>
      <c r="Q652" s="95">
        <f t="shared" si="64"/>
        <v>5.7709803921568623</v>
      </c>
      <c r="R652" s="133">
        <f>IF(P652=模板计算相关数据!$AB$24,VLOOKUP(X652,模板计算相关数据!$P$47:$T$50,2,0),VLOOKUP(X652,模板计算相关数据!$P$4:$U$7,3,0))*VLOOKUP(Y652,模板计算相关数据!$P$22:$X$30,8,0)</f>
        <v>5.7709803921568623</v>
      </c>
      <c r="S652" s="62">
        <f t="shared" si="65"/>
        <v>6.4077918749199023</v>
      </c>
      <c r="T652" s="133">
        <f>IF(P652=模板计算相关数据!$AB$24,VLOOKUP(X652,模板计算相关数据!$P$47:$T$50,5,0),VLOOKUP(X652,模板计算相关数据!$P$4:$U$7,6,0))*VLOOKUP(Y652,模板计算相关数据!$P$22:$X$30,9,0)</f>
        <v>6.4077918749199023</v>
      </c>
      <c r="U652" s="98">
        <v>1</v>
      </c>
      <c r="V652" s="95">
        <f t="shared" si="66"/>
        <v>4</v>
      </c>
      <c r="W652" s="29">
        <f>VLOOKUP(U652,模板计算相关数据!A:N,2,0)</f>
        <v>1</v>
      </c>
      <c r="X652" s="3" t="s">
        <v>151</v>
      </c>
      <c r="Y652" s="3" t="s">
        <v>243</v>
      </c>
      <c r="Z652" s="99">
        <v>1</v>
      </c>
      <c r="AA652" s="95">
        <v>1</v>
      </c>
      <c r="AB652" s="95">
        <v>1</v>
      </c>
      <c r="AC652" s="95">
        <v>1</v>
      </c>
      <c r="AD652" s="95">
        <v>0</v>
      </c>
      <c r="AE652" s="95">
        <v>0</v>
      </c>
      <c r="AF652" s="95">
        <v>0</v>
      </c>
      <c r="AG652" s="95">
        <v>0</v>
      </c>
      <c r="AH652" s="95">
        <v>0</v>
      </c>
      <c r="AI652" s="95">
        <v>0</v>
      </c>
      <c r="AJ652" s="3">
        <f>INT(VLOOKUP(U652,模板计算相关数据!A:N,4,0)*VLOOKUP(U652,模板计算相关数据!A:N,14,0)*(1+MAX(0,(VLOOKUP(U652,模板计算相关数据!A:N,7,0)-AQ652))*VLOOKUP(U652,模板计算相关数据!A:N,8,0))*(1-(AL652+AM652)*0.5/((AL652+AM652)*0.5+(VLOOKUP(U652,模板计算相关数据!A:N,2,0)+模板计算相关数据!$AC$27)*模板计算相关数据!$AC$28))*Q652*Z652)</f>
        <v>411</v>
      </c>
      <c r="AK652" s="3">
        <f>INT(VLOOKUP(U652,模板计算相关数据!A:N,3,0)/模板计算相关数据!$W$35/(1+MAX(0,(AO652/10000-VLOOKUP(U652,模板计算相关数据!A:N,9,0)))*AP652/10000)/(1-VLOOKUP(U652,模板计算相关数据!A:N,5,0)/(VLOOKUP(U652,模板计算相关数据!A:N,5,0)+(VLOOKUP(U652,模板计算相关数据!A:N,2,0)+模板计算相关数据!$AC$27)*模板计算相关数据!$AC$28))/S652*AA652)</f>
        <v>86</v>
      </c>
      <c r="AL652" s="3">
        <f>INT(VLOOKUP(U652,模板计算相关数据!A:N,5,0)*VLOOKUP(X652,模板计算相关数据!$P$4:$T$7,4,0)*VLOOKUP(Y652,模板计算相关数据!$P$22:$U$30,4,0)*AB652)</f>
        <v>145</v>
      </c>
      <c r="AM652" s="3">
        <f>INT(VLOOKUP(U652,模板计算相关数据!A:N,6,0)*VLOOKUP(X652,模板计算相关数据!$P$4:$T$7,4,0)*VLOOKUP(Y652,模板计算相关数据!$P$22:$U$30,5,0)*AC652)</f>
        <v>264</v>
      </c>
      <c r="AN652" s="3">
        <f>VLOOKUP(U652,模板计算相关数据!A:N,10,0)*0.5*VLOOKUP(Y652,模板计算相关数据!$P$22:$U$30,6,0)+AD652</f>
        <v>275</v>
      </c>
      <c r="AO652" s="3">
        <f>VLOOKUP(INT(VLOOKUP(U652,模板计算相关数据!A:N,2,0)/30)+1,模板计算相关数据!$O$35:$U$40,3,0)+AE652</f>
        <v>0</v>
      </c>
      <c r="AP652" s="3">
        <f>VLOOKUP(INT(VLOOKUP(U652,模板计算相关数据!A:N,2,0)/30)+1,模板计算相关数据!$O$35:$U$40,4,0)+AF652</f>
        <v>5000</v>
      </c>
      <c r="AQ652" s="3">
        <f>VLOOKUP(INT(VLOOKUP(U652,模板计算相关数据!A:N,2,0)/30)+1,模板计算相关数据!$O$35:$U$40,5,0)+AG652</f>
        <v>0</v>
      </c>
      <c r="AR652" s="3">
        <f>VLOOKUP(INT(VLOOKUP(U652,模板计算相关数据!A:N,2,0)/30)+1,模板计算相关数据!$O$35:$U$40,6,0)+AH652</f>
        <v>0</v>
      </c>
      <c r="AS652" s="3">
        <f>VLOOKUP(INT(VLOOKUP(U652,模板计算相关数据!A:N,2,0)/30)+1,模板计算相关数据!$O$35:$U$40,7,0)+AI652</f>
        <v>0</v>
      </c>
      <c r="AT652" s="3">
        <f>VLOOKUP(INT(VLOOKUP(U652,模板计算相关数据!A:N,2,0)/30)+1,模板计算相关数据!$O$35:$V$40,8,0)</f>
        <v>0</v>
      </c>
      <c r="AU652" s="2"/>
    </row>
    <row r="653" spans="1:47" x14ac:dyDescent="0.2">
      <c r="A653" s="2">
        <v>307211</v>
      </c>
      <c r="B653" s="2"/>
      <c r="C653" s="2" t="s">
        <v>162</v>
      </c>
      <c r="D653" s="2" t="s">
        <v>1206</v>
      </c>
      <c r="E653" s="2"/>
      <c r="F653" s="127">
        <v>3</v>
      </c>
      <c r="G653" s="127">
        <v>101</v>
      </c>
      <c r="H653" s="3">
        <v>4</v>
      </c>
      <c r="I653" s="127">
        <v>5</v>
      </c>
      <c r="J653" s="127">
        <v>1</v>
      </c>
      <c r="K653" s="3"/>
      <c r="L653" s="2" t="s">
        <v>467</v>
      </c>
      <c r="M653" s="2"/>
      <c r="N653" s="2">
        <v>1</v>
      </c>
      <c r="O653" s="2"/>
      <c r="P653" s="3" t="s">
        <v>1615</v>
      </c>
      <c r="Q653" s="95">
        <f t="shared" si="64"/>
        <v>4.4674509803921572</v>
      </c>
      <c r="R653" s="133">
        <f>IF(P653=模板计算相关数据!$AB$24,VLOOKUP(X653,模板计算相关数据!$P$47:$T$50,2,0),VLOOKUP(X653,模板计算相关数据!$P$4:$U$7,3,0))*VLOOKUP(Y653,模板计算相关数据!$P$22:$X$30,8,0)</f>
        <v>4.4674509803921572</v>
      </c>
      <c r="S653" s="62">
        <f t="shared" si="65"/>
        <v>5.4739930589768004</v>
      </c>
      <c r="T653" s="133">
        <f>IF(P653=模板计算相关数据!$AB$24,VLOOKUP(X653,模板计算相关数据!$P$47:$T$50,5,0),VLOOKUP(X653,模板计算相关数据!$P$4:$U$7,6,0))*VLOOKUP(Y653,模板计算相关数据!$P$22:$X$30,9,0)</f>
        <v>5.4739930589768004</v>
      </c>
      <c r="U653" s="98">
        <v>1</v>
      </c>
      <c r="V653" s="95">
        <f t="shared" si="66"/>
        <v>4</v>
      </c>
      <c r="W653" s="29">
        <f>VLOOKUP(U653,模板计算相关数据!A:N,2,0)</f>
        <v>1</v>
      </c>
      <c r="X653" s="3" t="s">
        <v>151</v>
      </c>
      <c r="Y653" s="3" t="s">
        <v>162</v>
      </c>
      <c r="Z653" s="99">
        <v>1</v>
      </c>
      <c r="AA653" s="95">
        <v>1</v>
      </c>
      <c r="AB653" s="95">
        <v>1</v>
      </c>
      <c r="AC653" s="95">
        <v>1</v>
      </c>
      <c r="AD653" s="95">
        <v>0</v>
      </c>
      <c r="AE653" s="95">
        <v>0</v>
      </c>
      <c r="AF653" s="95">
        <v>0</v>
      </c>
      <c r="AG653" s="95">
        <v>0</v>
      </c>
      <c r="AH653" s="95">
        <v>0</v>
      </c>
      <c r="AI653" s="95">
        <v>0</v>
      </c>
      <c r="AJ653" s="3">
        <f>INT(VLOOKUP(U653,模板计算相关数据!A:N,4,0)*VLOOKUP(U653,模板计算相关数据!A:N,14,0)*(1+MAX(0,(VLOOKUP(U653,模板计算相关数据!A:N,7,0)-AQ653))*VLOOKUP(U653,模板计算相关数据!A:N,8,0))*(1-(AL653+AM653)*0.5/((AL653+AM653)*0.5+(VLOOKUP(U653,模板计算相关数据!A:N,2,0)+模板计算相关数据!$AC$27)*模板计算相关数据!$AC$28))*Q653*Z653)</f>
        <v>328</v>
      </c>
      <c r="AK653" s="3">
        <f>INT(VLOOKUP(U653,模板计算相关数据!A:N,3,0)/模板计算相关数据!$W$35/(1+MAX(0,(AO653/10000-VLOOKUP(U653,模板计算相关数据!A:N,9,0)))*AP653/10000)/(1-VLOOKUP(U653,模板计算相关数据!A:N,5,0)/(VLOOKUP(U653,模板计算相关数据!A:N,5,0)+(VLOOKUP(U653,模板计算相关数据!A:N,2,0)+模板计算相关数据!$AC$27)*模板计算相关数据!$AC$28))/S653*AA653)</f>
        <v>101</v>
      </c>
      <c r="AL653" s="3">
        <f>INT(VLOOKUP(U653,模板计算相关数据!A:N,5,0)*VLOOKUP(X653,模板计算相关数据!$P$4:$T$7,4,0)*VLOOKUP(Y653,模板计算相关数据!$P$22:$U$30,4,0)*AB653)</f>
        <v>136</v>
      </c>
      <c r="AM653" s="3">
        <f>INT(VLOOKUP(U653,模板计算相关数据!A:N,6,0)*VLOOKUP(X653,模板计算相关数据!$P$4:$T$7,4,0)*VLOOKUP(Y653,模板计算相关数据!$P$22:$U$30,5,0)*AC653)</f>
        <v>230</v>
      </c>
      <c r="AN653" s="3">
        <f>VLOOKUP(U653,模板计算相关数据!A:N,10,0)*0.5*VLOOKUP(Y653,模板计算相关数据!$P$22:$U$30,6,0)+AD653</f>
        <v>250</v>
      </c>
      <c r="AO653" s="3">
        <f>VLOOKUP(INT(VLOOKUP(U653,模板计算相关数据!A:N,2,0)/30)+1,模板计算相关数据!$O$35:$U$40,3,0)+AE653</f>
        <v>0</v>
      </c>
      <c r="AP653" s="3">
        <f>VLOOKUP(INT(VLOOKUP(U653,模板计算相关数据!A:N,2,0)/30)+1,模板计算相关数据!$O$35:$U$40,4,0)+AF653</f>
        <v>5000</v>
      </c>
      <c r="AQ653" s="3">
        <f>VLOOKUP(INT(VLOOKUP(U653,模板计算相关数据!A:N,2,0)/30)+1,模板计算相关数据!$O$35:$U$40,5,0)+AG653</f>
        <v>0</v>
      </c>
      <c r="AR653" s="3">
        <f>VLOOKUP(INT(VLOOKUP(U653,模板计算相关数据!A:N,2,0)/30)+1,模板计算相关数据!$O$35:$U$40,6,0)+AH653</f>
        <v>0</v>
      </c>
      <c r="AS653" s="3">
        <f>VLOOKUP(INT(VLOOKUP(U653,模板计算相关数据!A:N,2,0)/30)+1,模板计算相关数据!$O$35:$U$40,7,0)+AI653</f>
        <v>0</v>
      </c>
      <c r="AT653" s="3">
        <f>VLOOKUP(INT(VLOOKUP(U653,模板计算相关数据!A:N,2,0)/30)+1,模板计算相关数据!$O$35:$V$40,8,0)</f>
        <v>0</v>
      </c>
      <c r="AU653" s="2"/>
    </row>
    <row r="654" spans="1:47" x14ac:dyDescent="0.2">
      <c r="A654" s="2">
        <v>307212</v>
      </c>
      <c r="B654" s="2"/>
      <c r="C654" s="2" t="s">
        <v>162</v>
      </c>
      <c r="D654" s="2" t="s">
        <v>1207</v>
      </c>
      <c r="E654" s="2"/>
      <c r="F654" s="127">
        <v>3</v>
      </c>
      <c r="G654" s="127">
        <v>101</v>
      </c>
      <c r="H654" s="3">
        <v>4</v>
      </c>
      <c r="I654" s="127">
        <v>5</v>
      </c>
      <c r="J654" s="127">
        <v>1</v>
      </c>
      <c r="K654" s="3"/>
      <c r="L654" s="2" t="s">
        <v>468</v>
      </c>
      <c r="M654" s="2"/>
      <c r="N654" s="2">
        <v>1</v>
      </c>
      <c r="O654" s="2"/>
      <c r="P654" s="3" t="s">
        <v>1615</v>
      </c>
      <c r="Q654" s="95">
        <f t="shared" si="64"/>
        <v>4.4674509803921572</v>
      </c>
      <c r="R654" s="133">
        <f>IF(P654=模板计算相关数据!$AB$24,VLOOKUP(X654,模板计算相关数据!$P$47:$T$50,2,0),VLOOKUP(X654,模板计算相关数据!$P$4:$U$7,3,0))*VLOOKUP(Y654,模板计算相关数据!$P$22:$X$30,8,0)</f>
        <v>4.4674509803921572</v>
      </c>
      <c r="S654" s="62">
        <f t="shared" si="65"/>
        <v>5.4739930589768004</v>
      </c>
      <c r="T654" s="133">
        <f>IF(P654=模板计算相关数据!$AB$24,VLOOKUP(X654,模板计算相关数据!$P$47:$T$50,5,0),VLOOKUP(X654,模板计算相关数据!$P$4:$U$7,6,0))*VLOOKUP(Y654,模板计算相关数据!$P$22:$X$30,9,0)</f>
        <v>5.4739930589768004</v>
      </c>
      <c r="U654" s="98">
        <v>1</v>
      </c>
      <c r="V654" s="95">
        <f t="shared" si="66"/>
        <v>4</v>
      </c>
      <c r="W654" s="29">
        <f>VLOOKUP(U654,模板计算相关数据!A:N,2,0)</f>
        <v>1</v>
      </c>
      <c r="X654" s="3" t="s">
        <v>151</v>
      </c>
      <c r="Y654" s="3" t="s">
        <v>162</v>
      </c>
      <c r="Z654" s="99">
        <v>1</v>
      </c>
      <c r="AA654" s="95">
        <v>1</v>
      </c>
      <c r="AB654" s="95">
        <v>1</v>
      </c>
      <c r="AC654" s="95">
        <v>1</v>
      </c>
      <c r="AD654" s="95">
        <v>0</v>
      </c>
      <c r="AE654" s="95">
        <v>0</v>
      </c>
      <c r="AF654" s="95">
        <v>0</v>
      </c>
      <c r="AG654" s="95">
        <v>0</v>
      </c>
      <c r="AH654" s="95">
        <v>0</v>
      </c>
      <c r="AI654" s="95">
        <v>0</v>
      </c>
      <c r="AJ654" s="3">
        <f>INT(VLOOKUP(U654,模板计算相关数据!A:N,4,0)*VLOOKUP(U654,模板计算相关数据!A:N,14,0)*(1+MAX(0,(VLOOKUP(U654,模板计算相关数据!A:N,7,0)-AQ654))*VLOOKUP(U654,模板计算相关数据!A:N,8,0))*(1-(AL654+AM654)*0.5/((AL654+AM654)*0.5+(VLOOKUP(U654,模板计算相关数据!A:N,2,0)+模板计算相关数据!$AC$27)*模板计算相关数据!$AC$28))*Q654*Z654)</f>
        <v>328</v>
      </c>
      <c r="AK654" s="3">
        <f>INT(VLOOKUP(U654,模板计算相关数据!A:N,3,0)/模板计算相关数据!$W$35/(1+MAX(0,(AO654/10000-VLOOKUP(U654,模板计算相关数据!A:N,9,0)))*AP654/10000)/(1-VLOOKUP(U654,模板计算相关数据!A:N,5,0)/(VLOOKUP(U654,模板计算相关数据!A:N,5,0)+(VLOOKUP(U654,模板计算相关数据!A:N,2,0)+模板计算相关数据!$AC$27)*模板计算相关数据!$AC$28))/S654*AA654)</f>
        <v>101</v>
      </c>
      <c r="AL654" s="3">
        <f>INT(VLOOKUP(U654,模板计算相关数据!A:N,5,0)*VLOOKUP(X654,模板计算相关数据!$P$4:$T$7,4,0)*VLOOKUP(Y654,模板计算相关数据!$P$22:$U$30,4,0)*AB654)</f>
        <v>136</v>
      </c>
      <c r="AM654" s="3">
        <f>INT(VLOOKUP(U654,模板计算相关数据!A:N,6,0)*VLOOKUP(X654,模板计算相关数据!$P$4:$T$7,4,0)*VLOOKUP(Y654,模板计算相关数据!$P$22:$U$30,5,0)*AC654)</f>
        <v>230</v>
      </c>
      <c r="AN654" s="3">
        <f>VLOOKUP(U654,模板计算相关数据!A:N,10,0)*0.5*VLOOKUP(Y654,模板计算相关数据!$P$22:$U$30,6,0)+AD654</f>
        <v>250</v>
      </c>
      <c r="AO654" s="3">
        <f>VLOOKUP(INT(VLOOKUP(U654,模板计算相关数据!A:N,2,0)/30)+1,模板计算相关数据!$O$35:$U$40,3,0)+AE654</f>
        <v>0</v>
      </c>
      <c r="AP654" s="3">
        <f>VLOOKUP(INT(VLOOKUP(U654,模板计算相关数据!A:N,2,0)/30)+1,模板计算相关数据!$O$35:$U$40,4,0)+AF654</f>
        <v>5000</v>
      </c>
      <c r="AQ654" s="3">
        <f>VLOOKUP(INT(VLOOKUP(U654,模板计算相关数据!A:N,2,0)/30)+1,模板计算相关数据!$O$35:$U$40,5,0)+AG654</f>
        <v>0</v>
      </c>
      <c r="AR654" s="3">
        <f>VLOOKUP(INT(VLOOKUP(U654,模板计算相关数据!A:N,2,0)/30)+1,模板计算相关数据!$O$35:$U$40,6,0)+AH654</f>
        <v>0</v>
      </c>
      <c r="AS654" s="3">
        <f>VLOOKUP(INT(VLOOKUP(U654,模板计算相关数据!A:N,2,0)/30)+1,模板计算相关数据!$O$35:$U$40,7,0)+AI654</f>
        <v>0</v>
      </c>
      <c r="AT654" s="3">
        <f>VLOOKUP(INT(VLOOKUP(U654,模板计算相关数据!A:N,2,0)/30)+1,模板计算相关数据!$O$35:$V$40,8,0)</f>
        <v>0</v>
      </c>
      <c r="AU654" s="2"/>
    </row>
    <row r="655" spans="1:47" x14ac:dyDescent="0.2">
      <c r="A655" s="2">
        <v>307213</v>
      </c>
      <c r="B655" s="2"/>
      <c r="C655" s="2" t="s">
        <v>162</v>
      </c>
      <c r="D655" s="2" t="s">
        <v>1208</v>
      </c>
      <c r="E655" s="2"/>
      <c r="F655" s="127">
        <v>3</v>
      </c>
      <c r="G655" s="127">
        <v>101</v>
      </c>
      <c r="H655" s="3">
        <v>4</v>
      </c>
      <c r="I655" s="127">
        <v>5</v>
      </c>
      <c r="J655" s="127">
        <v>1</v>
      </c>
      <c r="K655" s="3"/>
      <c r="L655" s="2" t="s">
        <v>469</v>
      </c>
      <c r="M655" s="2"/>
      <c r="N655" s="2">
        <v>1</v>
      </c>
      <c r="O655" s="2"/>
      <c r="P655" s="3" t="s">
        <v>1615</v>
      </c>
      <c r="Q655" s="95">
        <f t="shared" si="64"/>
        <v>4.4674509803921572</v>
      </c>
      <c r="R655" s="133">
        <f>IF(P655=模板计算相关数据!$AB$24,VLOOKUP(X655,模板计算相关数据!$P$47:$T$50,2,0),VLOOKUP(X655,模板计算相关数据!$P$4:$U$7,3,0))*VLOOKUP(Y655,模板计算相关数据!$P$22:$X$30,8,0)</f>
        <v>4.4674509803921572</v>
      </c>
      <c r="S655" s="62">
        <f t="shared" si="65"/>
        <v>5.4739930589768004</v>
      </c>
      <c r="T655" s="133">
        <f>IF(P655=模板计算相关数据!$AB$24,VLOOKUP(X655,模板计算相关数据!$P$47:$T$50,5,0),VLOOKUP(X655,模板计算相关数据!$P$4:$U$7,6,0))*VLOOKUP(Y655,模板计算相关数据!$P$22:$X$30,9,0)</f>
        <v>5.4739930589768004</v>
      </c>
      <c r="U655" s="98">
        <v>1</v>
      </c>
      <c r="V655" s="95">
        <f t="shared" si="66"/>
        <v>4</v>
      </c>
      <c r="W655" s="29">
        <f>VLOOKUP(U655,模板计算相关数据!A:N,2,0)</f>
        <v>1</v>
      </c>
      <c r="X655" s="3" t="s">
        <v>151</v>
      </c>
      <c r="Y655" s="3" t="s">
        <v>162</v>
      </c>
      <c r="Z655" s="99">
        <v>1</v>
      </c>
      <c r="AA655" s="95">
        <v>1</v>
      </c>
      <c r="AB655" s="95">
        <v>1</v>
      </c>
      <c r="AC655" s="95">
        <v>1</v>
      </c>
      <c r="AD655" s="95">
        <v>0</v>
      </c>
      <c r="AE655" s="95">
        <v>0</v>
      </c>
      <c r="AF655" s="95">
        <v>0</v>
      </c>
      <c r="AG655" s="95">
        <v>0</v>
      </c>
      <c r="AH655" s="95">
        <v>0</v>
      </c>
      <c r="AI655" s="95">
        <v>0</v>
      </c>
      <c r="AJ655" s="3">
        <f>INT(VLOOKUP(U655,模板计算相关数据!A:N,4,0)*VLOOKUP(U655,模板计算相关数据!A:N,14,0)*(1+MAX(0,(VLOOKUP(U655,模板计算相关数据!A:N,7,0)-AQ655))*VLOOKUP(U655,模板计算相关数据!A:N,8,0))*(1-(AL655+AM655)*0.5/((AL655+AM655)*0.5+(VLOOKUP(U655,模板计算相关数据!A:N,2,0)+模板计算相关数据!$AC$27)*模板计算相关数据!$AC$28))*Q655*Z655)</f>
        <v>328</v>
      </c>
      <c r="AK655" s="3">
        <f>INT(VLOOKUP(U655,模板计算相关数据!A:N,3,0)/模板计算相关数据!$W$35/(1+MAX(0,(AO655/10000-VLOOKUP(U655,模板计算相关数据!A:N,9,0)))*AP655/10000)/(1-VLOOKUP(U655,模板计算相关数据!A:N,5,0)/(VLOOKUP(U655,模板计算相关数据!A:N,5,0)+(VLOOKUP(U655,模板计算相关数据!A:N,2,0)+模板计算相关数据!$AC$27)*模板计算相关数据!$AC$28))/S655*AA655)</f>
        <v>101</v>
      </c>
      <c r="AL655" s="3">
        <f>INT(VLOOKUP(U655,模板计算相关数据!A:N,5,0)*VLOOKUP(X655,模板计算相关数据!$P$4:$T$7,4,0)*VLOOKUP(Y655,模板计算相关数据!$P$22:$U$30,4,0)*AB655)</f>
        <v>136</v>
      </c>
      <c r="AM655" s="3">
        <f>INT(VLOOKUP(U655,模板计算相关数据!A:N,6,0)*VLOOKUP(X655,模板计算相关数据!$P$4:$T$7,4,0)*VLOOKUP(Y655,模板计算相关数据!$P$22:$U$30,5,0)*AC655)</f>
        <v>230</v>
      </c>
      <c r="AN655" s="3">
        <f>VLOOKUP(U655,模板计算相关数据!A:N,10,0)*0.5*VLOOKUP(Y655,模板计算相关数据!$P$22:$U$30,6,0)+AD655</f>
        <v>250</v>
      </c>
      <c r="AO655" s="3">
        <f>VLOOKUP(INT(VLOOKUP(U655,模板计算相关数据!A:N,2,0)/30)+1,模板计算相关数据!$O$35:$U$40,3,0)+AE655</f>
        <v>0</v>
      </c>
      <c r="AP655" s="3">
        <f>VLOOKUP(INT(VLOOKUP(U655,模板计算相关数据!A:N,2,0)/30)+1,模板计算相关数据!$O$35:$U$40,4,0)+AF655</f>
        <v>5000</v>
      </c>
      <c r="AQ655" s="3">
        <f>VLOOKUP(INT(VLOOKUP(U655,模板计算相关数据!A:N,2,0)/30)+1,模板计算相关数据!$O$35:$U$40,5,0)+AG655</f>
        <v>0</v>
      </c>
      <c r="AR655" s="3">
        <f>VLOOKUP(INT(VLOOKUP(U655,模板计算相关数据!A:N,2,0)/30)+1,模板计算相关数据!$O$35:$U$40,6,0)+AH655</f>
        <v>0</v>
      </c>
      <c r="AS655" s="3">
        <f>VLOOKUP(INT(VLOOKUP(U655,模板计算相关数据!A:N,2,0)/30)+1,模板计算相关数据!$O$35:$U$40,7,0)+AI655</f>
        <v>0</v>
      </c>
      <c r="AT655" s="3">
        <f>VLOOKUP(INT(VLOOKUP(U655,模板计算相关数据!A:N,2,0)/30)+1,模板计算相关数据!$O$35:$V$40,8,0)</f>
        <v>0</v>
      </c>
      <c r="AU655" s="2"/>
    </row>
    <row r="656" spans="1:47" x14ac:dyDescent="0.2">
      <c r="A656" s="2">
        <v>307214</v>
      </c>
      <c r="B656" s="2"/>
      <c r="C656" s="2" t="s">
        <v>162</v>
      </c>
      <c r="D656" s="2" t="s">
        <v>1209</v>
      </c>
      <c r="E656" s="2"/>
      <c r="F656" s="127">
        <v>3</v>
      </c>
      <c r="G656" s="127">
        <v>101</v>
      </c>
      <c r="H656" s="3">
        <v>4</v>
      </c>
      <c r="I656" s="127">
        <v>5</v>
      </c>
      <c r="J656" s="127">
        <v>1</v>
      </c>
      <c r="K656" s="3"/>
      <c r="L656" s="2" t="s">
        <v>470</v>
      </c>
      <c r="M656" s="2"/>
      <c r="N656" s="2">
        <v>1</v>
      </c>
      <c r="O656" s="2"/>
      <c r="P656" s="3" t="s">
        <v>1615</v>
      </c>
      <c r="Q656" s="95">
        <f t="shared" si="64"/>
        <v>4.4674509803921572</v>
      </c>
      <c r="R656" s="133">
        <f>IF(P656=模板计算相关数据!$AB$24,VLOOKUP(X656,模板计算相关数据!$P$47:$T$50,2,0),VLOOKUP(X656,模板计算相关数据!$P$4:$U$7,3,0))*VLOOKUP(Y656,模板计算相关数据!$P$22:$X$30,8,0)</f>
        <v>4.4674509803921572</v>
      </c>
      <c r="S656" s="62">
        <f t="shared" si="65"/>
        <v>5.4739930589768004</v>
      </c>
      <c r="T656" s="133">
        <f>IF(P656=模板计算相关数据!$AB$24,VLOOKUP(X656,模板计算相关数据!$P$47:$T$50,5,0),VLOOKUP(X656,模板计算相关数据!$P$4:$U$7,6,0))*VLOOKUP(Y656,模板计算相关数据!$P$22:$X$30,9,0)</f>
        <v>5.4739930589768004</v>
      </c>
      <c r="U656" s="98">
        <v>1</v>
      </c>
      <c r="V656" s="95">
        <f t="shared" si="66"/>
        <v>4</v>
      </c>
      <c r="W656" s="29">
        <f>VLOOKUP(U656,模板计算相关数据!A:N,2,0)</f>
        <v>1</v>
      </c>
      <c r="X656" s="3" t="s">
        <v>151</v>
      </c>
      <c r="Y656" s="3" t="s">
        <v>162</v>
      </c>
      <c r="Z656" s="99">
        <v>1</v>
      </c>
      <c r="AA656" s="95">
        <v>1</v>
      </c>
      <c r="AB656" s="95">
        <v>1</v>
      </c>
      <c r="AC656" s="95">
        <v>1</v>
      </c>
      <c r="AD656" s="95">
        <v>0</v>
      </c>
      <c r="AE656" s="95">
        <v>0</v>
      </c>
      <c r="AF656" s="95">
        <v>0</v>
      </c>
      <c r="AG656" s="95">
        <v>0</v>
      </c>
      <c r="AH656" s="95">
        <v>0</v>
      </c>
      <c r="AI656" s="95">
        <v>0</v>
      </c>
      <c r="AJ656" s="3">
        <f>INT(VLOOKUP(U656,模板计算相关数据!A:N,4,0)*VLOOKUP(U656,模板计算相关数据!A:N,14,0)*(1+MAX(0,(VLOOKUP(U656,模板计算相关数据!A:N,7,0)-AQ656))*VLOOKUP(U656,模板计算相关数据!A:N,8,0))*(1-(AL656+AM656)*0.5/((AL656+AM656)*0.5+(VLOOKUP(U656,模板计算相关数据!A:N,2,0)+模板计算相关数据!$AC$27)*模板计算相关数据!$AC$28))*Q656*Z656)</f>
        <v>328</v>
      </c>
      <c r="AK656" s="3">
        <f>INT(VLOOKUP(U656,模板计算相关数据!A:N,3,0)/模板计算相关数据!$W$35/(1+MAX(0,(AO656/10000-VLOOKUP(U656,模板计算相关数据!A:N,9,0)))*AP656/10000)/(1-VLOOKUP(U656,模板计算相关数据!A:N,5,0)/(VLOOKUP(U656,模板计算相关数据!A:N,5,0)+(VLOOKUP(U656,模板计算相关数据!A:N,2,0)+模板计算相关数据!$AC$27)*模板计算相关数据!$AC$28))/S656*AA656)</f>
        <v>101</v>
      </c>
      <c r="AL656" s="3">
        <f>INT(VLOOKUP(U656,模板计算相关数据!A:N,5,0)*VLOOKUP(X656,模板计算相关数据!$P$4:$T$7,4,0)*VLOOKUP(Y656,模板计算相关数据!$P$22:$U$30,4,0)*AB656)</f>
        <v>136</v>
      </c>
      <c r="AM656" s="3">
        <f>INT(VLOOKUP(U656,模板计算相关数据!A:N,6,0)*VLOOKUP(X656,模板计算相关数据!$P$4:$T$7,4,0)*VLOOKUP(Y656,模板计算相关数据!$P$22:$U$30,5,0)*AC656)</f>
        <v>230</v>
      </c>
      <c r="AN656" s="3">
        <f>VLOOKUP(U656,模板计算相关数据!A:N,10,0)*0.5*VLOOKUP(Y656,模板计算相关数据!$P$22:$U$30,6,0)+AD656</f>
        <v>250</v>
      </c>
      <c r="AO656" s="3">
        <f>VLOOKUP(INT(VLOOKUP(U656,模板计算相关数据!A:N,2,0)/30)+1,模板计算相关数据!$O$35:$U$40,3,0)+AE656</f>
        <v>0</v>
      </c>
      <c r="AP656" s="3">
        <f>VLOOKUP(INT(VLOOKUP(U656,模板计算相关数据!A:N,2,0)/30)+1,模板计算相关数据!$O$35:$U$40,4,0)+AF656</f>
        <v>5000</v>
      </c>
      <c r="AQ656" s="3">
        <f>VLOOKUP(INT(VLOOKUP(U656,模板计算相关数据!A:N,2,0)/30)+1,模板计算相关数据!$O$35:$U$40,5,0)+AG656</f>
        <v>0</v>
      </c>
      <c r="AR656" s="3">
        <f>VLOOKUP(INT(VLOOKUP(U656,模板计算相关数据!A:N,2,0)/30)+1,模板计算相关数据!$O$35:$U$40,6,0)+AH656</f>
        <v>0</v>
      </c>
      <c r="AS656" s="3">
        <f>VLOOKUP(INT(VLOOKUP(U656,模板计算相关数据!A:N,2,0)/30)+1,模板计算相关数据!$O$35:$U$40,7,0)+AI656</f>
        <v>0</v>
      </c>
      <c r="AT656" s="3">
        <f>VLOOKUP(INT(VLOOKUP(U656,模板计算相关数据!A:N,2,0)/30)+1,模板计算相关数据!$O$35:$V$40,8,0)</f>
        <v>0</v>
      </c>
      <c r="AU656" s="2"/>
    </row>
    <row r="657" spans="1:47" x14ac:dyDescent="0.2">
      <c r="A657" s="2">
        <v>307215</v>
      </c>
      <c r="B657" s="2"/>
      <c r="C657" s="2" t="s">
        <v>162</v>
      </c>
      <c r="D657" s="2" t="s">
        <v>1210</v>
      </c>
      <c r="E657" s="2"/>
      <c r="F657" s="127">
        <v>3</v>
      </c>
      <c r="G657" s="127">
        <v>101</v>
      </c>
      <c r="H657" s="3">
        <v>4</v>
      </c>
      <c r="I657" s="127">
        <v>5</v>
      </c>
      <c r="J657" s="127">
        <v>1</v>
      </c>
      <c r="K657" s="3"/>
      <c r="L657" s="2" t="s">
        <v>471</v>
      </c>
      <c r="M657" s="2"/>
      <c r="N657" s="2">
        <v>1</v>
      </c>
      <c r="O657" s="2"/>
      <c r="P657" s="3" t="s">
        <v>1615</v>
      </c>
      <c r="Q657" s="95">
        <f t="shared" si="64"/>
        <v>4.4674509803921572</v>
      </c>
      <c r="R657" s="133">
        <f>IF(P657=模板计算相关数据!$AB$24,VLOOKUP(X657,模板计算相关数据!$P$47:$T$50,2,0),VLOOKUP(X657,模板计算相关数据!$P$4:$U$7,3,0))*VLOOKUP(Y657,模板计算相关数据!$P$22:$X$30,8,0)</f>
        <v>4.4674509803921572</v>
      </c>
      <c r="S657" s="62">
        <f t="shared" si="65"/>
        <v>5.4739930589768004</v>
      </c>
      <c r="T657" s="133">
        <f>IF(P657=模板计算相关数据!$AB$24,VLOOKUP(X657,模板计算相关数据!$P$47:$T$50,5,0),VLOOKUP(X657,模板计算相关数据!$P$4:$U$7,6,0))*VLOOKUP(Y657,模板计算相关数据!$P$22:$X$30,9,0)</f>
        <v>5.4739930589768004</v>
      </c>
      <c r="U657" s="98">
        <v>1</v>
      </c>
      <c r="V657" s="95">
        <f t="shared" si="66"/>
        <v>4</v>
      </c>
      <c r="W657" s="29">
        <f>VLOOKUP(U657,模板计算相关数据!A:N,2,0)</f>
        <v>1</v>
      </c>
      <c r="X657" s="3" t="s">
        <v>151</v>
      </c>
      <c r="Y657" s="3" t="s">
        <v>162</v>
      </c>
      <c r="Z657" s="99">
        <v>1</v>
      </c>
      <c r="AA657" s="95">
        <v>1</v>
      </c>
      <c r="AB657" s="95">
        <v>1</v>
      </c>
      <c r="AC657" s="95">
        <v>1</v>
      </c>
      <c r="AD657" s="95">
        <v>0</v>
      </c>
      <c r="AE657" s="95">
        <v>0</v>
      </c>
      <c r="AF657" s="95">
        <v>0</v>
      </c>
      <c r="AG657" s="95">
        <v>0</v>
      </c>
      <c r="AH657" s="95">
        <v>0</v>
      </c>
      <c r="AI657" s="95">
        <v>0</v>
      </c>
      <c r="AJ657" s="3">
        <f>INT(VLOOKUP(U657,模板计算相关数据!A:N,4,0)*VLOOKUP(U657,模板计算相关数据!A:N,14,0)*(1+MAX(0,(VLOOKUP(U657,模板计算相关数据!A:N,7,0)-AQ657))*VLOOKUP(U657,模板计算相关数据!A:N,8,0))*(1-(AL657+AM657)*0.5/((AL657+AM657)*0.5+(VLOOKUP(U657,模板计算相关数据!A:N,2,0)+模板计算相关数据!$AC$27)*模板计算相关数据!$AC$28))*Q657*Z657)</f>
        <v>328</v>
      </c>
      <c r="AK657" s="3">
        <f>INT(VLOOKUP(U657,模板计算相关数据!A:N,3,0)/模板计算相关数据!$W$35/(1+MAX(0,(AO657/10000-VLOOKUP(U657,模板计算相关数据!A:N,9,0)))*AP657/10000)/(1-VLOOKUP(U657,模板计算相关数据!A:N,5,0)/(VLOOKUP(U657,模板计算相关数据!A:N,5,0)+(VLOOKUP(U657,模板计算相关数据!A:N,2,0)+模板计算相关数据!$AC$27)*模板计算相关数据!$AC$28))/S657*AA657)</f>
        <v>101</v>
      </c>
      <c r="AL657" s="3">
        <f>INT(VLOOKUP(U657,模板计算相关数据!A:N,5,0)*VLOOKUP(X657,模板计算相关数据!$P$4:$T$7,4,0)*VLOOKUP(Y657,模板计算相关数据!$P$22:$U$30,4,0)*AB657)</f>
        <v>136</v>
      </c>
      <c r="AM657" s="3">
        <f>INT(VLOOKUP(U657,模板计算相关数据!A:N,6,0)*VLOOKUP(X657,模板计算相关数据!$P$4:$T$7,4,0)*VLOOKUP(Y657,模板计算相关数据!$P$22:$U$30,5,0)*AC657)</f>
        <v>230</v>
      </c>
      <c r="AN657" s="3">
        <f>VLOOKUP(U657,模板计算相关数据!A:N,10,0)*0.5*VLOOKUP(Y657,模板计算相关数据!$P$22:$U$30,6,0)+AD657</f>
        <v>250</v>
      </c>
      <c r="AO657" s="3">
        <f>VLOOKUP(INT(VLOOKUP(U657,模板计算相关数据!A:N,2,0)/30)+1,模板计算相关数据!$O$35:$U$40,3,0)+AE657</f>
        <v>0</v>
      </c>
      <c r="AP657" s="3">
        <f>VLOOKUP(INT(VLOOKUP(U657,模板计算相关数据!A:N,2,0)/30)+1,模板计算相关数据!$O$35:$U$40,4,0)+AF657</f>
        <v>5000</v>
      </c>
      <c r="AQ657" s="3">
        <f>VLOOKUP(INT(VLOOKUP(U657,模板计算相关数据!A:N,2,0)/30)+1,模板计算相关数据!$O$35:$U$40,5,0)+AG657</f>
        <v>0</v>
      </c>
      <c r="AR657" s="3">
        <f>VLOOKUP(INT(VLOOKUP(U657,模板计算相关数据!A:N,2,0)/30)+1,模板计算相关数据!$O$35:$U$40,6,0)+AH657</f>
        <v>0</v>
      </c>
      <c r="AS657" s="3">
        <f>VLOOKUP(INT(VLOOKUP(U657,模板计算相关数据!A:N,2,0)/30)+1,模板计算相关数据!$O$35:$U$40,7,0)+AI657</f>
        <v>0</v>
      </c>
      <c r="AT657" s="3">
        <f>VLOOKUP(INT(VLOOKUP(U657,模板计算相关数据!A:N,2,0)/30)+1,模板计算相关数据!$O$35:$V$40,8,0)</f>
        <v>0</v>
      </c>
      <c r="AU657" s="2"/>
    </row>
    <row r="658" spans="1:47" x14ac:dyDescent="0.2">
      <c r="A658" s="17">
        <v>307216</v>
      </c>
      <c r="B658" s="17"/>
      <c r="C658" s="17" t="s">
        <v>472</v>
      </c>
      <c r="D658" s="25" t="s">
        <v>1211</v>
      </c>
      <c r="E658" s="17"/>
      <c r="F658" s="152">
        <v>3</v>
      </c>
      <c r="G658" s="152">
        <v>101</v>
      </c>
      <c r="H658" s="43">
        <v>1</v>
      </c>
      <c r="I658" s="152">
        <v>5</v>
      </c>
      <c r="J658" s="152">
        <v>1</v>
      </c>
      <c r="K658" s="3"/>
      <c r="L658" s="2" t="s">
        <v>473</v>
      </c>
      <c r="M658" s="2"/>
      <c r="N658" s="2">
        <v>1</v>
      </c>
      <c r="O658" s="2"/>
      <c r="P658" s="3" t="s">
        <v>1615</v>
      </c>
      <c r="Q658" s="95">
        <f t="shared" si="64"/>
        <v>4.417254901960785</v>
      </c>
      <c r="R658" s="133">
        <f>IF(P658=模板计算相关数据!$AB$24,VLOOKUP(X658,模板计算相关数据!$P$47:$T$50,2,0),VLOOKUP(X658,模板计算相关数据!$P$4:$U$7,3,0))*VLOOKUP(Y658,模板计算相关数据!$P$22:$X$30,8,0)</f>
        <v>4.417254901960785</v>
      </c>
      <c r="S658" s="62">
        <f t="shared" si="65"/>
        <v>5.4285280003474252</v>
      </c>
      <c r="T658" s="133">
        <f>IF(P658=模板计算相关数据!$AB$24,VLOOKUP(X658,模板计算相关数据!$P$47:$T$50,5,0),VLOOKUP(X658,模板计算相关数据!$P$4:$U$7,6,0))*VLOOKUP(Y658,模板计算相关数据!$P$22:$X$30,9,0)</f>
        <v>5.4285280003474252</v>
      </c>
      <c r="U658" s="98">
        <v>1</v>
      </c>
      <c r="V658" s="95">
        <f t="shared" si="66"/>
        <v>4</v>
      </c>
      <c r="W658" s="29">
        <f>VLOOKUP(U658,模板计算相关数据!A:N,2,0)</f>
        <v>1</v>
      </c>
      <c r="X658" s="3" t="s">
        <v>151</v>
      </c>
      <c r="Y658" s="3" t="s">
        <v>152</v>
      </c>
      <c r="Z658" s="99">
        <v>1</v>
      </c>
      <c r="AA658" s="95">
        <v>1</v>
      </c>
      <c r="AB658" s="95">
        <v>1</v>
      </c>
      <c r="AC658" s="95">
        <v>1</v>
      </c>
      <c r="AD658" s="95">
        <v>0</v>
      </c>
      <c r="AE658" s="95">
        <v>0</v>
      </c>
      <c r="AF658" s="95">
        <v>0</v>
      </c>
      <c r="AG658" s="95">
        <v>0</v>
      </c>
      <c r="AH658" s="95">
        <v>0</v>
      </c>
      <c r="AI658" s="95">
        <v>0</v>
      </c>
      <c r="AJ658" s="3">
        <f>INT(VLOOKUP(U658,模板计算相关数据!A:N,4,0)*VLOOKUP(U658,模板计算相关数据!A:N,14,0)*(1+MAX(0,(VLOOKUP(U658,模板计算相关数据!A:N,7,0)-AQ658))*VLOOKUP(U658,模板计算相关数据!A:N,8,0))*(1-(AL658+AM658)*0.5/((AL658+AM658)*0.5+(VLOOKUP(U658,模板计算相关数据!A:N,2,0)+模板计算相关数据!$AC$27)*模板计算相关数据!$AC$28))*Q658*Z658)</f>
        <v>325</v>
      </c>
      <c r="AK658" s="3">
        <f>INT(VLOOKUP(U658,模板计算相关数据!A:N,3,0)/模板计算相关数据!$W$35/(1+MAX(0,(AO658/10000-VLOOKUP(U658,模板计算相关数据!A:N,9,0)))*AP658/10000)/(1-VLOOKUP(U658,模板计算相关数据!A:N,5,0)/(VLOOKUP(U658,模板计算相关数据!A:N,5,0)+(VLOOKUP(U658,模板计算相关数据!A:N,2,0)+模板计算相关数据!$AC$27)*模板计算相关数据!$AC$28))/S658*AA658)</f>
        <v>102</v>
      </c>
      <c r="AL658" s="3">
        <f>INT(VLOOKUP(U658,模板计算相关数据!A:N,5,0)*VLOOKUP(X658,模板计算相关数据!$P$4:$T$7,4,0)*VLOOKUP(Y658,模板计算相关数据!$P$22:$U$30,4,0)*AB658)</f>
        <v>230</v>
      </c>
      <c r="AM658" s="3">
        <f>INT(VLOOKUP(U658,模板计算相关数据!A:N,6,0)*VLOOKUP(X658,模板计算相关数据!$P$4:$T$7,4,0)*VLOOKUP(Y658,模板计算相关数据!$P$22:$U$30,5,0)*AC658)</f>
        <v>136</v>
      </c>
      <c r="AN658" s="3">
        <f>VLOOKUP(U658,模板计算相关数据!A:N,10,0)*0.5*VLOOKUP(Y658,模板计算相关数据!$P$22:$U$30,6,0)+AD658</f>
        <v>250</v>
      </c>
      <c r="AO658" s="3">
        <f>VLOOKUP(INT(VLOOKUP(U658,模板计算相关数据!A:N,2,0)/30)+1,模板计算相关数据!$O$35:$U$40,3,0)+AE658</f>
        <v>0</v>
      </c>
      <c r="AP658" s="3">
        <f>VLOOKUP(INT(VLOOKUP(U658,模板计算相关数据!A:N,2,0)/30)+1,模板计算相关数据!$O$35:$U$40,4,0)+AF658</f>
        <v>5000</v>
      </c>
      <c r="AQ658" s="3">
        <f>VLOOKUP(INT(VLOOKUP(U658,模板计算相关数据!A:N,2,0)/30)+1,模板计算相关数据!$O$35:$U$40,5,0)+AG658</f>
        <v>0</v>
      </c>
      <c r="AR658" s="3">
        <f>VLOOKUP(INT(VLOOKUP(U658,模板计算相关数据!A:N,2,0)/30)+1,模板计算相关数据!$O$35:$U$40,6,0)+AH658</f>
        <v>0</v>
      </c>
      <c r="AS658" s="3">
        <f>VLOOKUP(INT(VLOOKUP(U658,模板计算相关数据!A:N,2,0)/30)+1,模板计算相关数据!$O$35:$U$40,7,0)+AI658</f>
        <v>0</v>
      </c>
      <c r="AT658" s="3">
        <f>VLOOKUP(INT(VLOOKUP(U658,模板计算相关数据!A:N,2,0)/30)+1,模板计算相关数据!$O$35:$V$40,8,0)</f>
        <v>0</v>
      </c>
      <c r="AU658" s="2"/>
    </row>
    <row r="659" spans="1:47" x14ac:dyDescent="0.2">
      <c r="A659" s="2">
        <v>307217</v>
      </c>
      <c r="B659" s="2"/>
      <c r="C659" s="2" t="s">
        <v>152</v>
      </c>
      <c r="D659" s="69" t="s">
        <v>1212</v>
      </c>
      <c r="E659" s="2"/>
      <c r="F659" s="127">
        <v>3</v>
      </c>
      <c r="G659" s="127">
        <v>101</v>
      </c>
      <c r="H659" s="3">
        <v>1</v>
      </c>
      <c r="I659" s="127">
        <v>5</v>
      </c>
      <c r="J659" s="127">
        <v>1</v>
      </c>
      <c r="K659" s="3"/>
      <c r="L659" s="2" t="s">
        <v>474</v>
      </c>
      <c r="M659" s="2"/>
      <c r="N659" s="2">
        <v>1</v>
      </c>
      <c r="O659" s="2"/>
      <c r="P659" s="3" t="s">
        <v>1615</v>
      </c>
      <c r="Q659" s="95">
        <f t="shared" si="64"/>
        <v>4.417254901960785</v>
      </c>
      <c r="R659" s="133">
        <f>IF(P659=模板计算相关数据!$AB$24,VLOOKUP(X659,模板计算相关数据!$P$47:$T$50,2,0),VLOOKUP(X659,模板计算相关数据!$P$4:$U$7,3,0))*VLOOKUP(Y659,模板计算相关数据!$P$22:$X$30,8,0)</f>
        <v>4.417254901960785</v>
      </c>
      <c r="S659" s="62">
        <f t="shared" si="65"/>
        <v>5.4285280003474252</v>
      </c>
      <c r="T659" s="133">
        <f>IF(P659=模板计算相关数据!$AB$24,VLOOKUP(X659,模板计算相关数据!$P$47:$T$50,5,0),VLOOKUP(X659,模板计算相关数据!$P$4:$U$7,6,0))*VLOOKUP(Y659,模板计算相关数据!$P$22:$X$30,9,0)</f>
        <v>5.4285280003474252</v>
      </c>
      <c r="U659" s="98">
        <v>1</v>
      </c>
      <c r="V659" s="95">
        <f t="shared" si="66"/>
        <v>4</v>
      </c>
      <c r="W659" s="29">
        <f>VLOOKUP(U659,模板计算相关数据!A:N,2,0)</f>
        <v>1</v>
      </c>
      <c r="X659" s="3" t="s">
        <v>151</v>
      </c>
      <c r="Y659" s="3" t="s">
        <v>152</v>
      </c>
      <c r="Z659" s="99">
        <v>1</v>
      </c>
      <c r="AA659" s="95">
        <v>1</v>
      </c>
      <c r="AB659" s="95">
        <v>1</v>
      </c>
      <c r="AC659" s="95">
        <v>1</v>
      </c>
      <c r="AD659" s="95">
        <v>0</v>
      </c>
      <c r="AE659" s="95">
        <v>0</v>
      </c>
      <c r="AF659" s="95">
        <v>0</v>
      </c>
      <c r="AG659" s="95">
        <v>0</v>
      </c>
      <c r="AH659" s="95">
        <v>0</v>
      </c>
      <c r="AI659" s="95">
        <v>0</v>
      </c>
      <c r="AJ659" s="3">
        <f>INT(VLOOKUP(U659,模板计算相关数据!A:N,4,0)*VLOOKUP(U659,模板计算相关数据!A:N,14,0)*(1+MAX(0,(VLOOKUP(U659,模板计算相关数据!A:N,7,0)-AQ659))*VLOOKUP(U659,模板计算相关数据!A:N,8,0))*(1-(AL659+AM659)*0.5/((AL659+AM659)*0.5+(VLOOKUP(U659,模板计算相关数据!A:N,2,0)+模板计算相关数据!$AC$27)*模板计算相关数据!$AC$28))*Q659*Z659)</f>
        <v>325</v>
      </c>
      <c r="AK659" s="3">
        <f>INT(VLOOKUP(U659,模板计算相关数据!A:N,3,0)/模板计算相关数据!$W$35/(1+MAX(0,(AO659/10000-VLOOKUP(U659,模板计算相关数据!A:N,9,0)))*AP659/10000)/(1-VLOOKUP(U659,模板计算相关数据!A:N,5,0)/(VLOOKUP(U659,模板计算相关数据!A:N,5,0)+(VLOOKUP(U659,模板计算相关数据!A:N,2,0)+模板计算相关数据!$AC$27)*模板计算相关数据!$AC$28))/S659*AA659)</f>
        <v>102</v>
      </c>
      <c r="AL659" s="3">
        <f>INT(VLOOKUP(U659,模板计算相关数据!A:N,5,0)*VLOOKUP(X659,模板计算相关数据!$P$4:$T$7,4,0)*VLOOKUP(Y659,模板计算相关数据!$P$22:$U$30,4,0)*AB659)</f>
        <v>230</v>
      </c>
      <c r="AM659" s="3">
        <f>INT(VLOOKUP(U659,模板计算相关数据!A:N,6,0)*VLOOKUP(X659,模板计算相关数据!$P$4:$T$7,4,0)*VLOOKUP(Y659,模板计算相关数据!$P$22:$U$30,5,0)*AC659)</f>
        <v>136</v>
      </c>
      <c r="AN659" s="3">
        <f>VLOOKUP(U659,模板计算相关数据!A:N,10,0)*0.5*VLOOKUP(Y659,模板计算相关数据!$P$22:$U$30,6,0)+AD659</f>
        <v>250</v>
      </c>
      <c r="AO659" s="3">
        <f>VLOOKUP(INT(VLOOKUP(U659,模板计算相关数据!A:N,2,0)/30)+1,模板计算相关数据!$O$35:$U$40,3,0)+AE659</f>
        <v>0</v>
      </c>
      <c r="AP659" s="3">
        <f>VLOOKUP(INT(VLOOKUP(U659,模板计算相关数据!A:N,2,0)/30)+1,模板计算相关数据!$O$35:$U$40,4,0)+AF659</f>
        <v>5000</v>
      </c>
      <c r="AQ659" s="3">
        <f>VLOOKUP(INT(VLOOKUP(U659,模板计算相关数据!A:N,2,0)/30)+1,模板计算相关数据!$O$35:$U$40,5,0)+AG659</f>
        <v>0</v>
      </c>
      <c r="AR659" s="3">
        <f>VLOOKUP(INT(VLOOKUP(U659,模板计算相关数据!A:N,2,0)/30)+1,模板计算相关数据!$O$35:$U$40,6,0)+AH659</f>
        <v>0</v>
      </c>
      <c r="AS659" s="3">
        <f>VLOOKUP(INT(VLOOKUP(U659,模板计算相关数据!A:N,2,0)/30)+1,模板计算相关数据!$O$35:$U$40,7,0)+AI659</f>
        <v>0</v>
      </c>
      <c r="AT659" s="3">
        <f>VLOOKUP(INT(VLOOKUP(U659,模板计算相关数据!A:N,2,0)/30)+1,模板计算相关数据!$O$35:$V$40,8,0)</f>
        <v>0</v>
      </c>
      <c r="AU659" s="2"/>
    </row>
    <row r="660" spans="1:47" x14ac:dyDescent="0.2">
      <c r="A660" s="2">
        <v>307218</v>
      </c>
      <c r="B660" s="2"/>
      <c r="C660" s="2" t="s">
        <v>152</v>
      </c>
      <c r="D660" s="69" t="s">
        <v>1213</v>
      </c>
      <c r="E660" s="2"/>
      <c r="F660" s="127">
        <v>3</v>
      </c>
      <c r="G660" s="127">
        <v>101</v>
      </c>
      <c r="H660" s="3">
        <v>1</v>
      </c>
      <c r="I660" s="127">
        <v>5</v>
      </c>
      <c r="J660" s="127">
        <v>1</v>
      </c>
      <c r="K660" s="3"/>
      <c r="L660" s="2" t="s">
        <v>475</v>
      </c>
      <c r="M660" s="2"/>
      <c r="N660" s="2">
        <v>1</v>
      </c>
      <c r="O660" s="2"/>
      <c r="P660" s="3" t="s">
        <v>1615</v>
      </c>
      <c r="Q660" s="95">
        <f t="shared" si="64"/>
        <v>4.417254901960785</v>
      </c>
      <c r="R660" s="133">
        <f>IF(P660=模板计算相关数据!$AB$24,VLOOKUP(X660,模板计算相关数据!$P$47:$T$50,2,0),VLOOKUP(X660,模板计算相关数据!$P$4:$U$7,3,0))*VLOOKUP(Y660,模板计算相关数据!$P$22:$X$30,8,0)</f>
        <v>4.417254901960785</v>
      </c>
      <c r="S660" s="62">
        <f t="shared" si="65"/>
        <v>5.4285280003474252</v>
      </c>
      <c r="T660" s="133">
        <f>IF(P660=模板计算相关数据!$AB$24,VLOOKUP(X660,模板计算相关数据!$P$47:$T$50,5,0),VLOOKUP(X660,模板计算相关数据!$P$4:$U$7,6,0))*VLOOKUP(Y660,模板计算相关数据!$P$22:$X$30,9,0)</f>
        <v>5.4285280003474252</v>
      </c>
      <c r="U660" s="98">
        <v>1</v>
      </c>
      <c r="V660" s="95">
        <f t="shared" si="66"/>
        <v>4</v>
      </c>
      <c r="W660" s="29">
        <f>VLOOKUP(U660,模板计算相关数据!A:N,2,0)</f>
        <v>1</v>
      </c>
      <c r="X660" s="3" t="s">
        <v>151</v>
      </c>
      <c r="Y660" s="3" t="s">
        <v>152</v>
      </c>
      <c r="Z660" s="99">
        <v>1</v>
      </c>
      <c r="AA660" s="95">
        <v>1</v>
      </c>
      <c r="AB660" s="95">
        <v>1</v>
      </c>
      <c r="AC660" s="95">
        <v>1</v>
      </c>
      <c r="AD660" s="95">
        <v>0</v>
      </c>
      <c r="AE660" s="95">
        <v>0</v>
      </c>
      <c r="AF660" s="95">
        <v>0</v>
      </c>
      <c r="AG660" s="95">
        <v>0</v>
      </c>
      <c r="AH660" s="95">
        <v>0</v>
      </c>
      <c r="AI660" s="95">
        <v>0</v>
      </c>
      <c r="AJ660" s="3">
        <f>INT(VLOOKUP(U660,模板计算相关数据!A:N,4,0)*VLOOKUP(U660,模板计算相关数据!A:N,14,0)*(1+MAX(0,(VLOOKUP(U660,模板计算相关数据!A:N,7,0)-AQ660))*VLOOKUP(U660,模板计算相关数据!A:N,8,0))*(1-(AL660+AM660)*0.5/((AL660+AM660)*0.5+(VLOOKUP(U660,模板计算相关数据!A:N,2,0)+模板计算相关数据!$AC$27)*模板计算相关数据!$AC$28))*Q660*Z660)</f>
        <v>325</v>
      </c>
      <c r="AK660" s="3">
        <f>INT(VLOOKUP(U660,模板计算相关数据!A:N,3,0)/模板计算相关数据!$W$35/(1+MAX(0,(AO660/10000-VLOOKUP(U660,模板计算相关数据!A:N,9,0)))*AP660/10000)/(1-VLOOKUP(U660,模板计算相关数据!A:N,5,0)/(VLOOKUP(U660,模板计算相关数据!A:N,5,0)+(VLOOKUP(U660,模板计算相关数据!A:N,2,0)+模板计算相关数据!$AC$27)*模板计算相关数据!$AC$28))/S660*AA660)</f>
        <v>102</v>
      </c>
      <c r="AL660" s="3">
        <f>INT(VLOOKUP(U660,模板计算相关数据!A:N,5,0)*VLOOKUP(X660,模板计算相关数据!$P$4:$T$7,4,0)*VLOOKUP(Y660,模板计算相关数据!$P$22:$U$30,4,0)*AB660)</f>
        <v>230</v>
      </c>
      <c r="AM660" s="3">
        <f>INT(VLOOKUP(U660,模板计算相关数据!A:N,6,0)*VLOOKUP(X660,模板计算相关数据!$P$4:$T$7,4,0)*VLOOKUP(Y660,模板计算相关数据!$P$22:$U$30,5,0)*AC660)</f>
        <v>136</v>
      </c>
      <c r="AN660" s="3">
        <f>VLOOKUP(U660,模板计算相关数据!A:N,10,0)*0.5*VLOOKUP(Y660,模板计算相关数据!$P$22:$U$30,6,0)+AD660</f>
        <v>250</v>
      </c>
      <c r="AO660" s="3">
        <f>VLOOKUP(INT(VLOOKUP(U660,模板计算相关数据!A:N,2,0)/30)+1,模板计算相关数据!$O$35:$U$40,3,0)+AE660</f>
        <v>0</v>
      </c>
      <c r="AP660" s="3">
        <f>VLOOKUP(INT(VLOOKUP(U660,模板计算相关数据!A:N,2,0)/30)+1,模板计算相关数据!$O$35:$U$40,4,0)+AF660</f>
        <v>5000</v>
      </c>
      <c r="AQ660" s="3">
        <f>VLOOKUP(INT(VLOOKUP(U660,模板计算相关数据!A:N,2,0)/30)+1,模板计算相关数据!$O$35:$U$40,5,0)+AG660</f>
        <v>0</v>
      </c>
      <c r="AR660" s="3">
        <f>VLOOKUP(INT(VLOOKUP(U660,模板计算相关数据!A:N,2,0)/30)+1,模板计算相关数据!$O$35:$U$40,6,0)+AH660</f>
        <v>0</v>
      </c>
      <c r="AS660" s="3">
        <f>VLOOKUP(INT(VLOOKUP(U660,模板计算相关数据!A:N,2,0)/30)+1,模板计算相关数据!$O$35:$U$40,7,0)+AI660</f>
        <v>0</v>
      </c>
      <c r="AT660" s="3">
        <f>VLOOKUP(INT(VLOOKUP(U660,模板计算相关数据!A:N,2,0)/30)+1,模板计算相关数据!$O$35:$V$40,8,0)</f>
        <v>0</v>
      </c>
      <c r="AU660" s="2"/>
    </row>
    <row r="661" spans="1:47" x14ac:dyDescent="0.2">
      <c r="A661" s="2">
        <v>307219</v>
      </c>
      <c r="B661" s="2"/>
      <c r="C661" s="2" t="s">
        <v>152</v>
      </c>
      <c r="D661" s="69" t="s">
        <v>1214</v>
      </c>
      <c r="E661" s="2"/>
      <c r="F661" s="127">
        <v>3</v>
      </c>
      <c r="G661" s="127">
        <v>101</v>
      </c>
      <c r="H661" s="3">
        <v>1</v>
      </c>
      <c r="I661" s="127">
        <v>5</v>
      </c>
      <c r="J661" s="127">
        <v>1</v>
      </c>
      <c r="K661" s="3"/>
      <c r="L661" s="2" t="s">
        <v>476</v>
      </c>
      <c r="M661" s="2"/>
      <c r="N661" s="2">
        <v>1</v>
      </c>
      <c r="O661" s="2"/>
      <c r="P661" s="3" t="s">
        <v>1615</v>
      </c>
      <c r="Q661" s="95">
        <f t="shared" si="64"/>
        <v>4.417254901960785</v>
      </c>
      <c r="R661" s="133">
        <f>IF(P661=模板计算相关数据!$AB$24,VLOOKUP(X661,模板计算相关数据!$P$47:$T$50,2,0),VLOOKUP(X661,模板计算相关数据!$P$4:$U$7,3,0))*VLOOKUP(Y661,模板计算相关数据!$P$22:$X$30,8,0)</f>
        <v>4.417254901960785</v>
      </c>
      <c r="S661" s="62">
        <f t="shared" si="65"/>
        <v>5.4285280003474252</v>
      </c>
      <c r="T661" s="133">
        <f>IF(P661=模板计算相关数据!$AB$24,VLOOKUP(X661,模板计算相关数据!$P$47:$T$50,5,0),VLOOKUP(X661,模板计算相关数据!$P$4:$U$7,6,0))*VLOOKUP(Y661,模板计算相关数据!$P$22:$X$30,9,0)</f>
        <v>5.4285280003474252</v>
      </c>
      <c r="U661" s="98">
        <v>1</v>
      </c>
      <c r="V661" s="95">
        <f t="shared" si="66"/>
        <v>4</v>
      </c>
      <c r="W661" s="29">
        <f>VLOOKUP(U661,模板计算相关数据!A:N,2,0)</f>
        <v>1</v>
      </c>
      <c r="X661" s="3" t="s">
        <v>151</v>
      </c>
      <c r="Y661" s="3" t="s">
        <v>152</v>
      </c>
      <c r="Z661" s="99">
        <v>1</v>
      </c>
      <c r="AA661" s="95">
        <v>1</v>
      </c>
      <c r="AB661" s="95">
        <v>1</v>
      </c>
      <c r="AC661" s="95">
        <v>1</v>
      </c>
      <c r="AD661" s="95">
        <v>0</v>
      </c>
      <c r="AE661" s="95">
        <v>0</v>
      </c>
      <c r="AF661" s="95">
        <v>0</v>
      </c>
      <c r="AG661" s="95">
        <v>0</v>
      </c>
      <c r="AH661" s="95">
        <v>0</v>
      </c>
      <c r="AI661" s="95">
        <v>0</v>
      </c>
      <c r="AJ661" s="3">
        <f>INT(VLOOKUP(U661,模板计算相关数据!A:N,4,0)*VLOOKUP(U661,模板计算相关数据!A:N,14,0)*(1+MAX(0,(VLOOKUP(U661,模板计算相关数据!A:N,7,0)-AQ661))*VLOOKUP(U661,模板计算相关数据!A:N,8,0))*(1-(AL661+AM661)*0.5/((AL661+AM661)*0.5+(VLOOKUP(U661,模板计算相关数据!A:N,2,0)+模板计算相关数据!$AC$27)*模板计算相关数据!$AC$28))*Q661*Z661)</f>
        <v>325</v>
      </c>
      <c r="AK661" s="3">
        <f>INT(VLOOKUP(U661,模板计算相关数据!A:N,3,0)/模板计算相关数据!$W$35/(1+MAX(0,(AO661/10000-VLOOKUP(U661,模板计算相关数据!A:N,9,0)))*AP661/10000)/(1-VLOOKUP(U661,模板计算相关数据!A:N,5,0)/(VLOOKUP(U661,模板计算相关数据!A:N,5,0)+(VLOOKUP(U661,模板计算相关数据!A:N,2,0)+模板计算相关数据!$AC$27)*模板计算相关数据!$AC$28))/S661*AA661)</f>
        <v>102</v>
      </c>
      <c r="AL661" s="3">
        <f>INT(VLOOKUP(U661,模板计算相关数据!A:N,5,0)*VLOOKUP(X661,模板计算相关数据!$P$4:$T$7,4,0)*VLOOKUP(Y661,模板计算相关数据!$P$22:$U$30,4,0)*AB661)</f>
        <v>230</v>
      </c>
      <c r="AM661" s="3">
        <f>INT(VLOOKUP(U661,模板计算相关数据!A:N,6,0)*VLOOKUP(X661,模板计算相关数据!$P$4:$T$7,4,0)*VLOOKUP(Y661,模板计算相关数据!$P$22:$U$30,5,0)*AC661)</f>
        <v>136</v>
      </c>
      <c r="AN661" s="3">
        <f>VLOOKUP(U661,模板计算相关数据!A:N,10,0)*0.5*VLOOKUP(Y661,模板计算相关数据!$P$22:$U$30,6,0)+AD661</f>
        <v>250</v>
      </c>
      <c r="AO661" s="3">
        <f>VLOOKUP(INT(VLOOKUP(U661,模板计算相关数据!A:N,2,0)/30)+1,模板计算相关数据!$O$35:$U$40,3,0)+AE661</f>
        <v>0</v>
      </c>
      <c r="AP661" s="3">
        <f>VLOOKUP(INT(VLOOKUP(U661,模板计算相关数据!A:N,2,0)/30)+1,模板计算相关数据!$O$35:$U$40,4,0)+AF661</f>
        <v>5000</v>
      </c>
      <c r="AQ661" s="3">
        <f>VLOOKUP(INT(VLOOKUP(U661,模板计算相关数据!A:N,2,0)/30)+1,模板计算相关数据!$O$35:$U$40,5,0)+AG661</f>
        <v>0</v>
      </c>
      <c r="AR661" s="3">
        <f>VLOOKUP(INT(VLOOKUP(U661,模板计算相关数据!A:N,2,0)/30)+1,模板计算相关数据!$O$35:$U$40,6,0)+AH661</f>
        <v>0</v>
      </c>
      <c r="AS661" s="3">
        <f>VLOOKUP(INT(VLOOKUP(U661,模板计算相关数据!A:N,2,0)/30)+1,模板计算相关数据!$O$35:$U$40,7,0)+AI661</f>
        <v>0</v>
      </c>
      <c r="AT661" s="3">
        <f>VLOOKUP(INT(VLOOKUP(U661,模板计算相关数据!A:N,2,0)/30)+1,模板计算相关数据!$O$35:$V$40,8,0)</f>
        <v>0</v>
      </c>
      <c r="AU661" s="2"/>
    </row>
    <row r="662" spans="1:47" x14ac:dyDescent="0.2">
      <c r="A662" s="2">
        <v>307220</v>
      </c>
      <c r="B662" s="2"/>
      <c r="C662" s="2" t="s">
        <v>152</v>
      </c>
      <c r="D662" s="69" t="s">
        <v>1215</v>
      </c>
      <c r="E662" s="2"/>
      <c r="F662" s="127">
        <v>3</v>
      </c>
      <c r="G662" s="127">
        <v>101</v>
      </c>
      <c r="H662" s="3">
        <v>1</v>
      </c>
      <c r="I662" s="127">
        <v>5</v>
      </c>
      <c r="J662" s="127">
        <v>1</v>
      </c>
      <c r="K662" s="3"/>
      <c r="L662" s="2" t="s">
        <v>477</v>
      </c>
      <c r="M662" s="2"/>
      <c r="N662" s="2">
        <v>1</v>
      </c>
      <c r="O662" s="2"/>
      <c r="P662" s="3" t="s">
        <v>1615</v>
      </c>
      <c r="Q662" s="95">
        <f t="shared" si="64"/>
        <v>4.417254901960785</v>
      </c>
      <c r="R662" s="133">
        <f>IF(P662=模板计算相关数据!$AB$24,VLOOKUP(X662,模板计算相关数据!$P$47:$T$50,2,0),VLOOKUP(X662,模板计算相关数据!$P$4:$U$7,3,0))*VLOOKUP(Y662,模板计算相关数据!$P$22:$X$30,8,0)</f>
        <v>4.417254901960785</v>
      </c>
      <c r="S662" s="62">
        <f t="shared" si="65"/>
        <v>5.4285280003474252</v>
      </c>
      <c r="T662" s="133">
        <f>IF(P662=模板计算相关数据!$AB$24,VLOOKUP(X662,模板计算相关数据!$P$47:$T$50,5,0),VLOOKUP(X662,模板计算相关数据!$P$4:$U$7,6,0))*VLOOKUP(Y662,模板计算相关数据!$P$22:$X$30,9,0)</f>
        <v>5.4285280003474252</v>
      </c>
      <c r="U662" s="98">
        <v>1</v>
      </c>
      <c r="V662" s="95">
        <f t="shared" si="66"/>
        <v>4</v>
      </c>
      <c r="W662" s="29">
        <f>VLOOKUP(U662,模板计算相关数据!A:N,2,0)</f>
        <v>1</v>
      </c>
      <c r="X662" s="3" t="s">
        <v>151</v>
      </c>
      <c r="Y662" s="3" t="s">
        <v>152</v>
      </c>
      <c r="Z662" s="99">
        <v>1</v>
      </c>
      <c r="AA662" s="95">
        <v>1</v>
      </c>
      <c r="AB662" s="95">
        <v>1</v>
      </c>
      <c r="AC662" s="95">
        <v>1</v>
      </c>
      <c r="AD662" s="95">
        <v>0</v>
      </c>
      <c r="AE662" s="95">
        <v>0</v>
      </c>
      <c r="AF662" s="95">
        <v>0</v>
      </c>
      <c r="AG662" s="95">
        <v>0</v>
      </c>
      <c r="AH662" s="95">
        <v>0</v>
      </c>
      <c r="AI662" s="95">
        <v>0</v>
      </c>
      <c r="AJ662" s="3">
        <f>INT(VLOOKUP(U662,模板计算相关数据!A:N,4,0)*VLOOKUP(U662,模板计算相关数据!A:N,14,0)*(1+MAX(0,(VLOOKUP(U662,模板计算相关数据!A:N,7,0)-AQ662))*VLOOKUP(U662,模板计算相关数据!A:N,8,0))*(1-(AL662+AM662)*0.5/((AL662+AM662)*0.5+(VLOOKUP(U662,模板计算相关数据!A:N,2,0)+模板计算相关数据!$AC$27)*模板计算相关数据!$AC$28))*Q662*Z662)</f>
        <v>325</v>
      </c>
      <c r="AK662" s="3">
        <f>INT(VLOOKUP(U662,模板计算相关数据!A:N,3,0)/模板计算相关数据!$W$35/(1+MAX(0,(AO662/10000-VLOOKUP(U662,模板计算相关数据!A:N,9,0)))*AP662/10000)/(1-VLOOKUP(U662,模板计算相关数据!A:N,5,0)/(VLOOKUP(U662,模板计算相关数据!A:N,5,0)+(VLOOKUP(U662,模板计算相关数据!A:N,2,0)+模板计算相关数据!$AC$27)*模板计算相关数据!$AC$28))/S662*AA662)</f>
        <v>102</v>
      </c>
      <c r="AL662" s="3">
        <f>INT(VLOOKUP(U662,模板计算相关数据!A:N,5,0)*VLOOKUP(X662,模板计算相关数据!$P$4:$T$7,4,0)*VLOOKUP(Y662,模板计算相关数据!$P$22:$U$30,4,0)*AB662)</f>
        <v>230</v>
      </c>
      <c r="AM662" s="3">
        <f>INT(VLOOKUP(U662,模板计算相关数据!A:N,6,0)*VLOOKUP(X662,模板计算相关数据!$P$4:$T$7,4,0)*VLOOKUP(Y662,模板计算相关数据!$P$22:$U$30,5,0)*AC662)</f>
        <v>136</v>
      </c>
      <c r="AN662" s="3">
        <f>VLOOKUP(U662,模板计算相关数据!A:N,10,0)*0.5*VLOOKUP(Y662,模板计算相关数据!$P$22:$U$30,6,0)+AD662</f>
        <v>250</v>
      </c>
      <c r="AO662" s="3">
        <f>VLOOKUP(INT(VLOOKUP(U662,模板计算相关数据!A:N,2,0)/30)+1,模板计算相关数据!$O$35:$U$40,3,0)+AE662</f>
        <v>0</v>
      </c>
      <c r="AP662" s="3">
        <f>VLOOKUP(INT(VLOOKUP(U662,模板计算相关数据!A:N,2,0)/30)+1,模板计算相关数据!$O$35:$U$40,4,0)+AF662</f>
        <v>5000</v>
      </c>
      <c r="AQ662" s="3">
        <f>VLOOKUP(INT(VLOOKUP(U662,模板计算相关数据!A:N,2,0)/30)+1,模板计算相关数据!$O$35:$U$40,5,0)+AG662</f>
        <v>0</v>
      </c>
      <c r="AR662" s="3">
        <f>VLOOKUP(INT(VLOOKUP(U662,模板计算相关数据!A:N,2,0)/30)+1,模板计算相关数据!$O$35:$U$40,6,0)+AH662</f>
        <v>0</v>
      </c>
      <c r="AS662" s="3">
        <f>VLOOKUP(INT(VLOOKUP(U662,模板计算相关数据!A:N,2,0)/30)+1,模板计算相关数据!$O$35:$U$40,7,0)+AI662</f>
        <v>0</v>
      </c>
      <c r="AT662" s="3">
        <f>VLOOKUP(INT(VLOOKUP(U662,模板计算相关数据!A:N,2,0)/30)+1,模板计算相关数据!$O$35:$V$40,8,0)</f>
        <v>0</v>
      </c>
      <c r="AU662" s="2"/>
    </row>
    <row r="663" spans="1:47" x14ac:dyDescent="0.2">
      <c r="A663" s="2">
        <v>307221</v>
      </c>
      <c r="B663" s="2"/>
      <c r="C663" s="2" t="s">
        <v>326</v>
      </c>
      <c r="D663" s="2" t="s">
        <v>1216</v>
      </c>
      <c r="E663" s="2"/>
      <c r="F663" s="127">
        <v>3</v>
      </c>
      <c r="G663" s="127">
        <v>101</v>
      </c>
      <c r="H663" s="3">
        <v>5</v>
      </c>
      <c r="I663" s="127">
        <v>5</v>
      </c>
      <c r="J663" s="127">
        <v>1</v>
      </c>
      <c r="K663" s="3"/>
      <c r="L663" s="2" t="s">
        <v>478</v>
      </c>
      <c r="M663" s="2"/>
      <c r="N663" s="2">
        <v>1</v>
      </c>
      <c r="O663" s="2"/>
      <c r="P663" s="3" t="s">
        <v>1615</v>
      </c>
      <c r="Q663" s="95">
        <f t="shared" ref="Q663:Q726" si="67">R663</f>
        <v>5.7709803921568623</v>
      </c>
      <c r="R663" s="133">
        <f>IF(P663=模板计算相关数据!$AB$24,VLOOKUP(X663,模板计算相关数据!$P$47:$T$50,2,0),VLOOKUP(X663,模板计算相关数据!$P$4:$U$7,3,0))*VLOOKUP(Y663,模板计算相关数据!$P$22:$X$30,8,0)</f>
        <v>5.7709803921568623</v>
      </c>
      <c r="S663" s="62">
        <f t="shared" ref="S663:S726" si="68">T663</f>
        <v>6.4077918749199023</v>
      </c>
      <c r="T663" s="133">
        <f>IF(P663=模板计算相关数据!$AB$24,VLOOKUP(X663,模板计算相关数据!$P$47:$T$50,5,0),VLOOKUP(X663,模板计算相关数据!$P$4:$U$7,6,0))*VLOOKUP(Y663,模板计算相关数据!$P$22:$X$30,9,0)</f>
        <v>6.4077918749199023</v>
      </c>
      <c r="U663" s="98">
        <v>1</v>
      </c>
      <c r="V663" s="95">
        <f t="shared" si="66"/>
        <v>4</v>
      </c>
      <c r="W663" s="29">
        <f>VLOOKUP(U663,模板计算相关数据!A:N,2,0)</f>
        <v>1</v>
      </c>
      <c r="X663" s="3" t="s">
        <v>151</v>
      </c>
      <c r="Y663" s="3" t="s">
        <v>243</v>
      </c>
      <c r="Z663" s="99">
        <v>1</v>
      </c>
      <c r="AA663" s="95">
        <v>1</v>
      </c>
      <c r="AB663" s="95">
        <v>1</v>
      </c>
      <c r="AC663" s="95">
        <v>1</v>
      </c>
      <c r="AD663" s="95">
        <v>0</v>
      </c>
      <c r="AE663" s="95">
        <v>0</v>
      </c>
      <c r="AF663" s="95">
        <v>0</v>
      </c>
      <c r="AG663" s="95">
        <v>0</v>
      </c>
      <c r="AH663" s="95">
        <v>0</v>
      </c>
      <c r="AI663" s="95">
        <v>0</v>
      </c>
      <c r="AJ663" s="3">
        <f>INT(VLOOKUP(U663,模板计算相关数据!A:N,4,0)*VLOOKUP(U663,模板计算相关数据!A:N,14,0)*(1+MAX(0,(VLOOKUP(U663,模板计算相关数据!A:N,7,0)-AQ663))*VLOOKUP(U663,模板计算相关数据!A:N,8,0))*(1-(AL663+AM663)*0.5/((AL663+AM663)*0.5+(VLOOKUP(U663,模板计算相关数据!A:N,2,0)+模板计算相关数据!$AC$27)*模板计算相关数据!$AC$28))*Q663*Z663)</f>
        <v>411</v>
      </c>
      <c r="AK663" s="3">
        <f>INT(VLOOKUP(U663,模板计算相关数据!A:N,3,0)/模板计算相关数据!$W$35/(1+MAX(0,(AO663/10000-VLOOKUP(U663,模板计算相关数据!A:N,9,0)))*AP663/10000)/(1-VLOOKUP(U663,模板计算相关数据!A:N,5,0)/(VLOOKUP(U663,模板计算相关数据!A:N,5,0)+(VLOOKUP(U663,模板计算相关数据!A:N,2,0)+模板计算相关数据!$AC$27)*模板计算相关数据!$AC$28))/S663*AA663)</f>
        <v>86</v>
      </c>
      <c r="AL663" s="3">
        <f>INT(VLOOKUP(U663,模板计算相关数据!A:N,5,0)*VLOOKUP(X663,模板计算相关数据!$P$4:$T$7,4,0)*VLOOKUP(Y663,模板计算相关数据!$P$22:$U$30,4,0)*AB663)</f>
        <v>145</v>
      </c>
      <c r="AM663" s="3">
        <f>INT(VLOOKUP(U663,模板计算相关数据!A:N,6,0)*VLOOKUP(X663,模板计算相关数据!$P$4:$T$7,4,0)*VLOOKUP(Y663,模板计算相关数据!$P$22:$U$30,5,0)*AC663)</f>
        <v>264</v>
      </c>
      <c r="AN663" s="3">
        <f>VLOOKUP(U663,模板计算相关数据!A:N,10,0)*0.5*VLOOKUP(Y663,模板计算相关数据!$P$22:$U$30,6,0)+AD663</f>
        <v>275</v>
      </c>
      <c r="AO663" s="3">
        <f>VLOOKUP(INT(VLOOKUP(U663,模板计算相关数据!A:N,2,0)/30)+1,模板计算相关数据!$O$35:$U$40,3,0)+AE663</f>
        <v>0</v>
      </c>
      <c r="AP663" s="3">
        <f>VLOOKUP(INT(VLOOKUP(U663,模板计算相关数据!A:N,2,0)/30)+1,模板计算相关数据!$O$35:$U$40,4,0)+AF663</f>
        <v>5000</v>
      </c>
      <c r="AQ663" s="3">
        <f>VLOOKUP(INT(VLOOKUP(U663,模板计算相关数据!A:N,2,0)/30)+1,模板计算相关数据!$O$35:$U$40,5,0)+AG663</f>
        <v>0</v>
      </c>
      <c r="AR663" s="3">
        <f>VLOOKUP(INT(VLOOKUP(U663,模板计算相关数据!A:N,2,0)/30)+1,模板计算相关数据!$O$35:$U$40,6,0)+AH663</f>
        <v>0</v>
      </c>
      <c r="AS663" s="3">
        <f>VLOOKUP(INT(VLOOKUP(U663,模板计算相关数据!A:N,2,0)/30)+1,模板计算相关数据!$O$35:$U$40,7,0)+AI663</f>
        <v>0</v>
      </c>
      <c r="AT663" s="3">
        <f>VLOOKUP(INT(VLOOKUP(U663,模板计算相关数据!A:N,2,0)/30)+1,模板计算相关数据!$O$35:$V$40,8,0)</f>
        <v>0</v>
      </c>
      <c r="AU663" s="2"/>
    </row>
    <row r="664" spans="1:47" x14ac:dyDescent="0.2">
      <c r="A664" s="2">
        <v>307222</v>
      </c>
      <c r="B664" s="2"/>
      <c r="C664" s="2" t="s">
        <v>326</v>
      </c>
      <c r="D664" s="2" t="s">
        <v>1217</v>
      </c>
      <c r="E664" s="2"/>
      <c r="F664" s="127">
        <v>3</v>
      </c>
      <c r="G664" s="127">
        <v>101</v>
      </c>
      <c r="H664" s="3">
        <v>5</v>
      </c>
      <c r="I664" s="127">
        <v>5</v>
      </c>
      <c r="J664" s="127">
        <v>1</v>
      </c>
      <c r="K664" s="3"/>
      <c r="L664" s="2" t="s">
        <v>479</v>
      </c>
      <c r="M664" s="2"/>
      <c r="N664" s="2">
        <v>1</v>
      </c>
      <c r="O664" s="2"/>
      <c r="P664" s="3" t="s">
        <v>1615</v>
      </c>
      <c r="Q664" s="95">
        <f t="shared" si="67"/>
        <v>5.7709803921568623</v>
      </c>
      <c r="R664" s="133">
        <f>IF(P664=模板计算相关数据!$AB$24,VLOOKUP(X664,模板计算相关数据!$P$47:$T$50,2,0),VLOOKUP(X664,模板计算相关数据!$P$4:$U$7,3,0))*VLOOKUP(Y664,模板计算相关数据!$P$22:$X$30,8,0)</f>
        <v>5.7709803921568623</v>
      </c>
      <c r="S664" s="62">
        <f t="shared" si="68"/>
        <v>6.4077918749199023</v>
      </c>
      <c r="T664" s="133">
        <f>IF(P664=模板计算相关数据!$AB$24,VLOOKUP(X664,模板计算相关数据!$P$47:$T$50,5,0),VLOOKUP(X664,模板计算相关数据!$P$4:$U$7,6,0))*VLOOKUP(Y664,模板计算相关数据!$P$22:$X$30,9,0)</f>
        <v>6.4077918749199023</v>
      </c>
      <c r="U664" s="98">
        <v>1</v>
      </c>
      <c r="V664" s="95">
        <f t="shared" si="66"/>
        <v>4</v>
      </c>
      <c r="W664" s="29">
        <f>VLOOKUP(U664,模板计算相关数据!A:N,2,0)</f>
        <v>1</v>
      </c>
      <c r="X664" s="3" t="s">
        <v>151</v>
      </c>
      <c r="Y664" s="3" t="s">
        <v>243</v>
      </c>
      <c r="Z664" s="99">
        <v>1</v>
      </c>
      <c r="AA664" s="95">
        <v>1</v>
      </c>
      <c r="AB664" s="95">
        <v>1</v>
      </c>
      <c r="AC664" s="95">
        <v>1</v>
      </c>
      <c r="AD664" s="95">
        <v>0</v>
      </c>
      <c r="AE664" s="95">
        <v>0</v>
      </c>
      <c r="AF664" s="95">
        <v>0</v>
      </c>
      <c r="AG664" s="95">
        <v>0</v>
      </c>
      <c r="AH664" s="95">
        <v>0</v>
      </c>
      <c r="AI664" s="95">
        <v>0</v>
      </c>
      <c r="AJ664" s="3">
        <f>INT(VLOOKUP(U664,模板计算相关数据!A:N,4,0)*VLOOKUP(U664,模板计算相关数据!A:N,14,0)*(1+MAX(0,(VLOOKUP(U664,模板计算相关数据!A:N,7,0)-AQ664))*VLOOKUP(U664,模板计算相关数据!A:N,8,0))*(1-(AL664+AM664)*0.5/((AL664+AM664)*0.5+(VLOOKUP(U664,模板计算相关数据!A:N,2,0)+模板计算相关数据!$AC$27)*模板计算相关数据!$AC$28))*Q664*Z664)</f>
        <v>411</v>
      </c>
      <c r="AK664" s="3">
        <f>INT(VLOOKUP(U664,模板计算相关数据!A:N,3,0)/模板计算相关数据!$W$35/(1+MAX(0,(AO664/10000-VLOOKUP(U664,模板计算相关数据!A:N,9,0)))*AP664/10000)/(1-VLOOKUP(U664,模板计算相关数据!A:N,5,0)/(VLOOKUP(U664,模板计算相关数据!A:N,5,0)+(VLOOKUP(U664,模板计算相关数据!A:N,2,0)+模板计算相关数据!$AC$27)*模板计算相关数据!$AC$28))/S664*AA664)</f>
        <v>86</v>
      </c>
      <c r="AL664" s="3">
        <f>INT(VLOOKUP(U664,模板计算相关数据!A:N,5,0)*VLOOKUP(X664,模板计算相关数据!$P$4:$T$7,4,0)*VLOOKUP(Y664,模板计算相关数据!$P$22:$U$30,4,0)*AB664)</f>
        <v>145</v>
      </c>
      <c r="AM664" s="3">
        <f>INT(VLOOKUP(U664,模板计算相关数据!A:N,6,0)*VLOOKUP(X664,模板计算相关数据!$P$4:$T$7,4,0)*VLOOKUP(Y664,模板计算相关数据!$P$22:$U$30,5,0)*AC664)</f>
        <v>264</v>
      </c>
      <c r="AN664" s="3">
        <f>VLOOKUP(U664,模板计算相关数据!A:N,10,0)*0.5*VLOOKUP(Y664,模板计算相关数据!$P$22:$U$30,6,0)+AD664</f>
        <v>275</v>
      </c>
      <c r="AO664" s="3">
        <f>VLOOKUP(INT(VLOOKUP(U664,模板计算相关数据!A:N,2,0)/30)+1,模板计算相关数据!$O$35:$U$40,3,0)+AE664</f>
        <v>0</v>
      </c>
      <c r="AP664" s="3">
        <f>VLOOKUP(INT(VLOOKUP(U664,模板计算相关数据!A:N,2,0)/30)+1,模板计算相关数据!$O$35:$U$40,4,0)+AF664</f>
        <v>5000</v>
      </c>
      <c r="AQ664" s="3">
        <f>VLOOKUP(INT(VLOOKUP(U664,模板计算相关数据!A:N,2,0)/30)+1,模板计算相关数据!$O$35:$U$40,5,0)+AG664</f>
        <v>0</v>
      </c>
      <c r="AR664" s="3">
        <f>VLOOKUP(INT(VLOOKUP(U664,模板计算相关数据!A:N,2,0)/30)+1,模板计算相关数据!$O$35:$U$40,6,0)+AH664</f>
        <v>0</v>
      </c>
      <c r="AS664" s="3">
        <f>VLOOKUP(INT(VLOOKUP(U664,模板计算相关数据!A:N,2,0)/30)+1,模板计算相关数据!$O$35:$U$40,7,0)+AI664</f>
        <v>0</v>
      </c>
      <c r="AT664" s="3">
        <f>VLOOKUP(INT(VLOOKUP(U664,模板计算相关数据!A:N,2,0)/30)+1,模板计算相关数据!$O$35:$V$40,8,0)</f>
        <v>0</v>
      </c>
      <c r="AU664" s="2"/>
    </row>
    <row r="665" spans="1:47" x14ac:dyDescent="0.2">
      <c r="A665" s="2">
        <v>307223</v>
      </c>
      <c r="B665" s="2"/>
      <c r="C665" s="2" t="s">
        <v>326</v>
      </c>
      <c r="D665" s="2" t="s">
        <v>1218</v>
      </c>
      <c r="E665" s="2"/>
      <c r="F665" s="127">
        <v>3</v>
      </c>
      <c r="G665" s="127">
        <v>101</v>
      </c>
      <c r="H665" s="3">
        <v>5</v>
      </c>
      <c r="I665" s="127">
        <v>5</v>
      </c>
      <c r="J665" s="127">
        <v>1</v>
      </c>
      <c r="K665" s="3"/>
      <c r="L665" s="2" t="s">
        <v>480</v>
      </c>
      <c r="M665" s="2"/>
      <c r="N665" s="2">
        <v>1</v>
      </c>
      <c r="O665" s="2"/>
      <c r="P665" s="3" t="s">
        <v>1615</v>
      </c>
      <c r="Q665" s="95">
        <f t="shared" si="67"/>
        <v>5.7709803921568623</v>
      </c>
      <c r="R665" s="133">
        <f>IF(P665=模板计算相关数据!$AB$24,VLOOKUP(X665,模板计算相关数据!$P$47:$T$50,2,0),VLOOKUP(X665,模板计算相关数据!$P$4:$U$7,3,0))*VLOOKUP(Y665,模板计算相关数据!$P$22:$X$30,8,0)</f>
        <v>5.7709803921568623</v>
      </c>
      <c r="S665" s="62">
        <f t="shared" si="68"/>
        <v>6.4077918749199023</v>
      </c>
      <c r="T665" s="133">
        <f>IF(P665=模板计算相关数据!$AB$24,VLOOKUP(X665,模板计算相关数据!$P$47:$T$50,5,0),VLOOKUP(X665,模板计算相关数据!$P$4:$U$7,6,0))*VLOOKUP(Y665,模板计算相关数据!$P$22:$X$30,9,0)</f>
        <v>6.4077918749199023</v>
      </c>
      <c r="U665" s="98">
        <v>1</v>
      </c>
      <c r="V665" s="95">
        <f t="shared" si="66"/>
        <v>4</v>
      </c>
      <c r="W665" s="29">
        <f>VLOOKUP(U665,模板计算相关数据!A:N,2,0)</f>
        <v>1</v>
      </c>
      <c r="X665" s="3" t="s">
        <v>151</v>
      </c>
      <c r="Y665" s="3" t="s">
        <v>243</v>
      </c>
      <c r="Z665" s="99">
        <v>1</v>
      </c>
      <c r="AA665" s="95">
        <v>1</v>
      </c>
      <c r="AB665" s="95">
        <v>1</v>
      </c>
      <c r="AC665" s="95">
        <v>1</v>
      </c>
      <c r="AD665" s="95">
        <v>0</v>
      </c>
      <c r="AE665" s="95">
        <v>0</v>
      </c>
      <c r="AF665" s="95">
        <v>0</v>
      </c>
      <c r="AG665" s="95">
        <v>0</v>
      </c>
      <c r="AH665" s="95">
        <v>0</v>
      </c>
      <c r="AI665" s="95">
        <v>0</v>
      </c>
      <c r="AJ665" s="3">
        <f>INT(VLOOKUP(U665,模板计算相关数据!A:N,4,0)*VLOOKUP(U665,模板计算相关数据!A:N,14,0)*(1+MAX(0,(VLOOKUP(U665,模板计算相关数据!A:N,7,0)-AQ665))*VLOOKUP(U665,模板计算相关数据!A:N,8,0))*(1-(AL665+AM665)*0.5/((AL665+AM665)*0.5+(VLOOKUP(U665,模板计算相关数据!A:N,2,0)+模板计算相关数据!$AC$27)*模板计算相关数据!$AC$28))*Q665*Z665)</f>
        <v>411</v>
      </c>
      <c r="AK665" s="3">
        <f>INT(VLOOKUP(U665,模板计算相关数据!A:N,3,0)/模板计算相关数据!$W$35/(1+MAX(0,(AO665/10000-VLOOKUP(U665,模板计算相关数据!A:N,9,0)))*AP665/10000)/(1-VLOOKUP(U665,模板计算相关数据!A:N,5,0)/(VLOOKUP(U665,模板计算相关数据!A:N,5,0)+(VLOOKUP(U665,模板计算相关数据!A:N,2,0)+模板计算相关数据!$AC$27)*模板计算相关数据!$AC$28))/S665*AA665)</f>
        <v>86</v>
      </c>
      <c r="AL665" s="3">
        <f>INT(VLOOKUP(U665,模板计算相关数据!A:N,5,0)*VLOOKUP(X665,模板计算相关数据!$P$4:$T$7,4,0)*VLOOKUP(Y665,模板计算相关数据!$P$22:$U$30,4,0)*AB665)</f>
        <v>145</v>
      </c>
      <c r="AM665" s="3">
        <f>INT(VLOOKUP(U665,模板计算相关数据!A:N,6,0)*VLOOKUP(X665,模板计算相关数据!$P$4:$T$7,4,0)*VLOOKUP(Y665,模板计算相关数据!$P$22:$U$30,5,0)*AC665)</f>
        <v>264</v>
      </c>
      <c r="AN665" s="3">
        <f>VLOOKUP(U665,模板计算相关数据!A:N,10,0)*0.5*VLOOKUP(Y665,模板计算相关数据!$P$22:$U$30,6,0)+AD665</f>
        <v>275</v>
      </c>
      <c r="AO665" s="3">
        <f>VLOOKUP(INT(VLOOKUP(U665,模板计算相关数据!A:N,2,0)/30)+1,模板计算相关数据!$O$35:$U$40,3,0)+AE665</f>
        <v>0</v>
      </c>
      <c r="AP665" s="3">
        <f>VLOOKUP(INT(VLOOKUP(U665,模板计算相关数据!A:N,2,0)/30)+1,模板计算相关数据!$O$35:$U$40,4,0)+AF665</f>
        <v>5000</v>
      </c>
      <c r="AQ665" s="3">
        <f>VLOOKUP(INT(VLOOKUP(U665,模板计算相关数据!A:N,2,0)/30)+1,模板计算相关数据!$O$35:$U$40,5,0)+AG665</f>
        <v>0</v>
      </c>
      <c r="AR665" s="3">
        <f>VLOOKUP(INT(VLOOKUP(U665,模板计算相关数据!A:N,2,0)/30)+1,模板计算相关数据!$O$35:$U$40,6,0)+AH665</f>
        <v>0</v>
      </c>
      <c r="AS665" s="3">
        <f>VLOOKUP(INT(VLOOKUP(U665,模板计算相关数据!A:N,2,0)/30)+1,模板计算相关数据!$O$35:$U$40,7,0)+AI665</f>
        <v>0</v>
      </c>
      <c r="AT665" s="3">
        <f>VLOOKUP(INT(VLOOKUP(U665,模板计算相关数据!A:N,2,0)/30)+1,模板计算相关数据!$O$35:$V$40,8,0)</f>
        <v>0</v>
      </c>
      <c r="AU665" s="2"/>
    </row>
    <row r="666" spans="1:47" x14ac:dyDescent="0.2">
      <c r="A666" s="2">
        <v>307224</v>
      </c>
      <c r="B666" s="2"/>
      <c r="C666" s="2" t="s">
        <v>326</v>
      </c>
      <c r="D666" s="2" t="s">
        <v>1219</v>
      </c>
      <c r="E666" s="2"/>
      <c r="F666" s="127">
        <v>3</v>
      </c>
      <c r="G666" s="127">
        <v>101</v>
      </c>
      <c r="H666" s="3">
        <v>5</v>
      </c>
      <c r="I666" s="127">
        <v>5</v>
      </c>
      <c r="J666" s="127">
        <v>1</v>
      </c>
      <c r="K666" s="3"/>
      <c r="L666" s="2" t="s">
        <v>481</v>
      </c>
      <c r="M666" s="2"/>
      <c r="N666" s="2">
        <v>1</v>
      </c>
      <c r="O666" s="2"/>
      <c r="P666" s="3" t="s">
        <v>1615</v>
      </c>
      <c r="Q666" s="95">
        <f t="shared" si="67"/>
        <v>5.7709803921568623</v>
      </c>
      <c r="R666" s="133">
        <f>IF(P666=模板计算相关数据!$AB$24,VLOOKUP(X666,模板计算相关数据!$P$47:$T$50,2,0),VLOOKUP(X666,模板计算相关数据!$P$4:$U$7,3,0))*VLOOKUP(Y666,模板计算相关数据!$P$22:$X$30,8,0)</f>
        <v>5.7709803921568623</v>
      </c>
      <c r="S666" s="62">
        <f t="shared" si="68"/>
        <v>6.4077918749199023</v>
      </c>
      <c r="T666" s="133">
        <f>IF(P666=模板计算相关数据!$AB$24,VLOOKUP(X666,模板计算相关数据!$P$47:$T$50,5,0),VLOOKUP(X666,模板计算相关数据!$P$4:$U$7,6,0))*VLOOKUP(Y666,模板计算相关数据!$P$22:$X$30,9,0)</f>
        <v>6.4077918749199023</v>
      </c>
      <c r="U666" s="98">
        <v>1</v>
      </c>
      <c r="V666" s="95">
        <f t="shared" si="66"/>
        <v>4</v>
      </c>
      <c r="W666" s="29">
        <f>VLOOKUP(U666,模板计算相关数据!A:N,2,0)</f>
        <v>1</v>
      </c>
      <c r="X666" s="3" t="s">
        <v>151</v>
      </c>
      <c r="Y666" s="3" t="s">
        <v>243</v>
      </c>
      <c r="Z666" s="99">
        <v>1</v>
      </c>
      <c r="AA666" s="95">
        <v>1</v>
      </c>
      <c r="AB666" s="95">
        <v>1</v>
      </c>
      <c r="AC666" s="95">
        <v>1</v>
      </c>
      <c r="AD666" s="95">
        <v>0</v>
      </c>
      <c r="AE666" s="95">
        <v>0</v>
      </c>
      <c r="AF666" s="95">
        <v>0</v>
      </c>
      <c r="AG666" s="95">
        <v>0</v>
      </c>
      <c r="AH666" s="95">
        <v>0</v>
      </c>
      <c r="AI666" s="95">
        <v>0</v>
      </c>
      <c r="AJ666" s="3">
        <f>INT(VLOOKUP(U666,模板计算相关数据!A:N,4,0)*VLOOKUP(U666,模板计算相关数据!A:N,14,0)*(1+MAX(0,(VLOOKUP(U666,模板计算相关数据!A:N,7,0)-AQ666))*VLOOKUP(U666,模板计算相关数据!A:N,8,0))*(1-(AL666+AM666)*0.5/((AL666+AM666)*0.5+(VLOOKUP(U666,模板计算相关数据!A:N,2,0)+模板计算相关数据!$AC$27)*模板计算相关数据!$AC$28))*Q666*Z666)</f>
        <v>411</v>
      </c>
      <c r="AK666" s="3">
        <f>INT(VLOOKUP(U666,模板计算相关数据!A:N,3,0)/模板计算相关数据!$W$35/(1+MAX(0,(AO666/10000-VLOOKUP(U666,模板计算相关数据!A:N,9,0)))*AP666/10000)/(1-VLOOKUP(U666,模板计算相关数据!A:N,5,0)/(VLOOKUP(U666,模板计算相关数据!A:N,5,0)+(VLOOKUP(U666,模板计算相关数据!A:N,2,0)+模板计算相关数据!$AC$27)*模板计算相关数据!$AC$28))/S666*AA666)</f>
        <v>86</v>
      </c>
      <c r="AL666" s="3">
        <f>INT(VLOOKUP(U666,模板计算相关数据!A:N,5,0)*VLOOKUP(X666,模板计算相关数据!$P$4:$T$7,4,0)*VLOOKUP(Y666,模板计算相关数据!$P$22:$U$30,4,0)*AB666)</f>
        <v>145</v>
      </c>
      <c r="AM666" s="3">
        <f>INT(VLOOKUP(U666,模板计算相关数据!A:N,6,0)*VLOOKUP(X666,模板计算相关数据!$P$4:$T$7,4,0)*VLOOKUP(Y666,模板计算相关数据!$P$22:$U$30,5,0)*AC666)</f>
        <v>264</v>
      </c>
      <c r="AN666" s="3">
        <f>VLOOKUP(U666,模板计算相关数据!A:N,10,0)*0.5*VLOOKUP(Y666,模板计算相关数据!$P$22:$U$30,6,0)+AD666</f>
        <v>275</v>
      </c>
      <c r="AO666" s="3">
        <f>VLOOKUP(INT(VLOOKUP(U666,模板计算相关数据!A:N,2,0)/30)+1,模板计算相关数据!$O$35:$U$40,3,0)+AE666</f>
        <v>0</v>
      </c>
      <c r="AP666" s="3">
        <f>VLOOKUP(INT(VLOOKUP(U666,模板计算相关数据!A:N,2,0)/30)+1,模板计算相关数据!$O$35:$U$40,4,0)+AF666</f>
        <v>5000</v>
      </c>
      <c r="AQ666" s="3">
        <f>VLOOKUP(INT(VLOOKUP(U666,模板计算相关数据!A:N,2,0)/30)+1,模板计算相关数据!$O$35:$U$40,5,0)+AG666</f>
        <v>0</v>
      </c>
      <c r="AR666" s="3">
        <f>VLOOKUP(INT(VLOOKUP(U666,模板计算相关数据!A:N,2,0)/30)+1,模板计算相关数据!$O$35:$U$40,6,0)+AH666</f>
        <v>0</v>
      </c>
      <c r="AS666" s="3">
        <f>VLOOKUP(INT(VLOOKUP(U666,模板计算相关数据!A:N,2,0)/30)+1,模板计算相关数据!$O$35:$U$40,7,0)+AI666</f>
        <v>0</v>
      </c>
      <c r="AT666" s="3">
        <f>VLOOKUP(INT(VLOOKUP(U666,模板计算相关数据!A:N,2,0)/30)+1,模板计算相关数据!$O$35:$V$40,8,0)</f>
        <v>0</v>
      </c>
      <c r="AU666" s="2"/>
    </row>
    <row r="667" spans="1:47" x14ac:dyDescent="0.2">
      <c r="A667" s="2">
        <v>307225</v>
      </c>
      <c r="B667" s="2"/>
      <c r="C667" s="2" t="s">
        <v>326</v>
      </c>
      <c r="D667" s="2" t="s">
        <v>1220</v>
      </c>
      <c r="E667" s="2"/>
      <c r="F667" s="127">
        <v>3</v>
      </c>
      <c r="G667" s="127">
        <v>101</v>
      </c>
      <c r="H667" s="3">
        <v>5</v>
      </c>
      <c r="I667" s="127">
        <v>5</v>
      </c>
      <c r="J667" s="127">
        <v>1</v>
      </c>
      <c r="K667" s="3"/>
      <c r="L667" s="2" t="s">
        <v>482</v>
      </c>
      <c r="M667" s="2"/>
      <c r="N667" s="2">
        <v>1</v>
      </c>
      <c r="O667" s="2"/>
      <c r="P667" s="3" t="s">
        <v>1615</v>
      </c>
      <c r="Q667" s="95">
        <f t="shared" si="67"/>
        <v>5.7709803921568623</v>
      </c>
      <c r="R667" s="133">
        <f>IF(P667=模板计算相关数据!$AB$24,VLOOKUP(X667,模板计算相关数据!$P$47:$T$50,2,0),VLOOKUP(X667,模板计算相关数据!$P$4:$U$7,3,0))*VLOOKUP(Y667,模板计算相关数据!$P$22:$X$30,8,0)</f>
        <v>5.7709803921568623</v>
      </c>
      <c r="S667" s="62">
        <f t="shared" si="68"/>
        <v>6.4077918749199023</v>
      </c>
      <c r="T667" s="133">
        <f>IF(P667=模板计算相关数据!$AB$24,VLOOKUP(X667,模板计算相关数据!$P$47:$T$50,5,0),VLOOKUP(X667,模板计算相关数据!$P$4:$U$7,6,0))*VLOOKUP(Y667,模板计算相关数据!$P$22:$X$30,9,0)</f>
        <v>6.4077918749199023</v>
      </c>
      <c r="U667" s="98">
        <v>1</v>
      </c>
      <c r="V667" s="95">
        <f t="shared" si="66"/>
        <v>4</v>
      </c>
      <c r="W667" s="29">
        <f>VLOOKUP(U667,模板计算相关数据!A:N,2,0)</f>
        <v>1</v>
      </c>
      <c r="X667" s="3" t="s">
        <v>151</v>
      </c>
      <c r="Y667" s="3" t="s">
        <v>243</v>
      </c>
      <c r="Z667" s="99">
        <v>1</v>
      </c>
      <c r="AA667" s="95">
        <v>1</v>
      </c>
      <c r="AB667" s="95">
        <v>1</v>
      </c>
      <c r="AC667" s="95">
        <v>1</v>
      </c>
      <c r="AD667" s="95">
        <v>0</v>
      </c>
      <c r="AE667" s="95">
        <v>0</v>
      </c>
      <c r="AF667" s="95">
        <v>0</v>
      </c>
      <c r="AG667" s="95">
        <v>0</v>
      </c>
      <c r="AH667" s="95">
        <v>0</v>
      </c>
      <c r="AI667" s="95">
        <v>0</v>
      </c>
      <c r="AJ667" s="3">
        <f>INT(VLOOKUP(U667,模板计算相关数据!A:N,4,0)*VLOOKUP(U667,模板计算相关数据!A:N,14,0)*(1+MAX(0,(VLOOKUP(U667,模板计算相关数据!A:N,7,0)-AQ667))*VLOOKUP(U667,模板计算相关数据!A:N,8,0))*(1-(AL667+AM667)*0.5/((AL667+AM667)*0.5+(VLOOKUP(U667,模板计算相关数据!A:N,2,0)+模板计算相关数据!$AC$27)*模板计算相关数据!$AC$28))*Q667*Z667)</f>
        <v>411</v>
      </c>
      <c r="AK667" s="3">
        <f>INT(VLOOKUP(U667,模板计算相关数据!A:N,3,0)/模板计算相关数据!$W$35/(1+MAX(0,(AO667/10000-VLOOKUP(U667,模板计算相关数据!A:N,9,0)))*AP667/10000)/(1-VLOOKUP(U667,模板计算相关数据!A:N,5,0)/(VLOOKUP(U667,模板计算相关数据!A:N,5,0)+(VLOOKUP(U667,模板计算相关数据!A:N,2,0)+模板计算相关数据!$AC$27)*模板计算相关数据!$AC$28))/S667*AA667)</f>
        <v>86</v>
      </c>
      <c r="AL667" s="3">
        <f>INT(VLOOKUP(U667,模板计算相关数据!A:N,5,0)*VLOOKUP(X667,模板计算相关数据!$P$4:$T$7,4,0)*VLOOKUP(Y667,模板计算相关数据!$P$22:$U$30,4,0)*AB667)</f>
        <v>145</v>
      </c>
      <c r="AM667" s="3">
        <f>INT(VLOOKUP(U667,模板计算相关数据!A:N,6,0)*VLOOKUP(X667,模板计算相关数据!$P$4:$T$7,4,0)*VLOOKUP(Y667,模板计算相关数据!$P$22:$U$30,5,0)*AC667)</f>
        <v>264</v>
      </c>
      <c r="AN667" s="3">
        <f>VLOOKUP(U667,模板计算相关数据!A:N,10,0)*0.5*VLOOKUP(Y667,模板计算相关数据!$P$22:$U$30,6,0)+AD667</f>
        <v>275</v>
      </c>
      <c r="AO667" s="3">
        <f>VLOOKUP(INT(VLOOKUP(U667,模板计算相关数据!A:N,2,0)/30)+1,模板计算相关数据!$O$35:$U$40,3,0)+AE667</f>
        <v>0</v>
      </c>
      <c r="AP667" s="3">
        <f>VLOOKUP(INT(VLOOKUP(U667,模板计算相关数据!A:N,2,0)/30)+1,模板计算相关数据!$O$35:$U$40,4,0)+AF667</f>
        <v>5000</v>
      </c>
      <c r="AQ667" s="3">
        <f>VLOOKUP(INT(VLOOKUP(U667,模板计算相关数据!A:N,2,0)/30)+1,模板计算相关数据!$O$35:$U$40,5,0)+AG667</f>
        <v>0</v>
      </c>
      <c r="AR667" s="3">
        <f>VLOOKUP(INT(VLOOKUP(U667,模板计算相关数据!A:N,2,0)/30)+1,模板计算相关数据!$O$35:$U$40,6,0)+AH667</f>
        <v>0</v>
      </c>
      <c r="AS667" s="3">
        <f>VLOOKUP(INT(VLOOKUP(U667,模板计算相关数据!A:N,2,0)/30)+1,模板计算相关数据!$O$35:$U$40,7,0)+AI667</f>
        <v>0</v>
      </c>
      <c r="AT667" s="3">
        <f>VLOOKUP(INT(VLOOKUP(U667,模板计算相关数据!A:N,2,0)/30)+1,模板计算相关数据!$O$35:$V$40,8,0)</f>
        <v>0</v>
      </c>
      <c r="AU667" s="2"/>
    </row>
    <row r="668" spans="1:47" x14ac:dyDescent="0.2">
      <c r="A668" s="2">
        <v>307226</v>
      </c>
      <c r="B668" s="2"/>
      <c r="C668" s="2" t="s">
        <v>343</v>
      </c>
      <c r="D668" s="2" t="s">
        <v>1216</v>
      </c>
      <c r="E668" s="2"/>
      <c r="F668" s="127">
        <v>3</v>
      </c>
      <c r="G668" s="127">
        <v>101</v>
      </c>
      <c r="H668" s="3">
        <v>3</v>
      </c>
      <c r="I668" s="127">
        <v>5</v>
      </c>
      <c r="J668" s="127">
        <v>1</v>
      </c>
      <c r="K668" s="3"/>
      <c r="L668" s="2" t="s">
        <v>483</v>
      </c>
      <c r="M668" s="2"/>
      <c r="N668" s="2">
        <v>1</v>
      </c>
      <c r="O668" s="2"/>
      <c r="P668" s="3" t="s">
        <v>1615</v>
      </c>
      <c r="Q668" s="95">
        <f t="shared" si="67"/>
        <v>5.6000000000000014</v>
      </c>
      <c r="R668" s="133">
        <f>IF(P668=模板计算相关数据!$AB$24,VLOOKUP(X668,模板计算相关数据!$P$47:$T$50,2,0),VLOOKUP(X668,模板计算相关数据!$P$4:$U$7,3,0))*VLOOKUP(Y668,模板计算相关数据!$P$22:$X$30,8,0)</f>
        <v>5.6000000000000014</v>
      </c>
      <c r="S668" s="62">
        <f t="shared" si="68"/>
        <v>6.6693344004268367</v>
      </c>
      <c r="T668" s="133">
        <f>IF(P668=模板计算相关数据!$AB$24,VLOOKUP(X668,模板计算相关数据!$P$47:$T$50,5,0),VLOOKUP(X668,模板计算相关数据!$P$4:$U$7,6,0))*VLOOKUP(Y668,模板计算相关数据!$P$22:$X$30,9,0)</f>
        <v>6.6693344004268367</v>
      </c>
      <c r="U668" s="98">
        <v>1</v>
      </c>
      <c r="V668" s="95">
        <f t="shared" si="66"/>
        <v>4</v>
      </c>
      <c r="W668" s="29">
        <f>VLOOKUP(U668,模板计算相关数据!A:N,2,0)</f>
        <v>1</v>
      </c>
      <c r="X668" s="3" t="s">
        <v>151</v>
      </c>
      <c r="Y668" s="3" t="s">
        <v>255</v>
      </c>
      <c r="Z668" s="99">
        <v>1</v>
      </c>
      <c r="AA668" s="95">
        <v>1</v>
      </c>
      <c r="AB668" s="95">
        <v>1</v>
      </c>
      <c r="AC668" s="95">
        <v>1</v>
      </c>
      <c r="AD668" s="95">
        <v>0</v>
      </c>
      <c r="AE668" s="95">
        <v>0</v>
      </c>
      <c r="AF668" s="95">
        <v>0</v>
      </c>
      <c r="AG668" s="95">
        <v>0</v>
      </c>
      <c r="AH668" s="95">
        <v>0</v>
      </c>
      <c r="AI668" s="95">
        <v>0</v>
      </c>
      <c r="AJ668" s="3">
        <f>INT(VLOOKUP(U668,模板计算相关数据!A:N,4,0)*VLOOKUP(U668,模板计算相关数据!A:N,14,0)*(1+MAX(0,(VLOOKUP(U668,模板计算相关数据!A:N,7,0)-AQ668))*VLOOKUP(U668,模板计算相关数据!A:N,8,0))*(1-(AL668+AM668)*0.5/((AL668+AM668)*0.5+(VLOOKUP(U668,模板计算相关数据!A:N,2,0)+模板计算相关数据!$AC$27)*模板计算相关数据!$AC$28))*Q668*Z668)</f>
        <v>394</v>
      </c>
      <c r="AK668" s="3">
        <f>INT(VLOOKUP(U668,模板计算相关数据!A:N,3,0)/模板计算相关数据!$W$35/(1+MAX(0,(AO668/10000-VLOOKUP(U668,模板计算相关数据!A:N,9,0)))*AP668/10000)/(1-VLOOKUP(U668,模板计算相关数据!A:N,5,0)/(VLOOKUP(U668,模板计算相关数据!A:N,5,0)+(VLOOKUP(U668,模板计算相关数据!A:N,2,0)+模板计算相关数据!$AC$27)*模板计算相关数据!$AC$28))/S668*AA668)</f>
        <v>83</v>
      </c>
      <c r="AL668" s="3">
        <f>INT(VLOOKUP(U668,模板计算相关数据!A:N,5,0)*VLOOKUP(X668,模板计算相关数据!$P$4:$T$7,4,0)*VLOOKUP(Y668,模板计算相关数据!$P$22:$U$30,4,0)*AB668)</f>
        <v>149</v>
      </c>
      <c r="AM668" s="3">
        <f>INT(VLOOKUP(U668,模板计算相关数据!A:N,6,0)*VLOOKUP(X668,模板计算相关数据!$P$4:$T$7,4,0)*VLOOKUP(Y668,模板计算相关数据!$P$22:$U$30,5,0)*AC668)</f>
        <v>277</v>
      </c>
      <c r="AN668" s="3">
        <f>VLOOKUP(U668,模板计算相关数据!A:N,10,0)*0.5*VLOOKUP(Y668,模板计算相关数据!$P$22:$U$30,6,0)+AD668</f>
        <v>225</v>
      </c>
      <c r="AO668" s="3">
        <f>VLOOKUP(INT(VLOOKUP(U668,模板计算相关数据!A:N,2,0)/30)+1,模板计算相关数据!$O$35:$U$40,3,0)+AE668</f>
        <v>0</v>
      </c>
      <c r="AP668" s="3">
        <f>VLOOKUP(INT(VLOOKUP(U668,模板计算相关数据!A:N,2,0)/30)+1,模板计算相关数据!$O$35:$U$40,4,0)+AF668</f>
        <v>5000</v>
      </c>
      <c r="AQ668" s="3">
        <f>VLOOKUP(INT(VLOOKUP(U668,模板计算相关数据!A:N,2,0)/30)+1,模板计算相关数据!$O$35:$U$40,5,0)+AG668</f>
        <v>0</v>
      </c>
      <c r="AR668" s="3">
        <f>VLOOKUP(INT(VLOOKUP(U668,模板计算相关数据!A:N,2,0)/30)+1,模板计算相关数据!$O$35:$U$40,6,0)+AH668</f>
        <v>0</v>
      </c>
      <c r="AS668" s="3">
        <f>VLOOKUP(INT(VLOOKUP(U668,模板计算相关数据!A:N,2,0)/30)+1,模板计算相关数据!$O$35:$U$40,7,0)+AI668</f>
        <v>0</v>
      </c>
      <c r="AT668" s="3">
        <f>VLOOKUP(INT(VLOOKUP(U668,模板计算相关数据!A:N,2,0)/30)+1,模板计算相关数据!$O$35:$V$40,8,0)</f>
        <v>0</v>
      </c>
      <c r="AU668" s="2"/>
    </row>
    <row r="669" spans="1:47" x14ac:dyDescent="0.2">
      <c r="A669" s="2">
        <v>307227</v>
      </c>
      <c r="B669" s="2"/>
      <c r="C669" s="2" t="s">
        <v>343</v>
      </c>
      <c r="D669" s="2" t="s">
        <v>1217</v>
      </c>
      <c r="E669" s="2"/>
      <c r="F669" s="127">
        <v>3</v>
      </c>
      <c r="G669" s="127">
        <v>101</v>
      </c>
      <c r="H669" s="3">
        <v>3</v>
      </c>
      <c r="I669" s="127">
        <v>5</v>
      </c>
      <c r="J669" s="127">
        <v>1</v>
      </c>
      <c r="K669" s="3"/>
      <c r="L669" s="2" t="s">
        <v>484</v>
      </c>
      <c r="M669" s="2"/>
      <c r="N669" s="2">
        <v>1</v>
      </c>
      <c r="O669" s="2"/>
      <c r="P669" s="3" t="s">
        <v>1615</v>
      </c>
      <c r="Q669" s="95">
        <f t="shared" si="67"/>
        <v>5.6000000000000014</v>
      </c>
      <c r="R669" s="133">
        <f>IF(P669=模板计算相关数据!$AB$24,VLOOKUP(X669,模板计算相关数据!$P$47:$T$50,2,0),VLOOKUP(X669,模板计算相关数据!$P$4:$U$7,3,0))*VLOOKUP(Y669,模板计算相关数据!$P$22:$X$30,8,0)</f>
        <v>5.6000000000000014</v>
      </c>
      <c r="S669" s="62">
        <f t="shared" si="68"/>
        <v>6.6693344004268367</v>
      </c>
      <c r="T669" s="133">
        <f>IF(P669=模板计算相关数据!$AB$24,VLOOKUP(X669,模板计算相关数据!$P$47:$T$50,5,0),VLOOKUP(X669,模板计算相关数据!$P$4:$U$7,6,0))*VLOOKUP(Y669,模板计算相关数据!$P$22:$X$30,9,0)</f>
        <v>6.6693344004268367</v>
      </c>
      <c r="U669" s="98">
        <v>1</v>
      </c>
      <c r="V669" s="95">
        <f t="shared" si="66"/>
        <v>4</v>
      </c>
      <c r="W669" s="29">
        <f>VLOOKUP(U669,模板计算相关数据!A:N,2,0)</f>
        <v>1</v>
      </c>
      <c r="X669" s="3" t="s">
        <v>151</v>
      </c>
      <c r="Y669" s="3" t="s">
        <v>255</v>
      </c>
      <c r="Z669" s="99">
        <v>1</v>
      </c>
      <c r="AA669" s="95">
        <v>1</v>
      </c>
      <c r="AB669" s="95">
        <v>1</v>
      </c>
      <c r="AC669" s="95">
        <v>1</v>
      </c>
      <c r="AD669" s="95">
        <v>0</v>
      </c>
      <c r="AE669" s="95">
        <v>0</v>
      </c>
      <c r="AF669" s="95">
        <v>0</v>
      </c>
      <c r="AG669" s="95">
        <v>0</v>
      </c>
      <c r="AH669" s="95">
        <v>0</v>
      </c>
      <c r="AI669" s="95">
        <v>0</v>
      </c>
      <c r="AJ669" s="3">
        <f>INT(VLOOKUP(U669,模板计算相关数据!A:N,4,0)*VLOOKUP(U669,模板计算相关数据!A:N,14,0)*(1+MAX(0,(VLOOKUP(U669,模板计算相关数据!A:N,7,0)-AQ669))*VLOOKUP(U669,模板计算相关数据!A:N,8,0))*(1-(AL669+AM669)*0.5/((AL669+AM669)*0.5+(VLOOKUP(U669,模板计算相关数据!A:N,2,0)+模板计算相关数据!$AC$27)*模板计算相关数据!$AC$28))*Q669*Z669)</f>
        <v>394</v>
      </c>
      <c r="AK669" s="3">
        <f>INT(VLOOKUP(U669,模板计算相关数据!A:N,3,0)/模板计算相关数据!$W$35/(1+MAX(0,(AO669/10000-VLOOKUP(U669,模板计算相关数据!A:N,9,0)))*AP669/10000)/(1-VLOOKUP(U669,模板计算相关数据!A:N,5,0)/(VLOOKUP(U669,模板计算相关数据!A:N,5,0)+(VLOOKUP(U669,模板计算相关数据!A:N,2,0)+模板计算相关数据!$AC$27)*模板计算相关数据!$AC$28))/S669*AA669)</f>
        <v>83</v>
      </c>
      <c r="AL669" s="3">
        <f>INT(VLOOKUP(U669,模板计算相关数据!A:N,5,0)*VLOOKUP(X669,模板计算相关数据!$P$4:$T$7,4,0)*VLOOKUP(Y669,模板计算相关数据!$P$22:$U$30,4,0)*AB669)</f>
        <v>149</v>
      </c>
      <c r="AM669" s="3">
        <f>INT(VLOOKUP(U669,模板计算相关数据!A:N,6,0)*VLOOKUP(X669,模板计算相关数据!$P$4:$T$7,4,0)*VLOOKUP(Y669,模板计算相关数据!$P$22:$U$30,5,0)*AC669)</f>
        <v>277</v>
      </c>
      <c r="AN669" s="3">
        <f>VLOOKUP(U669,模板计算相关数据!A:N,10,0)*0.5*VLOOKUP(Y669,模板计算相关数据!$P$22:$U$30,6,0)+AD669</f>
        <v>225</v>
      </c>
      <c r="AO669" s="3">
        <f>VLOOKUP(INT(VLOOKUP(U669,模板计算相关数据!A:N,2,0)/30)+1,模板计算相关数据!$O$35:$U$40,3,0)+AE669</f>
        <v>0</v>
      </c>
      <c r="AP669" s="3">
        <f>VLOOKUP(INT(VLOOKUP(U669,模板计算相关数据!A:N,2,0)/30)+1,模板计算相关数据!$O$35:$U$40,4,0)+AF669</f>
        <v>5000</v>
      </c>
      <c r="AQ669" s="3">
        <f>VLOOKUP(INT(VLOOKUP(U669,模板计算相关数据!A:N,2,0)/30)+1,模板计算相关数据!$O$35:$U$40,5,0)+AG669</f>
        <v>0</v>
      </c>
      <c r="AR669" s="3">
        <f>VLOOKUP(INT(VLOOKUP(U669,模板计算相关数据!A:N,2,0)/30)+1,模板计算相关数据!$O$35:$U$40,6,0)+AH669</f>
        <v>0</v>
      </c>
      <c r="AS669" s="3">
        <f>VLOOKUP(INT(VLOOKUP(U669,模板计算相关数据!A:N,2,0)/30)+1,模板计算相关数据!$O$35:$U$40,7,0)+AI669</f>
        <v>0</v>
      </c>
      <c r="AT669" s="3">
        <f>VLOOKUP(INT(VLOOKUP(U669,模板计算相关数据!A:N,2,0)/30)+1,模板计算相关数据!$O$35:$V$40,8,0)</f>
        <v>0</v>
      </c>
      <c r="AU669" s="2"/>
    </row>
    <row r="670" spans="1:47" x14ac:dyDescent="0.2">
      <c r="A670" s="2">
        <v>307228</v>
      </c>
      <c r="B670" s="2"/>
      <c r="C670" s="2" t="s">
        <v>343</v>
      </c>
      <c r="D670" s="2" t="s">
        <v>1218</v>
      </c>
      <c r="E670" s="2"/>
      <c r="F670" s="127">
        <v>3</v>
      </c>
      <c r="G670" s="127">
        <v>101</v>
      </c>
      <c r="H670" s="3">
        <v>3</v>
      </c>
      <c r="I670" s="127">
        <v>5</v>
      </c>
      <c r="J670" s="127">
        <v>1</v>
      </c>
      <c r="K670" s="3"/>
      <c r="L670" s="2" t="s">
        <v>485</v>
      </c>
      <c r="M670" s="2"/>
      <c r="N670" s="2">
        <v>1</v>
      </c>
      <c r="O670" s="2"/>
      <c r="P670" s="3" t="s">
        <v>1615</v>
      </c>
      <c r="Q670" s="95">
        <f t="shared" si="67"/>
        <v>5.6000000000000014</v>
      </c>
      <c r="R670" s="133">
        <f>IF(P670=模板计算相关数据!$AB$24,VLOOKUP(X670,模板计算相关数据!$P$47:$T$50,2,0),VLOOKUP(X670,模板计算相关数据!$P$4:$U$7,3,0))*VLOOKUP(Y670,模板计算相关数据!$P$22:$X$30,8,0)</f>
        <v>5.6000000000000014</v>
      </c>
      <c r="S670" s="62">
        <f t="shared" si="68"/>
        <v>6.6693344004268367</v>
      </c>
      <c r="T670" s="133">
        <f>IF(P670=模板计算相关数据!$AB$24,VLOOKUP(X670,模板计算相关数据!$P$47:$T$50,5,0),VLOOKUP(X670,模板计算相关数据!$P$4:$U$7,6,0))*VLOOKUP(Y670,模板计算相关数据!$P$22:$X$30,9,0)</f>
        <v>6.6693344004268367</v>
      </c>
      <c r="U670" s="98">
        <v>1</v>
      </c>
      <c r="V670" s="95">
        <f t="shared" si="66"/>
        <v>4</v>
      </c>
      <c r="W670" s="29">
        <f>VLOOKUP(U670,模板计算相关数据!A:N,2,0)</f>
        <v>1</v>
      </c>
      <c r="X670" s="3" t="s">
        <v>151</v>
      </c>
      <c r="Y670" s="3" t="s">
        <v>255</v>
      </c>
      <c r="Z670" s="99">
        <v>1</v>
      </c>
      <c r="AA670" s="95">
        <v>1</v>
      </c>
      <c r="AB670" s="95">
        <v>1</v>
      </c>
      <c r="AC670" s="95">
        <v>1</v>
      </c>
      <c r="AD670" s="95">
        <v>0</v>
      </c>
      <c r="AE670" s="95">
        <v>0</v>
      </c>
      <c r="AF670" s="95">
        <v>0</v>
      </c>
      <c r="AG670" s="95">
        <v>0</v>
      </c>
      <c r="AH670" s="95">
        <v>0</v>
      </c>
      <c r="AI670" s="95">
        <v>0</v>
      </c>
      <c r="AJ670" s="3">
        <f>INT(VLOOKUP(U670,模板计算相关数据!A:N,4,0)*VLOOKUP(U670,模板计算相关数据!A:N,14,0)*(1+MAX(0,(VLOOKUP(U670,模板计算相关数据!A:N,7,0)-AQ670))*VLOOKUP(U670,模板计算相关数据!A:N,8,0))*(1-(AL670+AM670)*0.5/((AL670+AM670)*0.5+(VLOOKUP(U670,模板计算相关数据!A:N,2,0)+模板计算相关数据!$AC$27)*模板计算相关数据!$AC$28))*Q670*Z670)</f>
        <v>394</v>
      </c>
      <c r="AK670" s="3">
        <f>INT(VLOOKUP(U670,模板计算相关数据!A:N,3,0)/模板计算相关数据!$W$35/(1+MAX(0,(AO670/10000-VLOOKUP(U670,模板计算相关数据!A:N,9,0)))*AP670/10000)/(1-VLOOKUP(U670,模板计算相关数据!A:N,5,0)/(VLOOKUP(U670,模板计算相关数据!A:N,5,0)+(VLOOKUP(U670,模板计算相关数据!A:N,2,0)+模板计算相关数据!$AC$27)*模板计算相关数据!$AC$28))/S670*AA670)</f>
        <v>83</v>
      </c>
      <c r="AL670" s="3">
        <f>INT(VLOOKUP(U670,模板计算相关数据!A:N,5,0)*VLOOKUP(X670,模板计算相关数据!$P$4:$T$7,4,0)*VLOOKUP(Y670,模板计算相关数据!$P$22:$U$30,4,0)*AB670)</f>
        <v>149</v>
      </c>
      <c r="AM670" s="3">
        <f>INT(VLOOKUP(U670,模板计算相关数据!A:N,6,0)*VLOOKUP(X670,模板计算相关数据!$P$4:$T$7,4,0)*VLOOKUP(Y670,模板计算相关数据!$P$22:$U$30,5,0)*AC670)</f>
        <v>277</v>
      </c>
      <c r="AN670" s="3">
        <f>VLOOKUP(U670,模板计算相关数据!A:N,10,0)*0.5*VLOOKUP(Y670,模板计算相关数据!$P$22:$U$30,6,0)+AD670</f>
        <v>225</v>
      </c>
      <c r="AO670" s="3">
        <f>VLOOKUP(INT(VLOOKUP(U670,模板计算相关数据!A:N,2,0)/30)+1,模板计算相关数据!$O$35:$U$40,3,0)+AE670</f>
        <v>0</v>
      </c>
      <c r="AP670" s="3">
        <f>VLOOKUP(INT(VLOOKUP(U670,模板计算相关数据!A:N,2,0)/30)+1,模板计算相关数据!$O$35:$U$40,4,0)+AF670</f>
        <v>5000</v>
      </c>
      <c r="AQ670" s="3">
        <f>VLOOKUP(INT(VLOOKUP(U670,模板计算相关数据!A:N,2,0)/30)+1,模板计算相关数据!$O$35:$U$40,5,0)+AG670</f>
        <v>0</v>
      </c>
      <c r="AR670" s="3">
        <f>VLOOKUP(INT(VLOOKUP(U670,模板计算相关数据!A:N,2,0)/30)+1,模板计算相关数据!$O$35:$U$40,6,0)+AH670</f>
        <v>0</v>
      </c>
      <c r="AS670" s="3">
        <f>VLOOKUP(INT(VLOOKUP(U670,模板计算相关数据!A:N,2,0)/30)+1,模板计算相关数据!$O$35:$U$40,7,0)+AI670</f>
        <v>0</v>
      </c>
      <c r="AT670" s="3">
        <f>VLOOKUP(INT(VLOOKUP(U670,模板计算相关数据!A:N,2,0)/30)+1,模板计算相关数据!$O$35:$V$40,8,0)</f>
        <v>0</v>
      </c>
      <c r="AU670" s="2"/>
    </row>
    <row r="671" spans="1:47" x14ac:dyDescent="0.2">
      <c r="A671" s="2">
        <v>307229</v>
      </c>
      <c r="B671" s="2"/>
      <c r="C671" s="2" t="s">
        <v>343</v>
      </c>
      <c r="D671" s="2" t="s">
        <v>1219</v>
      </c>
      <c r="E671" s="2"/>
      <c r="F671" s="127">
        <v>3</v>
      </c>
      <c r="G671" s="127">
        <v>101</v>
      </c>
      <c r="H671" s="3">
        <v>3</v>
      </c>
      <c r="I671" s="127">
        <v>5</v>
      </c>
      <c r="J671" s="127">
        <v>1</v>
      </c>
      <c r="K671" s="3"/>
      <c r="L671" s="2" t="s">
        <v>486</v>
      </c>
      <c r="M671" s="2"/>
      <c r="N671" s="2">
        <v>1</v>
      </c>
      <c r="O671" s="2"/>
      <c r="P671" s="3" t="s">
        <v>1615</v>
      </c>
      <c r="Q671" s="95">
        <f t="shared" si="67"/>
        <v>5.6000000000000014</v>
      </c>
      <c r="R671" s="133">
        <f>IF(P671=模板计算相关数据!$AB$24,VLOOKUP(X671,模板计算相关数据!$P$47:$T$50,2,0),VLOOKUP(X671,模板计算相关数据!$P$4:$U$7,3,0))*VLOOKUP(Y671,模板计算相关数据!$P$22:$X$30,8,0)</f>
        <v>5.6000000000000014</v>
      </c>
      <c r="S671" s="62">
        <f t="shared" si="68"/>
        <v>6.6693344004268367</v>
      </c>
      <c r="T671" s="133">
        <f>IF(P671=模板计算相关数据!$AB$24,VLOOKUP(X671,模板计算相关数据!$P$47:$T$50,5,0),VLOOKUP(X671,模板计算相关数据!$P$4:$U$7,6,0))*VLOOKUP(Y671,模板计算相关数据!$P$22:$X$30,9,0)</f>
        <v>6.6693344004268367</v>
      </c>
      <c r="U671" s="98">
        <v>1</v>
      </c>
      <c r="V671" s="95">
        <f t="shared" si="66"/>
        <v>4</v>
      </c>
      <c r="W671" s="29">
        <f>VLOOKUP(U671,模板计算相关数据!A:N,2,0)</f>
        <v>1</v>
      </c>
      <c r="X671" s="3" t="s">
        <v>151</v>
      </c>
      <c r="Y671" s="3" t="s">
        <v>255</v>
      </c>
      <c r="Z671" s="99">
        <v>1</v>
      </c>
      <c r="AA671" s="95">
        <v>1</v>
      </c>
      <c r="AB671" s="95">
        <v>1</v>
      </c>
      <c r="AC671" s="95">
        <v>1</v>
      </c>
      <c r="AD671" s="95">
        <v>0</v>
      </c>
      <c r="AE671" s="95">
        <v>0</v>
      </c>
      <c r="AF671" s="95">
        <v>0</v>
      </c>
      <c r="AG671" s="95">
        <v>0</v>
      </c>
      <c r="AH671" s="95">
        <v>0</v>
      </c>
      <c r="AI671" s="95">
        <v>0</v>
      </c>
      <c r="AJ671" s="3">
        <f>INT(VLOOKUP(U671,模板计算相关数据!A:N,4,0)*VLOOKUP(U671,模板计算相关数据!A:N,14,0)*(1+MAX(0,(VLOOKUP(U671,模板计算相关数据!A:N,7,0)-AQ671))*VLOOKUP(U671,模板计算相关数据!A:N,8,0))*(1-(AL671+AM671)*0.5/((AL671+AM671)*0.5+(VLOOKUP(U671,模板计算相关数据!A:N,2,0)+模板计算相关数据!$AC$27)*模板计算相关数据!$AC$28))*Q671*Z671)</f>
        <v>394</v>
      </c>
      <c r="AK671" s="3">
        <f>INT(VLOOKUP(U671,模板计算相关数据!A:N,3,0)/模板计算相关数据!$W$35/(1+MAX(0,(AO671/10000-VLOOKUP(U671,模板计算相关数据!A:N,9,0)))*AP671/10000)/(1-VLOOKUP(U671,模板计算相关数据!A:N,5,0)/(VLOOKUP(U671,模板计算相关数据!A:N,5,0)+(VLOOKUP(U671,模板计算相关数据!A:N,2,0)+模板计算相关数据!$AC$27)*模板计算相关数据!$AC$28))/S671*AA671)</f>
        <v>83</v>
      </c>
      <c r="AL671" s="3">
        <f>INT(VLOOKUP(U671,模板计算相关数据!A:N,5,0)*VLOOKUP(X671,模板计算相关数据!$P$4:$T$7,4,0)*VLOOKUP(Y671,模板计算相关数据!$P$22:$U$30,4,0)*AB671)</f>
        <v>149</v>
      </c>
      <c r="AM671" s="3">
        <f>INT(VLOOKUP(U671,模板计算相关数据!A:N,6,0)*VLOOKUP(X671,模板计算相关数据!$P$4:$T$7,4,0)*VLOOKUP(Y671,模板计算相关数据!$P$22:$U$30,5,0)*AC671)</f>
        <v>277</v>
      </c>
      <c r="AN671" s="3">
        <f>VLOOKUP(U671,模板计算相关数据!A:N,10,0)*0.5*VLOOKUP(Y671,模板计算相关数据!$P$22:$U$30,6,0)+AD671</f>
        <v>225</v>
      </c>
      <c r="AO671" s="3">
        <f>VLOOKUP(INT(VLOOKUP(U671,模板计算相关数据!A:N,2,0)/30)+1,模板计算相关数据!$O$35:$U$40,3,0)+AE671</f>
        <v>0</v>
      </c>
      <c r="AP671" s="3">
        <f>VLOOKUP(INT(VLOOKUP(U671,模板计算相关数据!A:N,2,0)/30)+1,模板计算相关数据!$O$35:$U$40,4,0)+AF671</f>
        <v>5000</v>
      </c>
      <c r="AQ671" s="3">
        <f>VLOOKUP(INT(VLOOKUP(U671,模板计算相关数据!A:N,2,0)/30)+1,模板计算相关数据!$O$35:$U$40,5,0)+AG671</f>
        <v>0</v>
      </c>
      <c r="AR671" s="3">
        <f>VLOOKUP(INT(VLOOKUP(U671,模板计算相关数据!A:N,2,0)/30)+1,模板计算相关数据!$O$35:$U$40,6,0)+AH671</f>
        <v>0</v>
      </c>
      <c r="AS671" s="3">
        <f>VLOOKUP(INT(VLOOKUP(U671,模板计算相关数据!A:N,2,0)/30)+1,模板计算相关数据!$O$35:$U$40,7,0)+AI671</f>
        <v>0</v>
      </c>
      <c r="AT671" s="3">
        <f>VLOOKUP(INT(VLOOKUP(U671,模板计算相关数据!A:N,2,0)/30)+1,模板计算相关数据!$O$35:$V$40,8,0)</f>
        <v>0</v>
      </c>
      <c r="AU671" s="2"/>
    </row>
    <row r="672" spans="1:47" x14ac:dyDescent="0.2">
      <c r="A672" s="2">
        <v>307230</v>
      </c>
      <c r="B672" s="2"/>
      <c r="C672" s="2" t="s">
        <v>343</v>
      </c>
      <c r="D672" s="2" t="s">
        <v>1220</v>
      </c>
      <c r="E672" s="2"/>
      <c r="F672" s="127">
        <v>3</v>
      </c>
      <c r="G672" s="127">
        <v>101</v>
      </c>
      <c r="H672" s="3">
        <v>3</v>
      </c>
      <c r="I672" s="127">
        <v>5</v>
      </c>
      <c r="J672" s="127">
        <v>1</v>
      </c>
      <c r="K672" s="3"/>
      <c r="L672" s="2" t="s">
        <v>487</v>
      </c>
      <c r="M672" s="2"/>
      <c r="N672" s="2">
        <v>1</v>
      </c>
      <c r="O672" s="2"/>
      <c r="P672" s="3" t="s">
        <v>1615</v>
      </c>
      <c r="Q672" s="95">
        <f t="shared" si="67"/>
        <v>5.6000000000000014</v>
      </c>
      <c r="R672" s="133">
        <f>IF(P672=模板计算相关数据!$AB$24,VLOOKUP(X672,模板计算相关数据!$P$47:$T$50,2,0),VLOOKUP(X672,模板计算相关数据!$P$4:$U$7,3,0))*VLOOKUP(Y672,模板计算相关数据!$P$22:$X$30,8,0)</f>
        <v>5.6000000000000014</v>
      </c>
      <c r="S672" s="62">
        <f t="shared" si="68"/>
        <v>6.6693344004268367</v>
      </c>
      <c r="T672" s="133">
        <f>IF(P672=模板计算相关数据!$AB$24,VLOOKUP(X672,模板计算相关数据!$P$47:$T$50,5,0),VLOOKUP(X672,模板计算相关数据!$P$4:$U$7,6,0))*VLOOKUP(Y672,模板计算相关数据!$P$22:$X$30,9,0)</f>
        <v>6.6693344004268367</v>
      </c>
      <c r="U672" s="98">
        <v>1</v>
      </c>
      <c r="V672" s="95">
        <f t="shared" si="66"/>
        <v>4</v>
      </c>
      <c r="W672" s="29">
        <f>VLOOKUP(U672,模板计算相关数据!A:N,2,0)</f>
        <v>1</v>
      </c>
      <c r="X672" s="3" t="s">
        <v>151</v>
      </c>
      <c r="Y672" s="3" t="s">
        <v>255</v>
      </c>
      <c r="Z672" s="99">
        <v>1</v>
      </c>
      <c r="AA672" s="95">
        <v>1</v>
      </c>
      <c r="AB672" s="95">
        <v>1</v>
      </c>
      <c r="AC672" s="95">
        <v>1</v>
      </c>
      <c r="AD672" s="95">
        <v>0</v>
      </c>
      <c r="AE672" s="95">
        <v>0</v>
      </c>
      <c r="AF672" s="95">
        <v>0</v>
      </c>
      <c r="AG672" s="95">
        <v>0</v>
      </c>
      <c r="AH672" s="95">
        <v>0</v>
      </c>
      <c r="AI672" s="95">
        <v>0</v>
      </c>
      <c r="AJ672" s="3">
        <f>INT(VLOOKUP(U672,模板计算相关数据!A:N,4,0)*VLOOKUP(U672,模板计算相关数据!A:N,14,0)*(1+MAX(0,(VLOOKUP(U672,模板计算相关数据!A:N,7,0)-AQ672))*VLOOKUP(U672,模板计算相关数据!A:N,8,0))*(1-(AL672+AM672)*0.5/((AL672+AM672)*0.5+(VLOOKUP(U672,模板计算相关数据!A:N,2,0)+模板计算相关数据!$AC$27)*模板计算相关数据!$AC$28))*Q672*Z672)</f>
        <v>394</v>
      </c>
      <c r="AK672" s="3">
        <f>INT(VLOOKUP(U672,模板计算相关数据!A:N,3,0)/模板计算相关数据!$W$35/(1+MAX(0,(AO672/10000-VLOOKUP(U672,模板计算相关数据!A:N,9,0)))*AP672/10000)/(1-VLOOKUP(U672,模板计算相关数据!A:N,5,0)/(VLOOKUP(U672,模板计算相关数据!A:N,5,0)+(VLOOKUP(U672,模板计算相关数据!A:N,2,0)+模板计算相关数据!$AC$27)*模板计算相关数据!$AC$28))/S672*AA672)</f>
        <v>83</v>
      </c>
      <c r="AL672" s="3">
        <f>INT(VLOOKUP(U672,模板计算相关数据!A:N,5,0)*VLOOKUP(X672,模板计算相关数据!$P$4:$T$7,4,0)*VLOOKUP(Y672,模板计算相关数据!$P$22:$U$30,4,0)*AB672)</f>
        <v>149</v>
      </c>
      <c r="AM672" s="3">
        <f>INT(VLOOKUP(U672,模板计算相关数据!A:N,6,0)*VLOOKUP(X672,模板计算相关数据!$P$4:$T$7,4,0)*VLOOKUP(Y672,模板计算相关数据!$P$22:$U$30,5,0)*AC672)</f>
        <v>277</v>
      </c>
      <c r="AN672" s="3">
        <f>VLOOKUP(U672,模板计算相关数据!A:N,10,0)*0.5*VLOOKUP(Y672,模板计算相关数据!$P$22:$U$30,6,0)+AD672</f>
        <v>225</v>
      </c>
      <c r="AO672" s="3">
        <f>VLOOKUP(INT(VLOOKUP(U672,模板计算相关数据!A:N,2,0)/30)+1,模板计算相关数据!$O$35:$U$40,3,0)+AE672</f>
        <v>0</v>
      </c>
      <c r="AP672" s="3">
        <f>VLOOKUP(INT(VLOOKUP(U672,模板计算相关数据!A:N,2,0)/30)+1,模板计算相关数据!$O$35:$U$40,4,0)+AF672</f>
        <v>5000</v>
      </c>
      <c r="AQ672" s="3">
        <f>VLOOKUP(INT(VLOOKUP(U672,模板计算相关数据!A:N,2,0)/30)+1,模板计算相关数据!$O$35:$U$40,5,0)+AG672</f>
        <v>0</v>
      </c>
      <c r="AR672" s="3">
        <f>VLOOKUP(INT(VLOOKUP(U672,模板计算相关数据!A:N,2,0)/30)+1,模板计算相关数据!$O$35:$U$40,6,0)+AH672</f>
        <v>0</v>
      </c>
      <c r="AS672" s="3">
        <f>VLOOKUP(INT(VLOOKUP(U672,模板计算相关数据!A:N,2,0)/30)+1,模板计算相关数据!$O$35:$U$40,7,0)+AI672</f>
        <v>0</v>
      </c>
      <c r="AT672" s="3">
        <f>VLOOKUP(INT(VLOOKUP(U672,模板计算相关数据!A:N,2,0)/30)+1,模板计算相关数据!$O$35:$V$40,8,0)</f>
        <v>0</v>
      </c>
      <c r="AU672" s="2"/>
    </row>
    <row r="673" spans="1:47" x14ac:dyDescent="0.2">
      <c r="A673" s="17">
        <v>307231</v>
      </c>
      <c r="B673" s="17"/>
      <c r="C673" s="17" t="s">
        <v>488</v>
      </c>
      <c r="D673" s="25" t="s">
        <v>1221</v>
      </c>
      <c r="E673" s="17"/>
      <c r="F673" s="152">
        <v>3</v>
      </c>
      <c r="G673" s="152">
        <v>101</v>
      </c>
      <c r="H673" s="43">
        <v>4</v>
      </c>
      <c r="I673" s="152">
        <v>5</v>
      </c>
      <c r="J673" s="152">
        <v>1</v>
      </c>
      <c r="K673" s="3"/>
      <c r="L673" s="2" t="s">
        <v>489</v>
      </c>
      <c r="M673" s="2"/>
      <c r="N673" s="2">
        <v>1</v>
      </c>
      <c r="O673" s="2"/>
      <c r="P673" s="3" t="s">
        <v>1615</v>
      </c>
      <c r="Q673" s="95">
        <f t="shared" si="67"/>
        <v>4.4674509803921572</v>
      </c>
      <c r="R673" s="133">
        <f>IF(P673=模板计算相关数据!$AB$24,VLOOKUP(X673,模板计算相关数据!$P$47:$T$50,2,0),VLOOKUP(X673,模板计算相关数据!$P$4:$U$7,3,0))*VLOOKUP(Y673,模板计算相关数据!$P$22:$X$30,8,0)</f>
        <v>4.4674509803921572</v>
      </c>
      <c r="S673" s="62">
        <f t="shared" si="68"/>
        <v>5.4739930589768004</v>
      </c>
      <c r="T673" s="133">
        <f>IF(P673=模板计算相关数据!$AB$24,VLOOKUP(X673,模板计算相关数据!$P$47:$T$50,5,0),VLOOKUP(X673,模板计算相关数据!$P$4:$U$7,6,0))*VLOOKUP(Y673,模板计算相关数据!$P$22:$X$30,9,0)</f>
        <v>5.4739930589768004</v>
      </c>
      <c r="U673" s="98">
        <v>1</v>
      </c>
      <c r="V673" s="95">
        <f t="shared" si="66"/>
        <v>4</v>
      </c>
      <c r="W673" s="29">
        <f>VLOOKUP(U673,模板计算相关数据!A:N,2,0)</f>
        <v>1</v>
      </c>
      <c r="X673" s="3" t="s">
        <v>151</v>
      </c>
      <c r="Y673" s="3" t="s">
        <v>162</v>
      </c>
      <c r="Z673" s="99">
        <v>1</v>
      </c>
      <c r="AA673" s="95">
        <v>1</v>
      </c>
      <c r="AB673" s="95">
        <v>1</v>
      </c>
      <c r="AC673" s="95">
        <v>1</v>
      </c>
      <c r="AD673" s="95">
        <v>0</v>
      </c>
      <c r="AE673" s="95">
        <v>0</v>
      </c>
      <c r="AF673" s="95">
        <v>0</v>
      </c>
      <c r="AG673" s="95">
        <v>0</v>
      </c>
      <c r="AH673" s="95">
        <v>0</v>
      </c>
      <c r="AI673" s="95">
        <v>0</v>
      </c>
      <c r="AJ673" s="3">
        <f>INT(VLOOKUP(U673,模板计算相关数据!A:N,4,0)*VLOOKUP(U673,模板计算相关数据!A:N,14,0)*(1+MAX(0,(VLOOKUP(U673,模板计算相关数据!A:N,7,0)-AQ673))*VLOOKUP(U673,模板计算相关数据!A:N,8,0))*(1-(AL673+AM673)*0.5/((AL673+AM673)*0.5+(VLOOKUP(U673,模板计算相关数据!A:N,2,0)+模板计算相关数据!$AC$27)*模板计算相关数据!$AC$28))*Q673*Z673)</f>
        <v>328</v>
      </c>
      <c r="AK673" s="3">
        <f>INT(VLOOKUP(U673,模板计算相关数据!A:N,3,0)/模板计算相关数据!$W$35/(1+MAX(0,(AO673/10000-VLOOKUP(U673,模板计算相关数据!A:N,9,0)))*AP673/10000)/(1-VLOOKUP(U673,模板计算相关数据!A:N,5,0)/(VLOOKUP(U673,模板计算相关数据!A:N,5,0)+(VLOOKUP(U673,模板计算相关数据!A:N,2,0)+模板计算相关数据!$AC$27)*模板计算相关数据!$AC$28))/S673*AA673)</f>
        <v>101</v>
      </c>
      <c r="AL673" s="3">
        <f>INT(VLOOKUP(U673,模板计算相关数据!A:N,5,0)*VLOOKUP(X673,模板计算相关数据!$P$4:$T$7,4,0)*VLOOKUP(Y673,模板计算相关数据!$P$22:$U$30,4,0)*AB673)</f>
        <v>136</v>
      </c>
      <c r="AM673" s="3">
        <f>INT(VLOOKUP(U673,模板计算相关数据!A:N,6,0)*VLOOKUP(X673,模板计算相关数据!$P$4:$T$7,4,0)*VLOOKUP(Y673,模板计算相关数据!$P$22:$U$30,5,0)*AC673)</f>
        <v>230</v>
      </c>
      <c r="AN673" s="3">
        <f>VLOOKUP(U673,模板计算相关数据!A:N,10,0)*0.5*VLOOKUP(Y673,模板计算相关数据!$P$22:$U$30,6,0)+AD673</f>
        <v>250</v>
      </c>
      <c r="AO673" s="3">
        <f>VLOOKUP(INT(VLOOKUP(U673,模板计算相关数据!A:N,2,0)/30)+1,模板计算相关数据!$O$35:$U$40,3,0)+AE673</f>
        <v>0</v>
      </c>
      <c r="AP673" s="3">
        <f>VLOOKUP(INT(VLOOKUP(U673,模板计算相关数据!A:N,2,0)/30)+1,模板计算相关数据!$O$35:$U$40,4,0)+AF673</f>
        <v>5000</v>
      </c>
      <c r="AQ673" s="3">
        <f>VLOOKUP(INT(VLOOKUP(U673,模板计算相关数据!A:N,2,0)/30)+1,模板计算相关数据!$O$35:$U$40,5,0)+AG673</f>
        <v>0</v>
      </c>
      <c r="AR673" s="3">
        <f>VLOOKUP(INT(VLOOKUP(U673,模板计算相关数据!A:N,2,0)/30)+1,模板计算相关数据!$O$35:$U$40,6,0)+AH673</f>
        <v>0</v>
      </c>
      <c r="AS673" s="3">
        <f>VLOOKUP(INT(VLOOKUP(U673,模板计算相关数据!A:N,2,0)/30)+1,模板计算相关数据!$O$35:$U$40,7,0)+AI673</f>
        <v>0</v>
      </c>
      <c r="AT673" s="3">
        <f>VLOOKUP(INT(VLOOKUP(U673,模板计算相关数据!A:N,2,0)/30)+1,模板计算相关数据!$O$35:$V$40,8,0)</f>
        <v>0</v>
      </c>
      <c r="AU673" s="2"/>
    </row>
    <row r="674" spans="1:47" x14ac:dyDescent="0.2">
      <c r="A674" s="2">
        <v>307232</v>
      </c>
      <c r="B674" s="2"/>
      <c r="C674" s="2" t="s">
        <v>364</v>
      </c>
      <c r="D674" s="69" t="s">
        <v>1222</v>
      </c>
      <c r="E674" s="2"/>
      <c r="F674" s="127">
        <v>3</v>
      </c>
      <c r="G674" s="127">
        <v>101</v>
      </c>
      <c r="H674" s="3">
        <v>4</v>
      </c>
      <c r="I674" s="127">
        <v>5</v>
      </c>
      <c r="J674" s="127">
        <v>1</v>
      </c>
      <c r="K674" s="3"/>
      <c r="L674" s="2" t="s">
        <v>490</v>
      </c>
      <c r="M674" s="2"/>
      <c r="N674" s="2">
        <v>1</v>
      </c>
      <c r="O674" s="2"/>
      <c r="P674" s="3" t="s">
        <v>1615</v>
      </c>
      <c r="Q674" s="95">
        <f t="shared" si="67"/>
        <v>4.4674509803921572</v>
      </c>
      <c r="R674" s="133">
        <f>IF(P674=模板计算相关数据!$AB$24,VLOOKUP(X674,模板计算相关数据!$P$47:$T$50,2,0),VLOOKUP(X674,模板计算相关数据!$P$4:$U$7,3,0))*VLOOKUP(Y674,模板计算相关数据!$P$22:$X$30,8,0)</f>
        <v>4.4674509803921572</v>
      </c>
      <c r="S674" s="62">
        <f t="shared" si="68"/>
        <v>5.4739930589768004</v>
      </c>
      <c r="T674" s="133">
        <f>IF(P674=模板计算相关数据!$AB$24,VLOOKUP(X674,模板计算相关数据!$P$47:$T$50,5,0),VLOOKUP(X674,模板计算相关数据!$P$4:$U$7,6,0))*VLOOKUP(Y674,模板计算相关数据!$P$22:$X$30,9,0)</f>
        <v>5.4739930589768004</v>
      </c>
      <c r="U674" s="98">
        <v>1</v>
      </c>
      <c r="V674" s="95">
        <f t="shared" si="66"/>
        <v>4</v>
      </c>
      <c r="W674" s="29">
        <f>VLOOKUP(U674,模板计算相关数据!A:N,2,0)</f>
        <v>1</v>
      </c>
      <c r="X674" s="3" t="s">
        <v>151</v>
      </c>
      <c r="Y674" s="3" t="s">
        <v>162</v>
      </c>
      <c r="Z674" s="99">
        <v>1</v>
      </c>
      <c r="AA674" s="95">
        <v>1</v>
      </c>
      <c r="AB674" s="95">
        <v>1</v>
      </c>
      <c r="AC674" s="95">
        <v>1</v>
      </c>
      <c r="AD674" s="95">
        <v>0</v>
      </c>
      <c r="AE674" s="95">
        <v>0</v>
      </c>
      <c r="AF674" s="95">
        <v>0</v>
      </c>
      <c r="AG674" s="95">
        <v>0</v>
      </c>
      <c r="AH674" s="95">
        <v>0</v>
      </c>
      <c r="AI674" s="95">
        <v>0</v>
      </c>
      <c r="AJ674" s="3">
        <f>INT(VLOOKUP(U674,模板计算相关数据!A:N,4,0)*VLOOKUP(U674,模板计算相关数据!A:N,14,0)*(1+MAX(0,(VLOOKUP(U674,模板计算相关数据!A:N,7,0)-AQ674))*VLOOKUP(U674,模板计算相关数据!A:N,8,0))*(1-(AL674+AM674)*0.5/((AL674+AM674)*0.5+(VLOOKUP(U674,模板计算相关数据!A:N,2,0)+模板计算相关数据!$AC$27)*模板计算相关数据!$AC$28))*Q674*Z674)</f>
        <v>328</v>
      </c>
      <c r="AK674" s="3">
        <f>INT(VLOOKUP(U674,模板计算相关数据!A:N,3,0)/模板计算相关数据!$W$35/(1+MAX(0,(AO674/10000-VLOOKUP(U674,模板计算相关数据!A:N,9,0)))*AP674/10000)/(1-VLOOKUP(U674,模板计算相关数据!A:N,5,0)/(VLOOKUP(U674,模板计算相关数据!A:N,5,0)+(VLOOKUP(U674,模板计算相关数据!A:N,2,0)+模板计算相关数据!$AC$27)*模板计算相关数据!$AC$28))/S674*AA674)</f>
        <v>101</v>
      </c>
      <c r="AL674" s="3">
        <f>INT(VLOOKUP(U674,模板计算相关数据!A:N,5,0)*VLOOKUP(X674,模板计算相关数据!$P$4:$T$7,4,0)*VLOOKUP(Y674,模板计算相关数据!$P$22:$U$30,4,0)*AB674)</f>
        <v>136</v>
      </c>
      <c r="AM674" s="3">
        <f>INT(VLOOKUP(U674,模板计算相关数据!A:N,6,0)*VLOOKUP(X674,模板计算相关数据!$P$4:$T$7,4,0)*VLOOKUP(Y674,模板计算相关数据!$P$22:$U$30,5,0)*AC674)</f>
        <v>230</v>
      </c>
      <c r="AN674" s="3">
        <f>VLOOKUP(U674,模板计算相关数据!A:N,10,0)*0.5*VLOOKUP(Y674,模板计算相关数据!$P$22:$U$30,6,0)+AD674</f>
        <v>250</v>
      </c>
      <c r="AO674" s="3">
        <f>VLOOKUP(INT(VLOOKUP(U674,模板计算相关数据!A:N,2,0)/30)+1,模板计算相关数据!$O$35:$U$40,3,0)+AE674</f>
        <v>0</v>
      </c>
      <c r="AP674" s="3">
        <f>VLOOKUP(INT(VLOOKUP(U674,模板计算相关数据!A:N,2,0)/30)+1,模板计算相关数据!$O$35:$U$40,4,0)+AF674</f>
        <v>5000</v>
      </c>
      <c r="AQ674" s="3">
        <f>VLOOKUP(INT(VLOOKUP(U674,模板计算相关数据!A:N,2,0)/30)+1,模板计算相关数据!$O$35:$U$40,5,0)+AG674</f>
        <v>0</v>
      </c>
      <c r="AR674" s="3">
        <f>VLOOKUP(INT(VLOOKUP(U674,模板计算相关数据!A:N,2,0)/30)+1,模板计算相关数据!$O$35:$U$40,6,0)+AH674</f>
        <v>0</v>
      </c>
      <c r="AS674" s="3">
        <f>VLOOKUP(INT(VLOOKUP(U674,模板计算相关数据!A:N,2,0)/30)+1,模板计算相关数据!$O$35:$U$40,7,0)+AI674</f>
        <v>0</v>
      </c>
      <c r="AT674" s="3">
        <f>VLOOKUP(INT(VLOOKUP(U674,模板计算相关数据!A:N,2,0)/30)+1,模板计算相关数据!$O$35:$V$40,8,0)</f>
        <v>0</v>
      </c>
      <c r="AU674" s="2"/>
    </row>
    <row r="675" spans="1:47" x14ac:dyDescent="0.2">
      <c r="A675" s="2">
        <v>307233</v>
      </c>
      <c r="B675" s="2"/>
      <c r="C675" s="2" t="s">
        <v>364</v>
      </c>
      <c r="D675" s="69" t="s">
        <v>1223</v>
      </c>
      <c r="E675" s="2"/>
      <c r="F675" s="127">
        <v>3</v>
      </c>
      <c r="G675" s="127">
        <v>101</v>
      </c>
      <c r="H675" s="3">
        <v>4</v>
      </c>
      <c r="I675" s="127">
        <v>5</v>
      </c>
      <c r="J675" s="127">
        <v>1</v>
      </c>
      <c r="K675" s="3"/>
      <c r="L675" s="69" t="s">
        <v>784</v>
      </c>
      <c r="M675" s="2"/>
      <c r="N675" s="2">
        <v>1</v>
      </c>
      <c r="O675" s="2"/>
      <c r="P675" s="3" t="s">
        <v>1615</v>
      </c>
      <c r="Q675" s="95">
        <f t="shared" si="67"/>
        <v>4.4674509803921572</v>
      </c>
      <c r="R675" s="133">
        <f>IF(P675=模板计算相关数据!$AB$24,VLOOKUP(X675,模板计算相关数据!$P$47:$T$50,2,0),VLOOKUP(X675,模板计算相关数据!$P$4:$U$7,3,0))*VLOOKUP(Y675,模板计算相关数据!$P$22:$X$30,8,0)</f>
        <v>4.4674509803921572</v>
      </c>
      <c r="S675" s="62">
        <f t="shared" si="68"/>
        <v>5.4739930589768004</v>
      </c>
      <c r="T675" s="133">
        <f>IF(P675=模板计算相关数据!$AB$24,VLOOKUP(X675,模板计算相关数据!$P$47:$T$50,5,0),VLOOKUP(X675,模板计算相关数据!$P$4:$U$7,6,0))*VLOOKUP(Y675,模板计算相关数据!$P$22:$X$30,9,0)</f>
        <v>5.4739930589768004</v>
      </c>
      <c r="U675" s="98">
        <v>1</v>
      </c>
      <c r="V675" s="95">
        <f t="shared" si="66"/>
        <v>4</v>
      </c>
      <c r="W675" s="29">
        <f>VLOOKUP(U675,模板计算相关数据!A:N,2,0)</f>
        <v>1</v>
      </c>
      <c r="X675" s="3" t="s">
        <v>151</v>
      </c>
      <c r="Y675" s="3" t="s">
        <v>162</v>
      </c>
      <c r="Z675" s="99">
        <v>1</v>
      </c>
      <c r="AA675" s="95">
        <v>1</v>
      </c>
      <c r="AB675" s="95">
        <v>1</v>
      </c>
      <c r="AC675" s="95">
        <v>1</v>
      </c>
      <c r="AD675" s="95">
        <v>0</v>
      </c>
      <c r="AE675" s="95">
        <v>0</v>
      </c>
      <c r="AF675" s="95">
        <v>0</v>
      </c>
      <c r="AG675" s="95">
        <v>0</v>
      </c>
      <c r="AH675" s="95">
        <v>0</v>
      </c>
      <c r="AI675" s="95">
        <v>0</v>
      </c>
      <c r="AJ675" s="3">
        <f>INT(VLOOKUP(U675,模板计算相关数据!A:N,4,0)*VLOOKUP(U675,模板计算相关数据!A:N,14,0)*(1+MAX(0,(VLOOKUP(U675,模板计算相关数据!A:N,7,0)-AQ675))*VLOOKUP(U675,模板计算相关数据!A:N,8,0))*(1-(AL675+AM675)*0.5/((AL675+AM675)*0.5+(VLOOKUP(U675,模板计算相关数据!A:N,2,0)+模板计算相关数据!$AC$27)*模板计算相关数据!$AC$28))*Q675*Z675)</f>
        <v>328</v>
      </c>
      <c r="AK675" s="3">
        <f>INT(VLOOKUP(U675,模板计算相关数据!A:N,3,0)/模板计算相关数据!$W$35/(1+MAX(0,(AO675/10000-VLOOKUP(U675,模板计算相关数据!A:N,9,0)))*AP675/10000)/(1-VLOOKUP(U675,模板计算相关数据!A:N,5,0)/(VLOOKUP(U675,模板计算相关数据!A:N,5,0)+(VLOOKUP(U675,模板计算相关数据!A:N,2,0)+模板计算相关数据!$AC$27)*模板计算相关数据!$AC$28))/S675*AA675)</f>
        <v>101</v>
      </c>
      <c r="AL675" s="3">
        <f>INT(VLOOKUP(U675,模板计算相关数据!A:N,5,0)*VLOOKUP(X675,模板计算相关数据!$P$4:$T$7,4,0)*VLOOKUP(Y675,模板计算相关数据!$P$22:$U$30,4,0)*AB675)</f>
        <v>136</v>
      </c>
      <c r="AM675" s="3">
        <f>INT(VLOOKUP(U675,模板计算相关数据!A:N,6,0)*VLOOKUP(X675,模板计算相关数据!$P$4:$T$7,4,0)*VLOOKUP(Y675,模板计算相关数据!$P$22:$U$30,5,0)*AC675)</f>
        <v>230</v>
      </c>
      <c r="AN675" s="3">
        <f>VLOOKUP(U675,模板计算相关数据!A:N,10,0)*0.5*VLOOKUP(Y675,模板计算相关数据!$P$22:$U$30,6,0)+AD675</f>
        <v>250</v>
      </c>
      <c r="AO675" s="3">
        <f>VLOOKUP(INT(VLOOKUP(U675,模板计算相关数据!A:N,2,0)/30)+1,模板计算相关数据!$O$35:$U$40,3,0)+AE675</f>
        <v>0</v>
      </c>
      <c r="AP675" s="3">
        <f>VLOOKUP(INT(VLOOKUP(U675,模板计算相关数据!A:N,2,0)/30)+1,模板计算相关数据!$O$35:$U$40,4,0)+AF675</f>
        <v>5000</v>
      </c>
      <c r="AQ675" s="3">
        <f>VLOOKUP(INT(VLOOKUP(U675,模板计算相关数据!A:N,2,0)/30)+1,模板计算相关数据!$O$35:$U$40,5,0)+AG675</f>
        <v>0</v>
      </c>
      <c r="AR675" s="3">
        <f>VLOOKUP(INT(VLOOKUP(U675,模板计算相关数据!A:N,2,0)/30)+1,模板计算相关数据!$O$35:$U$40,6,0)+AH675</f>
        <v>0</v>
      </c>
      <c r="AS675" s="3">
        <f>VLOOKUP(INT(VLOOKUP(U675,模板计算相关数据!A:N,2,0)/30)+1,模板计算相关数据!$O$35:$U$40,7,0)+AI675</f>
        <v>0</v>
      </c>
      <c r="AT675" s="3">
        <f>VLOOKUP(INT(VLOOKUP(U675,模板计算相关数据!A:N,2,0)/30)+1,模板计算相关数据!$O$35:$V$40,8,0)</f>
        <v>0</v>
      </c>
      <c r="AU675" s="2"/>
    </row>
    <row r="676" spans="1:47" x14ac:dyDescent="0.2">
      <c r="A676" s="2">
        <v>307234</v>
      </c>
      <c r="B676" s="2"/>
      <c r="C676" s="2" t="s">
        <v>364</v>
      </c>
      <c r="D676" s="69" t="s">
        <v>1224</v>
      </c>
      <c r="E676" s="2"/>
      <c r="F676" s="127">
        <v>3</v>
      </c>
      <c r="G676" s="127">
        <v>101</v>
      </c>
      <c r="H676" s="3">
        <v>4</v>
      </c>
      <c r="I676" s="127">
        <v>5</v>
      </c>
      <c r="J676" s="127">
        <v>1</v>
      </c>
      <c r="K676" s="3"/>
      <c r="L676" s="69" t="s">
        <v>785</v>
      </c>
      <c r="M676" s="2"/>
      <c r="N676" s="2">
        <v>1</v>
      </c>
      <c r="O676" s="2"/>
      <c r="P676" s="3" t="s">
        <v>1615</v>
      </c>
      <c r="Q676" s="95">
        <f t="shared" si="67"/>
        <v>4.4674509803921572</v>
      </c>
      <c r="R676" s="133">
        <f>IF(P676=模板计算相关数据!$AB$24,VLOOKUP(X676,模板计算相关数据!$P$47:$T$50,2,0),VLOOKUP(X676,模板计算相关数据!$P$4:$U$7,3,0))*VLOOKUP(Y676,模板计算相关数据!$P$22:$X$30,8,0)</f>
        <v>4.4674509803921572</v>
      </c>
      <c r="S676" s="62">
        <f t="shared" si="68"/>
        <v>5.4739930589768004</v>
      </c>
      <c r="T676" s="133">
        <f>IF(P676=模板计算相关数据!$AB$24,VLOOKUP(X676,模板计算相关数据!$P$47:$T$50,5,0),VLOOKUP(X676,模板计算相关数据!$P$4:$U$7,6,0))*VLOOKUP(Y676,模板计算相关数据!$P$22:$X$30,9,0)</f>
        <v>5.4739930589768004</v>
      </c>
      <c r="U676" s="98">
        <v>1</v>
      </c>
      <c r="V676" s="95">
        <f t="shared" si="66"/>
        <v>4</v>
      </c>
      <c r="W676" s="29">
        <f>VLOOKUP(U676,模板计算相关数据!A:N,2,0)</f>
        <v>1</v>
      </c>
      <c r="X676" s="3" t="s">
        <v>151</v>
      </c>
      <c r="Y676" s="3" t="s">
        <v>162</v>
      </c>
      <c r="Z676" s="99">
        <v>1</v>
      </c>
      <c r="AA676" s="95">
        <v>1</v>
      </c>
      <c r="AB676" s="95">
        <v>1</v>
      </c>
      <c r="AC676" s="95">
        <v>1</v>
      </c>
      <c r="AD676" s="95">
        <v>0</v>
      </c>
      <c r="AE676" s="95">
        <v>0</v>
      </c>
      <c r="AF676" s="95">
        <v>0</v>
      </c>
      <c r="AG676" s="95">
        <v>0</v>
      </c>
      <c r="AH676" s="95">
        <v>0</v>
      </c>
      <c r="AI676" s="95">
        <v>0</v>
      </c>
      <c r="AJ676" s="3">
        <f>INT(VLOOKUP(U676,模板计算相关数据!A:N,4,0)*VLOOKUP(U676,模板计算相关数据!A:N,14,0)*(1+MAX(0,(VLOOKUP(U676,模板计算相关数据!A:N,7,0)-AQ676))*VLOOKUP(U676,模板计算相关数据!A:N,8,0))*(1-(AL676+AM676)*0.5/((AL676+AM676)*0.5+(VLOOKUP(U676,模板计算相关数据!A:N,2,0)+模板计算相关数据!$AC$27)*模板计算相关数据!$AC$28))*Q676*Z676)</f>
        <v>328</v>
      </c>
      <c r="AK676" s="3">
        <f>INT(VLOOKUP(U676,模板计算相关数据!A:N,3,0)/模板计算相关数据!$W$35/(1+MAX(0,(AO676/10000-VLOOKUP(U676,模板计算相关数据!A:N,9,0)))*AP676/10000)/(1-VLOOKUP(U676,模板计算相关数据!A:N,5,0)/(VLOOKUP(U676,模板计算相关数据!A:N,5,0)+(VLOOKUP(U676,模板计算相关数据!A:N,2,0)+模板计算相关数据!$AC$27)*模板计算相关数据!$AC$28))/S676*AA676)</f>
        <v>101</v>
      </c>
      <c r="AL676" s="3">
        <f>INT(VLOOKUP(U676,模板计算相关数据!A:N,5,0)*VLOOKUP(X676,模板计算相关数据!$P$4:$T$7,4,0)*VLOOKUP(Y676,模板计算相关数据!$P$22:$U$30,4,0)*AB676)</f>
        <v>136</v>
      </c>
      <c r="AM676" s="3">
        <f>INT(VLOOKUP(U676,模板计算相关数据!A:N,6,0)*VLOOKUP(X676,模板计算相关数据!$P$4:$T$7,4,0)*VLOOKUP(Y676,模板计算相关数据!$P$22:$U$30,5,0)*AC676)</f>
        <v>230</v>
      </c>
      <c r="AN676" s="3">
        <f>VLOOKUP(U676,模板计算相关数据!A:N,10,0)*0.5*VLOOKUP(Y676,模板计算相关数据!$P$22:$U$30,6,0)+AD676</f>
        <v>250</v>
      </c>
      <c r="AO676" s="3">
        <f>VLOOKUP(INT(VLOOKUP(U676,模板计算相关数据!A:N,2,0)/30)+1,模板计算相关数据!$O$35:$U$40,3,0)+AE676</f>
        <v>0</v>
      </c>
      <c r="AP676" s="3">
        <f>VLOOKUP(INT(VLOOKUP(U676,模板计算相关数据!A:N,2,0)/30)+1,模板计算相关数据!$O$35:$U$40,4,0)+AF676</f>
        <v>5000</v>
      </c>
      <c r="AQ676" s="3">
        <f>VLOOKUP(INT(VLOOKUP(U676,模板计算相关数据!A:N,2,0)/30)+1,模板计算相关数据!$O$35:$U$40,5,0)+AG676</f>
        <v>0</v>
      </c>
      <c r="AR676" s="3">
        <f>VLOOKUP(INT(VLOOKUP(U676,模板计算相关数据!A:N,2,0)/30)+1,模板计算相关数据!$O$35:$U$40,6,0)+AH676</f>
        <v>0</v>
      </c>
      <c r="AS676" s="3">
        <f>VLOOKUP(INT(VLOOKUP(U676,模板计算相关数据!A:N,2,0)/30)+1,模板计算相关数据!$O$35:$U$40,7,0)+AI676</f>
        <v>0</v>
      </c>
      <c r="AT676" s="3">
        <f>VLOOKUP(INT(VLOOKUP(U676,模板计算相关数据!A:N,2,0)/30)+1,模板计算相关数据!$O$35:$V$40,8,0)</f>
        <v>0</v>
      </c>
      <c r="AU676" s="2"/>
    </row>
    <row r="677" spans="1:47" x14ac:dyDescent="0.2">
      <c r="A677" s="2">
        <v>307235</v>
      </c>
      <c r="B677" s="2"/>
      <c r="C677" s="2" t="s">
        <v>364</v>
      </c>
      <c r="D677" s="69" t="s">
        <v>1225</v>
      </c>
      <c r="E677" s="2"/>
      <c r="F677" s="127">
        <v>3</v>
      </c>
      <c r="G677" s="127">
        <v>101</v>
      </c>
      <c r="H677" s="3">
        <v>4</v>
      </c>
      <c r="I677" s="127">
        <v>5</v>
      </c>
      <c r="J677" s="127">
        <v>1</v>
      </c>
      <c r="K677" s="3"/>
      <c r="L677" s="69" t="s">
        <v>786</v>
      </c>
      <c r="M677" s="2"/>
      <c r="N677" s="2">
        <v>1</v>
      </c>
      <c r="O677" s="2"/>
      <c r="P677" s="3" t="s">
        <v>1615</v>
      </c>
      <c r="Q677" s="95">
        <f t="shared" si="67"/>
        <v>4.4674509803921572</v>
      </c>
      <c r="R677" s="133">
        <f>IF(P677=模板计算相关数据!$AB$24,VLOOKUP(X677,模板计算相关数据!$P$47:$T$50,2,0),VLOOKUP(X677,模板计算相关数据!$P$4:$U$7,3,0))*VLOOKUP(Y677,模板计算相关数据!$P$22:$X$30,8,0)</f>
        <v>4.4674509803921572</v>
      </c>
      <c r="S677" s="62">
        <f t="shared" si="68"/>
        <v>5.4739930589768004</v>
      </c>
      <c r="T677" s="133">
        <f>IF(P677=模板计算相关数据!$AB$24,VLOOKUP(X677,模板计算相关数据!$P$47:$T$50,5,0),VLOOKUP(X677,模板计算相关数据!$P$4:$U$7,6,0))*VLOOKUP(Y677,模板计算相关数据!$P$22:$X$30,9,0)</f>
        <v>5.4739930589768004</v>
      </c>
      <c r="U677" s="98">
        <v>1</v>
      </c>
      <c r="V677" s="95">
        <f t="shared" si="66"/>
        <v>4</v>
      </c>
      <c r="W677" s="29">
        <f>VLOOKUP(U677,模板计算相关数据!A:N,2,0)</f>
        <v>1</v>
      </c>
      <c r="X677" s="3" t="s">
        <v>151</v>
      </c>
      <c r="Y677" s="3" t="s">
        <v>162</v>
      </c>
      <c r="Z677" s="99">
        <v>1</v>
      </c>
      <c r="AA677" s="95">
        <v>1</v>
      </c>
      <c r="AB677" s="95">
        <v>1</v>
      </c>
      <c r="AC677" s="95">
        <v>1</v>
      </c>
      <c r="AD677" s="95">
        <v>0</v>
      </c>
      <c r="AE677" s="95">
        <v>0</v>
      </c>
      <c r="AF677" s="95">
        <v>0</v>
      </c>
      <c r="AG677" s="95">
        <v>0</v>
      </c>
      <c r="AH677" s="95">
        <v>0</v>
      </c>
      <c r="AI677" s="95">
        <v>0</v>
      </c>
      <c r="AJ677" s="3">
        <f>INT(VLOOKUP(U677,模板计算相关数据!A:N,4,0)*VLOOKUP(U677,模板计算相关数据!A:N,14,0)*(1+MAX(0,(VLOOKUP(U677,模板计算相关数据!A:N,7,0)-AQ677))*VLOOKUP(U677,模板计算相关数据!A:N,8,0))*(1-(AL677+AM677)*0.5/((AL677+AM677)*0.5+(VLOOKUP(U677,模板计算相关数据!A:N,2,0)+模板计算相关数据!$AC$27)*模板计算相关数据!$AC$28))*Q677*Z677)</f>
        <v>328</v>
      </c>
      <c r="AK677" s="3">
        <f>INT(VLOOKUP(U677,模板计算相关数据!A:N,3,0)/模板计算相关数据!$W$35/(1+MAX(0,(AO677/10000-VLOOKUP(U677,模板计算相关数据!A:N,9,0)))*AP677/10000)/(1-VLOOKUP(U677,模板计算相关数据!A:N,5,0)/(VLOOKUP(U677,模板计算相关数据!A:N,5,0)+(VLOOKUP(U677,模板计算相关数据!A:N,2,0)+模板计算相关数据!$AC$27)*模板计算相关数据!$AC$28))/S677*AA677)</f>
        <v>101</v>
      </c>
      <c r="AL677" s="3">
        <f>INT(VLOOKUP(U677,模板计算相关数据!A:N,5,0)*VLOOKUP(X677,模板计算相关数据!$P$4:$T$7,4,0)*VLOOKUP(Y677,模板计算相关数据!$P$22:$U$30,4,0)*AB677)</f>
        <v>136</v>
      </c>
      <c r="AM677" s="3">
        <f>INT(VLOOKUP(U677,模板计算相关数据!A:N,6,0)*VLOOKUP(X677,模板计算相关数据!$P$4:$T$7,4,0)*VLOOKUP(Y677,模板计算相关数据!$P$22:$U$30,5,0)*AC677)</f>
        <v>230</v>
      </c>
      <c r="AN677" s="3">
        <f>VLOOKUP(U677,模板计算相关数据!A:N,10,0)*0.5*VLOOKUP(Y677,模板计算相关数据!$P$22:$U$30,6,0)+AD677</f>
        <v>250</v>
      </c>
      <c r="AO677" s="3">
        <f>VLOOKUP(INT(VLOOKUP(U677,模板计算相关数据!A:N,2,0)/30)+1,模板计算相关数据!$O$35:$U$40,3,0)+AE677</f>
        <v>0</v>
      </c>
      <c r="AP677" s="3">
        <f>VLOOKUP(INT(VLOOKUP(U677,模板计算相关数据!A:N,2,0)/30)+1,模板计算相关数据!$O$35:$U$40,4,0)+AF677</f>
        <v>5000</v>
      </c>
      <c r="AQ677" s="3">
        <f>VLOOKUP(INT(VLOOKUP(U677,模板计算相关数据!A:N,2,0)/30)+1,模板计算相关数据!$O$35:$U$40,5,0)+AG677</f>
        <v>0</v>
      </c>
      <c r="AR677" s="3">
        <f>VLOOKUP(INT(VLOOKUP(U677,模板计算相关数据!A:N,2,0)/30)+1,模板计算相关数据!$O$35:$U$40,6,0)+AH677</f>
        <v>0</v>
      </c>
      <c r="AS677" s="3">
        <f>VLOOKUP(INT(VLOOKUP(U677,模板计算相关数据!A:N,2,0)/30)+1,模板计算相关数据!$O$35:$U$40,7,0)+AI677</f>
        <v>0</v>
      </c>
      <c r="AT677" s="3">
        <f>VLOOKUP(INT(VLOOKUP(U677,模板计算相关数据!A:N,2,0)/30)+1,模板计算相关数据!$O$35:$V$40,8,0)</f>
        <v>0</v>
      </c>
      <c r="AU677" s="2"/>
    </row>
    <row r="678" spans="1:47" x14ac:dyDescent="0.2">
      <c r="A678" s="2">
        <v>307236</v>
      </c>
      <c r="B678" s="2"/>
      <c r="C678" s="2" t="s">
        <v>370</v>
      </c>
      <c r="D678" s="2" t="s">
        <v>1226</v>
      </c>
      <c r="E678" s="2"/>
      <c r="F678" s="127">
        <v>3</v>
      </c>
      <c r="G678" s="127">
        <v>101</v>
      </c>
      <c r="H678" s="3">
        <v>4</v>
      </c>
      <c r="I678" s="127">
        <v>5</v>
      </c>
      <c r="J678" s="127">
        <v>1</v>
      </c>
      <c r="K678" s="3"/>
      <c r="L678" s="2" t="s">
        <v>491</v>
      </c>
      <c r="M678" s="2"/>
      <c r="N678" s="2">
        <v>1</v>
      </c>
      <c r="O678" s="2"/>
      <c r="P678" s="3" t="s">
        <v>1615</v>
      </c>
      <c r="Q678" s="95">
        <f t="shared" si="67"/>
        <v>4.4674509803921572</v>
      </c>
      <c r="R678" s="133">
        <f>IF(P678=模板计算相关数据!$AB$24,VLOOKUP(X678,模板计算相关数据!$P$47:$T$50,2,0),VLOOKUP(X678,模板计算相关数据!$P$4:$U$7,3,0))*VLOOKUP(Y678,模板计算相关数据!$P$22:$X$30,8,0)</f>
        <v>4.4674509803921572</v>
      </c>
      <c r="S678" s="62">
        <f t="shared" si="68"/>
        <v>5.4739930589768004</v>
      </c>
      <c r="T678" s="133">
        <f>IF(P678=模板计算相关数据!$AB$24,VLOOKUP(X678,模板计算相关数据!$P$47:$T$50,5,0),VLOOKUP(X678,模板计算相关数据!$P$4:$U$7,6,0))*VLOOKUP(Y678,模板计算相关数据!$P$22:$X$30,9,0)</f>
        <v>5.4739930589768004</v>
      </c>
      <c r="U678" s="98">
        <v>1</v>
      </c>
      <c r="V678" s="95">
        <f t="shared" si="66"/>
        <v>4</v>
      </c>
      <c r="W678" s="29">
        <f>VLOOKUP(U678,模板计算相关数据!A:N,2,0)</f>
        <v>1</v>
      </c>
      <c r="X678" s="3" t="s">
        <v>151</v>
      </c>
      <c r="Y678" s="3" t="s">
        <v>162</v>
      </c>
      <c r="Z678" s="99">
        <v>1</v>
      </c>
      <c r="AA678" s="95">
        <v>1</v>
      </c>
      <c r="AB678" s="95">
        <v>1</v>
      </c>
      <c r="AC678" s="95">
        <v>1</v>
      </c>
      <c r="AD678" s="95">
        <v>0</v>
      </c>
      <c r="AE678" s="95">
        <v>0</v>
      </c>
      <c r="AF678" s="95">
        <v>0</v>
      </c>
      <c r="AG678" s="95">
        <v>0</v>
      </c>
      <c r="AH678" s="95">
        <v>0</v>
      </c>
      <c r="AI678" s="95">
        <v>0</v>
      </c>
      <c r="AJ678" s="3">
        <f>INT(VLOOKUP(U678,模板计算相关数据!A:N,4,0)*VLOOKUP(U678,模板计算相关数据!A:N,14,0)*(1+MAX(0,(VLOOKUP(U678,模板计算相关数据!A:N,7,0)-AQ678))*VLOOKUP(U678,模板计算相关数据!A:N,8,0))*(1-(AL678+AM678)*0.5/((AL678+AM678)*0.5+(VLOOKUP(U678,模板计算相关数据!A:N,2,0)+模板计算相关数据!$AC$27)*模板计算相关数据!$AC$28))*Q678*Z678)</f>
        <v>328</v>
      </c>
      <c r="AK678" s="3">
        <f>INT(VLOOKUP(U678,模板计算相关数据!A:N,3,0)/模板计算相关数据!$W$35/(1+MAX(0,(AO678/10000-VLOOKUP(U678,模板计算相关数据!A:N,9,0)))*AP678/10000)/(1-VLOOKUP(U678,模板计算相关数据!A:N,5,0)/(VLOOKUP(U678,模板计算相关数据!A:N,5,0)+(VLOOKUP(U678,模板计算相关数据!A:N,2,0)+模板计算相关数据!$AC$27)*模板计算相关数据!$AC$28))/S678*AA678)</f>
        <v>101</v>
      </c>
      <c r="AL678" s="3">
        <f>INT(VLOOKUP(U678,模板计算相关数据!A:N,5,0)*VLOOKUP(X678,模板计算相关数据!$P$4:$T$7,4,0)*VLOOKUP(Y678,模板计算相关数据!$P$22:$U$30,4,0)*AB678)</f>
        <v>136</v>
      </c>
      <c r="AM678" s="3">
        <f>INT(VLOOKUP(U678,模板计算相关数据!A:N,6,0)*VLOOKUP(X678,模板计算相关数据!$P$4:$T$7,4,0)*VLOOKUP(Y678,模板计算相关数据!$P$22:$U$30,5,0)*AC678)</f>
        <v>230</v>
      </c>
      <c r="AN678" s="3">
        <f>VLOOKUP(U678,模板计算相关数据!A:N,10,0)*0.5*VLOOKUP(Y678,模板计算相关数据!$P$22:$U$30,6,0)+AD678</f>
        <v>250</v>
      </c>
      <c r="AO678" s="3">
        <f>VLOOKUP(INT(VLOOKUP(U678,模板计算相关数据!A:N,2,0)/30)+1,模板计算相关数据!$O$35:$U$40,3,0)+AE678</f>
        <v>0</v>
      </c>
      <c r="AP678" s="3">
        <f>VLOOKUP(INT(VLOOKUP(U678,模板计算相关数据!A:N,2,0)/30)+1,模板计算相关数据!$O$35:$U$40,4,0)+AF678</f>
        <v>5000</v>
      </c>
      <c r="AQ678" s="3">
        <f>VLOOKUP(INT(VLOOKUP(U678,模板计算相关数据!A:N,2,0)/30)+1,模板计算相关数据!$O$35:$U$40,5,0)+AG678</f>
        <v>0</v>
      </c>
      <c r="AR678" s="3">
        <f>VLOOKUP(INT(VLOOKUP(U678,模板计算相关数据!A:N,2,0)/30)+1,模板计算相关数据!$O$35:$U$40,6,0)+AH678</f>
        <v>0</v>
      </c>
      <c r="AS678" s="3">
        <f>VLOOKUP(INT(VLOOKUP(U678,模板计算相关数据!A:N,2,0)/30)+1,模板计算相关数据!$O$35:$U$40,7,0)+AI678</f>
        <v>0</v>
      </c>
      <c r="AT678" s="3">
        <f>VLOOKUP(INT(VLOOKUP(U678,模板计算相关数据!A:N,2,0)/30)+1,模板计算相关数据!$O$35:$V$40,8,0)</f>
        <v>0</v>
      </c>
      <c r="AU678" s="2"/>
    </row>
    <row r="679" spans="1:47" x14ac:dyDescent="0.2">
      <c r="A679" s="2">
        <v>307237</v>
      </c>
      <c r="B679" s="2"/>
      <c r="C679" s="2" t="s">
        <v>370</v>
      </c>
      <c r="D679" s="2" t="s">
        <v>1227</v>
      </c>
      <c r="E679" s="2"/>
      <c r="F679" s="127">
        <v>3</v>
      </c>
      <c r="G679" s="127">
        <v>101</v>
      </c>
      <c r="H679" s="3">
        <v>4</v>
      </c>
      <c r="I679" s="127">
        <v>5</v>
      </c>
      <c r="J679" s="127">
        <v>1</v>
      </c>
      <c r="K679" s="3"/>
      <c r="L679" s="2" t="s">
        <v>492</v>
      </c>
      <c r="M679" s="2"/>
      <c r="N679" s="2">
        <v>1</v>
      </c>
      <c r="O679" s="2"/>
      <c r="P679" s="3" t="s">
        <v>1615</v>
      </c>
      <c r="Q679" s="95">
        <f t="shared" si="67"/>
        <v>4.4674509803921572</v>
      </c>
      <c r="R679" s="133">
        <f>IF(P679=模板计算相关数据!$AB$24,VLOOKUP(X679,模板计算相关数据!$P$47:$T$50,2,0),VLOOKUP(X679,模板计算相关数据!$P$4:$U$7,3,0))*VLOOKUP(Y679,模板计算相关数据!$P$22:$X$30,8,0)</f>
        <v>4.4674509803921572</v>
      </c>
      <c r="S679" s="62">
        <f t="shared" si="68"/>
        <v>5.4739930589768004</v>
      </c>
      <c r="T679" s="133">
        <f>IF(P679=模板计算相关数据!$AB$24,VLOOKUP(X679,模板计算相关数据!$P$47:$T$50,5,0),VLOOKUP(X679,模板计算相关数据!$P$4:$U$7,6,0))*VLOOKUP(Y679,模板计算相关数据!$P$22:$X$30,9,0)</f>
        <v>5.4739930589768004</v>
      </c>
      <c r="U679" s="98">
        <v>1</v>
      </c>
      <c r="V679" s="95">
        <f t="shared" si="66"/>
        <v>4</v>
      </c>
      <c r="W679" s="29">
        <f>VLOOKUP(U679,模板计算相关数据!A:N,2,0)</f>
        <v>1</v>
      </c>
      <c r="X679" s="3" t="s">
        <v>151</v>
      </c>
      <c r="Y679" s="3" t="s">
        <v>162</v>
      </c>
      <c r="Z679" s="99">
        <v>1</v>
      </c>
      <c r="AA679" s="95">
        <v>1</v>
      </c>
      <c r="AB679" s="95">
        <v>1</v>
      </c>
      <c r="AC679" s="95">
        <v>1</v>
      </c>
      <c r="AD679" s="95">
        <v>0</v>
      </c>
      <c r="AE679" s="95">
        <v>0</v>
      </c>
      <c r="AF679" s="95">
        <v>0</v>
      </c>
      <c r="AG679" s="95">
        <v>0</v>
      </c>
      <c r="AH679" s="95">
        <v>0</v>
      </c>
      <c r="AI679" s="95">
        <v>0</v>
      </c>
      <c r="AJ679" s="3">
        <f>INT(VLOOKUP(U679,模板计算相关数据!A:N,4,0)*VLOOKUP(U679,模板计算相关数据!A:N,14,0)*(1+MAX(0,(VLOOKUP(U679,模板计算相关数据!A:N,7,0)-AQ679))*VLOOKUP(U679,模板计算相关数据!A:N,8,0))*(1-(AL679+AM679)*0.5/((AL679+AM679)*0.5+(VLOOKUP(U679,模板计算相关数据!A:N,2,0)+模板计算相关数据!$AC$27)*模板计算相关数据!$AC$28))*Q679*Z679)</f>
        <v>328</v>
      </c>
      <c r="AK679" s="3">
        <f>INT(VLOOKUP(U679,模板计算相关数据!A:N,3,0)/模板计算相关数据!$W$35/(1+MAX(0,(AO679/10000-VLOOKUP(U679,模板计算相关数据!A:N,9,0)))*AP679/10000)/(1-VLOOKUP(U679,模板计算相关数据!A:N,5,0)/(VLOOKUP(U679,模板计算相关数据!A:N,5,0)+(VLOOKUP(U679,模板计算相关数据!A:N,2,0)+模板计算相关数据!$AC$27)*模板计算相关数据!$AC$28))/S679*AA679)</f>
        <v>101</v>
      </c>
      <c r="AL679" s="3">
        <f>INT(VLOOKUP(U679,模板计算相关数据!A:N,5,0)*VLOOKUP(X679,模板计算相关数据!$P$4:$T$7,4,0)*VLOOKUP(Y679,模板计算相关数据!$P$22:$U$30,4,0)*AB679)</f>
        <v>136</v>
      </c>
      <c r="AM679" s="3">
        <f>INT(VLOOKUP(U679,模板计算相关数据!A:N,6,0)*VLOOKUP(X679,模板计算相关数据!$P$4:$T$7,4,0)*VLOOKUP(Y679,模板计算相关数据!$P$22:$U$30,5,0)*AC679)</f>
        <v>230</v>
      </c>
      <c r="AN679" s="3">
        <f>VLOOKUP(U679,模板计算相关数据!A:N,10,0)*0.5*VLOOKUP(Y679,模板计算相关数据!$P$22:$U$30,6,0)+AD679</f>
        <v>250</v>
      </c>
      <c r="AO679" s="3">
        <f>VLOOKUP(INT(VLOOKUP(U679,模板计算相关数据!A:N,2,0)/30)+1,模板计算相关数据!$O$35:$U$40,3,0)+AE679</f>
        <v>0</v>
      </c>
      <c r="AP679" s="3">
        <f>VLOOKUP(INT(VLOOKUP(U679,模板计算相关数据!A:N,2,0)/30)+1,模板计算相关数据!$O$35:$U$40,4,0)+AF679</f>
        <v>5000</v>
      </c>
      <c r="AQ679" s="3">
        <f>VLOOKUP(INT(VLOOKUP(U679,模板计算相关数据!A:N,2,0)/30)+1,模板计算相关数据!$O$35:$U$40,5,0)+AG679</f>
        <v>0</v>
      </c>
      <c r="AR679" s="3">
        <f>VLOOKUP(INT(VLOOKUP(U679,模板计算相关数据!A:N,2,0)/30)+1,模板计算相关数据!$O$35:$U$40,6,0)+AH679</f>
        <v>0</v>
      </c>
      <c r="AS679" s="3">
        <f>VLOOKUP(INT(VLOOKUP(U679,模板计算相关数据!A:N,2,0)/30)+1,模板计算相关数据!$O$35:$U$40,7,0)+AI679</f>
        <v>0</v>
      </c>
      <c r="AT679" s="3">
        <f>VLOOKUP(INT(VLOOKUP(U679,模板计算相关数据!A:N,2,0)/30)+1,模板计算相关数据!$O$35:$V$40,8,0)</f>
        <v>0</v>
      </c>
      <c r="AU679" s="2"/>
    </row>
    <row r="680" spans="1:47" x14ac:dyDescent="0.2">
      <c r="A680" s="2">
        <v>307238</v>
      </c>
      <c r="B680" s="2"/>
      <c r="C680" s="2" t="s">
        <v>370</v>
      </c>
      <c r="D680" s="2" t="s">
        <v>1228</v>
      </c>
      <c r="E680" s="2"/>
      <c r="F680" s="127">
        <v>3</v>
      </c>
      <c r="G680" s="127">
        <v>101</v>
      </c>
      <c r="H680" s="3">
        <v>4</v>
      </c>
      <c r="I680" s="127">
        <v>5</v>
      </c>
      <c r="J680" s="127">
        <v>1</v>
      </c>
      <c r="K680" s="3"/>
      <c r="L680" s="2" t="s">
        <v>493</v>
      </c>
      <c r="M680" s="2"/>
      <c r="N680" s="2">
        <v>1</v>
      </c>
      <c r="O680" s="2"/>
      <c r="P680" s="3" t="s">
        <v>1615</v>
      </c>
      <c r="Q680" s="95">
        <f t="shared" si="67"/>
        <v>4.4674509803921572</v>
      </c>
      <c r="R680" s="133">
        <f>IF(P680=模板计算相关数据!$AB$24,VLOOKUP(X680,模板计算相关数据!$P$47:$T$50,2,0),VLOOKUP(X680,模板计算相关数据!$P$4:$U$7,3,0))*VLOOKUP(Y680,模板计算相关数据!$P$22:$X$30,8,0)</f>
        <v>4.4674509803921572</v>
      </c>
      <c r="S680" s="62">
        <f t="shared" si="68"/>
        <v>5.4739930589768004</v>
      </c>
      <c r="T680" s="133">
        <f>IF(P680=模板计算相关数据!$AB$24,VLOOKUP(X680,模板计算相关数据!$P$47:$T$50,5,0),VLOOKUP(X680,模板计算相关数据!$P$4:$U$7,6,0))*VLOOKUP(Y680,模板计算相关数据!$P$22:$X$30,9,0)</f>
        <v>5.4739930589768004</v>
      </c>
      <c r="U680" s="98">
        <v>1</v>
      </c>
      <c r="V680" s="95">
        <f t="shared" si="66"/>
        <v>4</v>
      </c>
      <c r="W680" s="29">
        <f>VLOOKUP(U680,模板计算相关数据!A:N,2,0)</f>
        <v>1</v>
      </c>
      <c r="X680" s="3" t="s">
        <v>151</v>
      </c>
      <c r="Y680" s="3" t="s">
        <v>162</v>
      </c>
      <c r="Z680" s="99">
        <v>1</v>
      </c>
      <c r="AA680" s="95">
        <v>1</v>
      </c>
      <c r="AB680" s="95">
        <v>1</v>
      </c>
      <c r="AC680" s="95">
        <v>1</v>
      </c>
      <c r="AD680" s="95">
        <v>0</v>
      </c>
      <c r="AE680" s="95">
        <v>0</v>
      </c>
      <c r="AF680" s="95">
        <v>0</v>
      </c>
      <c r="AG680" s="95">
        <v>0</v>
      </c>
      <c r="AH680" s="95">
        <v>0</v>
      </c>
      <c r="AI680" s="95">
        <v>0</v>
      </c>
      <c r="AJ680" s="3">
        <f>INT(VLOOKUP(U680,模板计算相关数据!A:N,4,0)*VLOOKUP(U680,模板计算相关数据!A:N,14,0)*(1+MAX(0,(VLOOKUP(U680,模板计算相关数据!A:N,7,0)-AQ680))*VLOOKUP(U680,模板计算相关数据!A:N,8,0))*(1-(AL680+AM680)*0.5/((AL680+AM680)*0.5+(VLOOKUP(U680,模板计算相关数据!A:N,2,0)+模板计算相关数据!$AC$27)*模板计算相关数据!$AC$28))*Q680*Z680)</f>
        <v>328</v>
      </c>
      <c r="AK680" s="3">
        <f>INT(VLOOKUP(U680,模板计算相关数据!A:N,3,0)/模板计算相关数据!$W$35/(1+MAX(0,(AO680/10000-VLOOKUP(U680,模板计算相关数据!A:N,9,0)))*AP680/10000)/(1-VLOOKUP(U680,模板计算相关数据!A:N,5,0)/(VLOOKUP(U680,模板计算相关数据!A:N,5,0)+(VLOOKUP(U680,模板计算相关数据!A:N,2,0)+模板计算相关数据!$AC$27)*模板计算相关数据!$AC$28))/S680*AA680)</f>
        <v>101</v>
      </c>
      <c r="AL680" s="3">
        <f>INT(VLOOKUP(U680,模板计算相关数据!A:N,5,0)*VLOOKUP(X680,模板计算相关数据!$P$4:$T$7,4,0)*VLOOKUP(Y680,模板计算相关数据!$P$22:$U$30,4,0)*AB680)</f>
        <v>136</v>
      </c>
      <c r="AM680" s="3">
        <f>INT(VLOOKUP(U680,模板计算相关数据!A:N,6,0)*VLOOKUP(X680,模板计算相关数据!$P$4:$T$7,4,0)*VLOOKUP(Y680,模板计算相关数据!$P$22:$U$30,5,0)*AC680)</f>
        <v>230</v>
      </c>
      <c r="AN680" s="3">
        <f>VLOOKUP(U680,模板计算相关数据!A:N,10,0)*0.5*VLOOKUP(Y680,模板计算相关数据!$P$22:$U$30,6,0)+AD680</f>
        <v>250</v>
      </c>
      <c r="AO680" s="3">
        <f>VLOOKUP(INT(VLOOKUP(U680,模板计算相关数据!A:N,2,0)/30)+1,模板计算相关数据!$O$35:$U$40,3,0)+AE680</f>
        <v>0</v>
      </c>
      <c r="AP680" s="3">
        <f>VLOOKUP(INT(VLOOKUP(U680,模板计算相关数据!A:N,2,0)/30)+1,模板计算相关数据!$O$35:$U$40,4,0)+AF680</f>
        <v>5000</v>
      </c>
      <c r="AQ680" s="3">
        <f>VLOOKUP(INT(VLOOKUP(U680,模板计算相关数据!A:N,2,0)/30)+1,模板计算相关数据!$O$35:$U$40,5,0)+AG680</f>
        <v>0</v>
      </c>
      <c r="AR680" s="3">
        <f>VLOOKUP(INT(VLOOKUP(U680,模板计算相关数据!A:N,2,0)/30)+1,模板计算相关数据!$O$35:$U$40,6,0)+AH680</f>
        <v>0</v>
      </c>
      <c r="AS680" s="3">
        <f>VLOOKUP(INT(VLOOKUP(U680,模板计算相关数据!A:N,2,0)/30)+1,模板计算相关数据!$O$35:$U$40,7,0)+AI680</f>
        <v>0</v>
      </c>
      <c r="AT680" s="3">
        <f>VLOOKUP(INT(VLOOKUP(U680,模板计算相关数据!A:N,2,0)/30)+1,模板计算相关数据!$O$35:$V$40,8,0)</f>
        <v>0</v>
      </c>
      <c r="AU680" s="2"/>
    </row>
    <row r="681" spans="1:47" x14ac:dyDescent="0.2">
      <c r="A681" s="2">
        <v>307239</v>
      </c>
      <c r="B681" s="2"/>
      <c r="C681" s="2" t="s">
        <v>370</v>
      </c>
      <c r="D681" s="2" t="s">
        <v>1229</v>
      </c>
      <c r="E681" s="2"/>
      <c r="F681" s="127">
        <v>3</v>
      </c>
      <c r="G681" s="127">
        <v>101</v>
      </c>
      <c r="H681" s="3">
        <v>4</v>
      </c>
      <c r="I681" s="127">
        <v>5</v>
      </c>
      <c r="J681" s="127">
        <v>1</v>
      </c>
      <c r="K681" s="3"/>
      <c r="L681" s="2" t="s">
        <v>494</v>
      </c>
      <c r="M681" s="2"/>
      <c r="N681" s="2">
        <v>1</v>
      </c>
      <c r="O681" s="2"/>
      <c r="P681" s="3" t="s">
        <v>1615</v>
      </c>
      <c r="Q681" s="95">
        <f t="shared" si="67"/>
        <v>4.4674509803921572</v>
      </c>
      <c r="R681" s="133">
        <f>IF(P681=模板计算相关数据!$AB$24,VLOOKUP(X681,模板计算相关数据!$P$47:$T$50,2,0),VLOOKUP(X681,模板计算相关数据!$P$4:$U$7,3,0))*VLOOKUP(Y681,模板计算相关数据!$P$22:$X$30,8,0)</f>
        <v>4.4674509803921572</v>
      </c>
      <c r="S681" s="62">
        <f t="shared" si="68"/>
        <v>5.4739930589768004</v>
      </c>
      <c r="T681" s="133">
        <f>IF(P681=模板计算相关数据!$AB$24,VLOOKUP(X681,模板计算相关数据!$P$47:$T$50,5,0),VLOOKUP(X681,模板计算相关数据!$P$4:$U$7,6,0))*VLOOKUP(Y681,模板计算相关数据!$P$22:$X$30,9,0)</f>
        <v>5.4739930589768004</v>
      </c>
      <c r="U681" s="98">
        <v>1</v>
      </c>
      <c r="V681" s="95">
        <f t="shared" si="66"/>
        <v>4</v>
      </c>
      <c r="W681" s="29">
        <f>VLOOKUP(U681,模板计算相关数据!A:N,2,0)</f>
        <v>1</v>
      </c>
      <c r="X681" s="3" t="s">
        <v>151</v>
      </c>
      <c r="Y681" s="3" t="s">
        <v>162</v>
      </c>
      <c r="Z681" s="99">
        <v>1</v>
      </c>
      <c r="AA681" s="95">
        <v>1</v>
      </c>
      <c r="AB681" s="95">
        <v>1</v>
      </c>
      <c r="AC681" s="95">
        <v>1</v>
      </c>
      <c r="AD681" s="95">
        <v>0</v>
      </c>
      <c r="AE681" s="95">
        <v>0</v>
      </c>
      <c r="AF681" s="95">
        <v>0</v>
      </c>
      <c r="AG681" s="95">
        <v>0</v>
      </c>
      <c r="AH681" s="95">
        <v>0</v>
      </c>
      <c r="AI681" s="95">
        <v>0</v>
      </c>
      <c r="AJ681" s="3">
        <f>INT(VLOOKUP(U681,模板计算相关数据!A:N,4,0)*VLOOKUP(U681,模板计算相关数据!A:N,14,0)*(1+MAX(0,(VLOOKUP(U681,模板计算相关数据!A:N,7,0)-AQ681))*VLOOKUP(U681,模板计算相关数据!A:N,8,0))*(1-(AL681+AM681)*0.5/((AL681+AM681)*0.5+(VLOOKUP(U681,模板计算相关数据!A:N,2,0)+模板计算相关数据!$AC$27)*模板计算相关数据!$AC$28))*Q681*Z681)</f>
        <v>328</v>
      </c>
      <c r="AK681" s="3">
        <f>INT(VLOOKUP(U681,模板计算相关数据!A:N,3,0)/模板计算相关数据!$W$35/(1+MAX(0,(AO681/10000-VLOOKUP(U681,模板计算相关数据!A:N,9,0)))*AP681/10000)/(1-VLOOKUP(U681,模板计算相关数据!A:N,5,0)/(VLOOKUP(U681,模板计算相关数据!A:N,5,0)+(VLOOKUP(U681,模板计算相关数据!A:N,2,0)+模板计算相关数据!$AC$27)*模板计算相关数据!$AC$28))/S681*AA681)</f>
        <v>101</v>
      </c>
      <c r="AL681" s="3">
        <f>INT(VLOOKUP(U681,模板计算相关数据!A:N,5,0)*VLOOKUP(X681,模板计算相关数据!$P$4:$T$7,4,0)*VLOOKUP(Y681,模板计算相关数据!$P$22:$U$30,4,0)*AB681)</f>
        <v>136</v>
      </c>
      <c r="AM681" s="3">
        <f>INT(VLOOKUP(U681,模板计算相关数据!A:N,6,0)*VLOOKUP(X681,模板计算相关数据!$P$4:$T$7,4,0)*VLOOKUP(Y681,模板计算相关数据!$P$22:$U$30,5,0)*AC681)</f>
        <v>230</v>
      </c>
      <c r="AN681" s="3">
        <f>VLOOKUP(U681,模板计算相关数据!A:N,10,0)*0.5*VLOOKUP(Y681,模板计算相关数据!$P$22:$U$30,6,0)+AD681</f>
        <v>250</v>
      </c>
      <c r="AO681" s="3">
        <f>VLOOKUP(INT(VLOOKUP(U681,模板计算相关数据!A:N,2,0)/30)+1,模板计算相关数据!$O$35:$U$40,3,0)+AE681</f>
        <v>0</v>
      </c>
      <c r="AP681" s="3">
        <f>VLOOKUP(INT(VLOOKUP(U681,模板计算相关数据!A:N,2,0)/30)+1,模板计算相关数据!$O$35:$U$40,4,0)+AF681</f>
        <v>5000</v>
      </c>
      <c r="AQ681" s="3">
        <f>VLOOKUP(INT(VLOOKUP(U681,模板计算相关数据!A:N,2,0)/30)+1,模板计算相关数据!$O$35:$U$40,5,0)+AG681</f>
        <v>0</v>
      </c>
      <c r="AR681" s="3">
        <f>VLOOKUP(INT(VLOOKUP(U681,模板计算相关数据!A:N,2,0)/30)+1,模板计算相关数据!$O$35:$U$40,6,0)+AH681</f>
        <v>0</v>
      </c>
      <c r="AS681" s="3">
        <f>VLOOKUP(INT(VLOOKUP(U681,模板计算相关数据!A:N,2,0)/30)+1,模板计算相关数据!$O$35:$U$40,7,0)+AI681</f>
        <v>0</v>
      </c>
      <c r="AT681" s="3">
        <f>VLOOKUP(INT(VLOOKUP(U681,模板计算相关数据!A:N,2,0)/30)+1,模板计算相关数据!$O$35:$V$40,8,0)</f>
        <v>0</v>
      </c>
      <c r="AU681" s="2"/>
    </row>
    <row r="682" spans="1:47" x14ac:dyDescent="0.2">
      <c r="A682" s="2">
        <v>307240</v>
      </c>
      <c r="B682" s="2"/>
      <c r="C682" s="2" t="s">
        <v>370</v>
      </c>
      <c r="D682" s="2" t="s">
        <v>1230</v>
      </c>
      <c r="E682" s="2"/>
      <c r="F682" s="127">
        <v>3</v>
      </c>
      <c r="G682" s="127">
        <v>101</v>
      </c>
      <c r="H682" s="3">
        <v>4</v>
      </c>
      <c r="I682" s="127">
        <v>5</v>
      </c>
      <c r="J682" s="127">
        <v>1</v>
      </c>
      <c r="K682" s="3"/>
      <c r="L682" s="2" t="s">
        <v>495</v>
      </c>
      <c r="M682" s="2"/>
      <c r="N682" s="2">
        <v>1</v>
      </c>
      <c r="O682" s="2"/>
      <c r="P682" s="3" t="s">
        <v>1615</v>
      </c>
      <c r="Q682" s="95">
        <f t="shared" si="67"/>
        <v>4.4674509803921572</v>
      </c>
      <c r="R682" s="133">
        <f>IF(P682=模板计算相关数据!$AB$24,VLOOKUP(X682,模板计算相关数据!$P$47:$T$50,2,0),VLOOKUP(X682,模板计算相关数据!$P$4:$U$7,3,0))*VLOOKUP(Y682,模板计算相关数据!$P$22:$X$30,8,0)</f>
        <v>4.4674509803921572</v>
      </c>
      <c r="S682" s="62">
        <f t="shared" si="68"/>
        <v>5.4739930589768004</v>
      </c>
      <c r="T682" s="133">
        <f>IF(P682=模板计算相关数据!$AB$24,VLOOKUP(X682,模板计算相关数据!$P$47:$T$50,5,0),VLOOKUP(X682,模板计算相关数据!$P$4:$U$7,6,0))*VLOOKUP(Y682,模板计算相关数据!$P$22:$X$30,9,0)</f>
        <v>5.4739930589768004</v>
      </c>
      <c r="U682" s="98">
        <v>1</v>
      </c>
      <c r="V682" s="95">
        <f t="shared" si="66"/>
        <v>4</v>
      </c>
      <c r="W682" s="29">
        <f>VLOOKUP(U682,模板计算相关数据!A:N,2,0)</f>
        <v>1</v>
      </c>
      <c r="X682" s="3" t="s">
        <v>151</v>
      </c>
      <c r="Y682" s="3" t="s">
        <v>162</v>
      </c>
      <c r="Z682" s="99">
        <v>1</v>
      </c>
      <c r="AA682" s="95">
        <v>1</v>
      </c>
      <c r="AB682" s="95">
        <v>1</v>
      </c>
      <c r="AC682" s="95">
        <v>1</v>
      </c>
      <c r="AD682" s="95">
        <v>0</v>
      </c>
      <c r="AE682" s="95">
        <v>0</v>
      </c>
      <c r="AF682" s="95">
        <v>0</v>
      </c>
      <c r="AG682" s="95">
        <v>0</v>
      </c>
      <c r="AH682" s="95">
        <v>0</v>
      </c>
      <c r="AI682" s="95">
        <v>0</v>
      </c>
      <c r="AJ682" s="3">
        <f>INT(VLOOKUP(U682,模板计算相关数据!A:N,4,0)*VLOOKUP(U682,模板计算相关数据!A:N,14,0)*(1+MAX(0,(VLOOKUP(U682,模板计算相关数据!A:N,7,0)-AQ682))*VLOOKUP(U682,模板计算相关数据!A:N,8,0))*(1-(AL682+AM682)*0.5/((AL682+AM682)*0.5+(VLOOKUP(U682,模板计算相关数据!A:N,2,0)+模板计算相关数据!$AC$27)*模板计算相关数据!$AC$28))*Q682*Z682)</f>
        <v>328</v>
      </c>
      <c r="AK682" s="3">
        <f>INT(VLOOKUP(U682,模板计算相关数据!A:N,3,0)/模板计算相关数据!$W$35/(1+MAX(0,(AO682/10000-VLOOKUP(U682,模板计算相关数据!A:N,9,0)))*AP682/10000)/(1-VLOOKUP(U682,模板计算相关数据!A:N,5,0)/(VLOOKUP(U682,模板计算相关数据!A:N,5,0)+(VLOOKUP(U682,模板计算相关数据!A:N,2,0)+模板计算相关数据!$AC$27)*模板计算相关数据!$AC$28))/S682*AA682)</f>
        <v>101</v>
      </c>
      <c r="AL682" s="3">
        <f>INT(VLOOKUP(U682,模板计算相关数据!A:N,5,0)*VLOOKUP(X682,模板计算相关数据!$P$4:$T$7,4,0)*VLOOKUP(Y682,模板计算相关数据!$P$22:$U$30,4,0)*AB682)</f>
        <v>136</v>
      </c>
      <c r="AM682" s="3">
        <f>INT(VLOOKUP(U682,模板计算相关数据!A:N,6,0)*VLOOKUP(X682,模板计算相关数据!$P$4:$T$7,4,0)*VLOOKUP(Y682,模板计算相关数据!$P$22:$U$30,5,0)*AC682)</f>
        <v>230</v>
      </c>
      <c r="AN682" s="3">
        <f>VLOOKUP(U682,模板计算相关数据!A:N,10,0)*0.5*VLOOKUP(Y682,模板计算相关数据!$P$22:$U$30,6,0)+AD682</f>
        <v>250</v>
      </c>
      <c r="AO682" s="3">
        <f>VLOOKUP(INT(VLOOKUP(U682,模板计算相关数据!A:N,2,0)/30)+1,模板计算相关数据!$O$35:$U$40,3,0)+AE682</f>
        <v>0</v>
      </c>
      <c r="AP682" s="3">
        <f>VLOOKUP(INT(VLOOKUP(U682,模板计算相关数据!A:N,2,0)/30)+1,模板计算相关数据!$O$35:$U$40,4,0)+AF682</f>
        <v>5000</v>
      </c>
      <c r="AQ682" s="3">
        <f>VLOOKUP(INT(VLOOKUP(U682,模板计算相关数据!A:N,2,0)/30)+1,模板计算相关数据!$O$35:$U$40,5,0)+AG682</f>
        <v>0</v>
      </c>
      <c r="AR682" s="3">
        <f>VLOOKUP(INT(VLOOKUP(U682,模板计算相关数据!A:N,2,0)/30)+1,模板计算相关数据!$O$35:$U$40,6,0)+AH682</f>
        <v>0</v>
      </c>
      <c r="AS682" s="3">
        <f>VLOOKUP(INT(VLOOKUP(U682,模板计算相关数据!A:N,2,0)/30)+1,模板计算相关数据!$O$35:$U$40,7,0)+AI682</f>
        <v>0</v>
      </c>
      <c r="AT682" s="3">
        <f>VLOOKUP(INT(VLOOKUP(U682,模板计算相关数据!A:N,2,0)/30)+1,模板计算相关数据!$O$35:$V$40,8,0)</f>
        <v>0</v>
      </c>
      <c r="AU682" s="2"/>
    </row>
    <row r="683" spans="1:47" x14ac:dyDescent="0.2">
      <c r="A683" s="2">
        <v>307241</v>
      </c>
      <c r="B683" s="2"/>
      <c r="C683" s="69" t="s">
        <v>774</v>
      </c>
      <c r="D683" s="69" t="s">
        <v>1226</v>
      </c>
      <c r="E683" s="2"/>
      <c r="F683" s="127">
        <v>3</v>
      </c>
      <c r="G683" s="127">
        <v>101</v>
      </c>
      <c r="H683" s="3">
        <v>1</v>
      </c>
      <c r="I683" s="127">
        <v>5</v>
      </c>
      <c r="J683" s="127">
        <v>1</v>
      </c>
      <c r="K683" s="3"/>
      <c r="L683" s="2" t="s">
        <v>496</v>
      </c>
      <c r="M683" s="2"/>
      <c r="N683" s="2">
        <v>1</v>
      </c>
      <c r="O683" s="2"/>
      <c r="P683" s="3" t="s">
        <v>1615</v>
      </c>
      <c r="Q683" s="95">
        <f t="shared" si="67"/>
        <v>4.417254901960785</v>
      </c>
      <c r="R683" s="133">
        <f>IF(P683=模板计算相关数据!$AB$24,VLOOKUP(X683,模板计算相关数据!$P$47:$T$50,2,0),VLOOKUP(X683,模板计算相关数据!$P$4:$U$7,3,0))*VLOOKUP(Y683,模板计算相关数据!$P$22:$X$30,8,0)</f>
        <v>4.417254901960785</v>
      </c>
      <c r="S683" s="62">
        <f t="shared" si="68"/>
        <v>5.4285280003474252</v>
      </c>
      <c r="T683" s="133">
        <f>IF(P683=模板计算相关数据!$AB$24,VLOOKUP(X683,模板计算相关数据!$P$47:$T$50,5,0),VLOOKUP(X683,模板计算相关数据!$P$4:$U$7,6,0))*VLOOKUP(Y683,模板计算相关数据!$P$22:$X$30,9,0)</f>
        <v>5.4285280003474252</v>
      </c>
      <c r="U683" s="98">
        <v>1</v>
      </c>
      <c r="V683" s="95">
        <f t="shared" si="66"/>
        <v>4</v>
      </c>
      <c r="W683" s="29">
        <f>VLOOKUP(U683,模板计算相关数据!A:N,2,0)</f>
        <v>1</v>
      </c>
      <c r="X683" s="3" t="s">
        <v>151</v>
      </c>
      <c r="Y683" s="3" t="s">
        <v>152</v>
      </c>
      <c r="Z683" s="99">
        <v>1</v>
      </c>
      <c r="AA683" s="95">
        <v>1</v>
      </c>
      <c r="AB683" s="95">
        <v>1</v>
      </c>
      <c r="AC683" s="95">
        <v>1</v>
      </c>
      <c r="AD683" s="95">
        <v>0</v>
      </c>
      <c r="AE683" s="95">
        <v>0</v>
      </c>
      <c r="AF683" s="95">
        <v>0</v>
      </c>
      <c r="AG683" s="95">
        <v>0</v>
      </c>
      <c r="AH683" s="95">
        <v>0</v>
      </c>
      <c r="AI683" s="95">
        <v>0</v>
      </c>
      <c r="AJ683" s="3">
        <f>INT(VLOOKUP(U683,模板计算相关数据!A:N,4,0)*VLOOKUP(U683,模板计算相关数据!A:N,14,0)*(1+MAX(0,(VLOOKUP(U683,模板计算相关数据!A:N,7,0)-AQ683))*VLOOKUP(U683,模板计算相关数据!A:N,8,0))*(1-(AL683+AM683)*0.5/((AL683+AM683)*0.5+(VLOOKUP(U683,模板计算相关数据!A:N,2,0)+模板计算相关数据!$AC$27)*模板计算相关数据!$AC$28))*Q683*Z683)</f>
        <v>325</v>
      </c>
      <c r="AK683" s="3">
        <f>INT(VLOOKUP(U683,模板计算相关数据!A:N,3,0)/模板计算相关数据!$W$35/(1+MAX(0,(AO683/10000-VLOOKUP(U683,模板计算相关数据!A:N,9,0)))*AP683/10000)/(1-VLOOKUP(U683,模板计算相关数据!A:N,5,0)/(VLOOKUP(U683,模板计算相关数据!A:N,5,0)+(VLOOKUP(U683,模板计算相关数据!A:N,2,0)+模板计算相关数据!$AC$27)*模板计算相关数据!$AC$28))/S683*AA683)</f>
        <v>102</v>
      </c>
      <c r="AL683" s="3">
        <f>INT(VLOOKUP(U683,模板计算相关数据!A:N,5,0)*VLOOKUP(X683,模板计算相关数据!$P$4:$T$7,4,0)*VLOOKUP(Y683,模板计算相关数据!$P$22:$U$30,4,0)*AB683)</f>
        <v>230</v>
      </c>
      <c r="AM683" s="3">
        <f>INT(VLOOKUP(U683,模板计算相关数据!A:N,6,0)*VLOOKUP(X683,模板计算相关数据!$P$4:$T$7,4,0)*VLOOKUP(Y683,模板计算相关数据!$P$22:$U$30,5,0)*AC683)</f>
        <v>136</v>
      </c>
      <c r="AN683" s="3">
        <f>VLOOKUP(U683,模板计算相关数据!A:N,10,0)*0.5*VLOOKUP(Y683,模板计算相关数据!$P$22:$U$30,6,0)+AD683</f>
        <v>250</v>
      </c>
      <c r="AO683" s="3">
        <f>VLOOKUP(INT(VLOOKUP(U683,模板计算相关数据!A:N,2,0)/30)+1,模板计算相关数据!$O$35:$U$40,3,0)+AE683</f>
        <v>0</v>
      </c>
      <c r="AP683" s="3">
        <f>VLOOKUP(INT(VLOOKUP(U683,模板计算相关数据!A:N,2,0)/30)+1,模板计算相关数据!$O$35:$U$40,4,0)+AF683</f>
        <v>5000</v>
      </c>
      <c r="AQ683" s="3">
        <f>VLOOKUP(INT(VLOOKUP(U683,模板计算相关数据!A:N,2,0)/30)+1,模板计算相关数据!$O$35:$U$40,5,0)+AG683</f>
        <v>0</v>
      </c>
      <c r="AR683" s="3">
        <f>VLOOKUP(INT(VLOOKUP(U683,模板计算相关数据!A:N,2,0)/30)+1,模板计算相关数据!$O$35:$U$40,6,0)+AH683</f>
        <v>0</v>
      </c>
      <c r="AS683" s="3">
        <f>VLOOKUP(INT(VLOOKUP(U683,模板计算相关数据!A:N,2,0)/30)+1,模板计算相关数据!$O$35:$U$40,7,0)+AI683</f>
        <v>0</v>
      </c>
      <c r="AT683" s="3">
        <f>VLOOKUP(INT(VLOOKUP(U683,模板计算相关数据!A:N,2,0)/30)+1,模板计算相关数据!$O$35:$V$40,8,0)</f>
        <v>0</v>
      </c>
      <c r="AU683" s="2"/>
    </row>
    <row r="684" spans="1:47" x14ac:dyDescent="0.2">
      <c r="A684" s="2">
        <v>307242</v>
      </c>
      <c r="B684" s="2"/>
      <c r="C684" s="69" t="s">
        <v>774</v>
      </c>
      <c r="D684" s="69" t="s">
        <v>1227</v>
      </c>
      <c r="E684" s="2"/>
      <c r="F684" s="127">
        <v>3</v>
      </c>
      <c r="G684" s="127">
        <v>101</v>
      </c>
      <c r="H684" s="3">
        <v>1</v>
      </c>
      <c r="I684" s="127">
        <v>5</v>
      </c>
      <c r="J684" s="127">
        <v>1</v>
      </c>
      <c r="K684" s="3"/>
      <c r="L684" s="2" t="s">
        <v>497</v>
      </c>
      <c r="M684" s="2"/>
      <c r="N684" s="2">
        <v>1</v>
      </c>
      <c r="O684" s="2"/>
      <c r="P684" s="3" t="s">
        <v>1615</v>
      </c>
      <c r="Q684" s="95">
        <f t="shared" si="67"/>
        <v>4.417254901960785</v>
      </c>
      <c r="R684" s="133">
        <f>IF(P684=模板计算相关数据!$AB$24,VLOOKUP(X684,模板计算相关数据!$P$47:$T$50,2,0),VLOOKUP(X684,模板计算相关数据!$P$4:$U$7,3,0))*VLOOKUP(Y684,模板计算相关数据!$P$22:$X$30,8,0)</f>
        <v>4.417254901960785</v>
      </c>
      <c r="S684" s="62">
        <f t="shared" si="68"/>
        <v>5.4285280003474252</v>
      </c>
      <c r="T684" s="133">
        <f>IF(P684=模板计算相关数据!$AB$24,VLOOKUP(X684,模板计算相关数据!$P$47:$T$50,5,0),VLOOKUP(X684,模板计算相关数据!$P$4:$U$7,6,0))*VLOOKUP(Y684,模板计算相关数据!$P$22:$X$30,9,0)</f>
        <v>5.4285280003474252</v>
      </c>
      <c r="U684" s="98">
        <v>1</v>
      </c>
      <c r="V684" s="95">
        <f t="shared" si="66"/>
        <v>4</v>
      </c>
      <c r="W684" s="29">
        <f>VLOOKUP(U684,模板计算相关数据!A:N,2,0)</f>
        <v>1</v>
      </c>
      <c r="X684" s="3" t="s">
        <v>151</v>
      </c>
      <c r="Y684" s="3" t="s">
        <v>152</v>
      </c>
      <c r="Z684" s="99">
        <v>1</v>
      </c>
      <c r="AA684" s="95">
        <v>1</v>
      </c>
      <c r="AB684" s="95">
        <v>1</v>
      </c>
      <c r="AC684" s="95">
        <v>1</v>
      </c>
      <c r="AD684" s="95">
        <v>0</v>
      </c>
      <c r="AE684" s="95">
        <v>0</v>
      </c>
      <c r="AF684" s="95">
        <v>0</v>
      </c>
      <c r="AG684" s="95">
        <v>0</v>
      </c>
      <c r="AH684" s="95">
        <v>0</v>
      </c>
      <c r="AI684" s="95">
        <v>0</v>
      </c>
      <c r="AJ684" s="3">
        <f>INT(VLOOKUP(U684,模板计算相关数据!A:N,4,0)*VLOOKUP(U684,模板计算相关数据!A:N,14,0)*(1+MAX(0,(VLOOKUP(U684,模板计算相关数据!A:N,7,0)-AQ684))*VLOOKUP(U684,模板计算相关数据!A:N,8,0))*(1-(AL684+AM684)*0.5/((AL684+AM684)*0.5+(VLOOKUP(U684,模板计算相关数据!A:N,2,0)+模板计算相关数据!$AC$27)*模板计算相关数据!$AC$28))*Q684*Z684)</f>
        <v>325</v>
      </c>
      <c r="AK684" s="3">
        <f>INT(VLOOKUP(U684,模板计算相关数据!A:N,3,0)/模板计算相关数据!$W$35/(1+MAX(0,(AO684/10000-VLOOKUP(U684,模板计算相关数据!A:N,9,0)))*AP684/10000)/(1-VLOOKUP(U684,模板计算相关数据!A:N,5,0)/(VLOOKUP(U684,模板计算相关数据!A:N,5,0)+(VLOOKUP(U684,模板计算相关数据!A:N,2,0)+模板计算相关数据!$AC$27)*模板计算相关数据!$AC$28))/S684*AA684)</f>
        <v>102</v>
      </c>
      <c r="AL684" s="3">
        <f>INT(VLOOKUP(U684,模板计算相关数据!A:N,5,0)*VLOOKUP(X684,模板计算相关数据!$P$4:$T$7,4,0)*VLOOKUP(Y684,模板计算相关数据!$P$22:$U$30,4,0)*AB684)</f>
        <v>230</v>
      </c>
      <c r="AM684" s="3">
        <f>INT(VLOOKUP(U684,模板计算相关数据!A:N,6,0)*VLOOKUP(X684,模板计算相关数据!$P$4:$T$7,4,0)*VLOOKUP(Y684,模板计算相关数据!$P$22:$U$30,5,0)*AC684)</f>
        <v>136</v>
      </c>
      <c r="AN684" s="3">
        <f>VLOOKUP(U684,模板计算相关数据!A:N,10,0)*0.5*VLOOKUP(Y684,模板计算相关数据!$P$22:$U$30,6,0)+AD684</f>
        <v>250</v>
      </c>
      <c r="AO684" s="3">
        <f>VLOOKUP(INT(VLOOKUP(U684,模板计算相关数据!A:N,2,0)/30)+1,模板计算相关数据!$O$35:$U$40,3,0)+AE684</f>
        <v>0</v>
      </c>
      <c r="AP684" s="3">
        <f>VLOOKUP(INT(VLOOKUP(U684,模板计算相关数据!A:N,2,0)/30)+1,模板计算相关数据!$O$35:$U$40,4,0)+AF684</f>
        <v>5000</v>
      </c>
      <c r="AQ684" s="3">
        <f>VLOOKUP(INT(VLOOKUP(U684,模板计算相关数据!A:N,2,0)/30)+1,模板计算相关数据!$O$35:$U$40,5,0)+AG684</f>
        <v>0</v>
      </c>
      <c r="AR684" s="3">
        <f>VLOOKUP(INT(VLOOKUP(U684,模板计算相关数据!A:N,2,0)/30)+1,模板计算相关数据!$O$35:$U$40,6,0)+AH684</f>
        <v>0</v>
      </c>
      <c r="AS684" s="3">
        <f>VLOOKUP(INT(VLOOKUP(U684,模板计算相关数据!A:N,2,0)/30)+1,模板计算相关数据!$O$35:$U$40,7,0)+AI684</f>
        <v>0</v>
      </c>
      <c r="AT684" s="3">
        <f>VLOOKUP(INT(VLOOKUP(U684,模板计算相关数据!A:N,2,0)/30)+1,模板计算相关数据!$O$35:$V$40,8,0)</f>
        <v>0</v>
      </c>
      <c r="AU684" s="2"/>
    </row>
    <row r="685" spans="1:47" x14ac:dyDescent="0.2">
      <c r="A685" s="2">
        <v>307243</v>
      </c>
      <c r="B685" s="2"/>
      <c r="C685" s="69" t="s">
        <v>774</v>
      </c>
      <c r="D685" s="69" t="s">
        <v>1228</v>
      </c>
      <c r="E685" s="2"/>
      <c r="F685" s="127">
        <v>3</v>
      </c>
      <c r="G685" s="127">
        <v>101</v>
      </c>
      <c r="H685" s="3">
        <v>1</v>
      </c>
      <c r="I685" s="127">
        <v>5</v>
      </c>
      <c r="J685" s="127">
        <v>1</v>
      </c>
      <c r="K685" s="3"/>
      <c r="L685" s="2" t="s">
        <v>498</v>
      </c>
      <c r="M685" s="2"/>
      <c r="N685" s="2">
        <v>1</v>
      </c>
      <c r="O685" s="2"/>
      <c r="P685" s="3" t="s">
        <v>1615</v>
      </c>
      <c r="Q685" s="95">
        <f t="shared" si="67"/>
        <v>4.417254901960785</v>
      </c>
      <c r="R685" s="133">
        <f>IF(P685=模板计算相关数据!$AB$24,VLOOKUP(X685,模板计算相关数据!$P$47:$T$50,2,0),VLOOKUP(X685,模板计算相关数据!$P$4:$U$7,3,0))*VLOOKUP(Y685,模板计算相关数据!$P$22:$X$30,8,0)</f>
        <v>4.417254901960785</v>
      </c>
      <c r="S685" s="62">
        <f t="shared" si="68"/>
        <v>5.4285280003474252</v>
      </c>
      <c r="T685" s="133">
        <f>IF(P685=模板计算相关数据!$AB$24,VLOOKUP(X685,模板计算相关数据!$P$47:$T$50,5,0),VLOOKUP(X685,模板计算相关数据!$P$4:$U$7,6,0))*VLOOKUP(Y685,模板计算相关数据!$P$22:$X$30,9,0)</f>
        <v>5.4285280003474252</v>
      </c>
      <c r="U685" s="98">
        <v>1</v>
      </c>
      <c r="V685" s="95">
        <f t="shared" si="66"/>
        <v>4</v>
      </c>
      <c r="W685" s="29">
        <f>VLOOKUP(U685,模板计算相关数据!A:N,2,0)</f>
        <v>1</v>
      </c>
      <c r="X685" s="3" t="s">
        <v>151</v>
      </c>
      <c r="Y685" s="3" t="s">
        <v>152</v>
      </c>
      <c r="Z685" s="99">
        <v>1</v>
      </c>
      <c r="AA685" s="95">
        <v>1</v>
      </c>
      <c r="AB685" s="95">
        <v>1</v>
      </c>
      <c r="AC685" s="95">
        <v>1</v>
      </c>
      <c r="AD685" s="95">
        <v>0</v>
      </c>
      <c r="AE685" s="95">
        <v>0</v>
      </c>
      <c r="AF685" s="95">
        <v>0</v>
      </c>
      <c r="AG685" s="95">
        <v>0</v>
      </c>
      <c r="AH685" s="95">
        <v>0</v>
      </c>
      <c r="AI685" s="95">
        <v>0</v>
      </c>
      <c r="AJ685" s="3">
        <f>INT(VLOOKUP(U685,模板计算相关数据!A:N,4,0)*VLOOKUP(U685,模板计算相关数据!A:N,14,0)*(1+MAX(0,(VLOOKUP(U685,模板计算相关数据!A:N,7,0)-AQ685))*VLOOKUP(U685,模板计算相关数据!A:N,8,0))*(1-(AL685+AM685)*0.5/((AL685+AM685)*0.5+(VLOOKUP(U685,模板计算相关数据!A:N,2,0)+模板计算相关数据!$AC$27)*模板计算相关数据!$AC$28))*Q685*Z685)</f>
        <v>325</v>
      </c>
      <c r="AK685" s="3">
        <f>INT(VLOOKUP(U685,模板计算相关数据!A:N,3,0)/模板计算相关数据!$W$35/(1+MAX(0,(AO685/10000-VLOOKUP(U685,模板计算相关数据!A:N,9,0)))*AP685/10000)/(1-VLOOKUP(U685,模板计算相关数据!A:N,5,0)/(VLOOKUP(U685,模板计算相关数据!A:N,5,0)+(VLOOKUP(U685,模板计算相关数据!A:N,2,0)+模板计算相关数据!$AC$27)*模板计算相关数据!$AC$28))/S685*AA685)</f>
        <v>102</v>
      </c>
      <c r="AL685" s="3">
        <f>INT(VLOOKUP(U685,模板计算相关数据!A:N,5,0)*VLOOKUP(X685,模板计算相关数据!$P$4:$T$7,4,0)*VLOOKUP(Y685,模板计算相关数据!$P$22:$U$30,4,0)*AB685)</f>
        <v>230</v>
      </c>
      <c r="AM685" s="3">
        <f>INT(VLOOKUP(U685,模板计算相关数据!A:N,6,0)*VLOOKUP(X685,模板计算相关数据!$P$4:$T$7,4,0)*VLOOKUP(Y685,模板计算相关数据!$P$22:$U$30,5,0)*AC685)</f>
        <v>136</v>
      </c>
      <c r="AN685" s="3">
        <f>VLOOKUP(U685,模板计算相关数据!A:N,10,0)*0.5*VLOOKUP(Y685,模板计算相关数据!$P$22:$U$30,6,0)+AD685</f>
        <v>250</v>
      </c>
      <c r="AO685" s="3">
        <f>VLOOKUP(INT(VLOOKUP(U685,模板计算相关数据!A:N,2,0)/30)+1,模板计算相关数据!$O$35:$U$40,3,0)+AE685</f>
        <v>0</v>
      </c>
      <c r="AP685" s="3">
        <f>VLOOKUP(INT(VLOOKUP(U685,模板计算相关数据!A:N,2,0)/30)+1,模板计算相关数据!$O$35:$U$40,4,0)+AF685</f>
        <v>5000</v>
      </c>
      <c r="AQ685" s="3">
        <f>VLOOKUP(INT(VLOOKUP(U685,模板计算相关数据!A:N,2,0)/30)+1,模板计算相关数据!$O$35:$U$40,5,0)+AG685</f>
        <v>0</v>
      </c>
      <c r="AR685" s="3">
        <f>VLOOKUP(INT(VLOOKUP(U685,模板计算相关数据!A:N,2,0)/30)+1,模板计算相关数据!$O$35:$U$40,6,0)+AH685</f>
        <v>0</v>
      </c>
      <c r="AS685" s="3">
        <f>VLOOKUP(INT(VLOOKUP(U685,模板计算相关数据!A:N,2,0)/30)+1,模板计算相关数据!$O$35:$U$40,7,0)+AI685</f>
        <v>0</v>
      </c>
      <c r="AT685" s="3">
        <f>VLOOKUP(INT(VLOOKUP(U685,模板计算相关数据!A:N,2,0)/30)+1,模板计算相关数据!$O$35:$V$40,8,0)</f>
        <v>0</v>
      </c>
      <c r="AU685" s="2"/>
    </row>
    <row r="686" spans="1:47" x14ac:dyDescent="0.2">
      <c r="A686" s="2">
        <v>307244</v>
      </c>
      <c r="B686" s="2"/>
      <c r="C686" s="69" t="s">
        <v>774</v>
      </c>
      <c r="D686" s="69" t="s">
        <v>1229</v>
      </c>
      <c r="E686" s="2"/>
      <c r="F686" s="127">
        <v>3</v>
      </c>
      <c r="G686" s="127">
        <v>101</v>
      </c>
      <c r="H686" s="3">
        <v>1</v>
      </c>
      <c r="I686" s="127">
        <v>5</v>
      </c>
      <c r="J686" s="127">
        <v>1</v>
      </c>
      <c r="K686" s="3"/>
      <c r="L686" s="2" t="s">
        <v>499</v>
      </c>
      <c r="M686" s="2"/>
      <c r="N686" s="2">
        <v>1</v>
      </c>
      <c r="O686" s="2"/>
      <c r="P686" s="3" t="s">
        <v>1615</v>
      </c>
      <c r="Q686" s="95">
        <f t="shared" si="67"/>
        <v>4.417254901960785</v>
      </c>
      <c r="R686" s="133">
        <f>IF(P686=模板计算相关数据!$AB$24,VLOOKUP(X686,模板计算相关数据!$P$47:$T$50,2,0),VLOOKUP(X686,模板计算相关数据!$P$4:$U$7,3,0))*VLOOKUP(Y686,模板计算相关数据!$P$22:$X$30,8,0)</f>
        <v>4.417254901960785</v>
      </c>
      <c r="S686" s="62">
        <f t="shared" si="68"/>
        <v>5.4285280003474252</v>
      </c>
      <c r="T686" s="133">
        <f>IF(P686=模板计算相关数据!$AB$24,VLOOKUP(X686,模板计算相关数据!$P$47:$T$50,5,0),VLOOKUP(X686,模板计算相关数据!$P$4:$U$7,6,0))*VLOOKUP(Y686,模板计算相关数据!$P$22:$X$30,9,0)</f>
        <v>5.4285280003474252</v>
      </c>
      <c r="U686" s="98">
        <v>1</v>
      </c>
      <c r="V686" s="95">
        <f t="shared" si="66"/>
        <v>4</v>
      </c>
      <c r="W686" s="29">
        <f>VLOOKUP(U686,模板计算相关数据!A:N,2,0)</f>
        <v>1</v>
      </c>
      <c r="X686" s="3" t="s">
        <v>151</v>
      </c>
      <c r="Y686" s="3" t="s">
        <v>152</v>
      </c>
      <c r="Z686" s="99">
        <v>1</v>
      </c>
      <c r="AA686" s="95">
        <v>1</v>
      </c>
      <c r="AB686" s="95">
        <v>1</v>
      </c>
      <c r="AC686" s="95">
        <v>1</v>
      </c>
      <c r="AD686" s="95">
        <v>0</v>
      </c>
      <c r="AE686" s="95">
        <v>0</v>
      </c>
      <c r="AF686" s="95">
        <v>0</v>
      </c>
      <c r="AG686" s="95">
        <v>0</v>
      </c>
      <c r="AH686" s="95">
        <v>0</v>
      </c>
      <c r="AI686" s="95">
        <v>0</v>
      </c>
      <c r="AJ686" s="3">
        <f>INT(VLOOKUP(U686,模板计算相关数据!A:N,4,0)*VLOOKUP(U686,模板计算相关数据!A:N,14,0)*(1+MAX(0,(VLOOKUP(U686,模板计算相关数据!A:N,7,0)-AQ686))*VLOOKUP(U686,模板计算相关数据!A:N,8,0))*(1-(AL686+AM686)*0.5/((AL686+AM686)*0.5+(VLOOKUP(U686,模板计算相关数据!A:N,2,0)+模板计算相关数据!$AC$27)*模板计算相关数据!$AC$28))*Q686*Z686)</f>
        <v>325</v>
      </c>
      <c r="AK686" s="3">
        <f>INT(VLOOKUP(U686,模板计算相关数据!A:N,3,0)/模板计算相关数据!$W$35/(1+MAX(0,(AO686/10000-VLOOKUP(U686,模板计算相关数据!A:N,9,0)))*AP686/10000)/(1-VLOOKUP(U686,模板计算相关数据!A:N,5,0)/(VLOOKUP(U686,模板计算相关数据!A:N,5,0)+(VLOOKUP(U686,模板计算相关数据!A:N,2,0)+模板计算相关数据!$AC$27)*模板计算相关数据!$AC$28))/S686*AA686)</f>
        <v>102</v>
      </c>
      <c r="AL686" s="3">
        <f>INT(VLOOKUP(U686,模板计算相关数据!A:N,5,0)*VLOOKUP(X686,模板计算相关数据!$P$4:$T$7,4,0)*VLOOKUP(Y686,模板计算相关数据!$P$22:$U$30,4,0)*AB686)</f>
        <v>230</v>
      </c>
      <c r="AM686" s="3">
        <f>INT(VLOOKUP(U686,模板计算相关数据!A:N,6,0)*VLOOKUP(X686,模板计算相关数据!$P$4:$T$7,4,0)*VLOOKUP(Y686,模板计算相关数据!$P$22:$U$30,5,0)*AC686)</f>
        <v>136</v>
      </c>
      <c r="AN686" s="3">
        <f>VLOOKUP(U686,模板计算相关数据!A:N,10,0)*0.5*VLOOKUP(Y686,模板计算相关数据!$P$22:$U$30,6,0)+AD686</f>
        <v>250</v>
      </c>
      <c r="AO686" s="3">
        <f>VLOOKUP(INT(VLOOKUP(U686,模板计算相关数据!A:N,2,0)/30)+1,模板计算相关数据!$O$35:$U$40,3,0)+AE686</f>
        <v>0</v>
      </c>
      <c r="AP686" s="3">
        <f>VLOOKUP(INT(VLOOKUP(U686,模板计算相关数据!A:N,2,0)/30)+1,模板计算相关数据!$O$35:$U$40,4,0)+AF686</f>
        <v>5000</v>
      </c>
      <c r="AQ686" s="3">
        <f>VLOOKUP(INT(VLOOKUP(U686,模板计算相关数据!A:N,2,0)/30)+1,模板计算相关数据!$O$35:$U$40,5,0)+AG686</f>
        <v>0</v>
      </c>
      <c r="AR686" s="3">
        <f>VLOOKUP(INT(VLOOKUP(U686,模板计算相关数据!A:N,2,0)/30)+1,模板计算相关数据!$O$35:$U$40,6,0)+AH686</f>
        <v>0</v>
      </c>
      <c r="AS686" s="3">
        <f>VLOOKUP(INT(VLOOKUP(U686,模板计算相关数据!A:N,2,0)/30)+1,模板计算相关数据!$O$35:$U$40,7,0)+AI686</f>
        <v>0</v>
      </c>
      <c r="AT686" s="3">
        <f>VLOOKUP(INT(VLOOKUP(U686,模板计算相关数据!A:N,2,0)/30)+1,模板计算相关数据!$O$35:$V$40,8,0)</f>
        <v>0</v>
      </c>
      <c r="AU686" s="2"/>
    </row>
    <row r="687" spans="1:47" x14ac:dyDescent="0.2">
      <c r="A687" s="2">
        <v>307245</v>
      </c>
      <c r="B687" s="2"/>
      <c r="C687" s="69" t="s">
        <v>774</v>
      </c>
      <c r="D687" s="69" t="s">
        <v>1230</v>
      </c>
      <c r="E687" s="2"/>
      <c r="F687" s="127">
        <v>3</v>
      </c>
      <c r="G687" s="127">
        <v>101</v>
      </c>
      <c r="H687" s="3">
        <v>1</v>
      </c>
      <c r="I687" s="127">
        <v>5</v>
      </c>
      <c r="J687" s="127">
        <v>1</v>
      </c>
      <c r="K687" s="3"/>
      <c r="L687" s="2" t="s">
        <v>500</v>
      </c>
      <c r="M687" s="2"/>
      <c r="N687" s="2">
        <v>1</v>
      </c>
      <c r="O687" s="2"/>
      <c r="P687" s="3" t="s">
        <v>1615</v>
      </c>
      <c r="Q687" s="95">
        <f t="shared" si="67"/>
        <v>4.417254901960785</v>
      </c>
      <c r="R687" s="133">
        <f>IF(P687=模板计算相关数据!$AB$24,VLOOKUP(X687,模板计算相关数据!$P$47:$T$50,2,0),VLOOKUP(X687,模板计算相关数据!$P$4:$U$7,3,0))*VLOOKUP(Y687,模板计算相关数据!$P$22:$X$30,8,0)</f>
        <v>4.417254901960785</v>
      </c>
      <c r="S687" s="62">
        <f t="shared" si="68"/>
        <v>5.4285280003474252</v>
      </c>
      <c r="T687" s="133">
        <f>IF(P687=模板计算相关数据!$AB$24,VLOOKUP(X687,模板计算相关数据!$P$47:$T$50,5,0),VLOOKUP(X687,模板计算相关数据!$P$4:$U$7,6,0))*VLOOKUP(Y687,模板计算相关数据!$P$22:$X$30,9,0)</f>
        <v>5.4285280003474252</v>
      </c>
      <c r="U687" s="98">
        <v>1</v>
      </c>
      <c r="V687" s="95">
        <f t="shared" si="66"/>
        <v>4</v>
      </c>
      <c r="W687" s="29">
        <f>VLOOKUP(U687,模板计算相关数据!A:N,2,0)</f>
        <v>1</v>
      </c>
      <c r="X687" s="3" t="s">
        <v>151</v>
      </c>
      <c r="Y687" s="3" t="s">
        <v>152</v>
      </c>
      <c r="Z687" s="99">
        <v>1</v>
      </c>
      <c r="AA687" s="95">
        <v>1</v>
      </c>
      <c r="AB687" s="95">
        <v>1</v>
      </c>
      <c r="AC687" s="95">
        <v>1</v>
      </c>
      <c r="AD687" s="95">
        <v>0</v>
      </c>
      <c r="AE687" s="95">
        <v>0</v>
      </c>
      <c r="AF687" s="95">
        <v>0</v>
      </c>
      <c r="AG687" s="95">
        <v>0</v>
      </c>
      <c r="AH687" s="95">
        <v>0</v>
      </c>
      <c r="AI687" s="95">
        <v>0</v>
      </c>
      <c r="AJ687" s="3">
        <f>INT(VLOOKUP(U687,模板计算相关数据!A:N,4,0)*VLOOKUP(U687,模板计算相关数据!A:N,14,0)*(1+MAX(0,(VLOOKUP(U687,模板计算相关数据!A:N,7,0)-AQ687))*VLOOKUP(U687,模板计算相关数据!A:N,8,0))*(1-(AL687+AM687)*0.5/((AL687+AM687)*0.5+(VLOOKUP(U687,模板计算相关数据!A:N,2,0)+模板计算相关数据!$AC$27)*模板计算相关数据!$AC$28))*Q687*Z687)</f>
        <v>325</v>
      </c>
      <c r="AK687" s="3">
        <f>INT(VLOOKUP(U687,模板计算相关数据!A:N,3,0)/模板计算相关数据!$W$35/(1+MAX(0,(AO687/10000-VLOOKUP(U687,模板计算相关数据!A:N,9,0)))*AP687/10000)/(1-VLOOKUP(U687,模板计算相关数据!A:N,5,0)/(VLOOKUP(U687,模板计算相关数据!A:N,5,0)+(VLOOKUP(U687,模板计算相关数据!A:N,2,0)+模板计算相关数据!$AC$27)*模板计算相关数据!$AC$28))/S687*AA687)</f>
        <v>102</v>
      </c>
      <c r="AL687" s="3">
        <f>INT(VLOOKUP(U687,模板计算相关数据!A:N,5,0)*VLOOKUP(X687,模板计算相关数据!$P$4:$T$7,4,0)*VLOOKUP(Y687,模板计算相关数据!$P$22:$U$30,4,0)*AB687)</f>
        <v>230</v>
      </c>
      <c r="AM687" s="3">
        <f>INT(VLOOKUP(U687,模板计算相关数据!A:N,6,0)*VLOOKUP(X687,模板计算相关数据!$P$4:$T$7,4,0)*VLOOKUP(Y687,模板计算相关数据!$P$22:$U$30,5,0)*AC687)</f>
        <v>136</v>
      </c>
      <c r="AN687" s="3">
        <f>VLOOKUP(U687,模板计算相关数据!A:N,10,0)*0.5*VLOOKUP(Y687,模板计算相关数据!$P$22:$U$30,6,0)+AD687</f>
        <v>250</v>
      </c>
      <c r="AO687" s="3">
        <f>VLOOKUP(INT(VLOOKUP(U687,模板计算相关数据!A:N,2,0)/30)+1,模板计算相关数据!$O$35:$U$40,3,0)+AE687</f>
        <v>0</v>
      </c>
      <c r="AP687" s="3">
        <f>VLOOKUP(INT(VLOOKUP(U687,模板计算相关数据!A:N,2,0)/30)+1,模板计算相关数据!$O$35:$U$40,4,0)+AF687</f>
        <v>5000</v>
      </c>
      <c r="AQ687" s="3">
        <f>VLOOKUP(INT(VLOOKUP(U687,模板计算相关数据!A:N,2,0)/30)+1,模板计算相关数据!$O$35:$U$40,5,0)+AG687</f>
        <v>0</v>
      </c>
      <c r="AR687" s="3">
        <f>VLOOKUP(INT(VLOOKUP(U687,模板计算相关数据!A:N,2,0)/30)+1,模板计算相关数据!$O$35:$U$40,6,0)+AH687</f>
        <v>0</v>
      </c>
      <c r="AS687" s="3">
        <f>VLOOKUP(INT(VLOOKUP(U687,模板计算相关数据!A:N,2,0)/30)+1,模板计算相关数据!$O$35:$U$40,7,0)+AI687</f>
        <v>0</v>
      </c>
      <c r="AT687" s="3">
        <f>VLOOKUP(INT(VLOOKUP(U687,模板计算相关数据!A:N,2,0)/30)+1,模板计算相关数据!$O$35:$V$40,8,0)</f>
        <v>0</v>
      </c>
      <c r="AU687" s="2"/>
    </row>
    <row r="688" spans="1:47" x14ac:dyDescent="0.2">
      <c r="A688" s="17">
        <v>307246</v>
      </c>
      <c r="B688" s="17"/>
      <c r="C688" s="17" t="s">
        <v>501</v>
      </c>
      <c r="D688" s="25" t="s">
        <v>1231</v>
      </c>
      <c r="E688" s="17"/>
      <c r="F688" s="152">
        <v>3</v>
      </c>
      <c r="G688" s="152">
        <v>101</v>
      </c>
      <c r="H688" s="43">
        <v>3</v>
      </c>
      <c r="I688" s="152">
        <v>5</v>
      </c>
      <c r="J688" s="152">
        <v>1</v>
      </c>
      <c r="K688" s="43"/>
      <c r="L688" s="2" t="s">
        <v>502</v>
      </c>
      <c r="M688" s="2"/>
      <c r="N688" s="2">
        <v>1</v>
      </c>
      <c r="O688" s="2"/>
      <c r="P688" s="3" t="s">
        <v>1615</v>
      </c>
      <c r="Q688" s="95">
        <f t="shared" si="67"/>
        <v>5.6000000000000014</v>
      </c>
      <c r="R688" s="133">
        <f>IF(P688=模板计算相关数据!$AB$24,VLOOKUP(X688,模板计算相关数据!$P$47:$T$50,2,0),VLOOKUP(X688,模板计算相关数据!$P$4:$U$7,3,0))*VLOOKUP(Y688,模板计算相关数据!$P$22:$X$30,8,0)</f>
        <v>5.6000000000000014</v>
      </c>
      <c r="S688" s="62">
        <f t="shared" si="68"/>
        <v>6.6693344004268367</v>
      </c>
      <c r="T688" s="133">
        <f>IF(P688=模板计算相关数据!$AB$24,VLOOKUP(X688,模板计算相关数据!$P$47:$T$50,5,0),VLOOKUP(X688,模板计算相关数据!$P$4:$U$7,6,0))*VLOOKUP(Y688,模板计算相关数据!$P$22:$X$30,9,0)</f>
        <v>6.6693344004268367</v>
      </c>
      <c r="U688" s="98">
        <v>1</v>
      </c>
      <c r="V688" s="95">
        <f t="shared" ref="V688:V751" si="69">W688+3</f>
        <v>4</v>
      </c>
      <c r="W688" s="29">
        <f>VLOOKUP(U688,模板计算相关数据!A:N,2,0)</f>
        <v>1</v>
      </c>
      <c r="X688" s="3" t="s">
        <v>151</v>
      </c>
      <c r="Y688" s="3" t="s">
        <v>255</v>
      </c>
      <c r="Z688" s="99">
        <v>1</v>
      </c>
      <c r="AA688" s="95">
        <v>1</v>
      </c>
      <c r="AB688" s="95">
        <v>1</v>
      </c>
      <c r="AC688" s="95">
        <v>1</v>
      </c>
      <c r="AD688" s="95">
        <v>0</v>
      </c>
      <c r="AE688" s="95">
        <v>0</v>
      </c>
      <c r="AF688" s="95">
        <v>0</v>
      </c>
      <c r="AG688" s="95">
        <v>0</v>
      </c>
      <c r="AH688" s="95">
        <v>0</v>
      </c>
      <c r="AI688" s="95">
        <v>0</v>
      </c>
      <c r="AJ688" s="3">
        <f>INT(VLOOKUP(U688,模板计算相关数据!A:N,4,0)*VLOOKUP(U688,模板计算相关数据!A:N,14,0)*(1+MAX(0,(VLOOKUP(U688,模板计算相关数据!A:N,7,0)-AQ688))*VLOOKUP(U688,模板计算相关数据!A:N,8,0))*(1-(AL688+AM688)*0.5/((AL688+AM688)*0.5+(VLOOKUP(U688,模板计算相关数据!A:N,2,0)+模板计算相关数据!$AC$27)*模板计算相关数据!$AC$28))*Q688*Z688)</f>
        <v>394</v>
      </c>
      <c r="AK688" s="3">
        <f>INT(VLOOKUP(U688,模板计算相关数据!A:N,3,0)/模板计算相关数据!$W$35/(1+MAX(0,(AO688/10000-VLOOKUP(U688,模板计算相关数据!A:N,9,0)))*AP688/10000)/(1-VLOOKUP(U688,模板计算相关数据!A:N,5,0)/(VLOOKUP(U688,模板计算相关数据!A:N,5,0)+(VLOOKUP(U688,模板计算相关数据!A:N,2,0)+模板计算相关数据!$AC$27)*模板计算相关数据!$AC$28))/S688*AA688)</f>
        <v>83</v>
      </c>
      <c r="AL688" s="3">
        <f>INT(VLOOKUP(U688,模板计算相关数据!A:N,5,0)*VLOOKUP(X688,模板计算相关数据!$P$4:$T$7,4,0)*VLOOKUP(Y688,模板计算相关数据!$P$22:$U$30,4,0)*AB688)</f>
        <v>149</v>
      </c>
      <c r="AM688" s="3">
        <f>INT(VLOOKUP(U688,模板计算相关数据!A:N,6,0)*VLOOKUP(X688,模板计算相关数据!$P$4:$T$7,4,0)*VLOOKUP(Y688,模板计算相关数据!$P$22:$U$30,5,0)*AC688)</f>
        <v>277</v>
      </c>
      <c r="AN688" s="3">
        <f>VLOOKUP(U688,模板计算相关数据!A:N,10,0)*0.5*VLOOKUP(Y688,模板计算相关数据!$P$22:$U$30,6,0)+AD688</f>
        <v>225</v>
      </c>
      <c r="AO688" s="3">
        <f>VLOOKUP(INT(VLOOKUP(U688,模板计算相关数据!A:N,2,0)/30)+1,模板计算相关数据!$O$35:$U$40,3,0)+AE688</f>
        <v>0</v>
      </c>
      <c r="AP688" s="3">
        <f>VLOOKUP(INT(VLOOKUP(U688,模板计算相关数据!A:N,2,0)/30)+1,模板计算相关数据!$O$35:$U$40,4,0)+AF688</f>
        <v>5000</v>
      </c>
      <c r="AQ688" s="3">
        <f>VLOOKUP(INT(VLOOKUP(U688,模板计算相关数据!A:N,2,0)/30)+1,模板计算相关数据!$O$35:$U$40,5,0)+AG688</f>
        <v>0</v>
      </c>
      <c r="AR688" s="3">
        <f>VLOOKUP(INT(VLOOKUP(U688,模板计算相关数据!A:N,2,0)/30)+1,模板计算相关数据!$O$35:$U$40,6,0)+AH688</f>
        <v>0</v>
      </c>
      <c r="AS688" s="3">
        <f>VLOOKUP(INT(VLOOKUP(U688,模板计算相关数据!A:N,2,0)/30)+1,模板计算相关数据!$O$35:$U$40,7,0)+AI688</f>
        <v>0</v>
      </c>
      <c r="AT688" s="3">
        <f>VLOOKUP(INT(VLOOKUP(U688,模板计算相关数据!A:N,2,0)/30)+1,模板计算相关数据!$O$35:$V$40,8,0)</f>
        <v>0</v>
      </c>
      <c r="AU688" s="2"/>
    </row>
    <row r="689" spans="1:47" x14ac:dyDescent="0.2">
      <c r="A689" s="2">
        <v>307247</v>
      </c>
      <c r="B689" s="2"/>
      <c r="C689" s="2" t="s">
        <v>343</v>
      </c>
      <c r="D689" s="69" t="s">
        <v>1232</v>
      </c>
      <c r="E689" s="2"/>
      <c r="F689" s="127">
        <v>3</v>
      </c>
      <c r="G689" s="127">
        <v>101</v>
      </c>
      <c r="H689" s="3">
        <v>3</v>
      </c>
      <c r="I689" s="127">
        <v>5</v>
      </c>
      <c r="J689" s="127">
        <v>1</v>
      </c>
      <c r="K689" s="3"/>
      <c r="L689" s="2" t="s">
        <v>503</v>
      </c>
      <c r="M689" s="2"/>
      <c r="N689" s="2">
        <v>1</v>
      </c>
      <c r="O689" s="2"/>
      <c r="P689" s="3" t="s">
        <v>1615</v>
      </c>
      <c r="Q689" s="95">
        <f t="shared" si="67"/>
        <v>5.6000000000000014</v>
      </c>
      <c r="R689" s="133">
        <f>IF(P689=模板计算相关数据!$AB$24,VLOOKUP(X689,模板计算相关数据!$P$47:$T$50,2,0),VLOOKUP(X689,模板计算相关数据!$P$4:$U$7,3,0))*VLOOKUP(Y689,模板计算相关数据!$P$22:$X$30,8,0)</f>
        <v>5.6000000000000014</v>
      </c>
      <c r="S689" s="62">
        <f t="shared" si="68"/>
        <v>6.6693344004268367</v>
      </c>
      <c r="T689" s="133">
        <f>IF(P689=模板计算相关数据!$AB$24,VLOOKUP(X689,模板计算相关数据!$P$47:$T$50,5,0),VLOOKUP(X689,模板计算相关数据!$P$4:$U$7,6,0))*VLOOKUP(Y689,模板计算相关数据!$P$22:$X$30,9,0)</f>
        <v>6.6693344004268367</v>
      </c>
      <c r="U689" s="98">
        <v>1</v>
      </c>
      <c r="V689" s="95">
        <f t="shared" si="69"/>
        <v>4</v>
      </c>
      <c r="W689" s="29">
        <f>VLOOKUP(U689,模板计算相关数据!A:N,2,0)</f>
        <v>1</v>
      </c>
      <c r="X689" s="3" t="s">
        <v>151</v>
      </c>
      <c r="Y689" s="3" t="s">
        <v>255</v>
      </c>
      <c r="Z689" s="99">
        <v>1</v>
      </c>
      <c r="AA689" s="95">
        <v>1</v>
      </c>
      <c r="AB689" s="95">
        <v>1</v>
      </c>
      <c r="AC689" s="95">
        <v>1</v>
      </c>
      <c r="AD689" s="95">
        <v>0</v>
      </c>
      <c r="AE689" s="95">
        <v>0</v>
      </c>
      <c r="AF689" s="95">
        <v>0</v>
      </c>
      <c r="AG689" s="95">
        <v>0</v>
      </c>
      <c r="AH689" s="95">
        <v>0</v>
      </c>
      <c r="AI689" s="95">
        <v>0</v>
      </c>
      <c r="AJ689" s="3">
        <f>INT(VLOOKUP(U689,模板计算相关数据!A:N,4,0)*VLOOKUP(U689,模板计算相关数据!A:N,14,0)*(1+MAX(0,(VLOOKUP(U689,模板计算相关数据!A:N,7,0)-AQ689))*VLOOKUP(U689,模板计算相关数据!A:N,8,0))*(1-(AL689+AM689)*0.5/((AL689+AM689)*0.5+(VLOOKUP(U689,模板计算相关数据!A:N,2,0)+模板计算相关数据!$AC$27)*模板计算相关数据!$AC$28))*Q689*Z689)</f>
        <v>394</v>
      </c>
      <c r="AK689" s="3">
        <f>INT(VLOOKUP(U689,模板计算相关数据!A:N,3,0)/模板计算相关数据!$W$35/(1+MAX(0,(AO689/10000-VLOOKUP(U689,模板计算相关数据!A:N,9,0)))*AP689/10000)/(1-VLOOKUP(U689,模板计算相关数据!A:N,5,0)/(VLOOKUP(U689,模板计算相关数据!A:N,5,0)+(VLOOKUP(U689,模板计算相关数据!A:N,2,0)+模板计算相关数据!$AC$27)*模板计算相关数据!$AC$28))/S689*AA689)</f>
        <v>83</v>
      </c>
      <c r="AL689" s="3">
        <f>INT(VLOOKUP(U689,模板计算相关数据!A:N,5,0)*VLOOKUP(X689,模板计算相关数据!$P$4:$T$7,4,0)*VLOOKUP(Y689,模板计算相关数据!$P$22:$U$30,4,0)*AB689)</f>
        <v>149</v>
      </c>
      <c r="AM689" s="3">
        <f>INT(VLOOKUP(U689,模板计算相关数据!A:N,6,0)*VLOOKUP(X689,模板计算相关数据!$P$4:$T$7,4,0)*VLOOKUP(Y689,模板计算相关数据!$P$22:$U$30,5,0)*AC689)</f>
        <v>277</v>
      </c>
      <c r="AN689" s="3">
        <f>VLOOKUP(U689,模板计算相关数据!A:N,10,0)*0.5*VLOOKUP(Y689,模板计算相关数据!$P$22:$U$30,6,0)+AD689</f>
        <v>225</v>
      </c>
      <c r="AO689" s="3">
        <f>VLOOKUP(INT(VLOOKUP(U689,模板计算相关数据!A:N,2,0)/30)+1,模板计算相关数据!$O$35:$U$40,3,0)+AE689</f>
        <v>0</v>
      </c>
      <c r="AP689" s="3">
        <f>VLOOKUP(INT(VLOOKUP(U689,模板计算相关数据!A:N,2,0)/30)+1,模板计算相关数据!$O$35:$U$40,4,0)+AF689</f>
        <v>5000</v>
      </c>
      <c r="AQ689" s="3">
        <f>VLOOKUP(INT(VLOOKUP(U689,模板计算相关数据!A:N,2,0)/30)+1,模板计算相关数据!$O$35:$U$40,5,0)+AG689</f>
        <v>0</v>
      </c>
      <c r="AR689" s="3">
        <f>VLOOKUP(INT(VLOOKUP(U689,模板计算相关数据!A:N,2,0)/30)+1,模板计算相关数据!$O$35:$U$40,6,0)+AH689</f>
        <v>0</v>
      </c>
      <c r="AS689" s="3">
        <f>VLOOKUP(INT(VLOOKUP(U689,模板计算相关数据!A:N,2,0)/30)+1,模板计算相关数据!$O$35:$U$40,7,0)+AI689</f>
        <v>0</v>
      </c>
      <c r="AT689" s="3">
        <f>VLOOKUP(INT(VLOOKUP(U689,模板计算相关数据!A:N,2,0)/30)+1,模板计算相关数据!$O$35:$V$40,8,0)</f>
        <v>0</v>
      </c>
      <c r="AU689" s="2"/>
    </row>
    <row r="690" spans="1:47" x14ac:dyDescent="0.2">
      <c r="A690" s="2">
        <v>307248</v>
      </c>
      <c r="B690" s="2"/>
      <c r="C690" s="2" t="s">
        <v>343</v>
      </c>
      <c r="D690" s="69" t="s">
        <v>1233</v>
      </c>
      <c r="E690" s="2"/>
      <c r="F690" s="127">
        <v>3</v>
      </c>
      <c r="G690" s="127">
        <v>101</v>
      </c>
      <c r="H690" s="3">
        <v>3</v>
      </c>
      <c r="I690" s="127">
        <v>5</v>
      </c>
      <c r="J690" s="127">
        <v>1</v>
      </c>
      <c r="K690" s="3"/>
      <c r="L690" s="2" t="s">
        <v>504</v>
      </c>
      <c r="M690" s="2"/>
      <c r="N690" s="2">
        <v>1</v>
      </c>
      <c r="O690" s="2"/>
      <c r="P690" s="3" t="s">
        <v>1615</v>
      </c>
      <c r="Q690" s="95">
        <f t="shared" si="67"/>
        <v>5.6000000000000014</v>
      </c>
      <c r="R690" s="133">
        <f>IF(P690=模板计算相关数据!$AB$24,VLOOKUP(X690,模板计算相关数据!$P$47:$T$50,2,0),VLOOKUP(X690,模板计算相关数据!$P$4:$U$7,3,0))*VLOOKUP(Y690,模板计算相关数据!$P$22:$X$30,8,0)</f>
        <v>5.6000000000000014</v>
      </c>
      <c r="S690" s="62">
        <f t="shared" si="68"/>
        <v>6.6693344004268367</v>
      </c>
      <c r="T690" s="133">
        <f>IF(P690=模板计算相关数据!$AB$24,VLOOKUP(X690,模板计算相关数据!$P$47:$T$50,5,0),VLOOKUP(X690,模板计算相关数据!$P$4:$U$7,6,0))*VLOOKUP(Y690,模板计算相关数据!$P$22:$X$30,9,0)</f>
        <v>6.6693344004268367</v>
      </c>
      <c r="U690" s="98">
        <v>1</v>
      </c>
      <c r="V690" s="95">
        <f t="shared" si="69"/>
        <v>4</v>
      </c>
      <c r="W690" s="29">
        <f>VLOOKUP(U690,模板计算相关数据!A:N,2,0)</f>
        <v>1</v>
      </c>
      <c r="X690" s="3" t="s">
        <v>151</v>
      </c>
      <c r="Y690" s="3" t="s">
        <v>255</v>
      </c>
      <c r="Z690" s="99">
        <v>1</v>
      </c>
      <c r="AA690" s="95">
        <v>1</v>
      </c>
      <c r="AB690" s="95">
        <v>1</v>
      </c>
      <c r="AC690" s="95">
        <v>1</v>
      </c>
      <c r="AD690" s="95">
        <v>0</v>
      </c>
      <c r="AE690" s="95">
        <v>0</v>
      </c>
      <c r="AF690" s="95">
        <v>0</v>
      </c>
      <c r="AG690" s="95">
        <v>0</v>
      </c>
      <c r="AH690" s="95">
        <v>0</v>
      </c>
      <c r="AI690" s="95">
        <v>0</v>
      </c>
      <c r="AJ690" s="3">
        <f>INT(VLOOKUP(U690,模板计算相关数据!A:N,4,0)*VLOOKUP(U690,模板计算相关数据!A:N,14,0)*(1+MAX(0,(VLOOKUP(U690,模板计算相关数据!A:N,7,0)-AQ690))*VLOOKUP(U690,模板计算相关数据!A:N,8,0))*(1-(AL690+AM690)*0.5/((AL690+AM690)*0.5+(VLOOKUP(U690,模板计算相关数据!A:N,2,0)+模板计算相关数据!$AC$27)*模板计算相关数据!$AC$28))*Q690*Z690)</f>
        <v>394</v>
      </c>
      <c r="AK690" s="3">
        <f>INT(VLOOKUP(U690,模板计算相关数据!A:N,3,0)/模板计算相关数据!$W$35/(1+MAX(0,(AO690/10000-VLOOKUP(U690,模板计算相关数据!A:N,9,0)))*AP690/10000)/(1-VLOOKUP(U690,模板计算相关数据!A:N,5,0)/(VLOOKUP(U690,模板计算相关数据!A:N,5,0)+(VLOOKUP(U690,模板计算相关数据!A:N,2,0)+模板计算相关数据!$AC$27)*模板计算相关数据!$AC$28))/S690*AA690)</f>
        <v>83</v>
      </c>
      <c r="AL690" s="3">
        <f>INT(VLOOKUP(U690,模板计算相关数据!A:N,5,0)*VLOOKUP(X690,模板计算相关数据!$P$4:$T$7,4,0)*VLOOKUP(Y690,模板计算相关数据!$P$22:$U$30,4,0)*AB690)</f>
        <v>149</v>
      </c>
      <c r="AM690" s="3">
        <f>INT(VLOOKUP(U690,模板计算相关数据!A:N,6,0)*VLOOKUP(X690,模板计算相关数据!$P$4:$T$7,4,0)*VLOOKUP(Y690,模板计算相关数据!$P$22:$U$30,5,0)*AC690)</f>
        <v>277</v>
      </c>
      <c r="AN690" s="3">
        <f>VLOOKUP(U690,模板计算相关数据!A:N,10,0)*0.5*VLOOKUP(Y690,模板计算相关数据!$P$22:$U$30,6,0)+AD690</f>
        <v>225</v>
      </c>
      <c r="AO690" s="3">
        <f>VLOOKUP(INT(VLOOKUP(U690,模板计算相关数据!A:N,2,0)/30)+1,模板计算相关数据!$O$35:$U$40,3,0)+AE690</f>
        <v>0</v>
      </c>
      <c r="AP690" s="3">
        <f>VLOOKUP(INT(VLOOKUP(U690,模板计算相关数据!A:N,2,0)/30)+1,模板计算相关数据!$O$35:$U$40,4,0)+AF690</f>
        <v>5000</v>
      </c>
      <c r="AQ690" s="3">
        <f>VLOOKUP(INT(VLOOKUP(U690,模板计算相关数据!A:N,2,0)/30)+1,模板计算相关数据!$O$35:$U$40,5,0)+AG690</f>
        <v>0</v>
      </c>
      <c r="AR690" s="3">
        <f>VLOOKUP(INT(VLOOKUP(U690,模板计算相关数据!A:N,2,0)/30)+1,模板计算相关数据!$O$35:$U$40,6,0)+AH690</f>
        <v>0</v>
      </c>
      <c r="AS690" s="3">
        <f>VLOOKUP(INT(VLOOKUP(U690,模板计算相关数据!A:N,2,0)/30)+1,模板计算相关数据!$O$35:$U$40,7,0)+AI690</f>
        <v>0</v>
      </c>
      <c r="AT690" s="3">
        <f>VLOOKUP(INT(VLOOKUP(U690,模板计算相关数据!A:N,2,0)/30)+1,模板计算相关数据!$O$35:$V$40,8,0)</f>
        <v>0</v>
      </c>
      <c r="AU690" s="2"/>
    </row>
    <row r="691" spans="1:47" x14ac:dyDescent="0.2">
      <c r="A691" s="2">
        <v>307249</v>
      </c>
      <c r="B691" s="2"/>
      <c r="C691" s="2" t="s">
        <v>326</v>
      </c>
      <c r="D691" s="2" t="s">
        <v>1234</v>
      </c>
      <c r="E691" s="2"/>
      <c r="F691" s="127">
        <v>3</v>
      </c>
      <c r="G691" s="127">
        <v>101</v>
      </c>
      <c r="H691" s="3">
        <v>5</v>
      </c>
      <c r="I691" s="127">
        <v>5</v>
      </c>
      <c r="J691" s="127">
        <v>1</v>
      </c>
      <c r="K691" s="3"/>
      <c r="L691" s="2" t="s">
        <v>505</v>
      </c>
      <c r="M691" s="2"/>
      <c r="N691" s="2">
        <v>1</v>
      </c>
      <c r="O691" s="2"/>
      <c r="P691" s="3" t="s">
        <v>1615</v>
      </c>
      <c r="Q691" s="95">
        <f t="shared" si="67"/>
        <v>5.7709803921568623</v>
      </c>
      <c r="R691" s="133">
        <f>IF(P691=模板计算相关数据!$AB$24,VLOOKUP(X691,模板计算相关数据!$P$47:$T$50,2,0),VLOOKUP(X691,模板计算相关数据!$P$4:$U$7,3,0))*VLOOKUP(Y691,模板计算相关数据!$P$22:$X$30,8,0)</f>
        <v>5.7709803921568623</v>
      </c>
      <c r="S691" s="62">
        <f t="shared" si="68"/>
        <v>6.4077918749199023</v>
      </c>
      <c r="T691" s="133">
        <f>IF(P691=模板计算相关数据!$AB$24,VLOOKUP(X691,模板计算相关数据!$P$47:$T$50,5,0),VLOOKUP(X691,模板计算相关数据!$P$4:$U$7,6,0))*VLOOKUP(Y691,模板计算相关数据!$P$22:$X$30,9,0)</f>
        <v>6.4077918749199023</v>
      </c>
      <c r="U691" s="98">
        <v>1</v>
      </c>
      <c r="V691" s="95">
        <f t="shared" si="69"/>
        <v>4</v>
      </c>
      <c r="W691" s="29">
        <f>VLOOKUP(U691,模板计算相关数据!A:N,2,0)</f>
        <v>1</v>
      </c>
      <c r="X691" s="3" t="s">
        <v>151</v>
      </c>
      <c r="Y691" s="3" t="s">
        <v>243</v>
      </c>
      <c r="Z691" s="99">
        <v>1</v>
      </c>
      <c r="AA691" s="95">
        <v>1</v>
      </c>
      <c r="AB691" s="95">
        <v>1</v>
      </c>
      <c r="AC691" s="95">
        <v>1</v>
      </c>
      <c r="AD691" s="95">
        <v>0</v>
      </c>
      <c r="AE691" s="95">
        <v>0</v>
      </c>
      <c r="AF691" s="95">
        <v>0</v>
      </c>
      <c r="AG691" s="95">
        <v>0</v>
      </c>
      <c r="AH691" s="95">
        <v>0</v>
      </c>
      <c r="AI691" s="95">
        <v>0</v>
      </c>
      <c r="AJ691" s="3">
        <f>INT(VLOOKUP(U691,模板计算相关数据!A:N,4,0)*VLOOKUP(U691,模板计算相关数据!A:N,14,0)*(1+MAX(0,(VLOOKUP(U691,模板计算相关数据!A:N,7,0)-AQ691))*VLOOKUP(U691,模板计算相关数据!A:N,8,0))*(1-(AL691+AM691)*0.5/((AL691+AM691)*0.5+(VLOOKUP(U691,模板计算相关数据!A:N,2,0)+模板计算相关数据!$AC$27)*模板计算相关数据!$AC$28))*Q691*Z691)</f>
        <v>411</v>
      </c>
      <c r="AK691" s="3">
        <f>INT(VLOOKUP(U691,模板计算相关数据!A:N,3,0)/模板计算相关数据!$W$35/(1+MAX(0,(AO691/10000-VLOOKUP(U691,模板计算相关数据!A:N,9,0)))*AP691/10000)/(1-VLOOKUP(U691,模板计算相关数据!A:N,5,0)/(VLOOKUP(U691,模板计算相关数据!A:N,5,0)+(VLOOKUP(U691,模板计算相关数据!A:N,2,0)+模板计算相关数据!$AC$27)*模板计算相关数据!$AC$28))/S691*AA691)</f>
        <v>86</v>
      </c>
      <c r="AL691" s="3">
        <f>INT(VLOOKUP(U691,模板计算相关数据!A:N,5,0)*VLOOKUP(X691,模板计算相关数据!$P$4:$T$7,4,0)*VLOOKUP(Y691,模板计算相关数据!$P$22:$U$30,4,0)*AB691)</f>
        <v>145</v>
      </c>
      <c r="AM691" s="3">
        <f>INT(VLOOKUP(U691,模板计算相关数据!A:N,6,0)*VLOOKUP(X691,模板计算相关数据!$P$4:$T$7,4,0)*VLOOKUP(Y691,模板计算相关数据!$P$22:$U$30,5,0)*AC691)</f>
        <v>264</v>
      </c>
      <c r="AN691" s="3">
        <f>VLOOKUP(U691,模板计算相关数据!A:N,10,0)*0.5*VLOOKUP(Y691,模板计算相关数据!$P$22:$U$30,6,0)+AD691</f>
        <v>275</v>
      </c>
      <c r="AO691" s="3">
        <f>VLOOKUP(INT(VLOOKUP(U691,模板计算相关数据!A:N,2,0)/30)+1,模板计算相关数据!$O$35:$U$40,3,0)+AE691</f>
        <v>0</v>
      </c>
      <c r="AP691" s="3">
        <f>VLOOKUP(INT(VLOOKUP(U691,模板计算相关数据!A:N,2,0)/30)+1,模板计算相关数据!$O$35:$U$40,4,0)+AF691</f>
        <v>5000</v>
      </c>
      <c r="AQ691" s="3">
        <f>VLOOKUP(INT(VLOOKUP(U691,模板计算相关数据!A:N,2,0)/30)+1,模板计算相关数据!$O$35:$U$40,5,0)+AG691</f>
        <v>0</v>
      </c>
      <c r="AR691" s="3">
        <f>VLOOKUP(INT(VLOOKUP(U691,模板计算相关数据!A:N,2,0)/30)+1,模板计算相关数据!$O$35:$U$40,6,0)+AH691</f>
        <v>0</v>
      </c>
      <c r="AS691" s="3">
        <f>VLOOKUP(INT(VLOOKUP(U691,模板计算相关数据!A:N,2,0)/30)+1,模板计算相关数据!$O$35:$U$40,7,0)+AI691</f>
        <v>0</v>
      </c>
      <c r="AT691" s="3">
        <f>VLOOKUP(INT(VLOOKUP(U691,模板计算相关数据!A:N,2,0)/30)+1,模板计算相关数据!$O$35:$V$40,8,0)</f>
        <v>0</v>
      </c>
      <c r="AU691" s="2"/>
    </row>
    <row r="692" spans="1:47" x14ac:dyDescent="0.2">
      <c r="A692" s="2">
        <v>307250</v>
      </c>
      <c r="B692" s="2"/>
      <c r="C692" s="2" t="s">
        <v>326</v>
      </c>
      <c r="D692" s="2" t="s">
        <v>1235</v>
      </c>
      <c r="E692" s="2"/>
      <c r="F692" s="127">
        <v>3</v>
      </c>
      <c r="G692" s="127">
        <v>101</v>
      </c>
      <c r="H692" s="3">
        <v>5</v>
      </c>
      <c r="I692" s="127">
        <v>5</v>
      </c>
      <c r="J692" s="127">
        <v>1</v>
      </c>
      <c r="K692" s="3"/>
      <c r="L692" s="2" t="s">
        <v>506</v>
      </c>
      <c r="M692" s="2"/>
      <c r="N692" s="2">
        <v>1</v>
      </c>
      <c r="O692" s="2"/>
      <c r="P692" s="3" t="s">
        <v>1615</v>
      </c>
      <c r="Q692" s="95">
        <f t="shared" si="67"/>
        <v>5.7709803921568623</v>
      </c>
      <c r="R692" s="133">
        <f>IF(P692=模板计算相关数据!$AB$24,VLOOKUP(X692,模板计算相关数据!$P$47:$T$50,2,0),VLOOKUP(X692,模板计算相关数据!$P$4:$U$7,3,0))*VLOOKUP(Y692,模板计算相关数据!$P$22:$X$30,8,0)</f>
        <v>5.7709803921568623</v>
      </c>
      <c r="S692" s="62">
        <f t="shared" si="68"/>
        <v>6.4077918749199023</v>
      </c>
      <c r="T692" s="133">
        <f>IF(P692=模板计算相关数据!$AB$24,VLOOKUP(X692,模板计算相关数据!$P$47:$T$50,5,0),VLOOKUP(X692,模板计算相关数据!$P$4:$U$7,6,0))*VLOOKUP(Y692,模板计算相关数据!$P$22:$X$30,9,0)</f>
        <v>6.4077918749199023</v>
      </c>
      <c r="U692" s="98">
        <v>1</v>
      </c>
      <c r="V692" s="95">
        <f t="shared" si="69"/>
        <v>4</v>
      </c>
      <c r="W692" s="29">
        <f>VLOOKUP(U692,模板计算相关数据!A:N,2,0)</f>
        <v>1</v>
      </c>
      <c r="X692" s="3" t="s">
        <v>151</v>
      </c>
      <c r="Y692" s="3" t="s">
        <v>243</v>
      </c>
      <c r="Z692" s="99">
        <v>1</v>
      </c>
      <c r="AA692" s="95">
        <v>1</v>
      </c>
      <c r="AB692" s="95">
        <v>1</v>
      </c>
      <c r="AC692" s="95">
        <v>1</v>
      </c>
      <c r="AD692" s="95">
        <v>0</v>
      </c>
      <c r="AE692" s="95">
        <v>0</v>
      </c>
      <c r="AF692" s="95">
        <v>0</v>
      </c>
      <c r="AG692" s="95">
        <v>0</v>
      </c>
      <c r="AH692" s="95">
        <v>0</v>
      </c>
      <c r="AI692" s="95">
        <v>0</v>
      </c>
      <c r="AJ692" s="3">
        <f>INT(VLOOKUP(U692,模板计算相关数据!A:N,4,0)*VLOOKUP(U692,模板计算相关数据!A:N,14,0)*(1+MAX(0,(VLOOKUP(U692,模板计算相关数据!A:N,7,0)-AQ692))*VLOOKUP(U692,模板计算相关数据!A:N,8,0))*(1-(AL692+AM692)*0.5/((AL692+AM692)*0.5+(VLOOKUP(U692,模板计算相关数据!A:N,2,0)+模板计算相关数据!$AC$27)*模板计算相关数据!$AC$28))*Q692*Z692)</f>
        <v>411</v>
      </c>
      <c r="AK692" s="3">
        <f>INT(VLOOKUP(U692,模板计算相关数据!A:N,3,0)/模板计算相关数据!$W$35/(1+MAX(0,(AO692/10000-VLOOKUP(U692,模板计算相关数据!A:N,9,0)))*AP692/10000)/(1-VLOOKUP(U692,模板计算相关数据!A:N,5,0)/(VLOOKUP(U692,模板计算相关数据!A:N,5,0)+(VLOOKUP(U692,模板计算相关数据!A:N,2,0)+模板计算相关数据!$AC$27)*模板计算相关数据!$AC$28))/S692*AA692)</f>
        <v>86</v>
      </c>
      <c r="AL692" s="3">
        <f>INT(VLOOKUP(U692,模板计算相关数据!A:N,5,0)*VLOOKUP(X692,模板计算相关数据!$P$4:$T$7,4,0)*VLOOKUP(Y692,模板计算相关数据!$P$22:$U$30,4,0)*AB692)</f>
        <v>145</v>
      </c>
      <c r="AM692" s="3">
        <f>INT(VLOOKUP(U692,模板计算相关数据!A:N,6,0)*VLOOKUP(X692,模板计算相关数据!$P$4:$T$7,4,0)*VLOOKUP(Y692,模板计算相关数据!$P$22:$U$30,5,0)*AC692)</f>
        <v>264</v>
      </c>
      <c r="AN692" s="3">
        <f>VLOOKUP(U692,模板计算相关数据!A:N,10,0)*0.5*VLOOKUP(Y692,模板计算相关数据!$P$22:$U$30,6,0)+AD692</f>
        <v>275</v>
      </c>
      <c r="AO692" s="3">
        <f>VLOOKUP(INT(VLOOKUP(U692,模板计算相关数据!A:N,2,0)/30)+1,模板计算相关数据!$O$35:$U$40,3,0)+AE692</f>
        <v>0</v>
      </c>
      <c r="AP692" s="3">
        <f>VLOOKUP(INT(VLOOKUP(U692,模板计算相关数据!A:N,2,0)/30)+1,模板计算相关数据!$O$35:$U$40,4,0)+AF692</f>
        <v>5000</v>
      </c>
      <c r="AQ692" s="3">
        <f>VLOOKUP(INT(VLOOKUP(U692,模板计算相关数据!A:N,2,0)/30)+1,模板计算相关数据!$O$35:$U$40,5,0)+AG692</f>
        <v>0</v>
      </c>
      <c r="AR692" s="3">
        <f>VLOOKUP(INT(VLOOKUP(U692,模板计算相关数据!A:N,2,0)/30)+1,模板计算相关数据!$O$35:$U$40,6,0)+AH692</f>
        <v>0</v>
      </c>
      <c r="AS692" s="3">
        <f>VLOOKUP(INT(VLOOKUP(U692,模板计算相关数据!A:N,2,0)/30)+1,模板计算相关数据!$O$35:$U$40,7,0)+AI692</f>
        <v>0</v>
      </c>
      <c r="AT692" s="3">
        <f>VLOOKUP(INT(VLOOKUP(U692,模板计算相关数据!A:N,2,0)/30)+1,模板计算相关数据!$O$35:$V$40,8,0)</f>
        <v>0</v>
      </c>
      <c r="AU692" s="2"/>
    </row>
    <row r="693" spans="1:47" x14ac:dyDescent="0.2">
      <c r="A693" s="2">
        <v>307251</v>
      </c>
      <c r="B693" s="2"/>
      <c r="C693" s="2" t="s">
        <v>326</v>
      </c>
      <c r="D693" s="2" t="s">
        <v>1233</v>
      </c>
      <c r="E693" s="2"/>
      <c r="F693" s="127">
        <v>3</v>
      </c>
      <c r="G693" s="127">
        <v>101</v>
      </c>
      <c r="H693" s="3">
        <v>5</v>
      </c>
      <c r="I693" s="127">
        <v>5</v>
      </c>
      <c r="J693" s="127">
        <v>1</v>
      </c>
      <c r="K693" s="3"/>
      <c r="L693" s="2" t="s">
        <v>507</v>
      </c>
      <c r="M693" s="2"/>
      <c r="N693" s="2">
        <v>1</v>
      </c>
      <c r="O693" s="2"/>
      <c r="P693" s="3" t="s">
        <v>1615</v>
      </c>
      <c r="Q693" s="95">
        <f t="shared" si="67"/>
        <v>5.7709803921568623</v>
      </c>
      <c r="R693" s="133">
        <f>IF(P693=模板计算相关数据!$AB$24,VLOOKUP(X693,模板计算相关数据!$P$47:$T$50,2,0),VLOOKUP(X693,模板计算相关数据!$P$4:$U$7,3,0))*VLOOKUP(Y693,模板计算相关数据!$P$22:$X$30,8,0)</f>
        <v>5.7709803921568623</v>
      </c>
      <c r="S693" s="62">
        <f t="shared" si="68"/>
        <v>6.4077918749199023</v>
      </c>
      <c r="T693" s="133">
        <f>IF(P693=模板计算相关数据!$AB$24,VLOOKUP(X693,模板计算相关数据!$P$47:$T$50,5,0),VLOOKUP(X693,模板计算相关数据!$P$4:$U$7,6,0))*VLOOKUP(Y693,模板计算相关数据!$P$22:$X$30,9,0)</f>
        <v>6.4077918749199023</v>
      </c>
      <c r="U693" s="98">
        <v>1</v>
      </c>
      <c r="V693" s="95">
        <f t="shared" si="69"/>
        <v>4</v>
      </c>
      <c r="W693" s="29">
        <f>VLOOKUP(U693,模板计算相关数据!A:N,2,0)</f>
        <v>1</v>
      </c>
      <c r="X693" s="3" t="s">
        <v>151</v>
      </c>
      <c r="Y693" s="3" t="s">
        <v>243</v>
      </c>
      <c r="Z693" s="99">
        <v>1</v>
      </c>
      <c r="AA693" s="95">
        <v>1</v>
      </c>
      <c r="AB693" s="95">
        <v>1</v>
      </c>
      <c r="AC693" s="95">
        <v>1</v>
      </c>
      <c r="AD693" s="95">
        <v>0</v>
      </c>
      <c r="AE693" s="95">
        <v>0</v>
      </c>
      <c r="AF693" s="95">
        <v>0</v>
      </c>
      <c r="AG693" s="95">
        <v>0</v>
      </c>
      <c r="AH693" s="95">
        <v>0</v>
      </c>
      <c r="AI693" s="95">
        <v>0</v>
      </c>
      <c r="AJ693" s="3">
        <f>INT(VLOOKUP(U693,模板计算相关数据!A:N,4,0)*VLOOKUP(U693,模板计算相关数据!A:N,14,0)*(1+MAX(0,(VLOOKUP(U693,模板计算相关数据!A:N,7,0)-AQ693))*VLOOKUP(U693,模板计算相关数据!A:N,8,0))*(1-(AL693+AM693)*0.5/((AL693+AM693)*0.5+(VLOOKUP(U693,模板计算相关数据!A:N,2,0)+模板计算相关数据!$AC$27)*模板计算相关数据!$AC$28))*Q693*Z693)</f>
        <v>411</v>
      </c>
      <c r="AK693" s="3">
        <f>INT(VLOOKUP(U693,模板计算相关数据!A:N,3,0)/模板计算相关数据!$W$35/(1+MAX(0,(AO693/10000-VLOOKUP(U693,模板计算相关数据!A:N,9,0)))*AP693/10000)/(1-VLOOKUP(U693,模板计算相关数据!A:N,5,0)/(VLOOKUP(U693,模板计算相关数据!A:N,5,0)+(VLOOKUP(U693,模板计算相关数据!A:N,2,0)+模板计算相关数据!$AC$27)*模板计算相关数据!$AC$28))/S693*AA693)</f>
        <v>86</v>
      </c>
      <c r="AL693" s="3">
        <f>INT(VLOOKUP(U693,模板计算相关数据!A:N,5,0)*VLOOKUP(X693,模板计算相关数据!$P$4:$T$7,4,0)*VLOOKUP(Y693,模板计算相关数据!$P$22:$U$30,4,0)*AB693)</f>
        <v>145</v>
      </c>
      <c r="AM693" s="3">
        <f>INT(VLOOKUP(U693,模板计算相关数据!A:N,6,0)*VLOOKUP(X693,模板计算相关数据!$P$4:$T$7,4,0)*VLOOKUP(Y693,模板计算相关数据!$P$22:$U$30,5,0)*AC693)</f>
        <v>264</v>
      </c>
      <c r="AN693" s="3">
        <f>VLOOKUP(U693,模板计算相关数据!A:N,10,0)*0.5*VLOOKUP(Y693,模板计算相关数据!$P$22:$U$30,6,0)+AD693</f>
        <v>275</v>
      </c>
      <c r="AO693" s="3">
        <f>VLOOKUP(INT(VLOOKUP(U693,模板计算相关数据!A:N,2,0)/30)+1,模板计算相关数据!$O$35:$U$40,3,0)+AE693</f>
        <v>0</v>
      </c>
      <c r="AP693" s="3">
        <f>VLOOKUP(INT(VLOOKUP(U693,模板计算相关数据!A:N,2,0)/30)+1,模板计算相关数据!$O$35:$U$40,4,0)+AF693</f>
        <v>5000</v>
      </c>
      <c r="AQ693" s="3">
        <f>VLOOKUP(INT(VLOOKUP(U693,模板计算相关数据!A:N,2,0)/30)+1,模板计算相关数据!$O$35:$U$40,5,0)+AG693</f>
        <v>0</v>
      </c>
      <c r="AR693" s="3">
        <f>VLOOKUP(INT(VLOOKUP(U693,模板计算相关数据!A:N,2,0)/30)+1,模板计算相关数据!$O$35:$U$40,6,0)+AH693</f>
        <v>0</v>
      </c>
      <c r="AS693" s="3">
        <f>VLOOKUP(INT(VLOOKUP(U693,模板计算相关数据!A:N,2,0)/30)+1,模板计算相关数据!$O$35:$U$40,7,0)+AI693</f>
        <v>0</v>
      </c>
      <c r="AT693" s="3">
        <f>VLOOKUP(INT(VLOOKUP(U693,模板计算相关数据!A:N,2,0)/30)+1,模板计算相关数据!$O$35:$V$40,8,0)</f>
        <v>0</v>
      </c>
      <c r="AU693" s="2"/>
    </row>
    <row r="694" spans="1:47" x14ac:dyDescent="0.2">
      <c r="A694" s="2">
        <v>307252</v>
      </c>
      <c r="B694" s="2"/>
      <c r="C694" s="2" t="s">
        <v>508</v>
      </c>
      <c r="D694" s="2" t="s">
        <v>1234</v>
      </c>
      <c r="E694" s="2"/>
      <c r="F694" s="127">
        <v>3</v>
      </c>
      <c r="G694" s="127">
        <v>101</v>
      </c>
      <c r="H694" s="3">
        <v>2</v>
      </c>
      <c r="I694" s="127">
        <v>5</v>
      </c>
      <c r="J694" s="127">
        <v>1</v>
      </c>
      <c r="K694" s="3"/>
      <c r="L694" s="2" t="s">
        <v>509</v>
      </c>
      <c r="M694" s="2"/>
      <c r="N694" s="2">
        <v>1</v>
      </c>
      <c r="O694" s="2"/>
      <c r="P694" s="3" t="s">
        <v>1615</v>
      </c>
      <c r="Q694" s="95">
        <f t="shared" si="67"/>
        <v>6.9411764705882364</v>
      </c>
      <c r="R694" s="133">
        <f>IF(P694=模板计算相关数据!$AB$24,VLOOKUP(X694,模板计算相关数据!$P$47:$T$50,2,0),VLOOKUP(X694,模板计算相关数据!$P$4:$U$7,3,0))*VLOOKUP(Y694,模板计算相关数据!$P$22:$X$30,8,0)</f>
        <v>6.9411764705882364</v>
      </c>
      <c r="S694" s="62">
        <f t="shared" si="68"/>
        <v>8.2943498888557112</v>
      </c>
      <c r="T694" s="133">
        <f>IF(P694=模板计算相关数据!$AB$24,VLOOKUP(X694,模板计算相关数据!$P$47:$T$50,5,0),VLOOKUP(X694,模板计算相关数据!$P$4:$U$7,6,0))*VLOOKUP(Y694,模板计算相关数据!$P$22:$X$30,9,0)</f>
        <v>8.2943498888557112</v>
      </c>
      <c r="U694" s="98">
        <v>1</v>
      </c>
      <c r="V694" s="95">
        <f t="shared" si="69"/>
        <v>4</v>
      </c>
      <c r="W694" s="29">
        <f>VLOOKUP(U694,模板计算相关数据!A:N,2,0)</f>
        <v>1</v>
      </c>
      <c r="X694" s="3" t="s">
        <v>151</v>
      </c>
      <c r="Y694" s="3" t="s">
        <v>155</v>
      </c>
      <c r="Z694" s="99">
        <v>1</v>
      </c>
      <c r="AA694" s="95">
        <v>1</v>
      </c>
      <c r="AB694" s="95">
        <v>1</v>
      </c>
      <c r="AC694" s="95">
        <v>1</v>
      </c>
      <c r="AD694" s="95">
        <v>0</v>
      </c>
      <c r="AE694" s="95">
        <v>0</v>
      </c>
      <c r="AF694" s="95">
        <v>0</v>
      </c>
      <c r="AG694" s="95">
        <v>0</v>
      </c>
      <c r="AH694" s="95">
        <v>0</v>
      </c>
      <c r="AI694" s="95">
        <v>0</v>
      </c>
      <c r="AJ694" s="3">
        <f>INT(VLOOKUP(U694,模板计算相关数据!A:N,4,0)*VLOOKUP(U694,模板计算相关数据!A:N,14,0)*(1+MAX(0,(VLOOKUP(U694,模板计算相关数据!A:N,7,0)-AQ694))*VLOOKUP(U694,模板计算相关数据!A:N,8,0))*(1-(AL694+AM694)*0.5/((AL694+AM694)*0.5+(VLOOKUP(U694,模板计算相关数据!A:N,2,0)+模板计算相关数据!$AC$27)*模板计算相关数据!$AC$28))*Q694*Z694)</f>
        <v>487</v>
      </c>
      <c r="AK694" s="3">
        <f>INT(VLOOKUP(U694,模板计算相关数据!A:N,3,0)/模板计算相关数据!$W$35/(1+MAX(0,(AO694/10000-VLOOKUP(U694,模板计算相关数据!A:N,9,0)))*AP694/10000)/(1-VLOOKUP(U694,模板计算相关数据!A:N,5,0)/(VLOOKUP(U694,模板计算相关数据!A:N,5,0)+(VLOOKUP(U694,模板计算相关数据!A:N,2,0)+模板计算相关数据!$AC$27)*模板计算相关数据!$AC$28))/S694*AA694)</f>
        <v>67</v>
      </c>
      <c r="AL694" s="3">
        <f>INT(VLOOKUP(U694,模板计算相关数据!A:N,5,0)*VLOOKUP(X694,模板计算相关数据!$P$4:$T$7,4,0)*VLOOKUP(Y694,模板计算相关数据!$P$22:$U$30,4,0)*AB694)</f>
        <v>277</v>
      </c>
      <c r="AM694" s="3">
        <f>INT(VLOOKUP(U694,模板计算相关数据!A:N,6,0)*VLOOKUP(X694,模板计算相关数据!$P$4:$T$7,4,0)*VLOOKUP(Y694,模板计算相关数据!$P$22:$U$30,5,0)*AC694)</f>
        <v>153</v>
      </c>
      <c r="AN694" s="3">
        <f>VLOOKUP(U694,模板计算相关数据!A:N,10,0)*0.5*VLOOKUP(Y694,模板计算相关数据!$P$22:$U$30,6,0)+AD694</f>
        <v>225</v>
      </c>
      <c r="AO694" s="3">
        <f>VLOOKUP(INT(VLOOKUP(U694,模板计算相关数据!A:N,2,0)/30)+1,模板计算相关数据!$O$35:$U$40,3,0)+AE694</f>
        <v>0</v>
      </c>
      <c r="AP694" s="3">
        <f>VLOOKUP(INT(VLOOKUP(U694,模板计算相关数据!A:N,2,0)/30)+1,模板计算相关数据!$O$35:$U$40,4,0)+AF694</f>
        <v>5000</v>
      </c>
      <c r="AQ694" s="3">
        <f>VLOOKUP(INT(VLOOKUP(U694,模板计算相关数据!A:N,2,0)/30)+1,模板计算相关数据!$O$35:$U$40,5,0)+AG694</f>
        <v>0</v>
      </c>
      <c r="AR694" s="3">
        <f>VLOOKUP(INT(VLOOKUP(U694,模板计算相关数据!A:N,2,0)/30)+1,模板计算相关数据!$O$35:$U$40,6,0)+AH694</f>
        <v>0</v>
      </c>
      <c r="AS694" s="3">
        <f>VLOOKUP(INT(VLOOKUP(U694,模板计算相关数据!A:N,2,0)/30)+1,模板计算相关数据!$O$35:$U$40,7,0)+AI694</f>
        <v>0</v>
      </c>
      <c r="AT694" s="3">
        <f>VLOOKUP(INT(VLOOKUP(U694,模板计算相关数据!A:N,2,0)/30)+1,模板计算相关数据!$O$35:$V$40,8,0)</f>
        <v>0</v>
      </c>
      <c r="AU694" s="2"/>
    </row>
    <row r="695" spans="1:47" x14ac:dyDescent="0.2">
      <c r="A695" s="2">
        <v>307253</v>
      </c>
      <c r="B695" s="2"/>
      <c r="C695" s="2" t="s">
        <v>508</v>
      </c>
      <c r="D695" s="2" t="s">
        <v>1235</v>
      </c>
      <c r="E695" s="2"/>
      <c r="F695" s="127">
        <v>3</v>
      </c>
      <c r="G695" s="127">
        <v>101</v>
      </c>
      <c r="H695" s="3">
        <v>2</v>
      </c>
      <c r="I695" s="127">
        <v>5</v>
      </c>
      <c r="J695" s="127">
        <v>1</v>
      </c>
      <c r="K695" s="3"/>
      <c r="L695" s="2" t="s">
        <v>510</v>
      </c>
      <c r="M695" s="2"/>
      <c r="N695" s="2">
        <v>1</v>
      </c>
      <c r="O695" s="2"/>
      <c r="P695" s="3" t="s">
        <v>1615</v>
      </c>
      <c r="Q695" s="95">
        <f t="shared" si="67"/>
        <v>6.9411764705882364</v>
      </c>
      <c r="R695" s="133">
        <f>IF(P695=模板计算相关数据!$AB$24,VLOOKUP(X695,模板计算相关数据!$P$47:$T$50,2,0),VLOOKUP(X695,模板计算相关数据!$P$4:$U$7,3,0))*VLOOKUP(Y695,模板计算相关数据!$P$22:$X$30,8,0)</f>
        <v>6.9411764705882364</v>
      </c>
      <c r="S695" s="62">
        <f t="shared" si="68"/>
        <v>8.2943498888557112</v>
      </c>
      <c r="T695" s="133">
        <f>IF(P695=模板计算相关数据!$AB$24,VLOOKUP(X695,模板计算相关数据!$P$47:$T$50,5,0),VLOOKUP(X695,模板计算相关数据!$P$4:$U$7,6,0))*VLOOKUP(Y695,模板计算相关数据!$P$22:$X$30,9,0)</f>
        <v>8.2943498888557112</v>
      </c>
      <c r="U695" s="98">
        <v>1</v>
      </c>
      <c r="V695" s="95">
        <f t="shared" si="69"/>
        <v>4</v>
      </c>
      <c r="W695" s="29">
        <f>VLOOKUP(U695,模板计算相关数据!A:N,2,0)</f>
        <v>1</v>
      </c>
      <c r="X695" s="3" t="s">
        <v>151</v>
      </c>
      <c r="Y695" s="3" t="s">
        <v>155</v>
      </c>
      <c r="Z695" s="99">
        <v>1</v>
      </c>
      <c r="AA695" s="95">
        <v>1</v>
      </c>
      <c r="AB695" s="95">
        <v>1</v>
      </c>
      <c r="AC695" s="95">
        <v>1</v>
      </c>
      <c r="AD695" s="95">
        <v>0</v>
      </c>
      <c r="AE695" s="95">
        <v>0</v>
      </c>
      <c r="AF695" s="95">
        <v>0</v>
      </c>
      <c r="AG695" s="95">
        <v>0</v>
      </c>
      <c r="AH695" s="95">
        <v>0</v>
      </c>
      <c r="AI695" s="95">
        <v>0</v>
      </c>
      <c r="AJ695" s="3">
        <f>INT(VLOOKUP(U695,模板计算相关数据!A:N,4,0)*VLOOKUP(U695,模板计算相关数据!A:N,14,0)*(1+MAX(0,(VLOOKUP(U695,模板计算相关数据!A:N,7,0)-AQ695))*VLOOKUP(U695,模板计算相关数据!A:N,8,0))*(1-(AL695+AM695)*0.5/((AL695+AM695)*0.5+(VLOOKUP(U695,模板计算相关数据!A:N,2,0)+模板计算相关数据!$AC$27)*模板计算相关数据!$AC$28))*Q695*Z695)</f>
        <v>487</v>
      </c>
      <c r="AK695" s="3">
        <f>INT(VLOOKUP(U695,模板计算相关数据!A:N,3,0)/模板计算相关数据!$W$35/(1+MAX(0,(AO695/10000-VLOOKUP(U695,模板计算相关数据!A:N,9,0)))*AP695/10000)/(1-VLOOKUP(U695,模板计算相关数据!A:N,5,0)/(VLOOKUP(U695,模板计算相关数据!A:N,5,0)+(VLOOKUP(U695,模板计算相关数据!A:N,2,0)+模板计算相关数据!$AC$27)*模板计算相关数据!$AC$28))/S695*AA695)</f>
        <v>67</v>
      </c>
      <c r="AL695" s="3">
        <f>INT(VLOOKUP(U695,模板计算相关数据!A:N,5,0)*VLOOKUP(X695,模板计算相关数据!$P$4:$T$7,4,0)*VLOOKUP(Y695,模板计算相关数据!$P$22:$U$30,4,0)*AB695)</f>
        <v>277</v>
      </c>
      <c r="AM695" s="3">
        <f>INT(VLOOKUP(U695,模板计算相关数据!A:N,6,0)*VLOOKUP(X695,模板计算相关数据!$P$4:$T$7,4,0)*VLOOKUP(Y695,模板计算相关数据!$P$22:$U$30,5,0)*AC695)</f>
        <v>153</v>
      </c>
      <c r="AN695" s="3">
        <f>VLOOKUP(U695,模板计算相关数据!A:N,10,0)*0.5*VLOOKUP(Y695,模板计算相关数据!$P$22:$U$30,6,0)+AD695</f>
        <v>225</v>
      </c>
      <c r="AO695" s="3">
        <f>VLOOKUP(INT(VLOOKUP(U695,模板计算相关数据!A:N,2,0)/30)+1,模板计算相关数据!$O$35:$U$40,3,0)+AE695</f>
        <v>0</v>
      </c>
      <c r="AP695" s="3">
        <f>VLOOKUP(INT(VLOOKUP(U695,模板计算相关数据!A:N,2,0)/30)+1,模板计算相关数据!$O$35:$U$40,4,0)+AF695</f>
        <v>5000</v>
      </c>
      <c r="AQ695" s="3">
        <f>VLOOKUP(INT(VLOOKUP(U695,模板计算相关数据!A:N,2,0)/30)+1,模板计算相关数据!$O$35:$U$40,5,0)+AG695</f>
        <v>0</v>
      </c>
      <c r="AR695" s="3">
        <f>VLOOKUP(INT(VLOOKUP(U695,模板计算相关数据!A:N,2,0)/30)+1,模板计算相关数据!$O$35:$U$40,6,0)+AH695</f>
        <v>0</v>
      </c>
      <c r="AS695" s="3">
        <f>VLOOKUP(INT(VLOOKUP(U695,模板计算相关数据!A:N,2,0)/30)+1,模板计算相关数据!$O$35:$U$40,7,0)+AI695</f>
        <v>0</v>
      </c>
      <c r="AT695" s="3">
        <f>VLOOKUP(INT(VLOOKUP(U695,模板计算相关数据!A:N,2,0)/30)+1,模板计算相关数据!$O$35:$V$40,8,0)</f>
        <v>0</v>
      </c>
      <c r="AU695" s="2"/>
    </row>
    <row r="696" spans="1:47" x14ac:dyDescent="0.2">
      <c r="A696" s="2">
        <v>307254</v>
      </c>
      <c r="B696" s="2"/>
      <c r="C696" s="2" t="s">
        <v>508</v>
      </c>
      <c r="D696" s="2" t="s">
        <v>1233</v>
      </c>
      <c r="E696" s="2"/>
      <c r="F696" s="127">
        <v>3</v>
      </c>
      <c r="G696" s="127">
        <v>101</v>
      </c>
      <c r="H696" s="3">
        <v>2</v>
      </c>
      <c r="I696" s="127">
        <v>5</v>
      </c>
      <c r="J696" s="127">
        <v>1</v>
      </c>
      <c r="K696" s="3"/>
      <c r="L696" s="2" t="s">
        <v>511</v>
      </c>
      <c r="M696" s="2"/>
      <c r="N696" s="2">
        <v>1</v>
      </c>
      <c r="O696" s="2"/>
      <c r="P696" s="3" t="s">
        <v>1615</v>
      </c>
      <c r="Q696" s="95">
        <f t="shared" si="67"/>
        <v>6.9411764705882364</v>
      </c>
      <c r="R696" s="133">
        <f>IF(P696=模板计算相关数据!$AB$24,VLOOKUP(X696,模板计算相关数据!$P$47:$T$50,2,0),VLOOKUP(X696,模板计算相关数据!$P$4:$U$7,3,0))*VLOOKUP(Y696,模板计算相关数据!$P$22:$X$30,8,0)</f>
        <v>6.9411764705882364</v>
      </c>
      <c r="S696" s="62">
        <f t="shared" si="68"/>
        <v>8.2943498888557112</v>
      </c>
      <c r="T696" s="133">
        <f>IF(P696=模板计算相关数据!$AB$24,VLOOKUP(X696,模板计算相关数据!$P$47:$T$50,5,0),VLOOKUP(X696,模板计算相关数据!$P$4:$U$7,6,0))*VLOOKUP(Y696,模板计算相关数据!$P$22:$X$30,9,0)</f>
        <v>8.2943498888557112</v>
      </c>
      <c r="U696" s="98">
        <v>1</v>
      </c>
      <c r="V696" s="95">
        <f t="shared" si="69"/>
        <v>4</v>
      </c>
      <c r="W696" s="29">
        <f>VLOOKUP(U696,模板计算相关数据!A:N,2,0)</f>
        <v>1</v>
      </c>
      <c r="X696" s="3" t="s">
        <v>151</v>
      </c>
      <c r="Y696" s="3" t="s">
        <v>155</v>
      </c>
      <c r="Z696" s="99">
        <v>1</v>
      </c>
      <c r="AA696" s="95">
        <v>1</v>
      </c>
      <c r="AB696" s="95">
        <v>1</v>
      </c>
      <c r="AC696" s="95">
        <v>1</v>
      </c>
      <c r="AD696" s="95">
        <v>0</v>
      </c>
      <c r="AE696" s="95">
        <v>0</v>
      </c>
      <c r="AF696" s="95">
        <v>0</v>
      </c>
      <c r="AG696" s="95">
        <v>0</v>
      </c>
      <c r="AH696" s="95">
        <v>0</v>
      </c>
      <c r="AI696" s="95">
        <v>0</v>
      </c>
      <c r="AJ696" s="3">
        <f>INT(VLOOKUP(U696,模板计算相关数据!A:N,4,0)*VLOOKUP(U696,模板计算相关数据!A:N,14,0)*(1+MAX(0,(VLOOKUP(U696,模板计算相关数据!A:N,7,0)-AQ696))*VLOOKUP(U696,模板计算相关数据!A:N,8,0))*(1-(AL696+AM696)*0.5/((AL696+AM696)*0.5+(VLOOKUP(U696,模板计算相关数据!A:N,2,0)+模板计算相关数据!$AC$27)*模板计算相关数据!$AC$28))*Q696*Z696)</f>
        <v>487</v>
      </c>
      <c r="AK696" s="3">
        <f>INT(VLOOKUP(U696,模板计算相关数据!A:N,3,0)/模板计算相关数据!$W$35/(1+MAX(0,(AO696/10000-VLOOKUP(U696,模板计算相关数据!A:N,9,0)))*AP696/10000)/(1-VLOOKUP(U696,模板计算相关数据!A:N,5,0)/(VLOOKUP(U696,模板计算相关数据!A:N,5,0)+(VLOOKUP(U696,模板计算相关数据!A:N,2,0)+模板计算相关数据!$AC$27)*模板计算相关数据!$AC$28))/S696*AA696)</f>
        <v>67</v>
      </c>
      <c r="AL696" s="3">
        <f>INT(VLOOKUP(U696,模板计算相关数据!A:N,5,0)*VLOOKUP(X696,模板计算相关数据!$P$4:$T$7,4,0)*VLOOKUP(Y696,模板计算相关数据!$P$22:$U$30,4,0)*AB696)</f>
        <v>277</v>
      </c>
      <c r="AM696" s="3">
        <f>INT(VLOOKUP(U696,模板计算相关数据!A:N,6,0)*VLOOKUP(X696,模板计算相关数据!$P$4:$T$7,4,0)*VLOOKUP(Y696,模板计算相关数据!$P$22:$U$30,5,0)*AC696)</f>
        <v>153</v>
      </c>
      <c r="AN696" s="3">
        <f>VLOOKUP(U696,模板计算相关数据!A:N,10,0)*0.5*VLOOKUP(Y696,模板计算相关数据!$P$22:$U$30,6,0)+AD696</f>
        <v>225</v>
      </c>
      <c r="AO696" s="3">
        <f>VLOOKUP(INT(VLOOKUP(U696,模板计算相关数据!A:N,2,0)/30)+1,模板计算相关数据!$O$35:$U$40,3,0)+AE696</f>
        <v>0</v>
      </c>
      <c r="AP696" s="3">
        <f>VLOOKUP(INT(VLOOKUP(U696,模板计算相关数据!A:N,2,0)/30)+1,模板计算相关数据!$O$35:$U$40,4,0)+AF696</f>
        <v>5000</v>
      </c>
      <c r="AQ696" s="3">
        <f>VLOOKUP(INT(VLOOKUP(U696,模板计算相关数据!A:N,2,0)/30)+1,模板计算相关数据!$O$35:$U$40,5,0)+AG696</f>
        <v>0</v>
      </c>
      <c r="AR696" s="3">
        <f>VLOOKUP(INT(VLOOKUP(U696,模板计算相关数据!A:N,2,0)/30)+1,模板计算相关数据!$O$35:$U$40,6,0)+AH696</f>
        <v>0</v>
      </c>
      <c r="AS696" s="3">
        <f>VLOOKUP(INT(VLOOKUP(U696,模板计算相关数据!A:N,2,0)/30)+1,模板计算相关数据!$O$35:$U$40,7,0)+AI696</f>
        <v>0</v>
      </c>
      <c r="AT696" s="3">
        <f>VLOOKUP(INT(VLOOKUP(U696,模板计算相关数据!A:N,2,0)/30)+1,模板计算相关数据!$O$35:$V$40,8,0)</f>
        <v>0</v>
      </c>
      <c r="AU696" s="2"/>
    </row>
    <row r="697" spans="1:47" x14ac:dyDescent="0.2">
      <c r="A697" s="17">
        <v>307255</v>
      </c>
      <c r="B697" s="17"/>
      <c r="C697" s="17" t="s">
        <v>512</v>
      </c>
      <c r="D697" s="25" t="s">
        <v>1236</v>
      </c>
      <c r="E697" s="17"/>
      <c r="F697" s="152">
        <v>3</v>
      </c>
      <c r="G697" s="152">
        <v>101</v>
      </c>
      <c r="H697" s="43">
        <v>5</v>
      </c>
      <c r="I697" s="152">
        <v>5</v>
      </c>
      <c r="J697" s="152">
        <v>1</v>
      </c>
      <c r="K697" s="43"/>
      <c r="L697" s="2" t="s">
        <v>513</v>
      </c>
      <c r="M697" s="2"/>
      <c r="N697" s="2">
        <v>1</v>
      </c>
      <c r="O697" s="2"/>
      <c r="P697" s="3" t="s">
        <v>1615</v>
      </c>
      <c r="Q697" s="95">
        <f t="shared" si="67"/>
        <v>5.7709803921568623</v>
      </c>
      <c r="R697" s="133">
        <f>IF(P697=模板计算相关数据!$AB$24,VLOOKUP(X697,模板计算相关数据!$P$47:$T$50,2,0),VLOOKUP(X697,模板计算相关数据!$P$4:$U$7,3,0))*VLOOKUP(Y697,模板计算相关数据!$P$22:$X$30,8,0)</f>
        <v>5.7709803921568623</v>
      </c>
      <c r="S697" s="62">
        <f t="shared" si="68"/>
        <v>6.4077918749199023</v>
      </c>
      <c r="T697" s="133">
        <f>IF(P697=模板计算相关数据!$AB$24,VLOOKUP(X697,模板计算相关数据!$P$47:$T$50,5,0),VLOOKUP(X697,模板计算相关数据!$P$4:$U$7,6,0))*VLOOKUP(Y697,模板计算相关数据!$P$22:$X$30,9,0)</f>
        <v>6.4077918749199023</v>
      </c>
      <c r="U697" s="98">
        <v>1</v>
      </c>
      <c r="V697" s="95">
        <f t="shared" si="69"/>
        <v>4</v>
      </c>
      <c r="W697" s="29">
        <f>VLOOKUP(U697,模板计算相关数据!A:N,2,0)</f>
        <v>1</v>
      </c>
      <c r="X697" s="3" t="s">
        <v>151</v>
      </c>
      <c r="Y697" s="3" t="s">
        <v>243</v>
      </c>
      <c r="Z697" s="99">
        <v>1</v>
      </c>
      <c r="AA697" s="95">
        <v>1</v>
      </c>
      <c r="AB697" s="95">
        <v>1</v>
      </c>
      <c r="AC697" s="95">
        <v>1</v>
      </c>
      <c r="AD697" s="95">
        <v>0</v>
      </c>
      <c r="AE697" s="95">
        <v>0</v>
      </c>
      <c r="AF697" s="95">
        <v>0</v>
      </c>
      <c r="AG697" s="95">
        <v>0</v>
      </c>
      <c r="AH697" s="95">
        <v>0</v>
      </c>
      <c r="AI697" s="95">
        <v>0</v>
      </c>
      <c r="AJ697" s="3">
        <f>INT(VLOOKUP(U697,模板计算相关数据!A:N,4,0)*VLOOKUP(U697,模板计算相关数据!A:N,14,0)*(1+MAX(0,(VLOOKUP(U697,模板计算相关数据!A:N,7,0)-AQ697))*VLOOKUP(U697,模板计算相关数据!A:N,8,0))*(1-(AL697+AM697)*0.5/((AL697+AM697)*0.5+(VLOOKUP(U697,模板计算相关数据!A:N,2,0)+模板计算相关数据!$AC$27)*模板计算相关数据!$AC$28))*Q697*Z697)</f>
        <v>411</v>
      </c>
      <c r="AK697" s="3">
        <f>INT(VLOOKUP(U697,模板计算相关数据!A:N,3,0)/模板计算相关数据!$W$35/(1+MAX(0,(AO697/10000-VLOOKUP(U697,模板计算相关数据!A:N,9,0)))*AP697/10000)/(1-VLOOKUP(U697,模板计算相关数据!A:N,5,0)/(VLOOKUP(U697,模板计算相关数据!A:N,5,0)+(VLOOKUP(U697,模板计算相关数据!A:N,2,0)+模板计算相关数据!$AC$27)*模板计算相关数据!$AC$28))/S697*AA697)</f>
        <v>86</v>
      </c>
      <c r="AL697" s="3">
        <f>INT(VLOOKUP(U697,模板计算相关数据!A:N,5,0)*VLOOKUP(X697,模板计算相关数据!$P$4:$T$7,4,0)*VLOOKUP(Y697,模板计算相关数据!$P$22:$U$30,4,0)*AB697)</f>
        <v>145</v>
      </c>
      <c r="AM697" s="3">
        <f>INT(VLOOKUP(U697,模板计算相关数据!A:N,6,0)*VLOOKUP(X697,模板计算相关数据!$P$4:$T$7,4,0)*VLOOKUP(Y697,模板计算相关数据!$P$22:$U$30,5,0)*AC697)</f>
        <v>264</v>
      </c>
      <c r="AN697" s="3">
        <f>VLOOKUP(U697,模板计算相关数据!A:N,10,0)*0.5*VLOOKUP(Y697,模板计算相关数据!$P$22:$U$30,6,0)+AD697</f>
        <v>275</v>
      </c>
      <c r="AO697" s="3">
        <f>VLOOKUP(INT(VLOOKUP(U697,模板计算相关数据!A:N,2,0)/30)+1,模板计算相关数据!$O$35:$U$40,3,0)+AE697</f>
        <v>0</v>
      </c>
      <c r="AP697" s="3">
        <f>VLOOKUP(INT(VLOOKUP(U697,模板计算相关数据!A:N,2,0)/30)+1,模板计算相关数据!$O$35:$U$40,4,0)+AF697</f>
        <v>5000</v>
      </c>
      <c r="AQ697" s="3">
        <f>VLOOKUP(INT(VLOOKUP(U697,模板计算相关数据!A:N,2,0)/30)+1,模板计算相关数据!$O$35:$U$40,5,0)+AG697</f>
        <v>0</v>
      </c>
      <c r="AR697" s="3">
        <f>VLOOKUP(INT(VLOOKUP(U697,模板计算相关数据!A:N,2,0)/30)+1,模板计算相关数据!$O$35:$U$40,6,0)+AH697</f>
        <v>0</v>
      </c>
      <c r="AS697" s="3">
        <f>VLOOKUP(INT(VLOOKUP(U697,模板计算相关数据!A:N,2,0)/30)+1,模板计算相关数据!$O$35:$U$40,7,0)+AI697</f>
        <v>0</v>
      </c>
      <c r="AT697" s="3">
        <f>VLOOKUP(INT(VLOOKUP(U697,模板计算相关数据!A:N,2,0)/30)+1,模板计算相关数据!$O$35:$V$40,8,0)</f>
        <v>0</v>
      </c>
      <c r="AU697" s="2"/>
    </row>
    <row r="698" spans="1:47" x14ac:dyDescent="0.2">
      <c r="A698" s="2">
        <v>307256</v>
      </c>
      <c r="B698" s="2"/>
      <c r="C698" s="2" t="s">
        <v>326</v>
      </c>
      <c r="D698" s="69" t="s">
        <v>1237</v>
      </c>
      <c r="E698" s="2"/>
      <c r="F698" s="127">
        <v>3</v>
      </c>
      <c r="G698" s="127">
        <v>101</v>
      </c>
      <c r="H698" s="3">
        <v>5</v>
      </c>
      <c r="I698" s="127">
        <v>5</v>
      </c>
      <c r="J698" s="127">
        <v>1</v>
      </c>
      <c r="K698" s="3"/>
      <c r="L698" s="2" t="s">
        <v>514</v>
      </c>
      <c r="M698" s="2"/>
      <c r="N698" s="2">
        <v>1</v>
      </c>
      <c r="O698" s="2"/>
      <c r="P698" s="3" t="s">
        <v>1615</v>
      </c>
      <c r="Q698" s="95">
        <f t="shared" si="67"/>
        <v>5.7709803921568623</v>
      </c>
      <c r="R698" s="133">
        <f>IF(P698=模板计算相关数据!$AB$24,VLOOKUP(X698,模板计算相关数据!$P$47:$T$50,2,0),VLOOKUP(X698,模板计算相关数据!$P$4:$U$7,3,0))*VLOOKUP(Y698,模板计算相关数据!$P$22:$X$30,8,0)</f>
        <v>5.7709803921568623</v>
      </c>
      <c r="S698" s="62">
        <f t="shared" si="68"/>
        <v>6.4077918749199023</v>
      </c>
      <c r="T698" s="133">
        <f>IF(P698=模板计算相关数据!$AB$24,VLOOKUP(X698,模板计算相关数据!$P$47:$T$50,5,0),VLOOKUP(X698,模板计算相关数据!$P$4:$U$7,6,0))*VLOOKUP(Y698,模板计算相关数据!$P$22:$X$30,9,0)</f>
        <v>6.4077918749199023</v>
      </c>
      <c r="U698" s="98">
        <v>1</v>
      </c>
      <c r="V698" s="95">
        <f t="shared" si="69"/>
        <v>4</v>
      </c>
      <c r="W698" s="29">
        <f>VLOOKUP(U698,模板计算相关数据!A:N,2,0)</f>
        <v>1</v>
      </c>
      <c r="X698" s="3" t="s">
        <v>151</v>
      </c>
      <c r="Y698" s="3" t="s">
        <v>243</v>
      </c>
      <c r="Z698" s="99">
        <v>1</v>
      </c>
      <c r="AA698" s="95">
        <v>1</v>
      </c>
      <c r="AB698" s="95">
        <v>1</v>
      </c>
      <c r="AC698" s="95">
        <v>1</v>
      </c>
      <c r="AD698" s="95">
        <v>0</v>
      </c>
      <c r="AE698" s="95">
        <v>0</v>
      </c>
      <c r="AF698" s="95">
        <v>0</v>
      </c>
      <c r="AG698" s="95">
        <v>0</v>
      </c>
      <c r="AH698" s="95">
        <v>0</v>
      </c>
      <c r="AI698" s="95">
        <v>0</v>
      </c>
      <c r="AJ698" s="3">
        <f>INT(VLOOKUP(U698,模板计算相关数据!A:N,4,0)*VLOOKUP(U698,模板计算相关数据!A:N,14,0)*(1+MAX(0,(VLOOKUP(U698,模板计算相关数据!A:N,7,0)-AQ698))*VLOOKUP(U698,模板计算相关数据!A:N,8,0))*(1-(AL698+AM698)*0.5/((AL698+AM698)*0.5+(VLOOKUP(U698,模板计算相关数据!A:N,2,0)+模板计算相关数据!$AC$27)*模板计算相关数据!$AC$28))*Q698*Z698)</f>
        <v>411</v>
      </c>
      <c r="AK698" s="3">
        <f>INT(VLOOKUP(U698,模板计算相关数据!A:N,3,0)/模板计算相关数据!$W$35/(1+MAX(0,(AO698/10000-VLOOKUP(U698,模板计算相关数据!A:N,9,0)))*AP698/10000)/(1-VLOOKUP(U698,模板计算相关数据!A:N,5,0)/(VLOOKUP(U698,模板计算相关数据!A:N,5,0)+(VLOOKUP(U698,模板计算相关数据!A:N,2,0)+模板计算相关数据!$AC$27)*模板计算相关数据!$AC$28))/S698*AA698)</f>
        <v>86</v>
      </c>
      <c r="AL698" s="3">
        <f>INT(VLOOKUP(U698,模板计算相关数据!A:N,5,0)*VLOOKUP(X698,模板计算相关数据!$P$4:$T$7,4,0)*VLOOKUP(Y698,模板计算相关数据!$P$22:$U$30,4,0)*AB698)</f>
        <v>145</v>
      </c>
      <c r="AM698" s="3">
        <f>INT(VLOOKUP(U698,模板计算相关数据!A:N,6,0)*VLOOKUP(X698,模板计算相关数据!$P$4:$T$7,4,0)*VLOOKUP(Y698,模板计算相关数据!$P$22:$U$30,5,0)*AC698)</f>
        <v>264</v>
      </c>
      <c r="AN698" s="3">
        <f>VLOOKUP(U698,模板计算相关数据!A:N,10,0)*0.5*VLOOKUP(Y698,模板计算相关数据!$P$22:$U$30,6,0)+AD698</f>
        <v>275</v>
      </c>
      <c r="AO698" s="3">
        <f>VLOOKUP(INT(VLOOKUP(U698,模板计算相关数据!A:N,2,0)/30)+1,模板计算相关数据!$O$35:$U$40,3,0)+AE698</f>
        <v>0</v>
      </c>
      <c r="AP698" s="3">
        <f>VLOOKUP(INT(VLOOKUP(U698,模板计算相关数据!A:N,2,0)/30)+1,模板计算相关数据!$O$35:$U$40,4,0)+AF698</f>
        <v>5000</v>
      </c>
      <c r="AQ698" s="3">
        <f>VLOOKUP(INT(VLOOKUP(U698,模板计算相关数据!A:N,2,0)/30)+1,模板计算相关数据!$O$35:$U$40,5,0)+AG698</f>
        <v>0</v>
      </c>
      <c r="AR698" s="3">
        <f>VLOOKUP(INT(VLOOKUP(U698,模板计算相关数据!A:N,2,0)/30)+1,模板计算相关数据!$O$35:$U$40,6,0)+AH698</f>
        <v>0</v>
      </c>
      <c r="AS698" s="3">
        <f>VLOOKUP(INT(VLOOKUP(U698,模板计算相关数据!A:N,2,0)/30)+1,模板计算相关数据!$O$35:$U$40,7,0)+AI698</f>
        <v>0</v>
      </c>
      <c r="AT698" s="3">
        <f>VLOOKUP(INT(VLOOKUP(U698,模板计算相关数据!A:N,2,0)/30)+1,模板计算相关数据!$O$35:$V$40,8,0)</f>
        <v>0</v>
      </c>
      <c r="AU698" s="2"/>
    </row>
    <row r="699" spans="1:47" x14ac:dyDescent="0.2">
      <c r="A699" s="2">
        <v>307257</v>
      </c>
      <c r="B699" s="2"/>
      <c r="C699" s="2" t="s">
        <v>326</v>
      </c>
      <c r="D699" s="69" t="s">
        <v>1238</v>
      </c>
      <c r="E699" s="2"/>
      <c r="F699" s="127">
        <v>3</v>
      </c>
      <c r="G699" s="127">
        <v>101</v>
      </c>
      <c r="H699" s="3">
        <v>5</v>
      </c>
      <c r="I699" s="127">
        <v>5</v>
      </c>
      <c r="J699" s="127">
        <v>1</v>
      </c>
      <c r="K699" s="3"/>
      <c r="L699" s="2" t="s">
        <v>515</v>
      </c>
      <c r="M699" s="2"/>
      <c r="N699" s="2">
        <v>1</v>
      </c>
      <c r="O699" s="2"/>
      <c r="P699" s="3" t="s">
        <v>1615</v>
      </c>
      <c r="Q699" s="95">
        <f t="shared" si="67"/>
        <v>5.7709803921568623</v>
      </c>
      <c r="R699" s="133">
        <f>IF(P699=模板计算相关数据!$AB$24,VLOOKUP(X699,模板计算相关数据!$P$47:$T$50,2,0),VLOOKUP(X699,模板计算相关数据!$P$4:$U$7,3,0))*VLOOKUP(Y699,模板计算相关数据!$P$22:$X$30,8,0)</f>
        <v>5.7709803921568623</v>
      </c>
      <c r="S699" s="62">
        <f t="shared" si="68"/>
        <v>6.4077918749199023</v>
      </c>
      <c r="T699" s="133">
        <f>IF(P699=模板计算相关数据!$AB$24,VLOOKUP(X699,模板计算相关数据!$P$47:$T$50,5,0),VLOOKUP(X699,模板计算相关数据!$P$4:$U$7,6,0))*VLOOKUP(Y699,模板计算相关数据!$P$22:$X$30,9,0)</f>
        <v>6.4077918749199023</v>
      </c>
      <c r="U699" s="98">
        <v>1</v>
      </c>
      <c r="V699" s="95">
        <f t="shared" si="69"/>
        <v>4</v>
      </c>
      <c r="W699" s="29">
        <f>VLOOKUP(U699,模板计算相关数据!A:N,2,0)</f>
        <v>1</v>
      </c>
      <c r="X699" s="3" t="s">
        <v>151</v>
      </c>
      <c r="Y699" s="3" t="s">
        <v>243</v>
      </c>
      <c r="Z699" s="99">
        <v>1</v>
      </c>
      <c r="AA699" s="95">
        <v>1</v>
      </c>
      <c r="AB699" s="95">
        <v>1</v>
      </c>
      <c r="AC699" s="95">
        <v>1</v>
      </c>
      <c r="AD699" s="95">
        <v>0</v>
      </c>
      <c r="AE699" s="95">
        <v>0</v>
      </c>
      <c r="AF699" s="95">
        <v>0</v>
      </c>
      <c r="AG699" s="95">
        <v>0</v>
      </c>
      <c r="AH699" s="95">
        <v>0</v>
      </c>
      <c r="AI699" s="95">
        <v>0</v>
      </c>
      <c r="AJ699" s="3">
        <f>INT(VLOOKUP(U699,模板计算相关数据!A:N,4,0)*VLOOKUP(U699,模板计算相关数据!A:N,14,0)*(1+MAX(0,(VLOOKUP(U699,模板计算相关数据!A:N,7,0)-AQ699))*VLOOKUP(U699,模板计算相关数据!A:N,8,0))*(1-(AL699+AM699)*0.5/((AL699+AM699)*0.5+(VLOOKUP(U699,模板计算相关数据!A:N,2,0)+模板计算相关数据!$AC$27)*模板计算相关数据!$AC$28))*Q699*Z699)</f>
        <v>411</v>
      </c>
      <c r="AK699" s="3">
        <f>INT(VLOOKUP(U699,模板计算相关数据!A:N,3,0)/模板计算相关数据!$W$35/(1+MAX(0,(AO699/10000-VLOOKUP(U699,模板计算相关数据!A:N,9,0)))*AP699/10000)/(1-VLOOKUP(U699,模板计算相关数据!A:N,5,0)/(VLOOKUP(U699,模板计算相关数据!A:N,5,0)+(VLOOKUP(U699,模板计算相关数据!A:N,2,0)+模板计算相关数据!$AC$27)*模板计算相关数据!$AC$28))/S699*AA699)</f>
        <v>86</v>
      </c>
      <c r="AL699" s="3">
        <f>INT(VLOOKUP(U699,模板计算相关数据!A:N,5,0)*VLOOKUP(X699,模板计算相关数据!$P$4:$T$7,4,0)*VLOOKUP(Y699,模板计算相关数据!$P$22:$U$30,4,0)*AB699)</f>
        <v>145</v>
      </c>
      <c r="AM699" s="3">
        <f>INT(VLOOKUP(U699,模板计算相关数据!A:N,6,0)*VLOOKUP(X699,模板计算相关数据!$P$4:$T$7,4,0)*VLOOKUP(Y699,模板计算相关数据!$P$22:$U$30,5,0)*AC699)</f>
        <v>264</v>
      </c>
      <c r="AN699" s="3">
        <f>VLOOKUP(U699,模板计算相关数据!A:N,10,0)*0.5*VLOOKUP(Y699,模板计算相关数据!$P$22:$U$30,6,0)+AD699</f>
        <v>275</v>
      </c>
      <c r="AO699" s="3">
        <f>VLOOKUP(INT(VLOOKUP(U699,模板计算相关数据!A:N,2,0)/30)+1,模板计算相关数据!$O$35:$U$40,3,0)+AE699</f>
        <v>0</v>
      </c>
      <c r="AP699" s="3">
        <f>VLOOKUP(INT(VLOOKUP(U699,模板计算相关数据!A:N,2,0)/30)+1,模板计算相关数据!$O$35:$U$40,4,0)+AF699</f>
        <v>5000</v>
      </c>
      <c r="AQ699" s="3">
        <f>VLOOKUP(INT(VLOOKUP(U699,模板计算相关数据!A:N,2,0)/30)+1,模板计算相关数据!$O$35:$U$40,5,0)+AG699</f>
        <v>0</v>
      </c>
      <c r="AR699" s="3">
        <f>VLOOKUP(INT(VLOOKUP(U699,模板计算相关数据!A:N,2,0)/30)+1,模板计算相关数据!$O$35:$U$40,6,0)+AH699</f>
        <v>0</v>
      </c>
      <c r="AS699" s="3">
        <f>VLOOKUP(INT(VLOOKUP(U699,模板计算相关数据!A:N,2,0)/30)+1,模板计算相关数据!$O$35:$U$40,7,0)+AI699</f>
        <v>0</v>
      </c>
      <c r="AT699" s="3">
        <f>VLOOKUP(INT(VLOOKUP(U699,模板计算相关数据!A:N,2,0)/30)+1,模板计算相关数据!$O$35:$V$40,8,0)</f>
        <v>0</v>
      </c>
      <c r="AU699" s="2"/>
    </row>
    <row r="700" spans="1:47" x14ac:dyDescent="0.2">
      <c r="A700" s="2">
        <v>307258</v>
      </c>
      <c r="B700" s="2"/>
      <c r="C700" s="2" t="s">
        <v>162</v>
      </c>
      <c r="D700" s="2" t="s">
        <v>1239</v>
      </c>
      <c r="E700" s="2"/>
      <c r="F700" s="127">
        <v>3</v>
      </c>
      <c r="G700" s="127">
        <v>101</v>
      </c>
      <c r="H700" s="3">
        <v>4</v>
      </c>
      <c r="I700" s="127">
        <v>5</v>
      </c>
      <c r="J700" s="127">
        <v>1</v>
      </c>
      <c r="K700" s="3"/>
      <c r="L700" s="2" t="s">
        <v>516</v>
      </c>
      <c r="M700" s="2"/>
      <c r="N700" s="2">
        <v>1</v>
      </c>
      <c r="O700" s="2"/>
      <c r="P700" s="3" t="s">
        <v>1615</v>
      </c>
      <c r="Q700" s="95">
        <f t="shared" si="67"/>
        <v>4.4674509803921572</v>
      </c>
      <c r="R700" s="133">
        <f>IF(P700=模板计算相关数据!$AB$24,VLOOKUP(X700,模板计算相关数据!$P$47:$T$50,2,0),VLOOKUP(X700,模板计算相关数据!$P$4:$U$7,3,0))*VLOOKUP(Y700,模板计算相关数据!$P$22:$X$30,8,0)</f>
        <v>4.4674509803921572</v>
      </c>
      <c r="S700" s="62">
        <f t="shared" si="68"/>
        <v>5.4739930589768004</v>
      </c>
      <c r="T700" s="133">
        <f>IF(P700=模板计算相关数据!$AB$24,VLOOKUP(X700,模板计算相关数据!$P$47:$T$50,5,0),VLOOKUP(X700,模板计算相关数据!$P$4:$U$7,6,0))*VLOOKUP(Y700,模板计算相关数据!$P$22:$X$30,9,0)</f>
        <v>5.4739930589768004</v>
      </c>
      <c r="U700" s="98">
        <v>1</v>
      </c>
      <c r="V700" s="95">
        <f t="shared" si="69"/>
        <v>4</v>
      </c>
      <c r="W700" s="29">
        <f>VLOOKUP(U700,模板计算相关数据!A:N,2,0)</f>
        <v>1</v>
      </c>
      <c r="X700" s="3" t="s">
        <v>151</v>
      </c>
      <c r="Y700" s="3" t="s">
        <v>162</v>
      </c>
      <c r="Z700" s="99">
        <v>1</v>
      </c>
      <c r="AA700" s="95">
        <v>1</v>
      </c>
      <c r="AB700" s="95">
        <v>1</v>
      </c>
      <c r="AC700" s="95">
        <v>1</v>
      </c>
      <c r="AD700" s="95">
        <v>0</v>
      </c>
      <c r="AE700" s="95">
        <v>0</v>
      </c>
      <c r="AF700" s="95">
        <v>0</v>
      </c>
      <c r="AG700" s="95">
        <v>0</v>
      </c>
      <c r="AH700" s="95">
        <v>0</v>
      </c>
      <c r="AI700" s="95">
        <v>0</v>
      </c>
      <c r="AJ700" s="3">
        <f>INT(VLOOKUP(U700,模板计算相关数据!A:N,4,0)*VLOOKUP(U700,模板计算相关数据!A:N,14,0)*(1+MAX(0,(VLOOKUP(U700,模板计算相关数据!A:N,7,0)-AQ700))*VLOOKUP(U700,模板计算相关数据!A:N,8,0))*(1-(AL700+AM700)*0.5/((AL700+AM700)*0.5+(VLOOKUP(U700,模板计算相关数据!A:N,2,0)+模板计算相关数据!$AC$27)*模板计算相关数据!$AC$28))*Q700*Z700)</f>
        <v>328</v>
      </c>
      <c r="AK700" s="3">
        <f>INT(VLOOKUP(U700,模板计算相关数据!A:N,3,0)/模板计算相关数据!$W$35/(1+MAX(0,(AO700/10000-VLOOKUP(U700,模板计算相关数据!A:N,9,0)))*AP700/10000)/(1-VLOOKUP(U700,模板计算相关数据!A:N,5,0)/(VLOOKUP(U700,模板计算相关数据!A:N,5,0)+(VLOOKUP(U700,模板计算相关数据!A:N,2,0)+模板计算相关数据!$AC$27)*模板计算相关数据!$AC$28))/S700*AA700)</f>
        <v>101</v>
      </c>
      <c r="AL700" s="3">
        <f>INT(VLOOKUP(U700,模板计算相关数据!A:N,5,0)*VLOOKUP(X700,模板计算相关数据!$P$4:$T$7,4,0)*VLOOKUP(Y700,模板计算相关数据!$P$22:$U$30,4,0)*AB700)</f>
        <v>136</v>
      </c>
      <c r="AM700" s="3">
        <f>INT(VLOOKUP(U700,模板计算相关数据!A:N,6,0)*VLOOKUP(X700,模板计算相关数据!$P$4:$T$7,4,0)*VLOOKUP(Y700,模板计算相关数据!$P$22:$U$30,5,0)*AC700)</f>
        <v>230</v>
      </c>
      <c r="AN700" s="3">
        <f>VLOOKUP(U700,模板计算相关数据!A:N,10,0)*0.5*VLOOKUP(Y700,模板计算相关数据!$P$22:$U$30,6,0)+AD700</f>
        <v>250</v>
      </c>
      <c r="AO700" s="3">
        <f>VLOOKUP(INT(VLOOKUP(U700,模板计算相关数据!A:N,2,0)/30)+1,模板计算相关数据!$O$35:$U$40,3,0)+AE700</f>
        <v>0</v>
      </c>
      <c r="AP700" s="3">
        <f>VLOOKUP(INT(VLOOKUP(U700,模板计算相关数据!A:N,2,0)/30)+1,模板计算相关数据!$O$35:$U$40,4,0)+AF700</f>
        <v>5000</v>
      </c>
      <c r="AQ700" s="3">
        <f>VLOOKUP(INT(VLOOKUP(U700,模板计算相关数据!A:N,2,0)/30)+1,模板计算相关数据!$O$35:$U$40,5,0)+AG700</f>
        <v>0</v>
      </c>
      <c r="AR700" s="3">
        <f>VLOOKUP(INT(VLOOKUP(U700,模板计算相关数据!A:N,2,0)/30)+1,模板计算相关数据!$O$35:$U$40,6,0)+AH700</f>
        <v>0</v>
      </c>
      <c r="AS700" s="3">
        <f>VLOOKUP(INT(VLOOKUP(U700,模板计算相关数据!A:N,2,0)/30)+1,模板计算相关数据!$O$35:$U$40,7,0)+AI700</f>
        <v>0</v>
      </c>
      <c r="AT700" s="3">
        <f>VLOOKUP(INT(VLOOKUP(U700,模板计算相关数据!A:N,2,0)/30)+1,模板计算相关数据!$O$35:$V$40,8,0)</f>
        <v>0</v>
      </c>
      <c r="AU700" s="2"/>
    </row>
    <row r="701" spans="1:47" x14ac:dyDescent="0.2">
      <c r="A701" s="2">
        <v>307259</v>
      </c>
      <c r="B701" s="2"/>
      <c r="C701" s="2" t="s">
        <v>162</v>
      </c>
      <c r="D701" s="2" t="s">
        <v>1240</v>
      </c>
      <c r="E701" s="2"/>
      <c r="F701" s="127">
        <v>3</v>
      </c>
      <c r="G701" s="127">
        <v>101</v>
      </c>
      <c r="H701" s="3">
        <v>4</v>
      </c>
      <c r="I701" s="127">
        <v>5</v>
      </c>
      <c r="J701" s="127">
        <v>1</v>
      </c>
      <c r="K701" s="3"/>
      <c r="L701" s="2" t="s">
        <v>517</v>
      </c>
      <c r="M701" s="2"/>
      <c r="N701" s="2">
        <v>1</v>
      </c>
      <c r="O701" s="2"/>
      <c r="P701" s="3" t="s">
        <v>1615</v>
      </c>
      <c r="Q701" s="95">
        <f t="shared" si="67"/>
        <v>4.4674509803921572</v>
      </c>
      <c r="R701" s="133">
        <f>IF(P701=模板计算相关数据!$AB$24,VLOOKUP(X701,模板计算相关数据!$P$47:$T$50,2,0),VLOOKUP(X701,模板计算相关数据!$P$4:$U$7,3,0))*VLOOKUP(Y701,模板计算相关数据!$P$22:$X$30,8,0)</f>
        <v>4.4674509803921572</v>
      </c>
      <c r="S701" s="62">
        <f t="shared" si="68"/>
        <v>5.4739930589768004</v>
      </c>
      <c r="T701" s="133">
        <f>IF(P701=模板计算相关数据!$AB$24,VLOOKUP(X701,模板计算相关数据!$P$47:$T$50,5,0),VLOOKUP(X701,模板计算相关数据!$P$4:$U$7,6,0))*VLOOKUP(Y701,模板计算相关数据!$P$22:$X$30,9,0)</f>
        <v>5.4739930589768004</v>
      </c>
      <c r="U701" s="98">
        <v>1</v>
      </c>
      <c r="V701" s="95">
        <f t="shared" si="69"/>
        <v>4</v>
      </c>
      <c r="W701" s="29">
        <f>VLOOKUP(U701,模板计算相关数据!A:N,2,0)</f>
        <v>1</v>
      </c>
      <c r="X701" s="3" t="s">
        <v>151</v>
      </c>
      <c r="Y701" s="3" t="s">
        <v>162</v>
      </c>
      <c r="Z701" s="99">
        <v>1</v>
      </c>
      <c r="AA701" s="95">
        <v>1</v>
      </c>
      <c r="AB701" s="95">
        <v>1</v>
      </c>
      <c r="AC701" s="95">
        <v>1</v>
      </c>
      <c r="AD701" s="95">
        <v>0</v>
      </c>
      <c r="AE701" s="95">
        <v>0</v>
      </c>
      <c r="AF701" s="95">
        <v>0</v>
      </c>
      <c r="AG701" s="95">
        <v>0</v>
      </c>
      <c r="AH701" s="95">
        <v>0</v>
      </c>
      <c r="AI701" s="95">
        <v>0</v>
      </c>
      <c r="AJ701" s="3">
        <f>INT(VLOOKUP(U701,模板计算相关数据!A:N,4,0)*VLOOKUP(U701,模板计算相关数据!A:N,14,0)*(1+MAX(0,(VLOOKUP(U701,模板计算相关数据!A:N,7,0)-AQ701))*VLOOKUP(U701,模板计算相关数据!A:N,8,0))*(1-(AL701+AM701)*0.5/((AL701+AM701)*0.5+(VLOOKUP(U701,模板计算相关数据!A:N,2,0)+模板计算相关数据!$AC$27)*模板计算相关数据!$AC$28))*Q701*Z701)</f>
        <v>328</v>
      </c>
      <c r="AK701" s="3">
        <f>INT(VLOOKUP(U701,模板计算相关数据!A:N,3,0)/模板计算相关数据!$W$35/(1+MAX(0,(AO701/10000-VLOOKUP(U701,模板计算相关数据!A:N,9,0)))*AP701/10000)/(1-VLOOKUP(U701,模板计算相关数据!A:N,5,0)/(VLOOKUP(U701,模板计算相关数据!A:N,5,0)+(VLOOKUP(U701,模板计算相关数据!A:N,2,0)+模板计算相关数据!$AC$27)*模板计算相关数据!$AC$28))/S701*AA701)</f>
        <v>101</v>
      </c>
      <c r="AL701" s="3">
        <f>INT(VLOOKUP(U701,模板计算相关数据!A:N,5,0)*VLOOKUP(X701,模板计算相关数据!$P$4:$T$7,4,0)*VLOOKUP(Y701,模板计算相关数据!$P$22:$U$30,4,0)*AB701)</f>
        <v>136</v>
      </c>
      <c r="AM701" s="3">
        <f>INT(VLOOKUP(U701,模板计算相关数据!A:N,6,0)*VLOOKUP(X701,模板计算相关数据!$P$4:$T$7,4,0)*VLOOKUP(Y701,模板计算相关数据!$P$22:$U$30,5,0)*AC701)</f>
        <v>230</v>
      </c>
      <c r="AN701" s="3">
        <f>VLOOKUP(U701,模板计算相关数据!A:N,10,0)*0.5*VLOOKUP(Y701,模板计算相关数据!$P$22:$U$30,6,0)+AD701</f>
        <v>250</v>
      </c>
      <c r="AO701" s="3">
        <f>VLOOKUP(INT(VLOOKUP(U701,模板计算相关数据!A:N,2,0)/30)+1,模板计算相关数据!$O$35:$U$40,3,0)+AE701</f>
        <v>0</v>
      </c>
      <c r="AP701" s="3">
        <f>VLOOKUP(INT(VLOOKUP(U701,模板计算相关数据!A:N,2,0)/30)+1,模板计算相关数据!$O$35:$U$40,4,0)+AF701</f>
        <v>5000</v>
      </c>
      <c r="AQ701" s="3">
        <f>VLOOKUP(INT(VLOOKUP(U701,模板计算相关数据!A:N,2,0)/30)+1,模板计算相关数据!$O$35:$U$40,5,0)+AG701</f>
        <v>0</v>
      </c>
      <c r="AR701" s="3">
        <f>VLOOKUP(INT(VLOOKUP(U701,模板计算相关数据!A:N,2,0)/30)+1,模板计算相关数据!$O$35:$U$40,6,0)+AH701</f>
        <v>0</v>
      </c>
      <c r="AS701" s="3">
        <f>VLOOKUP(INT(VLOOKUP(U701,模板计算相关数据!A:N,2,0)/30)+1,模板计算相关数据!$O$35:$U$40,7,0)+AI701</f>
        <v>0</v>
      </c>
      <c r="AT701" s="3">
        <f>VLOOKUP(INT(VLOOKUP(U701,模板计算相关数据!A:N,2,0)/30)+1,模板计算相关数据!$O$35:$V$40,8,0)</f>
        <v>0</v>
      </c>
      <c r="AU701" s="2"/>
    </row>
    <row r="702" spans="1:47" x14ac:dyDescent="0.2">
      <c r="A702" s="2">
        <v>307260</v>
      </c>
      <c r="B702" s="2"/>
      <c r="C702" s="2" t="s">
        <v>162</v>
      </c>
      <c r="D702" s="2" t="s">
        <v>1238</v>
      </c>
      <c r="E702" s="2"/>
      <c r="F702" s="127">
        <v>3</v>
      </c>
      <c r="G702" s="127">
        <v>101</v>
      </c>
      <c r="H702" s="3">
        <v>4</v>
      </c>
      <c r="I702" s="127">
        <v>5</v>
      </c>
      <c r="J702" s="127">
        <v>1</v>
      </c>
      <c r="K702" s="3"/>
      <c r="L702" s="2" t="s">
        <v>518</v>
      </c>
      <c r="M702" s="2"/>
      <c r="N702" s="2">
        <v>1</v>
      </c>
      <c r="O702" s="2"/>
      <c r="P702" s="3" t="s">
        <v>1615</v>
      </c>
      <c r="Q702" s="95">
        <f t="shared" si="67"/>
        <v>4.4674509803921572</v>
      </c>
      <c r="R702" s="133">
        <f>IF(P702=模板计算相关数据!$AB$24,VLOOKUP(X702,模板计算相关数据!$P$47:$T$50,2,0),VLOOKUP(X702,模板计算相关数据!$P$4:$U$7,3,0))*VLOOKUP(Y702,模板计算相关数据!$P$22:$X$30,8,0)</f>
        <v>4.4674509803921572</v>
      </c>
      <c r="S702" s="62">
        <f t="shared" si="68"/>
        <v>5.4739930589768004</v>
      </c>
      <c r="T702" s="133">
        <f>IF(P702=模板计算相关数据!$AB$24,VLOOKUP(X702,模板计算相关数据!$P$47:$T$50,5,0),VLOOKUP(X702,模板计算相关数据!$P$4:$U$7,6,0))*VLOOKUP(Y702,模板计算相关数据!$P$22:$X$30,9,0)</f>
        <v>5.4739930589768004</v>
      </c>
      <c r="U702" s="98">
        <v>1</v>
      </c>
      <c r="V702" s="95">
        <f t="shared" si="69"/>
        <v>4</v>
      </c>
      <c r="W702" s="29">
        <f>VLOOKUP(U702,模板计算相关数据!A:N,2,0)</f>
        <v>1</v>
      </c>
      <c r="X702" s="3" t="s">
        <v>151</v>
      </c>
      <c r="Y702" s="3" t="s">
        <v>162</v>
      </c>
      <c r="Z702" s="99">
        <v>1</v>
      </c>
      <c r="AA702" s="95">
        <v>1</v>
      </c>
      <c r="AB702" s="95">
        <v>1</v>
      </c>
      <c r="AC702" s="95">
        <v>1</v>
      </c>
      <c r="AD702" s="95">
        <v>0</v>
      </c>
      <c r="AE702" s="95">
        <v>0</v>
      </c>
      <c r="AF702" s="95">
        <v>0</v>
      </c>
      <c r="AG702" s="95">
        <v>0</v>
      </c>
      <c r="AH702" s="95">
        <v>0</v>
      </c>
      <c r="AI702" s="95">
        <v>0</v>
      </c>
      <c r="AJ702" s="3">
        <f>INT(VLOOKUP(U702,模板计算相关数据!A:N,4,0)*VLOOKUP(U702,模板计算相关数据!A:N,14,0)*(1+MAX(0,(VLOOKUP(U702,模板计算相关数据!A:N,7,0)-AQ702))*VLOOKUP(U702,模板计算相关数据!A:N,8,0))*(1-(AL702+AM702)*0.5/((AL702+AM702)*0.5+(VLOOKUP(U702,模板计算相关数据!A:N,2,0)+模板计算相关数据!$AC$27)*模板计算相关数据!$AC$28))*Q702*Z702)</f>
        <v>328</v>
      </c>
      <c r="AK702" s="3">
        <f>INT(VLOOKUP(U702,模板计算相关数据!A:N,3,0)/模板计算相关数据!$W$35/(1+MAX(0,(AO702/10000-VLOOKUP(U702,模板计算相关数据!A:N,9,0)))*AP702/10000)/(1-VLOOKUP(U702,模板计算相关数据!A:N,5,0)/(VLOOKUP(U702,模板计算相关数据!A:N,5,0)+(VLOOKUP(U702,模板计算相关数据!A:N,2,0)+模板计算相关数据!$AC$27)*模板计算相关数据!$AC$28))/S702*AA702)</f>
        <v>101</v>
      </c>
      <c r="AL702" s="3">
        <f>INT(VLOOKUP(U702,模板计算相关数据!A:N,5,0)*VLOOKUP(X702,模板计算相关数据!$P$4:$T$7,4,0)*VLOOKUP(Y702,模板计算相关数据!$P$22:$U$30,4,0)*AB702)</f>
        <v>136</v>
      </c>
      <c r="AM702" s="3">
        <f>INT(VLOOKUP(U702,模板计算相关数据!A:N,6,0)*VLOOKUP(X702,模板计算相关数据!$P$4:$T$7,4,0)*VLOOKUP(Y702,模板计算相关数据!$P$22:$U$30,5,0)*AC702)</f>
        <v>230</v>
      </c>
      <c r="AN702" s="3">
        <f>VLOOKUP(U702,模板计算相关数据!A:N,10,0)*0.5*VLOOKUP(Y702,模板计算相关数据!$P$22:$U$30,6,0)+AD702</f>
        <v>250</v>
      </c>
      <c r="AO702" s="3">
        <f>VLOOKUP(INT(VLOOKUP(U702,模板计算相关数据!A:N,2,0)/30)+1,模板计算相关数据!$O$35:$U$40,3,0)+AE702</f>
        <v>0</v>
      </c>
      <c r="AP702" s="3">
        <f>VLOOKUP(INT(VLOOKUP(U702,模板计算相关数据!A:N,2,0)/30)+1,模板计算相关数据!$O$35:$U$40,4,0)+AF702</f>
        <v>5000</v>
      </c>
      <c r="AQ702" s="3">
        <f>VLOOKUP(INT(VLOOKUP(U702,模板计算相关数据!A:N,2,0)/30)+1,模板计算相关数据!$O$35:$U$40,5,0)+AG702</f>
        <v>0</v>
      </c>
      <c r="AR702" s="3">
        <f>VLOOKUP(INT(VLOOKUP(U702,模板计算相关数据!A:N,2,0)/30)+1,模板计算相关数据!$O$35:$U$40,6,0)+AH702</f>
        <v>0</v>
      </c>
      <c r="AS702" s="3">
        <f>VLOOKUP(INT(VLOOKUP(U702,模板计算相关数据!A:N,2,0)/30)+1,模板计算相关数据!$O$35:$U$40,7,0)+AI702</f>
        <v>0</v>
      </c>
      <c r="AT702" s="3">
        <f>VLOOKUP(INT(VLOOKUP(U702,模板计算相关数据!A:N,2,0)/30)+1,模板计算相关数据!$O$35:$V$40,8,0)</f>
        <v>0</v>
      </c>
      <c r="AU702" s="2"/>
    </row>
    <row r="703" spans="1:47" x14ac:dyDescent="0.2">
      <c r="A703" s="2">
        <v>307261</v>
      </c>
      <c r="B703" s="2"/>
      <c r="C703" s="2" t="s">
        <v>389</v>
      </c>
      <c r="D703" s="2" t="s">
        <v>1239</v>
      </c>
      <c r="E703" s="2"/>
      <c r="F703" s="127">
        <v>3</v>
      </c>
      <c r="G703" s="127">
        <v>101</v>
      </c>
      <c r="H703" s="3">
        <v>2</v>
      </c>
      <c r="I703" s="127">
        <v>5</v>
      </c>
      <c r="J703" s="127">
        <v>1</v>
      </c>
      <c r="K703" s="3"/>
      <c r="L703" s="2" t="s">
        <v>519</v>
      </c>
      <c r="M703" s="2"/>
      <c r="N703" s="2">
        <v>1</v>
      </c>
      <c r="O703" s="2"/>
      <c r="P703" s="3" t="s">
        <v>1615</v>
      </c>
      <c r="Q703" s="95">
        <f t="shared" si="67"/>
        <v>6.9411764705882364</v>
      </c>
      <c r="R703" s="133">
        <f>IF(P703=模板计算相关数据!$AB$24,VLOOKUP(X703,模板计算相关数据!$P$47:$T$50,2,0),VLOOKUP(X703,模板计算相关数据!$P$4:$U$7,3,0))*VLOOKUP(Y703,模板计算相关数据!$P$22:$X$30,8,0)</f>
        <v>6.9411764705882364</v>
      </c>
      <c r="S703" s="62">
        <f t="shared" si="68"/>
        <v>8.2943498888557112</v>
      </c>
      <c r="T703" s="133">
        <f>IF(P703=模板计算相关数据!$AB$24,VLOOKUP(X703,模板计算相关数据!$P$47:$T$50,5,0),VLOOKUP(X703,模板计算相关数据!$P$4:$U$7,6,0))*VLOOKUP(Y703,模板计算相关数据!$P$22:$X$30,9,0)</f>
        <v>8.2943498888557112</v>
      </c>
      <c r="U703" s="98">
        <v>1</v>
      </c>
      <c r="V703" s="95">
        <f t="shared" si="69"/>
        <v>4</v>
      </c>
      <c r="W703" s="29">
        <f>VLOOKUP(U703,模板计算相关数据!A:N,2,0)</f>
        <v>1</v>
      </c>
      <c r="X703" s="3" t="s">
        <v>151</v>
      </c>
      <c r="Y703" s="3" t="s">
        <v>155</v>
      </c>
      <c r="Z703" s="99">
        <v>1</v>
      </c>
      <c r="AA703" s="95">
        <v>1</v>
      </c>
      <c r="AB703" s="95">
        <v>1</v>
      </c>
      <c r="AC703" s="95">
        <v>1</v>
      </c>
      <c r="AD703" s="95">
        <v>0</v>
      </c>
      <c r="AE703" s="95">
        <v>0</v>
      </c>
      <c r="AF703" s="95">
        <v>0</v>
      </c>
      <c r="AG703" s="95">
        <v>0</v>
      </c>
      <c r="AH703" s="95">
        <v>0</v>
      </c>
      <c r="AI703" s="95">
        <v>0</v>
      </c>
      <c r="AJ703" s="3">
        <f>INT(VLOOKUP(U703,模板计算相关数据!A:N,4,0)*VLOOKUP(U703,模板计算相关数据!A:N,14,0)*(1+MAX(0,(VLOOKUP(U703,模板计算相关数据!A:N,7,0)-AQ703))*VLOOKUP(U703,模板计算相关数据!A:N,8,0))*(1-(AL703+AM703)*0.5/((AL703+AM703)*0.5+(VLOOKUP(U703,模板计算相关数据!A:N,2,0)+模板计算相关数据!$AC$27)*模板计算相关数据!$AC$28))*Q703*Z703)</f>
        <v>487</v>
      </c>
      <c r="AK703" s="3">
        <f>INT(VLOOKUP(U703,模板计算相关数据!A:N,3,0)/模板计算相关数据!$W$35/(1+MAX(0,(AO703/10000-VLOOKUP(U703,模板计算相关数据!A:N,9,0)))*AP703/10000)/(1-VLOOKUP(U703,模板计算相关数据!A:N,5,0)/(VLOOKUP(U703,模板计算相关数据!A:N,5,0)+(VLOOKUP(U703,模板计算相关数据!A:N,2,0)+模板计算相关数据!$AC$27)*模板计算相关数据!$AC$28))/S703*AA703)</f>
        <v>67</v>
      </c>
      <c r="AL703" s="3">
        <f>INT(VLOOKUP(U703,模板计算相关数据!A:N,5,0)*VLOOKUP(X703,模板计算相关数据!$P$4:$T$7,4,0)*VLOOKUP(Y703,模板计算相关数据!$P$22:$U$30,4,0)*AB703)</f>
        <v>277</v>
      </c>
      <c r="AM703" s="3">
        <f>INT(VLOOKUP(U703,模板计算相关数据!A:N,6,0)*VLOOKUP(X703,模板计算相关数据!$P$4:$T$7,4,0)*VLOOKUP(Y703,模板计算相关数据!$P$22:$U$30,5,0)*AC703)</f>
        <v>153</v>
      </c>
      <c r="AN703" s="3">
        <f>VLOOKUP(U703,模板计算相关数据!A:N,10,0)*0.5*VLOOKUP(Y703,模板计算相关数据!$P$22:$U$30,6,0)+AD703</f>
        <v>225</v>
      </c>
      <c r="AO703" s="3">
        <f>VLOOKUP(INT(VLOOKUP(U703,模板计算相关数据!A:N,2,0)/30)+1,模板计算相关数据!$O$35:$U$40,3,0)+AE703</f>
        <v>0</v>
      </c>
      <c r="AP703" s="3">
        <f>VLOOKUP(INT(VLOOKUP(U703,模板计算相关数据!A:N,2,0)/30)+1,模板计算相关数据!$O$35:$U$40,4,0)+AF703</f>
        <v>5000</v>
      </c>
      <c r="AQ703" s="3">
        <f>VLOOKUP(INT(VLOOKUP(U703,模板计算相关数据!A:N,2,0)/30)+1,模板计算相关数据!$O$35:$U$40,5,0)+AG703</f>
        <v>0</v>
      </c>
      <c r="AR703" s="3">
        <f>VLOOKUP(INT(VLOOKUP(U703,模板计算相关数据!A:N,2,0)/30)+1,模板计算相关数据!$O$35:$U$40,6,0)+AH703</f>
        <v>0</v>
      </c>
      <c r="AS703" s="3">
        <f>VLOOKUP(INT(VLOOKUP(U703,模板计算相关数据!A:N,2,0)/30)+1,模板计算相关数据!$O$35:$U$40,7,0)+AI703</f>
        <v>0</v>
      </c>
      <c r="AT703" s="3">
        <f>VLOOKUP(INT(VLOOKUP(U703,模板计算相关数据!A:N,2,0)/30)+1,模板计算相关数据!$O$35:$V$40,8,0)</f>
        <v>0</v>
      </c>
      <c r="AU703" s="2"/>
    </row>
    <row r="704" spans="1:47" x14ac:dyDescent="0.2">
      <c r="A704" s="2">
        <v>307262</v>
      </c>
      <c r="B704" s="2"/>
      <c r="C704" s="2" t="s">
        <v>389</v>
      </c>
      <c r="D704" s="2" t="s">
        <v>1240</v>
      </c>
      <c r="E704" s="2"/>
      <c r="F704" s="127">
        <v>3</v>
      </c>
      <c r="G704" s="127">
        <v>101</v>
      </c>
      <c r="H704" s="3">
        <v>2</v>
      </c>
      <c r="I704" s="127">
        <v>5</v>
      </c>
      <c r="J704" s="127">
        <v>1</v>
      </c>
      <c r="K704" s="3"/>
      <c r="L704" s="2" t="s">
        <v>520</v>
      </c>
      <c r="M704" s="2"/>
      <c r="N704" s="2">
        <v>1</v>
      </c>
      <c r="O704" s="2"/>
      <c r="P704" s="3" t="s">
        <v>1615</v>
      </c>
      <c r="Q704" s="95">
        <f t="shared" si="67"/>
        <v>6.9411764705882364</v>
      </c>
      <c r="R704" s="133">
        <f>IF(P704=模板计算相关数据!$AB$24,VLOOKUP(X704,模板计算相关数据!$P$47:$T$50,2,0),VLOOKUP(X704,模板计算相关数据!$P$4:$U$7,3,0))*VLOOKUP(Y704,模板计算相关数据!$P$22:$X$30,8,0)</f>
        <v>6.9411764705882364</v>
      </c>
      <c r="S704" s="62">
        <f t="shared" si="68"/>
        <v>8.2943498888557112</v>
      </c>
      <c r="T704" s="133">
        <f>IF(P704=模板计算相关数据!$AB$24,VLOOKUP(X704,模板计算相关数据!$P$47:$T$50,5,0),VLOOKUP(X704,模板计算相关数据!$P$4:$U$7,6,0))*VLOOKUP(Y704,模板计算相关数据!$P$22:$X$30,9,0)</f>
        <v>8.2943498888557112</v>
      </c>
      <c r="U704" s="98">
        <v>1</v>
      </c>
      <c r="V704" s="95">
        <f t="shared" si="69"/>
        <v>4</v>
      </c>
      <c r="W704" s="29">
        <f>VLOOKUP(U704,模板计算相关数据!A:N,2,0)</f>
        <v>1</v>
      </c>
      <c r="X704" s="3" t="s">
        <v>151</v>
      </c>
      <c r="Y704" s="3" t="s">
        <v>155</v>
      </c>
      <c r="Z704" s="99">
        <v>1</v>
      </c>
      <c r="AA704" s="95">
        <v>1</v>
      </c>
      <c r="AB704" s="95">
        <v>1</v>
      </c>
      <c r="AC704" s="95">
        <v>1</v>
      </c>
      <c r="AD704" s="95">
        <v>0</v>
      </c>
      <c r="AE704" s="95">
        <v>0</v>
      </c>
      <c r="AF704" s="95">
        <v>0</v>
      </c>
      <c r="AG704" s="95">
        <v>0</v>
      </c>
      <c r="AH704" s="95">
        <v>0</v>
      </c>
      <c r="AI704" s="95">
        <v>0</v>
      </c>
      <c r="AJ704" s="3">
        <f>INT(VLOOKUP(U704,模板计算相关数据!A:N,4,0)*VLOOKUP(U704,模板计算相关数据!A:N,14,0)*(1+MAX(0,(VLOOKUP(U704,模板计算相关数据!A:N,7,0)-AQ704))*VLOOKUP(U704,模板计算相关数据!A:N,8,0))*(1-(AL704+AM704)*0.5/((AL704+AM704)*0.5+(VLOOKUP(U704,模板计算相关数据!A:N,2,0)+模板计算相关数据!$AC$27)*模板计算相关数据!$AC$28))*Q704*Z704)</f>
        <v>487</v>
      </c>
      <c r="AK704" s="3">
        <f>INT(VLOOKUP(U704,模板计算相关数据!A:N,3,0)/模板计算相关数据!$W$35/(1+MAX(0,(AO704/10000-VLOOKUP(U704,模板计算相关数据!A:N,9,0)))*AP704/10000)/(1-VLOOKUP(U704,模板计算相关数据!A:N,5,0)/(VLOOKUP(U704,模板计算相关数据!A:N,5,0)+(VLOOKUP(U704,模板计算相关数据!A:N,2,0)+模板计算相关数据!$AC$27)*模板计算相关数据!$AC$28))/S704*AA704)</f>
        <v>67</v>
      </c>
      <c r="AL704" s="3">
        <f>INT(VLOOKUP(U704,模板计算相关数据!A:N,5,0)*VLOOKUP(X704,模板计算相关数据!$P$4:$T$7,4,0)*VLOOKUP(Y704,模板计算相关数据!$P$22:$U$30,4,0)*AB704)</f>
        <v>277</v>
      </c>
      <c r="AM704" s="3">
        <f>INT(VLOOKUP(U704,模板计算相关数据!A:N,6,0)*VLOOKUP(X704,模板计算相关数据!$P$4:$T$7,4,0)*VLOOKUP(Y704,模板计算相关数据!$P$22:$U$30,5,0)*AC704)</f>
        <v>153</v>
      </c>
      <c r="AN704" s="3">
        <f>VLOOKUP(U704,模板计算相关数据!A:N,10,0)*0.5*VLOOKUP(Y704,模板计算相关数据!$P$22:$U$30,6,0)+AD704</f>
        <v>225</v>
      </c>
      <c r="AO704" s="3">
        <f>VLOOKUP(INT(VLOOKUP(U704,模板计算相关数据!A:N,2,0)/30)+1,模板计算相关数据!$O$35:$U$40,3,0)+AE704</f>
        <v>0</v>
      </c>
      <c r="AP704" s="3">
        <f>VLOOKUP(INT(VLOOKUP(U704,模板计算相关数据!A:N,2,0)/30)+1,模板计算相关数据!$O$35:$U$40,4,0)+AF704</f>
        <v>5000</v>
      </c>
      <c r="AQ704" s="3">
        <f>VLOOKUP(INT(VLOOKUP(U704,模板计算相关数据!A:N,2,0)/30)+1,模板计算相关数据!$O$35:$U$40,5,0)+AG704</f>
        <v>0</v>
      </c>
      <c r="AR704" s="3">
        <f>VLOOKUP(INT(VLOOKUP(U704,模板计算相关数据!A:N,2,0)/30)+1,模板计算相关数据!$O$35:$U$40,6,0)+AH704</f>
        <v>0</v>
      </c>
      <c r="AS704" s="3">
        <f>VLOOKUP(INT(VLOOKUP(U704,模板计算相关数据!A:N,2,0)/30)+1,模板计算相关数据!$O$35:$U$40,7,0)+AI704</f>
        <v>0</v>
      </c>
      <c r="AT704" s="3">
        <f>VLOOKUP(INT(VLOOKUP(U704,模板计算相关数据!A:N,2,0)/30)+1,模板计算相关数据!$O$35:$V$40,8,0)</f>
        <v>0</v>
      </c>
      <c r="AU704" s="2"/>
    </row>
    <row r="705" spans="1:47" x14ac:dyDescent="0.2">
      <c r="A705" s="2">
        <v>307263</v>
      </c>
      <c r="B705" s="2"/>
      <c r="C705" s="2" t="s">
        <v>389</v>
      </c>
      <c r="D705" s="2" t="s">
        <v>1238</v>
      </c>
      <c r="E705" s="2"/>
      <c r="F705" s="127">
        <v>3</v>
      </c>
      <c r="G705" s="127">
        <v>101</v>
      </c>
      <c r="H705" s="3">
        <v>2</v>
      </c>
      <c r="I705" s="127">
        <v>5</v>
      </c>
      <c r="J705" s="127">
        <v>1</v>
      </c>
      <c r="K705" s="3"/>
      <c r="L705" s="2" t="s">
        <v>521</v>
      </c>
      <c r="M705" s="2"/>
      <c r="N705" s="2">
        <v>1</v>
      </c>
      <c r="O705" s="2"/>
      <c r="P705" s="3" t="s">
        <v>1615</v>
      </c>
      <c r="Q705" s="95">
        <f t="shared" si="67"/>
        <v>6.9411764705882364</v>
      </c>
      <c r="R705" s="133">
        <f>IF(P705=模板计算相关数据!$AB$24,VLOOKUP(X705,模板计算相关数据!$P$47:$T$50,2,0),VLOOKUP(X705,模板计算相关数据!$P$4:$U$7,3,0))*VLOOKUP(Y705,模板计算相关数据!$P$22:$X$30,8,0)</f>
        <v>6.9411764705882364</v>
      </c>
      <c r="S705" s="62">
        <f t="shared" si="68"/>
        <v>8.2943498888557112</v>
      </c>
      <c r="T705" s="133">
        <f>IF(P705=模板计算相关数据!$AB$24,VLOOKUP(X705,模板计算相关数据!$P$47:$T$50,5,0),VLOOKUP(X705,模板计算相关数据!$P$4:$U$7,6,0))*VLOOKUP(Y705,模板计算相关数据!$P$22:$X$30,9,0)</f>
        <v>8.2943498888557112</v>
      </c>
      <c r="U705" s="98">
        <v>1</v>
      </c>
      <c r="V705" s="95">
        <f t="shared" si="69"/>
        <v>4</v>
      </c>
      <c r="W705" s="29">
        <f>VLOOKUP(U705,模板计算相关数据!A:N,2,0)</f>
        <v>1</v>
      </c>
      <c r="X705" s="3" t="s">
        <v>151</v>
      </c>
      <c r="Y705" s="3" t="s">
        <v>155</v>
      </c>
      <c r="Z705" s="99">
        <v>1</v>
      </c>
      <c r="AA705" s="95">
        <v>1</v>
      </c>
      <c r="AB705" s="95">
        <v>1</v>
      </c>
      <c r="AC705" s="95">
        <v>1</v>
      </c>
      <c r="AD705" s="95">
        <v>0</v>
      </c>
      <c r="AE705" s="95">
        <v>0</v>
      </c>
      <c r="AF705" s="95">
        <v>0</v>
      </c>
      <c r="AG705" s="95">
        <v>0</v>
      </c>
      <c r="AH705" s="95">
        <v>0</v>
      </c>
      <c r="AI705" s="95">
        <v>0</v>
      </c>
      <c r="AJ705" s="3">
        <f>INT(VLOOKUP(U705,模板计算相关数据!A:N,4,0)*VLOOKUP(U705,模板计算相关数据!A:N,14,0)*(1+MAX(0,(VLOOKUP(U705,模板计算相关数据!A:N,7,0)-AQ705))*VLOOKUP(U705,模板计算相关数据!A:N,8,0))*(1-(AL705+AM705)*0.5/((AL705+AM705)*0.5+(VLOOKUP(U705,模板计算相关数据!A:N,2,0)+模板计算相关数据!$AC$27)*模板计算相关数据!$AC$28))*Q705*Z705)</f>
        <v>487</v>
      </c>
      <c r="AK705" s="3">
        <f>INT(VLOOKUP(U705,模板计算相关数据!A:N,3,0)/模板计算相关数据!$W$35/(1+MAX(0,(AO705/10000-VLOOKUP(U705,模板计算相关数据!A:N,9,0)))*AP705/10000)/(1-VLOOKUP(U705,模板计算相关数据!A:N,5,0)/(VLOOKUP(U705,模板计算相关数据!A:N,5,0)+(VLOOKUP(U705,模板计算相关数据!A:N,2,0)+模板计算相关数据!$AC$27)*模板计算相关数据!$AC$28))/S705*AA705)</f>
        <v>67</v>
      </c>
      <c r="AL705" s="3">
        <f>INT(VLOOKUP(U705,模板计算相关数据!A:N,5,0)*VLOOKUP(X705,模板计算相关数据!$P$4:$T$7,4,0)*VLOOKUP(Y705,模板计算相关数据!$P$22:$U$30,4,0)*AB705)</f>
        <v>277</v>
      </c>
      <c r="AM705" s="3">
        <f>INT(VLOOKUP(U705,模板计算相关数据!A:N,6,0)*VLOOKUP(X705,模板计算相关数据!$P$4:$T$7,4,0)*VLOOKUP(Y705,模板计算相关数据!$P$22:$U$30,5,0)*AC705)</f>
        <v>153</v>
      </c>
      <c r="AN705" s="3">
        <f>VLOOKUP(U705,模板计算相关数据!A:N,10,0)*0.5*VLOOKUP(Y705,模板计算相关数据!$P$22:$U$30,6,0)+AD705</f>
        <v>225</v>
      </c>
      <c r="AO705" s="3">
        <f>VLOOKUP(INT(VLOOKUP(U705,模板计算相关数据!A:N,2,0)/30)+1,模板计算相关数据!$O$35:$U$40,3,0)+AE705</f>
        <v>0</v>
      </c>
      <c r="AP705" s="3">
        <f>VLOOKUP(INT(VLOOKUP(U705,模板计算相关数据!A:N,2,0)/30)+1,模板计算相关数据!$O$35:$U$40,4,0)+AF705</f>
        <v>5000</v>
      </c>
      <c r="AQ705" s="3">
        <f>VLOOKUP(INT(VLOOKUP(U705,模板计算相关数据!A:N,2,0)/30)+1,模板计算相关数据!$O$35:$U$40,5,0)+AG705</f>
        <v>0</v>
      </c>
      <c r="AR705" s="3">
        <f>VLOOKUP(INT(VLOOKUP(U705,模板计算相关数据!A:N,2,0)/30)+1,模板计算相关数据!$O$35:$U$40,6,0)+AH705</f>
        <v>0</v>
      </c>
      <c r="AS705" s="3">
        <f>VLOOKUP(INT(VLOOKUP(U705,模板计算相关数据!A:N,2,0)/30)+1,模板计算相关数据!$O$35:$U$40,7,0)+AI705</f>
        <v>0</v>
      </c>
      <c r="AT705" s="3">
        <f>VLOOKUP(INT(VLOOKUP(U705,模板计算相关数据!A:N,2,0)/30)+1,模板计算相关数据!$O$35:$V$40,8,0)</f>
        <v>0</v>
      </c>
      <c r="AU705" s="2"/>
    </row>
    <row r="706" spans="1:47" x14ac:dyDescent="0.2">
      <c r="A706" s="17">
        <v>307401</v>
      </c>
      <c r="B706" s="17"/>
      <c r="C706" s="24" t="s">
        <v>522</v>
      </c>
      <c r="D706" s="153" t="s">
        <v>1241</v>
      </c>
      <c r="E706" s="17"/>
      <c r="F706" s="152">
        <v>3</v>
      </c>
      <c r="G706" s="152">
        <v>101</v>
      </c>
      <c r="H706" s="43">
        <v>4</v>
      </c>
      <c r="I706" s="152">
        <v>5</v>
      </c>
      <c r="J706" s="152">
        <v>1</v>
      </c>
      <c r="K706" s="3"/>
      <c r="L706" s="2" t="s">
        <v>523</v>
      </c>
      <c r="M706" s="2"/>
      <c r="N706" s="2">
        <v>1</v>
      </c>
      <c r="O706" s="2"/>
      <c r="P706" s="3" t="s">
        <v>1615</v>
      </c>
      <c r="Q706" s="95">
        <f t="shared" si="67"/>
        <v>4.4674509803921572</v>
      </c>
      <c r="R706" s="133">
        <f>IF(P706=模板计算相关数据!$AB$24,VLOOKUP(X706,模板计算相关数据!$P$47:$T$50,2,0),VLOOKUP(X706,模板计算相关数据!$P$4:$U$7,3,0))*VLOOKUP(Y706,模板计算相关数据!$P$22:$X$30,8,0)</f>
        <v>4.4674509803921572</v>
      </c>
      <c r="S706" s="62">
        <f t="shared" si="68"/>
        <v>5.4739930589768004</v>
      </c>
      <c r="T706" s="133">
        <f>IF(P706=模板计算相关数据!$AB$24,VLOOKUP(X706,模板计算相关数据!$P$47:$T$50,5,0),VLOOKUP(X706,模板计算相关数据!$P$4:$U$7,6,0))*VLOOKUP(Y706,模板计算相关数据!$P$22:$X$30,9,0)</f>
        <v>5.4739930589768004</v>
      </c>
      <c r="U706" s="98">
        <v>1</v>
      </c>
      <c r="V706" s="95">
        <f t="shared" si="69"/>
        <v>4</v>
      </c>
      <c r="W706" s="29">
        <f>VLOOKUP(U706,模板计算相关数据!A:N,2,0)</f>
        <v>1</v>
      </c>
      <c r="X706" s="3" t="s">
        <v>151</v>
      </c>
      <c r="Y706" s="3" t="s">
        <v>162</v>
      </c>
      <c r="Z706" s="99">
        <v>1</v>
      </c>
      <c r="AA706" s="95">
        <v>1</v>
      </c>
      <c r="AB706" s="95">
        <v>1</v>
      </c>
      <c r="AC706" s="95">
        <v>1</v>
      </c>
      <c r="AD706" s="95">
        <v>0</v>
      </c>
      <c r="AE706" s="95">
        <v>0</v>
      </c>
      <c r="AF706" s="95">
        <v>0</v>
      </c>
      <c r="AG706" s="95">
        <v>0</v>
      </c>
      <c r="AH706" s="95">
        <v>0</v>
      </c>
      <c r="AI706" s="95">
        <v>0</v>
      </c>
      <c r="AJ706" s="3">
        <f>INT(VLOOKUP(U706,模板计算相关数据!A:N,4,0)*VLOOKUP(U706,模板计算相关数据!A:N,14,0)*(1+MAX(0,(VLOOKUP(U706,模板计算相关数据!A:N,7,0)-AQ706))*VLOOKUP(U706,模板计算相关数据!A:N,8,0))*(1-(AL706+AM706)*0.5/((AL706+AM706)*0.5+(VLOOKUP(U706,模板计算相关数据!A:N,2,0)+模板计算相关数据!$AC$27)*模板计算相关数据!$AC$28))*Q706*Z706)</f>
        <v>328</v>
      </c>
      <c r="AK706" s="3">
        <f>INT(VLOOKUP(U706,模板计算相关数据!A:N,3,0)/模板计算相关数据!$W$35/(1+MAX(0,(AO706/10000-VLOOKUP(U706,模板计算相关数据!A:N,9,0)))*AP706/10000)/(1-VLOOKUP(U706,模板计算相关数据!A:N,5,0)/(VLOOKUP(U706,模板计算相关数据!A:N,5,0)+(VLOOKUP(U706,模板计算相关数据!A:N,2,0)+模板计算相关数据!$AC$27)*模板计算相关数据!$AC$28))/S706*AA706)</f>
        <v>101</v>
      </c>
      <c r="AL706" s="3">
        <f>INT(VLOOKUP(U706,模板计算相关数据!A:N,5,0)*VLOOKUP(X706,模板计算相关数据!$P$4:$T$7,4,0)*VLOOKUP(Y706,模板计算相关数据!$P$22:$U$30,4,0)*AB706)</f>
        <v>136</v>
      </c>
      <c r="AM706" s="3">
        <f>INT(VLOOKUP(U706,模板计算相关数据!A:N,6,0)*VLOOKUP(X706,模板计算相关数据!$P$4:$T$7,4,0)*VLOOKUP(Y706,模板计算相关数据!$P$22:$U$30,5,0)*AC706)</f>
        <v>230</v>
      </c>
      <c r="AN706" s="3">
        <f>VLOOKUP(U706,模板计算相关数据!A:N,10,0)*0.5*VLOOKUP(Y706,模板计算相关数据!$P$22:$U$30,6,0)+AD706</f>
        <v>250</v>
      </c>
      <c r="AO706" s="3">
        <f>VLOOKUP(INT(VLOOKUP(U706,模板计算相关数据!A:N,2,0)/30)+1,模板计算相关数据!$O$35:$U$40,3,0)+AE706</f>
        <v>0</v>
      </c>
      <c r="AP706" s="3">
        <f>VLOOKUP(INT(VLOOKUP(U706,模板计算相关数据!A:N,2,0)/30)+1,模板计算相关数据!$O$35:$U$40,4,0)+AF706</f>
        <v>5000</v>
      </c>
      <c r="AQ706" s="3">
        <f>VLOOKUP(INT(VLOOKUP(U706,模板计算相关数据!A:N,2,0)/30)+1,模板计算相关数据!$O$35:$U$40,5,0)+AG706</f>
        <v>0</v>
      </c>
      <c r="AR706" s="3">
        <f>VLOOKUP(INT(VLOOKUP(U706,模板计算相关数据!A:N,2,0)/30)+1,模板计算相关数据!$O$35:$U$40,6,0)+AH706</f>
        <v>0</v>
      </c>
      <c r="AS706" s="3">
        <f>VLOOKUP(INT(VLOOKUP(U706,模板计算相关数据!A:N,2,0)/30)+1,模板计算相关数据!$O$35:$U$40,7,0)+AI706</f>
        <v>0</v>
      </c>
      <c r="AT706" s="3">
        <f>VLOOKUP(INT(VLOOKUP(U706,模板计算相关数据!A:N,2,0)/30)+1,模板计算相关数据!$O$35:$V$40,8,0)</f>
        <v>0</v>
      </c>
      <c r="AU706" s="2"/>
    </row>
    <row r="707" spans="1:47" x14ac:dyDescent="0.2">
      <c r="A707" s="2">
        <v>307402</v>
      </c>
      <c r="B707" s="2"/>
      <c r="C707" s="2" t="s">
        <v>162</v>
      </c>
      <c r="D707" s="69" t="s">
        <v>1242</v>
      </c>
      <c r="E707" s="2"/>
      <c r="F707" s="127">
        <v>3</v>
      </c>
      <c r="G707" s="127">
        <v>101</v>
      </c>
      <c r="H707" s="3">
        <v>4</v>
      </c>
      <c r="I707" s="127">
        <v>5</v>
      </c>
      <c r="J707" s="127">
        <v>1</v>
      </c>
      <c r="K707" s="3"/>
      <c r="L707" s="2" t="s">
        <v>524</v>
      </c>
      <c r="M707" s="2"/>
      <c r="N707" s="2">
        <v>1</v>
      </c>
      <c r="O707" s="2"/>
      <c r="P707" s="3" t="s">
        <v>1615</v>
      </c>
      <c r="Q707" s="95">
        <f t="shared" si="67"/>
        <v>4.4674509803921572</v>
      </c>
      <c r="R707" s="133">
        <f>IF(P707=模板计算相关数据!$AB$24,VLOOKUP(X707,模板计算相关数据!$P$47:$T$50,2,0),VLOOKUP(X707,模板计算相关数据!$P$4:$U$7,3,0))*VLOOKUP(Y707,模板计算相关数据!$P$22:$X$30,8,0)</f>
        <v>4.4674509803921572</v>
      </c>
      <c r="S707" s="62">
        <f t="shared" si="68"/>
        <v>5.4739930589768004</v>
      </c>
      <c r="T707" s="133">
        <f>IF(P707=模板计算相关数据!$AB$24,VLOOKUP(X707,模板计算相关数据!$P$47:$T$50,5,0),VLOOKUP(X707,模板计算相关数据!$P$4:$U$7,6,0))*VLOOKUP(Y707,模板计算相关数据!$P$22:$X$30,9,0)</f>
        <v>5.4739930589768004</v>
      </c>
      <c r="U707" s="98">
        <v>1</v>
      </c>
      <c r="V707" s="95">
        <f t="shared" si="69"/>
        <v>4</v>
      </c>
      <c r="W707" s="29">
        <f>VLOOKUP(U707,模板计算相关数据!A:N,2,0)</f>
        <v>1</v>
      </c>
      <c r="X707" s="3" t="s">
        <v>151</v>
      </c>
      <c r="Y707" s="3" t="s">
        <v>162</v>
      </c>
      <c r="Z707" s="99">
        <v>1</v>
      </c>
      <c r="AA707" s="95">
        <v>1</v>
      </c>
      <c r="AB707" s="95">
        <v>1</v>
      </c>
      <c r="AC707" s="95">
        <v>1</v>
      </c>
      <c r="AD707" s="95">
        <v>0</v>
      </c>
      <c r="AE707" s="95">
        <v>0</v>
      </c>
      <c r="AF707" s="95">
        <v>0</v>
      </c>
      <c r="AG707" s="95">
        <v>0</v>
      </c>
      <c r="AH707" s="95">
        <v>0</v>
      </c>
      <c r="AI707" s="95">
        <v>0</v>
      </c>
      <c r="AJ707" s="3">
        <f>INT(VLOOKUP(U707,模板计算相关数据!A:N,4,0)*VLOOKUP(U707,模板计算相关数据!A:N,14,0)*(1+MAX(0,(VLOOKUP(U707,模板计算相关数据!A:N,7,0)-AQ707))*VLOOKUP(U707,模板计算相关数据!A:N,8,0))*(1-(AL707+AM707)*0.5/((AL707+AM707)*0.5+(VLOOKUP(U707,模板计算相关数据!A:N,2,0)+模板计算相关数据!$AC$27)*模板计算相关数据!$AC$28))*Q707*Z707)</f>
        <v>328</v>
      </c>
      <c r="AK707" s="3">
        <f>INT(VLOOKUP(U707,模板计算相关数据!A:N,3,0)/模板计算相关数据!$W$35/(1+MAX(0,(AO707/10000-VLOOKUP(U707,模板计算相关数据!A:N,9,0)))*AP707/10000)/(1-VLOOKUP(U707,模板计算相关数据!A:N,5,0)/(VLOOKUP(U707,模板计算相关数据!A:N,5,0)+(VLOOKUP(U707,模板计算相关数据!A:N,2,0)+模板计算相关数据!$AC$27)*模板计算相关数据!$AC$28))/S707*AA707)</f>
        <v>101</v>
      </c>
      <c r="AL707" s="3">
        <f>INT(VLOOKUP(U707,模板计算相关数据!A:N,5,0)*VLOOKUP(X707,模板计算相关数据!$P$4:$T$7,4,0)*VLOOKUP(Y707,模板计算相关数据!$P$22:$U$30,4,0)*AB707)</f>
        <v>136</v>
      </c>
      <c r="AM707" s="3">
        <f>INT(VLOOKUP(U707,模板计算相关数据!A:N,6,0)*VLOOKUP(X707,模板计算相关数据!$P$4:$T$7,4,0)*VLOOKUP(Y707,模板计算相关数据!$P$22:$U$30,5,0)*AC707)</f>
        <v>230</v>
      </c>
      <c r="AN707" s="3">
        <f>VLOOKUP(U707,模板计算相关数据!A:N,10,0)*0.5*VLOOKUP(Y707,模板计算相关数据!$P$22:$U$30,6,0)+AD707</f>
        <v>250</v>
      </c>
      <c r="AO707" s="3">
        <f>VLOOKUP(INT(VLOOKUP(U707,模板计算相关数据!A:N,2,0)/30)+1,模板计算相关数据!$O$35:$U$40,3,0)+AE707</f>
        <v>0</v>
      </c>
      <c r="AP707" s="3">
        <f>VLOOKUP(INT(VLOOKUP(U707,模板计算相关数据!A:N,2,0)/30)+1,模板计算相关数据!$O$35:$U$40,4,0)+AF707</f>
        <v>5000</v>
      </c>
      <c r="AQ707" s="3">
        <f>VLOOKUP(INT(VLOOKUP(U707,模板计算相关数据!A:N,2,0)/30)+1,模板计算相关数据!$O$35:$U$40,5,0)+AG707</f>
        <v>0</v>
      </c>
      <c r="AR707" s="3">
        <f>VLOOKUP(INT(VLOOKUP(U707,模板计算相关数据!A:N,2,0)/30)+1,模板计算相关数据!$O$35:$U$40,6,0)+AH707</f>
        <v>0</v>
      </c>
      <c r="AS707" s="3">
        <f>VLOOKUP(INT(VLOOKUP(U707,模板计算相关数据!A:N,2,0)/30)+1,模板计算相关数据!$O$35:$U$40,7,0)+AI707</f>
        <v>0</v>
      </c>
      <c r="AT707" s="3">
        <f>VLOOKUP(INT(VLOOKUP(U707,模板计算相关数据!A:N,2,0)/30)+1,模板计算相关数据!$O$35:$V$40,8,0)</f>
        <v>0</v>
      </c>
      <c r="AU707" s="2"/>
    </row>
    <row r="708" spans="1:47" x14ac:dyDescent="0.2">
      <c r="A708" s="2">
        <v>307403</v>
      </c>
      <c r="B708" s="2"/>
      <c r="C708" s="2" t="s">
        <v>162</v>
      </c>
      <c r="D708" s="69" t="s">
        <v>1243</v>
      </c>
      <c r="E708" s="2"/>
      <c r="F708" s="127">
        <v>3</v>
      </c>
      <c r="G708" s="127">
        <v>101</v>
      </c>
      <c r="H708" s="3">
        <v>4</v>
      </c>
      <c r="I708" s="127">
        <v>5</v>
      </c>
      <c r="J708" s="127">
        <v>1</v>
      </c>
      <c r="K708" s="3"/>
      <c r="L708" s="2" t="s">
        <v>525</v>
      </c>
      <c r="M708" s="2"/>
      <c r="N708" s="2">
        <v>1</v>
      </c>
      <c r="O708" s="2"/>
      <c r="P708" s="3" t="s">
        <v>1615</v>
      </c>
      <c r="Q708" s="95">
        <f t="shared" si="67"/>
        <v>4.4674509803921572</v>
      </c>
      <c r="R708" s="133">
        <f>IF(P708=模板计算相关数据!$AB$24,VLOOKUP(X708,模板计算相关数据!$P$47:$T$50,2,0),VLOOKUP(X708,模板计算相关数据!$P$4:$U$7,3,0))*VLOOKUP(Y708,模板计算相关数据!$P$22:$X$30,8,0)</f>
        <v>4.4674509803921572</v>
      </c>
      <c r="S708" s="62">
        <f t="shared" si="68"/>
        <v>5.4739930589768004</v>
      </c>
      <c r="T708" s="133">
        <f>IF(P708=模板计算相关数据!$AB$24,VLOOKUP(X708,模板计算相关数据!$P$47:$T$50,5,0),VLOOKUP(X708,模板计算相关数据!$P$4:$U$7,6,0))*VLOOKUP(Y708,模板计算相关数据!$P$22:$X$30,9,0)</f>
        <v>5.4739930589768004</v>
      </c>
      <c r="U708" s="98">
        <v>1</v>
      </c>
      <c r="V708" s="95">
        <f t="shared" si="69"/>
        <v>4</v>
      </c>
      <c r="W708" s="29">
        <f>VLOOKUP(U708,模板计算相关数据!A:N,2,0)</f>
        <v>1</v>
      </c>
      <c r="X708" s="3" t="s">
        <v>151</v>
      </c>
      <c r="Y708" s="3" t="s">
        <v>162</v>
      </c>
      <c r="Z708" s="99">
        <v>1</v>
      </c>
      <c r="AA708" s="95">
        <v>1</v>
      </c>
      <c r="AB708" s="95">
        <v>1</v>
      </c>
      <c r="AC708" s="95">
        <v>1</v>
      </c>
      <c r="AD708" s="95">
        <v>0</v>
      </c>
      <c r="AE708" s="95">
        <v>0</v>
      </c>
      <c r="AF708" s="95">
        <v>0</v>
      </c>
      <c r="AG708" s="95">
        <v>0</v>
      </c>
      <c r="AH708" s="95">
        <v>0</v>
      </c>
      <c r="AI708" s="95">
        <v>0</v>
      </c>
      <c r="AJ708" s="3">
        <f>INT(VLOOKUP(U708,模板计算相关数据!A:N,4,0)*VLOOKUP(U708,模板计算相关数据!A:N,14,0)*(1+MAX(0,(VLOOKUP(U708,模板计算相关数据!A:N,7,0)-AQ708))*VLOOKUP(U708,模板计算相关数据!A:N,8,0))*(1-(AL708+AM708)*0.5/((AL708+AM708)*0.5+(VLOOKUP(U708,模板计算相关数据!A:N,2,0)+模板计算相关数据!$AC$27)*模板计算相关数据!$AC$28))*Q708*Z708)</f>
        <v>328</v>
      </c>
      <c r="AK708" s="3">
        <f>INT(VLOOKUP(U708,模板计算相关数据!A:N,3,0)/模板计算相关数据!$W$35/(1+MAX(0,(AO708/10000-VLOOKUP(U708,模板计算相关数据!A:N,9,0)))*AP708/10000)/(1-VLOOKUP(U708,模板计算相关数据!A:N,5,0)/(VLOOKUP(U708,模板计算相关数据!A:N,5,0)+(VLOOKUP(U708,模板计算相关数据!A:N,2,0)+模板计算相关数据!$AC$27)*模板计算相关数据!$AC$28))/S708*AA708)</f>
        <v>101</v>
      </c>
      <c r="AL708" s="3">
        <f>INT(VLOOKUP(U708,模板计算相关数据!A:N,5,0)*VLOOKUP(X708,模板计算相关数据!$P$4:$T$7,4,0)*VLOOKUP(Y708,模板计算相关数据!$P$22:$U$30,4,0)*AB708)</f>
        <v>136</v>
      </c>
      <c r="AM708" s="3">
        <f>INT(VLOOKUP(U708,模板计算相关数据!A:N,6,0)*VLOOKUP(X708,模板计算相关数据!$P$4:$T$7,4,0)*VLOOKUP(Y708,模板计算相关数据!$P$22:$U$30,5,0)*AC708)</f>
        <v>230</v>
      </c>
      <c r="AN708" s="3">
        <f>VLOOKUP(U708,模板计算相关数据!A:N,10,0)*0.5*VLOOKUP(Y708,模板计算相关数据!$P$22:$U$30,6,0)+AD708</f>
        <v>250</v>
      </c>
      <c r="AO708" s="3">
        <f>VLOOKUP(INT(VLOOKUP(U708,模板计算相关数据!A:N,2,0)/30)+1,模板计算相关数据!$O$35:$U$40,3,0)+AE708</f>
        <v>0</v>
      </c>
      <c r="AP708" s="3">
        <f>VLOOKUP(INT(VLOOKUP(U708,模板计算相关数据!A:N,2,0)/30)+1,模板计算相关数据!$O$35:$U$40,4,0)+AF708</f>
        <v>5000</v>
      </c>
      <c r="AQ708" s="3">
        <f>VLOOKUP(INT(VLOOKUP(U708,模板计算相关数据!A:N,2,0)/30)+1,模板计算相关数据!$O$35:$U$40,5,0)+AG708</f>
        <v>0</v>
      </c>
      <c r="AR708" s="3">
        <f>VLOOKUP(INT(VLOOKUP(U708,模板计算相关数据!A:N,2,0)/30)+1,模板计算相关数据!$O$35:$U$40,6,0)+AH708</f>
        <v>0</v>
      </c>
      <c r="AS708" s="3">
        <f>VLOOKUP(INT(VLOOKUP(U708,模板计算相关数据!A:N,2,0)/30)+1,模板计算相关数据!$O$35:$U$40,7,0)+AI708</f>
        <v>0</v>
      </c>
      <c r="AT708" s="3">
        <f>VLOOKUP(INT(VLOOKUP(U708,模板计算相关数据!A:N,2,0)/30)+1,模板计算相关数据!$O$35:$V$40,8,0)</f>
        <v>0</v>
      </c>
      <c r="AU708" s="2"/>
    </row>
    <row r="709" spans="1:47" x14ac:dyDescent="0.2">
      <c r="A709" s="2">
        <v>307404</v>
      </c>
      <c r="B709" s="2"/>
      <c r="C709" s="2" t="s">
        <v>162</v>
      </c>
      <c r="D709" s="69" t="s">
        <v>1244</v>
      </c>
      <c r="E709" s="2"/>
      <c r="F709" s="127">
        <v>3</v>
      </c>
      <c r="G709" s="127">
        <v>101</v>
      </c>
      <c r="H709" s="3">
        <v>4</v>
      </c>
      <c r="I709" s="127">
        <v>5</v>
      </c>
      <c r="J709" s="127">
        <v>1</v>
      </c>
      <c r="K709" s="3"/>
      <c r="L709" s="2" t="s">
        <v>526</v>
      </c>
      <c r="M709" s="2"/>
      <c r="N709" s="2">
        <v>1</v>
      </c>
      <c r="O709" s="2"/>
      <c r="P709" s="3" t="s">
        <v>1615</v>
      </c>
      <c r="Q709" s="95">
        <f t="shared" si="67"/>
        <v>4.4674509803921572</v>
      </c>
      <c r="R709" s="133">
        <f>IF(P709=模板计算相关数据!$AB$24,VLOOKUP(X709,模板计算相关数据!$P$47:$T$50,2,0),VLOOKUP(X709,模板计算相关数据!$P$4:$U$7,3,0))*VLOOKUP(Y709,模板计算相关数据!$P$22:$X$30,8,0)</f>
        <v>4.4674509803921572</v>
      </c>
      <c r="S709" s="62">
        <f t="shared" si="68"/>
        <v>5.4739930589768004</v>
      </c>
      <c r="T709" s="133">
        <f>IF(P709=模板计算相关数据!$AB$24,VLOOKUP(X709,模板计算相关数据!$P$47:$T$50,5,0),VLOOKUP(X709,模板计算相关数据!$P$4:$U$7,6,0))*VLOOKUP(Y709,模板计算相关数据!$P$22:$X$30,9,0)</f>
        <v>5.4739930589768004</v>
      </c>
      <c r="U709" s="98">
        <v>1</v>
      </c>
      <c r="V709" s="95">
        <f t="shared" si="69"/>
        <v>4</v>
      </c>
      <c r="W709" s="29">
        <f>VLOOKUP(U709,模板计算相关数据!A:N,2,0)</f>
        <v>1</v>
      </c>
      <c r="X709" s="3" t="s">
        <v>151</v>
      </c>
      <c r="Y709" s="3" t="s">
        <v>162</v>
      </c>
      <c r="Z709" s="99">
        <v>1</v>
      </c>
      <c r="AA709" s="95">
        <v>1</v>
      </c>
      <c r="AB709" s="95">
        <v>1</v>
      </c>
      <c r="AC709" s="95">
        <v>1</v>
      </c>
      <c r="AD709" s="95">
        <v>0</v>
      </c>
      <c r="AE709" s="95">
        <v>0</v>
      </c>
      <c r="AF709" s="95">
        <v>0</v>
      </c>
      <c r="AG709" s="95">
        <v>0</v>
      </c>
      <c r="AH709" s="95">
        <v>0</v>
      </c>
      <c r="AI709" s="95">
        <v>0</v>
      </c>
      <c r="AJ709" s="3">
        <f>INT(VLOOKUP(U709,模板计算相关数据!A:N,4,0)*VLOOKUP(U709,模板计算相关数据!A:N,14,0)*(1+MAX(0,(VLOOKUP(U709,模板计算相关数据!A:N,7,0)-AQ709))*VLOOKUP(U709,模板计算相关数据!A:N,8,0))*(1-(AL709+AM709)*0.5/((AL709+AM709)*0.5+(VLOOKUP(U709,模板计算相关数据!A:N,2,0)+模板计算相关数据!$AC$27)*模板计算相关数据!$AC$28))*Q709*Z709)</f>
        <v>328</v>
      </c>
      <c r="AK709" s="3">
        <f>INT(VLOOKUP(U709,模板计算相关数据!A:N,3,0)/模板计算相关数据!$W$35/(1+MAX(0,(AO709/10000-VLOOKUP(U709,模板计算相关数据!A:N,9,0)))*AP709/10000)/(1-VLOOKUP(U709,模板计算相关数据!A:N,5,0)/(VLOOKUP(U709,模板计算相关数据!A:N,5,0)+(VLOOKUP(U709,模板计算相关数据!A:N,2,0)+模板计算相关数据!$AC$27)*模板计算相关数据!$AC$28))/S709*AA709)</f>
        <v>101</v>
      </c>
      <c r="AL709" s="3">
        <f>INT(VLOOKUP(U709,模板计算相关数据!A:N,5,0)*VLOOKUP(X709,模板计算相关数据!$P$4:$T$7,4,0)*VLOOKUP(Y709,模板计算相关数据!$P$22:$U$30,4,0)*AB709)</f>
        <v>136</v>
      </c>
      <c r="AM709" s="3">
        <f>INT(VLOOKUP(U709,模板计算相关数据!A:N,6,0)*VLOOKUP(X709,模板计算相关数据!$P$4:$T$7,4,0)*VLOOKUP(Y709,模板计算相关数据!$P$22:$U$30,5,0)*AC709)</f>
        <v>230</v>
      </c>
      <c r="AN709" s="3">
        <f>VLOOKUP(U709,模板计算相关数据!A:N,10,0)*0.5*VLOOKUP(Y709,模板计算相关数据!$P$22:$U$30,6,0)+AD709</f>
        <v>250</v>
      </c>
      <c r="AO709" s="3">
        <f>VLOOKUP(INT(VLOOKUP(U709,模板计算相关数据!A:N,2,0)/30)+1,模板计算相关数据!$O$35:$U$40,3,0)+AE709</f>
        <v>0</v>
      </c>
      <c r="AP709" s="3">
        <f>VLOOKUP(INT(VLOOKUP(U709,模板计算相关数据!A:N,2,0)/30)+1,模板计算相关数据!$O$35:$U$40,4,0)+AF709</f>
        <v>5000</v>
      </c>
      <c r="AQ709" s="3">
        <f>VLOOKUP(INT(VLOOKUP(U709,模板计算相关数据!A:N,2,0)/30)+1,模板计算相关数据!$O$35:$U$40,5,0)+AG709</f>
        <v>0</v>
      </c>
      <c r="AR709" s="3">
        <f>VLOOKUP(INT(VLOOKUP(U709,模板计算相关数据!A:N,2,0)/30)+1,模板计算相关数据!$O$35:$U$40,6,0)+AH709</f>
        <v>0</v>
      </c>
      <c r="AS709" s="3">
        <f>VLOOKUP(INT(VLOOKUP(U709,模板计算相关数据!A:N,2,0)/30)+1,模板计算相关数据!$O$35:$U$40,7,0)+AI709</f>
        <v>0</v>
      </c>
      <c r="AT709" s="3">
        <f>VLOOKUP(INT(VLOOKUP(U709,模板计算相关数据!A:N,2,0)/30)+1,模板计算相关数据!$O$35:$V$40,8,0)</f>
        <v>0</v>
      </c>
      <c r="AU709" s="2"/>
    </row>
    <row r="710" spans="1:47" x14ac:dyDescent="0.2">
      <c r="A710" s="2">
        <v>307405</v>
      </c>
      <c r="B710" s="2"/>
      <c r="C710" s="2" t="s">
        <v>162</v>
      </c>
      <c r="D710" s="69" t="s">
        <v>1245</v>
      </c>
      <c r="E710" s="2"/>
      <c r="F710" s="127">
        <v>3</v>
      </c>
      <c r="G710" s="127">
        <v>101</v>
      </c>
      <c r="H710" s="3">
        <v>4</v>
      </c>
      <c r="I710" s="127">
        <v>5</v>
      </c>
      <c r="J710" s="127">
        <v>1</v>
      </c>
      <c r="K710" s="3"/>
      <c r="L710" s="2" t="s">
        <v>527</v>
      </c>
      <c r="M710" s="2"/>
      <c r="N710" s="2">
        <v>1</v>
      </c>
      <c r="O710" s="2"/>
      <c r="P710" s="3" t="s">
        <v>1615</v>
      </c>
      <c r="Q710" s="95">
        <f t="shared" si="67"/>
        <v>4.4674509803921572</v>
      </c>
      <c r="R710" s="133">
        <f>IF(P710=模板计算相关数据!$AB$24,VLOOKUP(X710,模板计算相关数据!$P$47:$T$50,2,0),VLOOKUP(X710,模板计算相关数据!$P$4:$U$7,3,0))*VLOOKUP(Y710,模板计算相关数据!$P$22:$X$30,8,0)</f>
        <v>4.4674509803921572</v>
      </c>
      <c r="S710" s="62">
        <f t="shared" si="68"/>
        <v>5.4739930589768004</v>
      </c>
      <c r="T710" s="133">
        <f>IF(P710=模板计算相关数据!$AB$24,VLOOKUP(X710,模板计算相关数据!$P$47:$T$50,5,0),VLOOKUP(X710,模板计算相关数据!$P$4:$U$7,6,0))*VLOOKUP(Y710,模板计算相关数据!$P$22:$X$30,9,0)</f>
        <v>5.4739930589768004</v>
      </c>
      <c r="U710" s="98">
        <v>1</v>
      </c>
      <c r="V710" s="95">
        <f t="shared" si="69"/>
        <v>4</v>
      </c>
      <c r="W710" s="29">
        <f>VLOOKUP(U710,模板计算相关数据!A:N,2,0)</f>
        <v>1</v>
      </c>
      <c r="X710" s="3" t="s">
        <v>151</v>
      </c>
      <c r="Y710" s="3" t="s">
        <v>162</v>
      </c>
      <c r="Z710" s="99">
        <v>1</v>
      </c>
      <c r="AA710" s="95">
        <v>1</v>
      </c>
      <c r="AB710" s="95">
        <v>1</v>
      </c>
      <c r="AC710" s="95">
        <v>1</v>
      </c>
      <c r="AD710" s="95">
        <v>0</v>
      </c>
      <c r="AE710" s="95">
        <v>0</v>
      </c>
      <c r="AF710" s="95">
        <v>0</v>
      </c>
      <c r="AG710" s="95">
        <v>0</v>
      </c>
      <c r="AH710" s="95">
        <v>0</v>
      </c>
      <c r="AI710" s="95">
        <v>0</v>
      </c>
      <c r="AJ710" s="3">
        <f>INT(VLOOKUP(U710,模板计算相关数据!A:N,4,0)*VLOOKUP(U710,模板计算相关数据!A:N,14,0)*(1+MAX(0,(VLOOKUP(U710,模板计算相关数据!A:N,7,0)-AQ710))*VLOOKUP(U710,模板计算相关数据!A:N,8,0))*(1-(AL710+AM710)*0.5/((AL710+AM710)*0.5+(VLOOKUP(U710,模板计算相关数据!A:N,2,0)+模板计算相关数据!$AC$27)*模板计算相关数据!$AC$28))*Q710*Z710)</f>
        <v>328</v>
      </c>
      <c r="AK710" s="3">
        <f>INT(VLOOKUP(U710,模板计算相关数据!A:N,3,0)/模板计算相关数据!$W$35/(1+MAX(0,(AO710/10000-VLOOKUP(U710,模板计算相关数据!A:N,9,0)))*AP710/10000)/(1-VLOOKUP(U710,模板计算相关数据!A:N,5,0)/(VLOOKUP(U710,模板计算相关数据!A:N,5,0)+(VLOOKUP(U710,模板计算相关数据!A:N,2,0)+模板计算相关数据!$AC$27)*模板计算相关数据!$AC$28))/S710*AA710)</f>
        <v>101</v>
      </c>
      <c r="AL710" s="3">
        <f>INT(VLOOKUP(U710,模板计算相关数据!A:N,5,0)*VLOOKUP(X710,模板计算相关数据!$P$4:$T$7,4,0)*VLOOKUP(Y710,模板计算相关数据!$P$22:$U$30,4,0)*AB710)</f>
        <v>136</v>
      </c>
      <c r="AM710" s="3">
        <f>INT(VLOOKUP(U710,模板计算相关数据!A:N,6,0)*VLOOKUP(X710,模板计算相关数据!$P$4:$T$7,4,0)*VLOOKUP(Y710,模板计算相关数据!$P$22:$U$30,5,0)*AC710)</f>
        <v>230</v>
      </c>
      <c r="AN710" s="3">
        <f>VLOOKUP(U710,模板计算相关数据!A:N,10,0)*0.5*VLOOKUP(Y710,模板计算相关数据!$P$22:$U$30,6,0)+AD710</f>
        <v>250</v>
      </c>
      <c r="AO710" s="3">
        <f>VLOOKUP(INT(VLOOKUP(U710,模板计算相关数据!A:N,2,0)/30)+1,模板计算相关数据!$O$35:$U$40,3,0)+AE710</f>
        <v>0</v>
      </c>
      <c r="AP710" s="3">
        <f>VLOOKUP(INT(VLOOKUP(U710,模板计算相关数据!A:N,2,0)/30)+1,模板计算相关数据!$O$35:$U$40,4,0)+AF710</f>
        <v>5000</v>
      </c>
      <c r="AQ710" s="3">
        <f>VLOOKUP(INT(VLOOKUP(U710,模板计算相关数据!A:N,2,0)/30)+1,模板计算相关数据!$O$35:$U$40,5,0)+AG710</f>
        <v>0</v>
      </c>
      <c r="AR710" s="3">
        <f>VLOOKUP(INT(VLOOKUP(U710,模板计算相关数据!A:N,2,0)/30)+1,模板计算相关数据!$O$35:$U$40,6,0)+AH710</f>
        <v>0</v>
      </c>
      <c r="AS710" s="3">
        <f>VLOOKUP(INT(VLOOKUP(U710,模板计算相关数据!A:N,2,0)/30)+1,模板计算相关数据!$O$35:$U$40,7,0)+AI710</f>
        <v>0</v>
      </c>
      <c r="AT710" s="3">
        <f>VLOOKUP(INT(VLOOKUP(U710,模板计算相关数据!A:N,2,0)/30)+1,模板计算相关数据!$O$35:$V$40,8,0)</f>
        <v>0</v>
      </c>
      <c r="AU710" s="2"/>
    </row>
    <row r="711" spans="1:47" x14ac:dyDescent="0.2">
      <c r="A711" s="2">
        <v>307406</v>
      </c>
      <c r="B711" s="2"/>
      <c r="C711" s="2" t="s">
        <v>326</v>
      </c>
      <c r="D711" s="2" t="s">
        <v>1246</v>
      </c>
      <c r="E711" s="2"/>
      <c r="F711" s="127">
        <v>3</v>
      </c>
      <c r="G711" s="127">
        <v>101</v>
      </c>
      <c r="H711" s="3">
        <v>5</v>
      </c>
      <c r="I711" s="127">
        <v>5</v>
      </c>
      <c r="J711" s="127">
        <v>1</v>
      </c>
      <c r="K711" s="3"/>
      <c r="L711" s="2" t="s">
        <v>528</v>
      </c>
      <c r="M711" s="2"/>
      <c r="N711" s="2">
        <v>1</v>
      </c>
      <c r="O711" s="2"/>
      <c r="P711" s="3" t="s">
        <v>1615</v>
      </c>
      <c r="Q711" s="95">
        <f t="shared" si="67"/>
        <v>5.7709803921568623</v>
      </c>
      <c r="R711" s="133">
        <f>IF(P711=模板计算相关数据!$AB$24,VLOOKUP(X711,模板计算相关数据!$P$47:$T$50,2,0),VLOOKUP(X711,模板计算相关数据!$P$4:$U$7,3,0))*VLOOKUP(Y711,模板计算相关数据!$P$22:$X$30,8,0)</f>
        <v>5.7709803921568623</v>
      </c>
      <c r="S711" s="62">
        <f t="shared" si="68"/>
        <v>6.4077918749199023</v>
      </c>
      <c r="T711" s="133">
        <f>IF(P711=模板计算相关数据!$AB$24,VLOOKUP(X711,模板计算相关数据!$P$47:$T$50,5,0),VLOOKUP(X711,模板计算相关数据!$P$4:$U$7,6,0))*VLOOKUP(Y711,模板计算相关数据!$P$22:$X$30,9,0)</f>
        <v>6.4077918749199023</v>
      </c>
      <c r="U711" s="98">
        <v>1</v>
      </c>
      <c r="V711" s="95">
        <f t="shared" si="69"/>
        <v>4</v>
      </c>
      <c r="W711" s="29">
        <f>VLOOKUP(U711,模板计算相关数据!A:N,2,0)</f>
        <v>1</v>
      </c>
      <c r="X711" s="3" t="s">
        <v>151</v>
      </c>
      <c r="Y711" s="3" t="s">
        <v>243</v>
      </c>
      <c r="Z711" s="99">
        <v>1</v>
      </c>
      <c r="AA711" s="95">
        <v>1</v>
      </c>
      <c r="AB711" s="95">
        <v>1</v>
      </c>
      <c r="AC711" s="95">
        <v>1</v>
      </c>
      <c r="AD711" s="95">
        <v>0</v>
      </c>
      <c r="AE711" s="95">
        <v>0</v>
      </c>
      <c r="AF711" s="95">
        <v>0</v>
      </c>
      <c r="AG711" s="95">
        <v>0</v>
      </c>
      <c r="AH711" s="95">
        <v>0</v>
      </c>
      <c r="AI711" s="95">
        <v>0</v>
      </c>
      <c r="AJ711" s="3">
        <f>INT(VLOOKUP(U711,模板计算相关数据!A:N,4,0)*VLOOKUP(U711,模板计算相关数据!A:N,14,0)*(1+MAX(0,(VLOOKUP(U711,模板计算相关数据!A:N,7,0)-AQ711))*VLOOKUP(U711,模板计算相关数据!A:N,8,0))*(1-(AL711+AM711)*0.5/((AL711+AM711)*0.5+(VLOOKUP(U711,模板计算相关数据!A:N,2,0)+模板计算相关数据!$AC$27)*模板计算相关数据!$AC$28))*Q711*Z711)</f>
        <v>411</v>
      </c>
      <c r="AK711" s="3">
        <f>INT(VLOOKUP(U711,模板计算相关数据!A:N,3,0)/模板计算相关数据!$W$35/(1+MAX(0,(AO711/10000-VLOOKUP(U711,模板计算相关数据!A:N,9,0)))*AP711/10000)/(1-VLOOKUP(U711,模板计算相关数据!A:N,5,0)/(VLOOKUP(U711,模板计算相关数据!A:N,5,0)+(VLOOKUP(U711,模板计算相关数据!A:N,2,0)+模板计算相关数据!$AC$27)*模板计算相关数据!$AC$28))/S711*AA711)</f>
        <v>86</v>
      </c>
      <c r="AL711" s="3">
        <f>INT(VLOOKUP(U711,模板计算相关数据!A:N,5,0)*VLOOKUP(X711,模板计算相关数据!$P$4:$T$7,4,0)*VLOOKUP(Y711,模板计算相关数据!$P$22:$U$30,4,0)*AB711)</f>
        <v>145</v>
      </c>
      <c r="AM711" s="3">
        <f>INT(VLOOKUP(U711,模板计算相关数据!A:N,6,0)*VLOOKUP(X711,模板计算相关数据!$P$4:$T$7,4,0)*VLOOKUP(Y711,模板计算相关数据!$P$22:$U$30,5,0)*AC711)</f>
        <v>264</v>
      </c>
      <c r="AN711" s="3">
        <f>VLOOKUP(U711,模板计算相关数据!A:N,10,0)*0.5*VLOOKUP(Y711,模板计算相关数据!$P$22:$U$30,6,0)+AD711</f>
        <v>275</v>
      </c>
      <c r="AO711" s="3">
        <f>VLOOKUP(INT(VLOOKUP(U711,模板计算相关数据!A:N,2,0)/30)+1,模板计算相关数据!$O$35:$U$40,3,0)+AE711</f>
        <v>0</v>
      </c>
      <c r="AP711" s="3">
        <f>VLOOKUP(INT(VLOOKUP(U711,模板计算相关数据!A:N,2,0)/30)+1,模板计算相关数据!$O$35:$U$40,4,0)+AF711</f>
        <v>5000</v>
      </c>
      <c r="AQ711" s="3">
        <f>VLOOKUP(INT(VLOOKUP(U711,模板计算相关数据!A:N,2,0)/30)+1,模板计算相关数据!$O$35:$U$40,5,0)+AG711</f>
        <v>0</v>
      </c>
      <c r="AR711" s="3">
        <f>VLOOKUP(INT(VLOOKUP(U711,模板计算相关数据!A:N,2,0)/30)+1,模板计算相关数据!$O$35:$U$40,6,0)+AH711</f>
        <v>0</v>
      </c>
      <c r="AS711" s="3">
        <f>VLOOKUP(INT(VLOOKUP(U711,模板计算相关数据!A:N,2,0)/30)+1,模板计算相关数据!$O$35:$U$40,7,0)+AI711</f>
        <v>0</v>
      </c>
      <c r="AT711" s="3">
        <f>VLOOKUP(INT(VLOOKUP(U711,模板计算相关数据!A:N,2,0)/30)+1,模板计算相关数据!$O$35:$V$40,8,0)</f>
        <v>0</v>
      </c>
      <c r="AU711" s="2"/>
    </row>
    <row r="712" spans="1:47" x14ac:dyDescent="0.2">
      <c r="A712" s="2">
        <v>307407</v>
      </c>
      <c r="B712" s="2"/>
      <c r="C712" s="2" t="s">
        <v>326</v>
      </c>
      <c r="D712" s="2" t="s">
        <v>1247</v>
      </c>
      <c r="E712" s="2"/>
      <c r="F712" s="127">
        <v>3</v>
      </c>
      <c r="G712" s="127">
        <v>101</v>
      </c>
      <c r="H712" s="3">
        <v>5</v>
      </c>
      <c r="I712" s="127">
        <v>5</v>
      </c>
      <c r="J712" s="127">
        <v>1</v>
      </c>
      <c r="K712" s="3"/>
      <c r="L712" s="2" t="s">
        <v>529</v>
      </c>
      <c r="M712" s="2"/>
      <c r="N712" s="2">
        <v>1</v>
      </c>
      <c r="O712" s="2"/>
      <c r="P712" s="3" t="s">
        <v>1615</v>
      </c>
      <c r="Q712" s="95">
        <f t="shared" si="67"/>
        <v>5.7709803921568623</v>
      </c>
      <c r="R712" s="133">
        <f>IF(P712=模板计算相关数据!$AB$24,VLOOKUP(X712,模板计算相关数据!$P$47:$T$50,2,0),VLOOKUP(X712,模板计算相关数据!$P$4:$U$7,3,0))*VLOOKUP(Y712,模板计算相关数据!$P$22:$X$30,8,0)</f>
        <v>5.7709803921568623</v>
      </c>
      <c r="S712" s="62">
        <f t="shared" si="68"/>
        <v>6.4077918749199023</v>
      </c>
      <c r="T712" s="133">
        <f>IF(P712=模板计算相关数据!$AB$24,VLOOKUP(X712,模板计算相关数据!$P$47:$T$50,5,0),VLOOKUP(X712,模板计算相关数据!$P$4:$U$7,6,0))*VLOOKUP(Y712,模板计算相关数据!$P$22:$X$30,9,0)</f>
        <v>6.4077918749199023</v>
      </c>
      <c r="U712" s="98">
        <v>1</v>
      </c>
      <c r="V712" s="95">
        <f t="shared" si="69"/>
        <v>4</v>
      </c>
      <c r="W712" s="29">
        <f>VLOOKUP(U712,模板计算相关数据!A:N,2,0)</f>
        <v>1</v>
      </c>
      <c r="X712" s="3" t="s">
        <v>151</v>
      </c>
      <c r="Y712" s="3" t="s">
        <v>243</v>
      </c>
      <c r="Z712" s="99">
        <v>1</v>
      </c>
      <c r="AA712" s="95">
        <v>1</v>
      </c>
      <c r="AB712" s="95">
        <v>1</v>
      </c>
      <c r="AC712" s="95">
        <v>1</v>
      </c>
      <c r="AD712" s="95">
        <v>0</v>
      </c>
      <c r="AE712" s="95">
        <v>0</v>
      </c>
      <c r="AF712" s="95">
        <v>0</v>
      </c>
      <c r="AG712" s="95">
        <v>0</v>
      </c>
      <c r="AH712" s="95">
        <v>0</v>
      </c>
      <c r="AI712" s="95">
        <v>0</v>
      </c>
      <c r="AJ712" s="3">
        <f>INT(VLOOKUP(U712,模板计算相关数据!A:N,4,0)*VLOOKUP(U712,模板计算相关数据!A:N,14,0)*(1+MAX(0,(VLOOKUP(U712,模板计算相关数据!A:N,7,0)-AQ712))*VLOOKUP(U712,模板计算相关数据!A:N,8,0))*(1-(AL712+AM712)*0.5/((AL712+AM712)*0.5+(VLOOKUP(U712,模板计算相关数据!A:N,2,0)+模板计算相关数据!$AC$27)*模板计算相关数据!$AC$28))*Q712*Z712)</f>
        <v>411</v>
      </c>
      <c r="AK712" s="3">
        <f>INT(VLOOKUP(U712,模板计算相关数据!A:N,3,0)/模板计算相关数据!$W$35/(1+MAX(0,(AO712/10000-VLOOKUP(U712,模板计算相关数据!A:N,9,0)))*AP712/10000)/(1-VLOOKUP(U712,模板计算相关数据!A:N,5,0)/(VLOOKUP(U712,模板计算相关数据!A:N,5,0)+(VLOOKUP(U712,模板计算相关数据!A:N,2,0)+模板计算相关数据!$AC$27)*模板计算相关数据!$AC$28))/S712*AA712)</f>
        <v>86</v>
      </c>
      <c r="AL712" s="3">
        <f>INT(VLOOKUP(U712,模板计算相关数据!A:N,5,0)*VLOOKUP(X712,模板计算相关数据!$P$4:$T$7,4,0)*VLOOKUP(Y712,模板计算相关数据!$P$22:$U$30,4,0)*AB712)</f>
        <v>145</v>
      </c>
      <c r="AM712" s="3">
        <f>INT(VLOOKUP(U712,模板计算相关数据!A:N,6,0)*VLOOKUP(X712,模板计算相关数据!$P$4:$T$7,4,0)*VLOOKUP(Y712,模板计算相关数据!$P$22:$U$30,5,0)*AC712)</f>
        <v>264</v>
      </c>
      <c r="AN712" s="3">
        <f>VLOOKUP(U712,模板计算相关数据!A:N,10,0)*0.5*VLOOKUP(Y712,模板计算相关数据!$P$22:$U$30,6,0)+AD712</f>
        <v>275</v>
      </c>
      <c r="AO712" s="3">
        <f>VLOOKUP(INT(VLOOKUP(U712,模板计算相关数据!A:N,2,0)/30)+1,模板计算相关数据!$O$35:$U$40,3,0)+AE712</f>
        <v>0</v>
      </c>
      <c r="AP712" s="3">
        <f>VLOOKUP(INT(VLOOKUP(U712,模板计算相关数据!A:N,2,0)/30)+1,模板计算相关数据!$O$35:$U$40,4,0)+AF712</f>
        <v>5000</v>
      </c>
      <c r="AQ712" s="3">
        <f>VLOOKUP(INT(VLOOKUP(U712,模板计算相关数据!A:N,2,0)/30)+1,模板计算相关数据!$O$35:$U$40,5,0)+AG712</f>
        <v>0</v>
      </c>
      <c r="AR712" s="3">
        <f>VLOOKUP(INT(VLOOKUP(U712,模板计算相关数据!A:N,2,0)/30)+1,模板计算相关数据!$O$35:$U$40,6,0)+AH712</f>
        <v>0</v>
      </c>
      <c r="AS712" s="3">
        <f>VLOOKUP(INT(VLOOKUP(U712,模板计算相关数据!A:N,2,0)/30)+1,模板计算相关数据!$O$35:$U$40,7,0)+AI712</f>
        <v>0</v>
      </c>
      <c r="AT712" s="3">
        <f>VLOOKUP(INT(VLOOKUP(U712,模板计算相关数据!A:N,2,0)/30)+1,模板计算相关数据!$O$35:$V$40,8,0)</f>
        <v>0</v>
      </c>
      <c r="AU712" s="2"/>
    </row>
    <row r="713" spans="1:47" x14ac:dyDescent="0.2">
      <c r="A713" s="2">
        <v>307408</v>
      </c>
      <c r="B713" s="2"/>
      <c r="C713" s="2" t="s">
        <v>326</v>
      </c>
      <c r="D713" s="2" t="s">
        <v>1248</v>
      </c>
      <c r="E713" s="2"/>
      <c r="F713" s="127">
        <v>3</v>
      </c>
      <c r="G713" s="127">
        <v>101</v>
      </c>
      <c r="H713" s="3">
        <v>5</v>
      </c>
      <c r="I713" s="127">
        <v>5</v>
      </c>
      <c r="J713" s="127">
        <v>1</v>
      </c>
      <c r="K713" s="3"/>
      <c r="L713" s="2" t="s">
        <v>530</v>
      </c>
      <c r="M713" s="2"/>
      <c r="N713" s="2">
        <v>1</v>
      </c>
      <c r="O713" s="2"/>
      <c r="P713" s="3" t="s">
        <v>1615</v>
      </c>
      <c r="Q713" s="95">
        <f t="shared" si="67"/>
        <v>5.7709803921568623</v>
      </c>
      <c r="R713" s="133">
        <f>IF(P713=模板计算相关数据!$AB$24,VLOOKUP(X713,模板计算相关数据!$P$47:$T$50,2,0),VLOOKUP(X713,模板计算相关数据!$P$4:$U$7,3,0))*VLOOKUP(Y713,模板计算相关数据!$P$22:$X$30,8,0)</f>
        <v>5.7709803921568623</v>
      </c>
      <c r="S713" s="62">
        <f t="shared" si="68"/>
        <v>6.4077918749199023</v>
      </c>
      <c r="T713" s="133">
        <f>IF(P713=模板计算相关数据!$AB$24,VLOOKUP(X713,模板计算相关数据!$P$47:$T$50,5,0),VLOOKUP(X713,模板计算相关数据!$P$4:$U$7,6,0))*VLOOKUP(Y713,模板计算相关数据!$P$22:$X$30,9,0)</f>
        <v>6.4077918749199023</v>
      </c>
      <c r="U713" s="98">
        <v>1</v>
      </c>
      <c r="V713" s="95">
        <f t="shared" si="69"/>
        <v>4</v>
      </c>
      <c r="W713" s="29">
        <f>VLOOKUP(U713,模板计算相关数据!A:N,2,0)</f>
        <v>1</v>
      </c>
      <c r="X713" s="3" t="s">
        <v>151</v>
      </c>
      <c r="Y713" s="3" t="s">
        <v>243</v>
      </c>
      <c r="Z713" s="99">
        <v>1</v>
      </c>
      <c r="AA713" s="95">
        <v>1</v>
      </c>
      <c r="AB713" s="95">
        <v>1</v>
      </c>
      <c r="AC713" s="95">
        <v>1</v>
      </c>
      <c r="AD713" s="95">
        <v>0</v>
      </c>
      <c r="AE713" s="95">
        <v>0</v>
      </c>
      <c r="AF713" s="95">
        <v>0</v>
      </c>
      <c r="AG713" s="95">
        <v>0</v>
      </c>
      <c r="AH713" s="95">
        <v>0</v>
      </c>
      <c r="AI713" s="95">
        <v>0</v>
      </c>
      <c r="AJ713" s="3">
        <f>INT(VLOOKUP(U713,模板计算相关数据!A:N,4,0)*VLOOKUP(U713,模板计算相关数据!A:N,14,0)*(1+MAX(0,(VLOOKUP(U713,模板计算相关数据!A:N,7,0)-AQ713))*VLOOKUP(U713,模板计算相关数据!A:N,8,0))*(1-(AL713+AM713)*0.5/((AL713+AM713)*0.5+(VLOOKUP(U713,模板计算相关数据!A:N,2,0)+模板计算相关数据!$AC$27)*模板计算相关数据!$AC$28))*Q713*Z713)</f>
        <v>411</v>
      </c>
      <c r="AK713" s="3">
        <f>INT(VLOOKUP(U713,模板计算相关数据!A:N,3,0)/模板计算相关数据!$W$35/(1+MAX(0,(AO713/10000-VLOOKUP(U713,模板计算相关数据!A:N,9,0)))*AP713/10000)/(1-VLOOKUP(U713,模板计算相关数据!A:N,5,0)/(VLOOKUP(U713,模板计算相关数据!A:N,5,0)+(VLOOKUP(U713,模板计算相关数据!A:N,2,0)+模板计算相关数据!$AC$27)*模板计算相关数据!$AC$28))/S713*AA713)</f>
        <v>86</v>
      </c>
      <c r="AL713" s="3">
        <f>INT(VLOOKUP(U713,模板计算相关数据!A:N,5,0)*VLOOKUP(X713,模板计算相关数据!$P$4:$T$7,4,0)*VLOOKUP(Y713,模板计算相关数据!$P$22:$U$30,4,0)*AB713)</f>
        <v>145</v>
      </c>
      <c r="AM713" s="3">
        <f>INT(VLOOKUP(U713,模板计算相关数据!A:N,6,0)*VLOOKUP(X713,模板计算相关数据!$P$4:$T$7,4,0)*VLOOKUP(Y713,模板计算相关数据!$P$22:$U$30,5,0)*AC713)</f>
        <v>264</v>
      </c>
      <c r="AN713" s="3">
        <f>VLOOKUP(U713,模板计算相关数据!A:N,10,0)*0.5*VLOOKUP(Y713,模板计算相关数据!$P$22:$U$30,6,0)+AD713</f>
        <v>275</v>
      </c>
      <c r="AO713" s="3">
        <f>VLOOKUP(INT(VLOOKUP(U713,模板计算相关数据!A:N,2,0)/30)+1,模板计算相关数据!$O$35:$U$40,3,0)+AE713</f>
        <v>0</v>
      </c>
      <c r="AP713" s="3">
        <f>VLOOKUP(INT(VLOOKUP(U713,模板计算相关数据!A:N,2,0)/30)+1,模板计算相关数据!$O$35:$U$40,4,0)+AF713</f>
        <v>5000</v>
      </c>
      <c r="AQ713" s="3">
        <f>VLOOKUP(INT(VLOOKUP(U713,模板计算相关数据!A:N,2,0)/30)+1,模板计算相关数据!$O$35:$U$40,5,0)+AG713</f>
        <v>0</v>
      </c>
      <c r="AR713" s="3">
        <f>VLOOKUP(INT(VLOOKUP(U713,模板计算相关数据!A:N,2,0)/30)+1,模板计算相关数据!$O$35:$U$40,6,0)+AH713</f>
        <v>0</v>
      </c>
      <c r="AS713" s="3">
        <f>VLOOKUP(INT(VLOOKUP(U713,模板计算相关数据!A:N,2,0)/30)+1,模板计算相关数据!$O$35:$U$40,7,0)+AI713</f>
        <v>0</v>
      </c>
      <c r="AT713" s="3">
        <f>VLOOKUP(INT(VLOOKUP(U713,模板计算相关数据!A:N,2,0)/30)+1,模板计算相关数据!$O$35:$V$40,8,0)</f>
        <v>0</v>
      </c>
      <c r="AU713" s="2"/>
    </row>
    <row r="714" spans="1:47" x14ac:dyDescent="0.2">
      <c r="A714" s="2">
        <v>307409</v>
      </c>
      <c r="B714" s="2"/>
      <c r="C714" s="2" t="s">
        <v>326</v>
      </c>
      <c r="D714" s="2" t="s">
        <v>1249</v>
      </c>
      <c r="E714" s="2"/>
      <c r="F714" s="127">
        <v>3</v>
      </c>
      <c r="G714" s="127">
        <v>101</v>
      </c>
      <c r="H714" s="3">
        <v>5</v>
      </c>
      <c r="I714" s="127">
        <v>5</v>
      </c>
      <c r="J714" s="127">
        <v>1</v>
      </c>
      <c r="K714" s="3"/>
      <c r="L714" s="2" t="s">
        <v>531</v>
      </c>
      <c r="M714" s="2"/>
      <c r="N714" s="2">
        <v>1</v>
      </c>
      <c r="O714" s="2"/>
      <c r="P714" s="3" t="s">
        <v>1615</v>
      </c>
      <c r="Q714" s="95">
        <f t="shared" si="67"/>
        <v>5.7709803921568623</v>
      </c>
      <c r="R714" s="133">
        <f>IF(P714=模板计算相关数据!$AB$24,VLOOKUP(X714,模板计算相关数据!$P$47:$T$50,2,0),VLOOKUP(X714,模板计算相关数据!$P$4:$U$7,3,0))*VLOOKUP(Y714,模板计算相关数据!$P$22:$X$30,8,0)</f>
        <v>5.7709803921568623</v>
      </c>
      <c r="S714" s="62">
        <f t="shared" si="68"/>
        <v>6.4077918749199023</v>
      </c>
      <c r="T714" s="133">
        <f>IF(P714=模板计算相关数据!$AB$24,VLOOKUP(X714,模板计算相关数据!$P$47:$T$50,5,0),VLOOKUP(X714,模板计算相关数据!$P$4:$U$7,6,0))*VLOOKUP(Y714,模板计算相关数据!$P$22:$X$30,9,0)</f>
        <v>6.4077918749199023</v>
      </c>
      <c r="U714" s="98">
        <v>1</v>
      </c>
      <c r="V714" s="95">
        <f t="shared" si="69"/>
        <v>4</v>
      </c>
      <c r="W714" s="29">
        <f>VLOOKUP(U714,模板计算相关数据!A:N,2,0)</f>
        <v>1</v>
      </c>
      <c r="X714" s="3" t="s">
        <v>151</v>
      </c>
      <c r="Y714" s="3" t="s">
        <v>243</v>
      </c>
      <c r="Z714" s="99">
        <v>1</v>
      </c>
      <c r="AA714" s="95">
        <v>1</v>
      </c>
      <c r="AB714" s="95">
        <v>1</v>
      </c>
      <c r="AC714" s="95">
        <v>1</v>
      </c>
      <c r="AD714" s="95">
        <v>0</v>
      </c>
      <c r="AE714" s="95">
        <v>0</v>
      </c>
      <c r="AF714" s="95">
        <v>0</v>
      </c>
      <c r="AG714" s="95">
        <v>0</v>
      </c>
      <c r="AH714" s="95">
        <v>0</v>
      </c>
      <c r="AI714" s="95">
        <v>0</v>
      </c>
      <c r="AJ714" s="3">
        <f>INT(VLOOKUP(U714,模板计算相关数据!A:N,4,0)*VLOOKUP(U714,模板计算相关数据!A:N,14,0)*(1+MAX(0,(VLOOKUP(U714,模板计算相关数据!A:N,7,0)-AQ714))*VLOOKUP(U714,模板计算相关数据!A:N,8,0))*(1-(AL714+AM714)*0.5/((AL714+AM714)*0.5+(VLOOKUP(U714,模板计算相关数据!A:N,2,0)+模板计算相关数据!$AC$27)*模板计算相关数据!$AC$28))*Q714*Z714)</f>
        <v>411</v>
      </c>
      <c r="AK714" s="3">
        <f>INT(VLOOKUP(U714,模板计算相关数据!A:N,3,0)/模板计算相关数据!$W$35/(1+MAX(0,(AO714/10000-VLOOKUP(U714,模板计算相关数据!A:N,9,0)))*AP714/10000)/(1-VLOOKUP(U714,模板计算相关数据!A:N,5,0)/(VLOOKUP(U714,模板计算相关数据!A:N,5,0)+(VLOOKUP(U714,模板计算相关数据!A:N,2,0)+模板计算相关数据!$AC$27)*模板计算相关数据!$AC$28))/S714*AA714)</f>
        <v>86</v>
      </c>
      <c r="AL714" s="3">
        <f>INT(VLOOKUP(U714,模板计算相关数据!A:N,5,0)*VLOOKUP(X714,模板计算相关数据!$P$4:$T$7,4,0)*VLOOKUP(Y714,模板计算相关数据!$P$22:$U$30,4,0)*AB714)</f>
        <v>145</v>
      </c>
      <c r="AM714" s="3">
        <f>INT(VLOOKUP(U714,模板计算相关数据!A:N,6,0)*VLOOKUP(X714,模板计算相关数据!$P$4:$T$7,4,0)*VLOOKUP(Y714,模板计算相关数据!$P$22:$U$30,5,0)*AC714)</f>
        <v>264</v>
      </c>
      <c r="AN714" s="3">
        <f>VLOOKUP(U714,模板计算相关数据!A:N,10,0)*0.5*VLOOKUP(Y714,模板计算相关数据!$P$22:$U$30,6,0)+AD714</f>
        <v>275</v>
      </c>
      <c r="AO714" s="3">
        <f>VLOOKUP(INT(VLOOKUP(U714,模板计算相关数据!A:N,2,0)/30)+1,模板计算相关数据!$O$35:$U$40,3,0)+AE714</f>
        <v>0</v>
      </c>
      <c r="AP714" s="3">
        <f>VLOOKUP(INT(VLOOKUP(U714,模板计算相关数据!A:N,2,0)/30)+1,模板计算相关数据!$O$35:$U$40,4,0)+AF714</f>
        <v>5000</v>
      </c>
      <c r="AQ714" s="3">
        <f>VLOOKUP(INT(VLOOKUP(U714,模板计算相关数据!A:N,2,0)/30)+1,模板计算相关数据!$O$35:$U$40,5,0)+AG714</f>
        <v>0</v>
      </c>
      <c r="AR714" s="3">
        <f>VLOOKUP(INT(VLOOKUP(U714,模板计算相关数据!A:N,2,0)/30)+1,模板计算相关数据!$O$35:$U$40,6,0)+AH714</f>
        <v>0</v>
      </c>
      <c r="AS714" s="3">
        <f>VLOOKUP(INT(VLOOKUP(U714,模板计算相关数据!A:N,2,0)/30)+1,模板计算相关数据!$O$35:$U$40,7,0)+AI714</f>
        <v>0</v>
      </c>
      <c r="AT714" s="3">
        <f>VLOOKUP(INT(VLOOKUP(U714,模板计算相关数据!A:N,2,0)/30)+1,模板计算相关数据!$O$35:$V$40,8,0)</f>
        <v>0</v>
      </c>
      <c r="AU714" s="2"/>
    </row>
    <row r="715" spans="1:47" x14ac:dyDescent="0.2">
      <c r="A715" s="2">
        <v>307410</v>
      </c>
      <c r="B715" s="2"/>
      <c r="C715" s="2" t="s">
        <v>326</v>
      </c>
      <c r="D715" s="2" t="s">
        <v>1250</v>
      </c>
      <c r="E715" s="2"/>
      <c r="F715" s="127">
        <v>3</v>
      </c>
      <c r="G715" s="127">
        <v>101</v>
      </c>
      <c r="H715" s="3">
        <v>5</v>
      </c>
      <c r="I715" s="127">
        <v>5</v>
      </c>
      <c r="J715" s="127">
        <v>1</v>
      </c>
      <c r="K715" s="3"/>
      <c r="L715" s="2" t="s">
        <v>532</v>
      </c>
      <c r="M715" s="2"/>
      <c r="N715" s="2">
        <v>1</v>
      </c>
      <c r="O715" s="2"/>
      <c r="P715" s="3" t="s">
        <v>1615</v>
      </c>
      <c r="Q715" s="95">
        <f t="shared" si="67"/>
        <v>5.7709803921568623</v>
      </c>
      <c r="R715" s="133">
        <f>IF(P715=模板计算相关数据!$AB$24,VLOOKUP(X715,模板计算相关数据!$P$47:$T$50,2,0),VLOOKUP(X715,模板计算相关数据!$P$4:$U$7,3,0))*VLOOKUP(Y715,模板计算相关数据!$P$22:$X$30,8,0)</f>
        <v>5.7709803921568623</v>
      </c>
      <c r="S715" s="62">
        <f t="shared" si="68"/>
        <v>6.4077918749199023</v>
      </c>
      <c r="T715" s="133">
        <f>IF(P715=模板计算相关数据!$AB$24,VLOOKUP(X715,模板计算相关数据!$P$47:$T$50,5,0),VLOOKUP(X715,模板计算相关数据!$P$4:$U$7,6,0))*VLOOKUP(Y715,模板计算相关数据!$P$22:$X$30,9,0)</f>
        <v>6.4077918749199023</v>
      </c>
      <c r="U715" s="98">
        <v>1</v>
      </c>
      <c r="V715" s="95">
        <f t="shared" si="69"/>
        <v>4</v>
      </c>
      <c r="W715" s="29">
        <f>VLOOKUP(U715,模板计算相关数据!A:N,2,0)</f>
        <v>1</v>
      </c>
      <c r="X715" s="3" t="s">
        <v>151</v>
      </c>
      <c r="Y715" s="3" t="s">
        <v>243</v>
      </c>
      <c r="Z715" s="99">
        <v>1</v>
      </c>
      <c r="AA715" s="95">
        <v>1</v>
      </c>
      <c r="AB715" s="95">
        <v>1</v>
      </c>
      <c r="AC715" s="95">
        <v>1</v>
      </c>
      <c r="AD715" s="95">
        <v>0</v>
      </c>
      <c r="AE715" s="95">
        <v>0</v>
      </c>
      <c r="AF715" s="95">
        <v>0</v>
      </c>
      <c r="AG715" s="95">
        <v>0</v>
      </c>
      <c r="AH715" s="95">
        <v>0</v>
      </c>
      <c r="AI715" s="95">
        <v>0</v>
      </c>
      <c r="AJ715" s="3">
        <f>INT(VLOOKUP(U715,模板计算相关数据!A:N,4,0)*VLOOKUP(U715,模板计算相关数据!A:N,14,0)*(1+MAX(0,(VLOOKUP(U715,模板计算相关数据!A:N,7,0)-AQ715))*VLOOKUP(U715,模板计算相关数据!A:N,8,0))*(1-(AL715+AM715)*0.5/((AL715+AM715)*0.5+(VLOOKUP(U715,模板计算相关数据!A:N,2,0)+模板计算相关数据!$AC$27)*模板计算相关数据!$AC$28))*Q715*Z715)</f>
        <v>411</v>
      </c>
      <c r="AK715" s="3">
        <f>INT(VLOOKUP(U715,模板计算相关数据!A:N,3,0)/模板计算相关数据!$W$35/(1+MAX(0,(AO715/10000-VLOOKUP(U715,模板计算相关数据!A:N,9,0)))*AP715/10000)/(1-VLOOKUP(U715,模板计算相关数据!A:N,5,0)/(VLOOKUP(U715,模板计算相关数据!A:N,5,0)+(VLOOKUP(U715,模板计算相关数据!A:N,2,0)+模板计算相关数据!$AC$27)*模板计算相关数据!$AC$28))/S715*AA715)</f>
        <v>86</v>
      </c>
      <c r="AL715" s="3">
        <f>INT(VLOOKUP(U715,模板计算相关数据!A:N,5,0)*VLOOKUP(X715,模板计算相关数据!$P$4:$T$7,4,0)*VLOOKUP(Y715,模板计算相关数据!$P$22:$U$30,4,0)*AB715)</f>
        <v>145</v>
      </c>
      <c r="AM715" s="3">
        <f>INT(VLOOKUP(U715,模板计算相关数据!A:N,6,0)*VLOOKUP(X715,模板计算相关数据!$P$4:$T$7,4,0)*VLOOKUP(Y715,模板计算相关数据!$P$22:$U$30,5,0)*AC715)</f>
        <v>264</v>
      </c>
      <c r="AN715" s="3">
        <f>VLOOKUP(U715,模板计算相关数据!A:N,10,0)*0.5*VLOOKUP(Y715,模板计算相关数据!$P$22:$U$30,6,0)+AD715</f>
        <v>275</v>
      </c>
      <c r="AO715" s="3">
        <f>VLOOKUP(INT(VLOOKUP(U715,模板计算相关数据!A:N,2,0)/30)+1,模板计算相关数据!$O$35:$U$40,3,0)+AE715</f>
        <v>0</v>
      </c>
      <c r="AP715" s="3">
        <f>VLOOKUP(INT(VLOOKUP(U715,模板计算相关数据!A:N,2,0)/30)+1,模板计算相关数据!$O$35:$U$40,4,0)+AF715</f>
        <v>5000</v>
      </c>
      <c r="AQ715" s="3">
        <f>VLOOKUP(INT(VLOOKUP(U715,模板计算相关数据!A:N,2,0)/30)+1,模板计算相关数据!$O$35:$U$40,5,0)+AG715</f>
        <v>0</v>
      </c>
      <c r="AR715" s="3">
        <f>VLOOKUP(INT(VLOOKUP(U715,模板计算相关数据!A:N,2,0)/30)+1,模板计算相关数据!$O$35:$U$40,6,0)+AH715</f>
        <v>0</v>
      </c>
      <c r="AS715" s="3">
        <f>VLOOKUP(INT(VLOOKUP(U715,模板计算相关数据!A:N,2,0)/30)+1,模板计算相关数据!$O$35:$U$40,7,0)+AI715</f>
        <v>0</v>
      </c>
      <c r="AT715" s="3">
        <f>VLOOKUP(INT(VLOOKUP(U715,模板计算相关数据!A:N,2,0)/30)+1,模板计算相关数据!$O$35:$V$40,8,0)</f>
        <v>0</v>
      </c>
      <c r="AU715" s="2"/>
    </row>
    <row r="716" spans="1:47" x14ac:dyDescent="0.2">
      <c r="A716" s="2">
        <v>307411</v>
      </c>
      <c r="B716" s="2"/>
      <c r="C716" s="69" t="s">
        <v>775</v>
      </c>
      <c r="D716" s="69" t="s">
        <v>1246</v>
      </c>
      <c r="E716" s="2"/>
      <c r="F716" s="127">
        <v>3</v>
      </c>
      <c r="G716" s="127">
        <v>101</v>
      </c>
      <c r="H716" s="3">
        <v>4</v>
      </c>
      <c r="I716" s="127">
        <v>5</v>
      </c>
      <c r="J716" s="127">
        <v>1</v>
      </c>
      <c r="K716" s="3"/>
      <c r="L716" s="2" t="s">
        <v>533</v>
      </c>
      <c r="M716" s="2"/>
      <c r="N716" s="2">
        <v>1</v>
      </c>
      <c r="O716" s="2"/>
      <c r="P716" s="3" t="s">
        <v>1615</v>
      </c>
      <c r="Q716" s="95">
        <f t="shared" si="67"/>
        <v>4.4674509803921572</v>
      </c>
      <c r="R716" s="133">
        <f>IF(P716=模板计算相关数据!$AB$24,VLOOKUP(X716,模板计算相关数据!$P$47:$T$50,2,0),VLOOKUP(X716,模板计算相关数据!$P$4:$U$7,3,0))*VLOOKUP(Y716,模板计算相关数据!$P$22:$X$30,8,0)</f>
        <v>4.4674509803921572</v>
      </c>
      <c r="S716" s="62">
        <f t="shared" si="68"/>
        <v>5.4739930589768004</v>
      </c>
      <c r="T716" s="133">
        <f>IF(P716=模板计算相关数据!$AB$24,VLOOKUP(X716,模板计算相关数据!$P$47:$T$50,5,0),VLOOKUP(X716,模板计算相关数据!$P$4:$U$7,6,0))*VLOOKUP(Y716,模板计算相关数据!$P$22:$X$30,9,0)</f>
        <v>5.4739930589768004</v>
      </c>
      <c r="U716" s="98">
        <v>1</v>
      </c>
      <c r="V716" s="95">
        <f t="shared" si="69"/>
        <v>4</v>
      </c>
      <c r="W716" s="29">
        <f>VLOOKUP(U716,模板计算相关数据!A:N,2,0)</f>
        <v>1</v>
      </c>
      <c r="X716" s="3" t="s">
        <v>151</v>
      </c>
      <c r="Y716" s="3" t="s">
        <v>162</v>
      </c>
      <c r="Z716" s="99">
        <v>1</v>
      </c>
      <c r="AA716" s="95">
        <v>1</v>
      </c>
      <c r="AB716" s="95">
        <v>1</v>
      </c>
      <c r="AC716" s="95">
        <v>1</v>
      </c>
      <c r="AD716" s="95">
        <v>0</v>
      </c>
      <c r="AE716" s="95">
        <v>0</v>
      </c>
      <c r="AF716" s="95">
        <v>0</v>
      </c>
      <c r="AG716" s="95">
        <v>0</v>
      </c>
      <c r="AH716" s="95">
        <v>0</v>
      </c>
      <c r="AI716" s="95">
        <v>0</v>
      </c>
      <c r="AJ716" s="3">
        <f>INT(VLOOKUP(U716,模板计算相关数据!A:N,4,0)*VLOOKUP(U716,模板计算相关数据!A:N,14,0)*(1+MAX(0,(VLOOKUP(U716,模板计算相关数据!A:N,7,0)-AQ716))*VLOOKUP(U716,模板计算相关数据!A:N,8,0))*(1-(AL716+AM716)*0.5/((AL716+AM716)*0.5+(VLOOKUP(U716,模板计算相关数据!A:N,2,0)+模板计算相关数据!$AC$27)*模板计算相关数据!$AC$28))*Q716*Z716)</f>
        <v>328</v>
      </c>
      <c r="AK716" s="3">
        <f>INT(VLOOKUP(U716,模板计算相关数据!A:N,3,0)/模板计算相关数据!$W$35/(1+MAX(0,(AO716/10000-VLOOKUP(U716,模板计算相关数据!A:N,9,0)))*AP716/10000)/(1-VLOOKUP(U716,模板计算相关数据!A:N,5,0)/(VLOOKUP(U716,模板计算相关数据!A:N,5,0)+(VLOOKUP(U716,模板计算相关数据!A:N,2,0)+模板计算相关数据!$AC$27)*模板计算相关数据!$AC$28))/S716*AA716)</f>
        <v>101</v>
      </c>
      <c r="AL716" s="3">
        <f>INT(VLOOKUP(U716,模板计算相关数据!A:N,5,0)*VLOOKUP(X716,模板计算相关数据!$P$4:$T$7,4,0)*VLOOKUP(Y716,模板计算相关数据!$P$22:$U$30,4,0)*AB716)</f>
        <v>136</v>
      </c>
      <c r="AM716" s="3">
        <f>INT(VLOOKUP(U716,模板计算相关数据!A:N,6,0)*VLOOKUP(X716,模板计算相关数据!$P$4:$T$7,4,0)*VLOOKUP(Y716,模板计算相关数据!$P$22:$U$30,5,0)*AC716)</f>
        <v>230</v>
      </c>
      <c r="AN716" s="3">
        <f>VLOOKUP(U716,模板计算相关数据!A:N,10,0)*0.5*VLOOKUP(Y716,模板计算相关数据!$P$22:$U$30,6,0)+AD716</f>
        <v>250</v>
      </c>
      <c r="AO716" s="3">
        <f>VLOOKUP(INT(VLOOKUP(U716,模板计算相关数据!A:N,2,0)/30)+1,模板计算相关数据!$O$35:$U$40,3,0)+AE716</f>
        <v>0</v>
      </c>
      <c r="AP716" s="3">
        <f>VLOOKUP(INT(VLOOKUP(U716,模板计算相关数据!A:N,2,0)/30)+1,模板计算相关数据!$O$35:$U$40,4,0)+AF716</f>
        <v>5000</v>
      </c>
      <c r="AQ716" s="3">
        <f>VLOOKUP(INT(VLOOKUP(U716,模板计算相关数据!A:N,2,0)/30)+1,模板计算相关数据!$O$35:$U$40,5,0)+AG716</f>
        <v>0</v>
      </c>
      <c r="AR716" s="3">
        <f>VLOOKUP(INT(VLOOKUP(U716,模板计算相关数据!A:N,2,0)/30)+1,模板计算相关数据!$O$35:$U$40,6,0)+AH716</f>
        <v>0</v>
      </c>
      <c r="AS716" s="3">
        <f>VLOOKUP(INT(VLOOKUP(U716,模板计算相关数据!A:N,2,0)/30)+1,模板计算相关数据!$O$35:$U$40,7,0)+AI716</f>
        <v>0</v>
      </c>
      <c r="AT716" s="3">
        <f>VLOOKUP(INT(VLOOKUP(U716,模板计算相关数据!A:N,2,0)/30)+1,模板计算相关数据!$O$35:$V$40,8,0)</f>
        <v>0</v>
      </c>
      <c r="AU716" s="2"/>
    </row>
    <row r="717" spans="1:47" x14ac:dyDescent="0.2">
      <c r="A717" s="2">
        <v>307412</v>
      </c>
      <c r="B717" s="2"/>
      <c r="C717" s="69" t="s">
        <v>775</v>
      </c>
      <c r="D717" s="69" t="s">
        <v>1247</v>
      </c>
      <c r="E717" s="2"/>
      <c r="F717" s="127">
        <v>3</v>
      </c>
      <c r="G717" s="127">
        <v>101</v>
      </c>
      <c r="H717" s="3">
        <v>4</v>
      </c>
      <c r="I717" s="127">
        <v>5</v>
      </c>
      <c r="J717" s="127">
        <v>1</v>
      </c>
      <c r="K717" s="3"/>
      <c r="L717" s="2" t="s">
        <v>534</v>
      </c>
      <c r="M717" s="2"/>
      <c r="N717" s="2">
        <v>1</v>
      </c>
      <c r="O717" s="2"/>
      <c r="P717" s="3" t="s">
        <v>1615</v>
      </c>
      <c r="Q717" s="95">
        <f t="shared" si="67"/>
        <v>4.4674509803921572</v>
      </c>
      <c r="R717" s="133">
        <f>IF(P717=模板计算相关数据!$AB$24,VLOOKUP(X717,模板计算相关数据!$P$47:$T$50,2,0),VLOOKUP(X717,模板计算相关数据!$P$4:$U$7,3,0))*VLOOKUP(Y717,模板计算相关数据!$P$22:$X$30,8,0)</f>
        <v>4.4674509803921572</v>
      </c>
      <c r="S717" s="62">
        <f t="shared" si="68"/>
        <v>5.4739930589768004</v>
      </c>
      <c r="T717" s="133">
        <f>IF(P717=模板计算相关数据!$AB$24,VLOOKUP(X717,模板计算相关数据!$P$47:$T$50,5,0),VLOOKUP(X717,模板计算相关数据!$P$4:$U$7,6,0))*VLOOKUP(Y717,模板计算相关数据!$P$22:$X$30,9,0)</f>
        <v>5.4739930589768004</v>
      </c>
      <c r="U717" s="98">
        <v>1</v>
      </c>
      <c r="V717" s="95">
        <f t="shared" si="69"/>
        <v>4</v>
      </c>
      <c r="W717" s="29">
        <f>VLOOKUP(U717,模板计算相关数据!A:N,2,0)</f>
        <v>1</v>
      </c>
      <c r="X717" s="3" t="s">
        <v>151</v>
      </c>
      <c r="Y717" s="3" t="s">
        <v>162</v>
      </c>
      <c r="Z717" s="99">
        <v>1</v>
      </c>
      <c r="AA717" s="95">
        <v>1</v>
      </c>
      <c r="AB717" s="95">
        <v>1</v>
      </c>
      <c r="AC717" s="95">
        <v>1</v>
      </c>
      <c r="AD717" s="95">
        <v>0</v>
      </c>
      <c r="AE717" s="95">
        <v>0</v>
      </c>
      <c r="AF717" s="95">
        <v>0</v>
      </c>
      <c r="AG717" s="95">
        <v>0</v>
      </c>
      <c r="AH717" s="95">
        <v>0</v>
      </c>
      <c r="AI717" s="95">
        <v>0</v>
      </c>
      <c r="AJ717" s="3">
        <f>INT(VLOOKUP(U717,模板计算相关数据!A:N,4,0)*VLOOKUP(U717,模板计算相关数据!A:N,14,0)*(1+MAX(0,(VLOOKUP(U717,模板计算相关数据!A:N,7,0)-AQ717))*VLOOKUP(U717,模板计算相关数据!A:N,8,0))*(1-(AL717+AM717)*0.5/((AL717+AM717)*0.5+(VLOOKUP(U717,模板计算相关数据!A:N,2,0)+模板计算相关数据!$AC$27)*模板计算相关数据!$AC$28))*Q717*Z717)</f>
        <v>328</v>
      </c>
      <c r="AK717" s="3">
        <f>INT(VLOOKUP(U717,模板计算相关数据!A:N,3,0)/模板计算相关数据!$W$35/(1+MAX(0,(AO717/10000-VLOOKUP(U717,模板计算相关数据!A:N,9,0)))*AP717/10000)/(1-VLOOKUP(U717,模板计算相关数据!A:N,5,0)/(VLOOKUP(U717,模板计算相关数据!A:N,5,0)+(VLOOKUP(U717,模板计算相关数据!A:N,2,0)+模板计算相关数据!$AC$27)*模板计算相关数据!$AC$28))/S717*AA717)</f>
        <v>101</v>
      </c>
      <c r="AL717" s="3">
        <f>INT(VLOOKUP(U717,模板计算相关数据!A:N,5,0)*VLOOKUP(X717,模板计算相关数据!$P$4:$T$7,4,0)*VLOOKUP(Y717,模板计算相关数据!$P$22:$U$30,4,0)*AB717)</f>
        <v>136</v>
      </c>
      <c r="AM717" s="3">
        <f>INT(VLOOKUP(U717,模板计算相关数据!A:N,6,0)*VLOOKUP(X717,模板计算相关数据!$P$4:$T$7,4,0)*VLOOKUP(Y717,模板计算相关数据!$P$22:$U$30,5,0)*AC717)</f>
        <v>230</v>
      </c>
      <c r="AN717" s="3">
        <f>VLOOKUP(U717,模板计算相关数据!A:N,10,0)*0.5*VLOOKUP(Y717,模板计算相关数据!$P$22:$U$30,6,0)+AD717</f>
        <v>250</v>
      </c>
      <c r="AO717" s="3">
        <f>VLOOKUP(INT(VLOOKUP(U717,模板计算相关数据!A:N,2,0)/30)+1,模板计算相关数据!$O$35:$U$40,3,0)+AE717</f>
        <v>0</v>
      </c>
      <c r="AP717" s="3">
        <f>VLOOKUP(INT(VLOOKUP(U717,模板计算相关数据!A:N,2,0)/30)+1,模板计算相关数据!$O$35:$U$40,4,0)+AF717</f>
        <v>5000</v>
      </c>
      <c r="AQ717" s="3">
        <f>VLOOKUP(INT(VLOOKUP(U717,模板计算相关数据!A:N,2,0)/30)+1,模板计算相关数据!$O$35:$U$40,5,0)+AG717</f>
        <v>0</v>
      </c>
      <c r="AR717" s="3">
        <f>VLOOKUP(INT(VLOOKUP(U717,模板计算相关数据!A:N,2,0)/30)+1,模板计算相关数据!$O$35:$U$40,6,0)+AH717</f>
        <v>0</v>
      </c>
      <c r="AS717" s="3">
        <f>VLOOKUP(INT(VLOOKUP(U717,模板计算相关数据!A:N,2,0)/30)+1,模板计算相关数据!$O$35:$U$40,7,0)+AI717</f>
        <v>0</v>
      </c>
      <c r="AT717" s="3">
        <f>VLOOKUP(INT(VLOOKUP(U717,模板计算相关数据!A:N,2,0)/30)+1,模板计算相关数据!$O$35:$V$40,8,0)</f>
        <v>0</v>
      </c>
      <c r="AU717" s="2"/>
    </row>
    <row r="718" spans="1:47" x14ac:dyDescent="0.2">
      <c r="A718" s="2">
        <v>307413</v>
      </c>
      <c r="B718" s="2"/>
      <c r="C718" s="69" t="s">
        <v>775</v>
      </c>
      <c r="D718" s="69" t="s">
        <v>1248</v>
      </c>
      <c r="E718" s="2"/>
      <c r="F718" s="127">
        <v>3</v>
      </c>
      <c r="G718" s="127">
        <v>101</v>
      </c>
      <c r="H718" s="3">
        <v>4</v>
      </c>
      <c r="I718" s="127">
        <v>5</v>
      </c>
      <c r="J718" s="127">
        <v>1</v>
      </c>
      <c r="K718" s="3"/>
      <c r="L718" s="2" t="s">
        <v>535</v>
      </c>
      <c r="M718" s="2"/>
      <c r="N718" s="2">
        <v>1</v>
      </c>
      <c r="O718" s="2"/>
      <c r="P718" s="3" t="s">
        <v>1615</v>
      </c>
      <c r="Q718" s="95">
        <f t="shared" si="67"/>
        <v>4.4674509803921572</v>
      </c>
      <c r="R718" s="133">
        <f>IF(P718=模板计算相关数据!$AB$24,VLOOKUP(X718,模板计算相关数据!$P$47:$T$50,2,0),VLOOKUP(X718,模板计算相关数据!$P$4:$U$7,3,0))*VLOOKUP(Y718,模板计算相关数据!$P$22:$X$30,8,0)</f>
        <v>4.4674509803921572</v>
      </c>
      <c r="S718" s="62">
        <f t="shared" si="68"/>
        <v>5.4739930589768004</v>
      </c>
      <c r="T718" s="133">
        <f>IF(P718=模板计算相关数据!$AB$24,VLOOKUP(X718,模板计算相关数据!$P$47:$T$50,5,0),VLOOKUP(X718,模板计算相关数据!$P$4:$U$7,6,0))*VLOOKUP(Y718,模板计算相关数据!$P$22:$X$30,9,0)</f>
        <v>5.4739930589768004</v>
      </c>
      <c r="U718" s="98">
        <v>1</v>
      </c>
      <c r="V718" s="95">
        <f t="shared" si="69"/>
        <v>4</v>
      </c>
      <c r="W718" s="29">
        <f>VLOOKUP(U718,模板计算相关数据!A:N,2,0)</f>
        <v>1</v>
      </c>
      <c r="X718" s="3" t="s">
        <v>151</v>
      </c>
      <c r="Y718" s="3" t="s">
        <v>162</v>
      </c>
      <c r="Z718" s="99">
        <v>1</v>
      </c>
      <c r="AA718" s="95">
        <v>1</v>
      </c>
      <c r="AB718" s="95">
        <v>1</v>
      </c>
      <c r="AC718" s="95">
        <v>1</v>
      </c>
      <c r="AD718" s="95">
        <v>0</v>
      </c>
      <c r="AE718" s="95">
        <v>0</v>
      </c>
      <c r="AF718" s="95">
        <v>0</v>
      </c>
      <c r="AG718" s="95">
        <v>0</v>
      </c>
      <c r="AH718" s="95">
        <v>0</v>
      </c>
      <c r="AI718" s="95">
        <v>0</v>
      </c>
      <c r="AJ718" s="3">
        <f>INT(VLOOKUP(U718,模板计算相关数据!A:N,4,0)*VLOOKUP(U718,模板计算相关数据!A:N,14,0)*(1+MAX(0,(VLOOKUP(U718,模板计算相关数据!A:N,7,0)-AQ718))*VLOOKUP(U718,模板计算相关数据!A:N,8,0))*(1-(AL718+AM718)*0.5/((AL718+AM718)*0.5+(VLOOKUP(U718,模板计算相关数据!A:N,2,0)+模板计算相关数据!$AC$27)*模板计算相关数据!$AC$28))*Q718*Z718)</f>
        <v>328</v>
      </c>
      <c r="AK718" s="3">
        <f>INT(VLOOKUP(U718,模板计算相关数据!A:N,3,0)/模板计算相关数据!$W$35/(1+MAX(0,(AO718/10000-VLOOKUP(U718,模板计算相关数据!A:N,9,0)))*AP718/10000)/(1-VLOOKUP(U718,模板计算相关数据!A:N,5,0)/(VLOOKUP(U718,模板计算相关数据!A:N,5,0)+(VLOOKUP(U718,模板计算相关数据!A:N,2,0)+模板计算相关数据!$AC$27)*模板计算相关数据!$AC$28))/S718*AA718)</f>
        <v>101</v>
      </c>
      <c r="AL718" s="3">
        <f>INT(VLOOKUP(U718,模板计算相关数据!A:N,5,0)*VLOOKUP(X718,模板计算相关数据!$P$4:$T$7,4,0)*VLOOKUP(Y718,模板计算相关数据!$P$22:$U$30,4,0)*AB718)</f>
        <v>136</v>
      </c>
      <c r="AM718" s="3">
        <f>INT(VLOOKUP(U718,模板计算相关数据!A:N,6,0)*VLOOKUP(X718,模板计算相关数据!$P$4:$T$7,4,0)*VLOOKUP(Y718,模板计算相关数据!$P$22:$U$30,5,0)*AC718)</f>
        <v>230</v>
      </c>
      <c r="AN718" s="3">
        <f>VLOOKUP(U718,模板计算相关数据!A:N,10,0)*0.5*VLOOKUP(Y718,模板计算相关数据!$P$22:$U$30,6,0)+AD718</f>
        <v>250</v>
      </c>
      <c r="AO718" s="3">
        <f>VLOOKUP(INT(VLOOKUP(U718,模板计算相关数据!A:N,2,0)/30)+1,模板计算相关数据!$O$35:$U$40,3,0)+AE718</f>
        <v>0</v>
      </c>
      <c r="AP718" s="3">
        <f>VLOOKUP(INT(VLOOKUP(U718,模板计算相关数据!A:N,2,0)/30)+1,模板计算相关数据!$O$35:$U$40,4,0)+AF718</f>
        <v>5000</v>
      </c>
      <c r="AQ718" s="3">
        <f>VLOOKUP(INT(VLOOKUP(U718,模板计算相关数据!A:N,2,0)/30)+1,模板计算相关数据!$O$35:$U$40,5,0)+AG718</f>
        <v>0</v>
      </c>
      <c r="AR718" s="3">
        <f>VLOOKUP(INT(VLOOKUP(U718,模板计算相关数据!A:N,2,0)/30)+1,模板计算相关数据!$O$35:$U$40,6,0)+AH718</f>
        <v>0</v>
      </c>
      <c r="AS718" s="3">
        <f>VLOOKUP(INT(VLOOKUP(U718,模板计算相关数据!A:N,2,0)/30)+1,模板计算相关数据!$O$35:$U$40,7,0)+AI718</f>
        <v>0</v>
      </c>
      <c r="AT718" s="3">
        <f>VLOOKUP(INT(VLOOKUP(U718,模板计算相关数据!A:N,2,0)/30)+1,模板计算相关数据!$O$35:$V$40,8,0)</f>
        <v>0</v>
      </c>
      <c r="AU718" s="2"/>
    </row>
    <row r="719" spans="1:47" x14ac:dyDescent="0.2">
      <c r="A719" s="2">
        <v>307414</v>
      </c>
      <c r="B719" s="2"/>
      <c r="C719" s="69" t="s">
        <v>775</v>
      </c>
      <c r="D719" s="69" t="s">
        <v>1249</v>
      </c>
      <c r="E719" s="2"/>
      <c r="F719" s="127">
        <v>3</v>
      </c>
      <c r="G719" s="127">
        <v>101</v>
      </c>
      <c r="H719" s="3">
        <v>4</v>
      </c>
      <c r="I719" s="127">
        <v>5</v>
      </c>
      <c r="J719" s="127">
        <v>1</v>
      </c>
      <c r="K719" s="3"/>
      <c r="L719" s="2" t="s">
        <v>536</v>
      </c>
      <c r="M719" s="2"/>
      <c r="N719" s="2">
        <v>1</v>
      </c>
      <c r="O719" s="2"/>
      <c r="P719" s="3" t="s">
        <v>1615</v>
      </c>
      <c r="Q719" s="95">
        <f t="shared" si="67"/>
        <v>4.4674509803921572</v>
      </c>
      <c r="R719" s="133">
        <f>IF(P719=模板计算相关数据!$AB$24,VLOOKUP(X719,模板计算相关数据!$P$47:$T$50,2,0),VLOOKUP(X719,模板计算相关数据!$P$4:$U$7,3,0))*VLOOKUP(Y719,模板计算相关数据!$P$22:$X$30,8,0)</f>
        <v>4.4674509803921572</v>
      </c>
      <c r="S719" s="62">
        <f t="shared" si="68"/>
        <v>5.4739930589768004</v>
      </c>
      <c r="T719" s="133">
        <f>IF(P719=模板计算相关数据!$AB$24,VLOOKUP(X719,模板计算相关数据!$P$47:$T$50,5,0),VLOOKUP(X719,模板计算相关数据!$P$4:$U$7,6,0))*VLOOKUP(Y719,模板计算相关数据!$P$22:$X$30,9,0)</f>
        <v>5.4739930589768004</v>
      </c>
      <c r="U719" s="98">
        <v>1</v>
      </c>
      <c r="V719" s="95">
        <f t="shared" si="69"/>
        <v>4</v>
      </c>
      <c r="W719" s="29">
        <f>VLOOKUP(U719,模板计算相关数据!A:N,2,0)</f>
        <v>1</v>
      </c>
      <c r="X719" s="3" t="s">
        <v>151</v>
      </c>
      <c r="Y719" s="3" t="s">
        <v>162</v>
      </c>
      <c r="Z719" s="99">
        <v>1</v>
      </c>
      <c r="AA719" s="95">
        <v>1</v>
      </c>
      <c r="AB719" s="95">
        <v>1</v>
      </c>
      <c r="AC719" s="95">
        <v>1</v>
      </c>
      <c r="AD719" s="95">
        <v>0</v>
      </c>
      <c r="AE719" s="95">
        <v>0</v>
      </c>
      <c r="AF719" s="95">
        <v>0</v>
      </c>
      <c r="AG719" s="95">
        <v>0</v>
      </c>
      <c r="AH719" s="95">
        <v>0</v>
      </c>
      <c r="AI719" s="95">
        <v>0</v>
      </c>
      <c r="AJ719" s="3">
        <f>INT(VLOOKUP(U719,模板计算相关数据!A:N,4,0)*VLOOKUP(U719,模板计算相关数据!A:N,14,0)*(1+MAX(0,(VLOOKUP(U719,模板计算相关数据!A:N,7,0)-AQ719))*VLOOKUP(U719,模板计算相关数据!A:N,8,0))*(1-(AL719+AM719)*0.5/((AL719+AM719)*0.5+(VLOOKUP(U719,模板计算相关数据!A:N,2,0)+模板计算相关数据!$AC$27)*模板计算相关数据!$AC$28))*Q719*Z719)</f>
        <v>328</v>
      </c>
      <c r="AK719" s="3">
        <f>INT(VLOOKUP(U719,模板计算相关数据!A:N,3,0)/模板计算相关数据!$W$35/(1+MAX(0,(AO719/10000-VLOOKUP(U719,模板计算相关数据!A:N,9,0)))*AP719/10000)/(1-VLOOKUP(U719,模板计算相关数据!A:N,5,0)/(VLOOKUP(U719,模板计算相关数据!A:N,5,0)+(VLOOKUP(U719,模板计算相关数据!A:N,2,0)+模板计算相关数据!$AC$27)*模板计算相关数据!$AC$28))/S719*AA719)</f>
        <v>101</v>
      </c>
      <c r="AL719" s="3">
        <f>INT(VLOOKUP(U719,模板计算相关数据!A:N,5,0)*VLOOKUP(X719,模板计算相关数据!$P$4:$T$7,4,0)*VLOOKUP(Y719,模板计算相关数据!$P$22:$U$30,4,0)*AB719)</f>
        <v>136</v>
      </c>
      <c r="AM719" s="3">
        <f>INT(VLOOKUP(U719,模板计算相关数据!A:N,6,0)*VLOOKUP(X719,模板计算相关数据!$P$4:$T$7,4,0)*VLOOKUP(Y719,模板计算相关数据!$P$22:$U$30,5,0)*AC719)</f>
        <v>230</v>
      </c>
      <c r="AN719" s="3">
        <f>VLOOKUP(U719,模板计算相关数据!A:N,10,0)*0.5*VLOOKUP(Y719,模板计算相关数据!$P$22:$U$30,6,0)+AD719</f>
        <v>250</v>
      </c>
      <c r="AO719" s="3">
        <f>VLOOKUP(INT(VLOOKUP(U719,模板计算相关数据!A:N,2,0)/30)+1,模板计算相关数据!$O$35:$U$40,3,0)+AE719</f>
        <v>0</v>
      </c>
      <c r="AP719" s="3">
        <f>VLOOKUP(INT(VLOOKUP(U719,模板计算相关数据!A:N,2,0)/30)+1,模板计算相关数据!$O$35:$U$40,4,0)+AF719</f>
        <v>5000</v>
      </c>
      <c r="AQ719" s="3">
        <f>VLOOKUP(INT(VLOOKUP(U719,模板计算相关数据!A:N,2,0)/30)+1,模板计算相关数据!$O$35:$U$40,5,0)+AG719</f>
        <v>0</v>
      </c>
      <c r="AR719" s="3">
        <f>VLOOKUP(INT(VLOOKUP(U719,模板计算相关数据!A:N,2,0)/30)+1,模板计算相关数据!$O$35:$U$40,6,0)+AH719</f>
        <v>0</v>
      </c>
      <c r="AS719" s="3">
        <f>VLOOKUP(INT(VLOOKUP(U719,模板计算相关数据!A:N,2,0)/30)+1,模板计算相关数据!$O$35:$U$40,7,0)+AI719</f>
        <v>0</v>
      </c>
      <c r="AT719" s="3">
        <f>VLOOKUP(INT(VLOOKUP(U719,模板计算相关数据!A:N,2,0)/30)+1,模板计算相关数据!$O$35:$V$40,8,0)</f>
        <v>0</v>
      </c>
      <c r="AU719" s="2"/>
    </row>
    <row r="720" spans="1:47" x14ac:dyDescent="0.2">
      <c r="A720" s="2">
        <v>307415</v>
      </c>
      <c r="B720" s="2"/>
      <c r="C720" s="69" t="s">
        <v>775</v>
      </c>
      <c r="D720" s="69" t="s">
        <v>1250</v>
      </c>
      <c r="E720" s="2"/>
      <c r="F720" s="127">
        <v>3</v>
      </c>
      <c r="G720" s="127">
        <v>101</v>
      </c>
      <c r="H720" s="3">
        <v>4</v>
      </c>
      <c r="I720" s="127">
        <v>5</v>
      </c>
      <c r="J720" s="127">
        <v>1</v>
      </c>
      <c r="K720" s="3"/>
      <c r="L720" s="2" t="s">
        <v>537</v>
      </c>
      <c r="M720" s="2"/>
      <c r="N720" s="2">
        <v>1</v>
      </c>
      <c r="O720" s="2"/>
      <c r="P720" s="3" t="s">
        <v>1615</v>
      </c>
      <c r="Q720" s="95">
        <f t="shared" si="67"/>
        <v>4.4674509803921572</v>
      </c>
      <c r="R720" s="133">
        <f>IF(P720=模板计算相关数据!$AB$24,VLOOKUP(X720,模板计算相关数据!$P$47:$T$50,2,0),VLOOKUP(X720,模板计算相关数据!$P$4:$U$7,3,0))*VLOOKUP(Y720,模板计算相关数据!$P$22:$X$30,8,0)</f>
        <v>4.4674509803921572</v>
      </c>
      <c r="S720" s="62">
        <f t="shared" si="68"/>
        <v>5.4739930589768004</v>
      </c>
      <c r="T720" s="133">
        <f>IF(P720=模板计算相关数据!$AB$24,VLOOKUP(X720,模板计算相关数据!$P$47:$T$50,5,0),VLOOKUP(X720,模板计算相关数据!$P$4:$U$7,6,0))*VLOOKUP(Y720,模板计算相关数据!$P$22:$X$30,9,0)</f>
        <v>5.4739930589768004</v>
      </c>
      <c r="U720" s="98">
        <v>1</v>
      </c>
      <c r="V720" s="95">
        <f t="shared" si="69"/>
        <v>4</v>
      </c>
      <c r="W720" s="29">
        <f>VLOOKUP(U720,模板计算相关数据!A:N,2,0)</f>
        <v>1</v>
      </c>
      <c r="X720" s="3" t="s">
        <v>151</v>
      </c>
      <c r="Y720" s="3" t="s">
        <v>162</v>
      </c>
      <c r="Z720" s="99">
        <v>1</v>
      </c>
      <c r="AA720" s="95">
        <v>1</v>
      </c>
      <c r="AB720" s="95">
        <v>1</v>
      </c>
      <c r="AC720" s="95">
        <v>1</v>
      </c>
      <c r="AD720" s="95">
        <v>0</v>
      </c>
      <c r="AE720" s="95">
        <v>0</v>
      </c>
      <c r="AF720" s="95">
        <v>0</v>
      </c>
      <c r="AG720" s="95">
        <v>0</v>
      </c>
      <c r="AH720" s="95">
        <v>0</v>
      </c>
      <c r="AI720" s="95">
        <v>0</v>
      </c>
      <c r="AJ720" s="3">
        <f>INT(VLOOKUP(U720,模板计算相关数据!A:N,4,0)*VLOOKUP(U720,模板计算相关数据!A:N,14,0)*(1+MAX(0,(VLOOKUP(U720,模板计算相关数据!A:N,7,0)-AQ720))*VLOOKUP(U720,模板计算相关数据!A:N,8,0))*(1-(AL720+AM720)*0.5/((AL720+AM720)*0.5+(VLOOKUP(U720,模板计算相关数据!A:N,2,0)+模板计算相关数据!$AC$27)*模板计算相关数据!$AC$28))*Q720*Z720)</f>
        <v>328</v>
      </c>
      <c r="AK720" s="3">
        <f>INT(VLOOKUP(U720,模板计算相关数据!A:N,3,0)/模板计算相关数据!$W$35/(1+MAX(0,(AO720/10000-VLOOKUP(U720,模板计算相关数据!A:N,9,0)))*AP720/10000)/(1-VLOOKUP(U720,模板计算相关数据!A:N,5,0)/(VLOOKUP(U720,模板计算相关数据!A:N,5,0)+(VLOOKUP(U720,模板计算相关数据!A:N,2,0)+模板计算相关数据!$AC$27)*模板计算相关数据!$AC$28))/S720*AA720)</f>
        <v>101</v>
      </c>
      <c r="AL720" s="3">
        <f>INT(VLOOKUP(U720,模板计算相关数据!A:N,5,0)*VLOOKUP(X720,模板计算相关数据!$P$4:$T$7,4,0)*VLOOKUP(Y720,模板计算相关数据!$P$22:$U$30,4,0)*AB720)</f>
        <v>136</v>
      </c>
      <c r="AM720" s="3">
        <f>INT(VLOOKUP(U720,模板计算相关数据!A:N,6,0)*VLOOKUP(X720,模板计算相关数据!$P$4:$T$7,4,0)*VLOOKUP(Y720,模板计算相关数据!$P$22:$U$30,5,0)*AC720)</f>
        <v>230</v>
      </c>
      <c r="AN720" s="3">
        <f>VLOOKUP(U720,模板计算相关数据!A:N,10,0)*0.5*VLOOKUP(Y720,模板计算相关数据!$P$22:$U$30,6,0)+AD720</f>
        <v>250</v>
      </c>
      <c r="AO720" s="3">
        <f>VLOOKUP(INT(VLOOKUP(U720,模板计算相关数据!A:N,2,0)/30)+1,模板计算相关数据!$O$35:$U$40,3,0)+AE720</f>
        <v>0</v>
      </c>
      <c r="AP720" s="3">
        <f>VLOOKUP(INT(VLOOKUP(U720,模板计算相关数据!A:N,2,0)/30)+1,模板计算相关数据!$O$35:$U$40,4,0)+AF720</f>
        <v>5000</v>
      </c>
      <c r="AQ720" s="3">
        <f>VLOOKUP(INT(VLOOKUP(U720,模板计算相关数据!A:N,2,0)/30)+1,模板计算相关数据!$O$35:$U$40,5,0)+AG720</f>
        <v>0</v>
      </c>
      <c r="AR720" s="3">
        <f>VLOOKUP(INT(VLOOKUP(U720,模板计算相关数据!A:N,2,0)/30)+1,模板计算相关数据!$O$35:$U$40,6,0)+AH720</f>
        <v>0</v>
      </c>
      <c r="AS720" s="3">
        <f>VLOOKUP(INT(VLOOKUP(U720,模板计算相关数据!A:N,2,0)/30)+1,模板计算相关数据!$O$35:$U$40,7,0)+AI720</f>
        <v>0</v>
      </c>
      <c r="AT720" s="3">
        <f>VLOOKUP(INT(VLOOKUP(U720,模板计算相关数据!A:N,2,0)/30)+1,模板计算相关数据!$O$35:$V$40,8,0)</f>
        <v>0</v>
      </c>
      <c r="AU720" s="2"/>
    </row>
    <row r="721" spans="1:47" x14ac:dyDescent="0.2">
      <c r="A721" s="17">
        <v>307416</v>
      </c>
      <c r="B721" s="17"/>
      <c r="C721" s="17" t="s">
        <v>538</v>
      </c>
      <c r="D721" s="25" t="s">
        <v>1251</v>
      </c>
      <c r="E721" s="17"/>
      <c r="F721" s="152">
        <v>3</v>
      </c>
      <c r="G721" s="152">
        <v>101</v>
      </c>
      <c r="H721" s="43">
        <v>4</v>
      </c>
      <c r="I721" s="152">
        <v>5</v>
      </c>
      <c r="J721" s="152">
        <v>1</v>
      </c>
      <c r="K721" s="3"/>
      <c r="L721" s="2" t="s">
        <v>539</v>
      </c>
      <c r="M721" s="2"/>
      <c r="N721" s="2">
        <v>1</v>
      </c>
      <c r="O721" s="2"/>
      <c r="P721" s="3" t="s">
        <v>1615</v>
      </c>
      <c r="Q721" s="95">
        <f t="shared" si="67"/>
        <v>4.4674509803921572</v>
      </c>
      <c r="R721" s="133">
        <f>IF(P721=模板计算相关数据!$AB$24,VLOOKUP(X721,模板计算相关数据!$P$47:$T$50,2,0),VLOOKUP(X721,模板计算相关数据!$P$4:$U$7,3,0))*VLOOKUP(Y721,模板计算相关数据!$P$22:$X$30,8,0)</f>
        <v>4.4674509803921572</v>
      </c>
      <c r="S721" s="62">
        <f t="shared" si="68"/>
        <v>5.4739930589768004</v>
      </c>
      <c r="T721" s="133">
        <f>IF(P721=模板计算相关数据!$AB$24,VLOOKUP(X721,模板计算相关数据!$P$47:$T$50,5,0),VLOOKUP(X721,模板计算相关数据!$P$4:$U$7,6,0))*VLOOKUP(Y721,模板计算相关数据!$P$22:$X$30,9,0)</f>
        <v>5.4739930589768004</v>
      </c>
      <c r="U721" s="98">
        <v>1</v>
      </c>
      <c r="V721" s="95">
        <f t="shared" si="69"/>
        <v>4</v>
      </c>
      <c r="W721" s="29">
        <f>VLOOKUP(U721,模板计算相关数据!A:N,2,0)</f>
        <v>1</v>
      </c>
      <c r="X721" s="3" t="s">
        <v>151</v>
      </c>
      <c r="Y721" s="3" t="s">
        <v>162</v>
      </c>
      <c r="Z721" s="99">
        <v>1</v>
      </c>
      <c r="AA721" s="95">
        <v>1</v>
      </c>
      <c r="AB721" s="95">
        <v>1</v>
      </c>
      <c r="AC721" s="95">
        <v>1</v>
      </c>
      <c r="AD721" s="95">
        <v>0</v>
      </c>
      <c r="AE721" s="95">
        <v>0</v>
      </c>
      <c r="AF721" s="95">
        <v>0</v>
      </c>
      <c r="AG721" s="95">
        <v>0</v>
      </c>
      <c r="AH721" s="95">
        <v>0</v>
      </c>
      <c r="AI721" s="95">
        <v>0</v>
      </c>
      <c r="AJ721" s="3">
        <f>INT(VLOOKUP(U721,模板计算相关数据!A:N,4,0)*VLOOKUP(U721,模板计算相关数据!A:N,14,0)*(1+MAX(0,(VLOOKUP(U721,模板计算相关数据!A:N,7,0)-AQ721))*VLOOKUP(U721,模板计算相关数据!A:N,8,0))*(1-(AL721+AM721)*0.5/((AL721+AM721)*0.5+(VLOOKUP(U721,模板计算相关数据!A:N,2,0)+模板计算相关数据!$AC$27)*模板计算相关数据!$AC$28))*Q721*Z721)</f>
        <v>328</v>
      </c>
      <c r="AK721" s="3">
        <f>INT(VLOOKUP(U721,模板计算相关数据!A:N,3,0)/模板计算相关数据!$W$35/(1+MAX(0,(AO721/10000-VLOOKUP(U721,模板计算相关数据!A:N,9,0)))*AP721/10000)/(1-VLOOKUP(U721,模板计算相关数据!A:N,5,0)/(VLOOKUP(U721,模板计算相关数据!A:N,5,0)+(VLOOKUP(U721,模板计算相关数据!A:N,2,0)+模板计算相关数据!$AC$27)*模板计算相关数据!$AC$28))/S721*AA721)</f>
        <v>101</v>
      </c>
      <c r="AL721" s="3">
        <f>INT(VLOOKUP(U721,模板计算相关数据!A:N,5,0)*VLOOKUP(X721,模板计算相关数据!$P$4:$T$7,4,0)*VLOOKUP(Y721,模板计算相关数据!$P$22:$U$30,4,0)*AB721)</f>
        <v>136</v>
      </c>
      <c r="AM721" s="3">
        <f>INT(VLOOKUP(U721,模板计算相关数据!A:N,6,0)*VLOOKUP(X721,模板计算相关数据!$P$4:$T$7,4,0)*VLOOKUP(Y721,模板计算相关数据!$P$22:$U$30,5,0)*AC721)</f>
        <v>230</v>
      </c>
      <c r="AN721" s="3">
        <f>VLOOKUP(U721,模板计算相关数据!A:N,10,0)*0.5*VLOOKUP(Y721,模板计算相关数据!$P$22:$U$30,6,0)+AD721</f>
        <v>250</v>
      </c>
      <c r="AO721" s="3">
        <f>VLOOKUP(INT(VLOOKUP(U721,模板计算相关数据!A:N,2,0)/30)+1,模板计算相关数据!$O$35:$U$40,3,0)+AE721</f>
        <v>0</v>
      </c>
      <c r="AP721" s="3">
        <f>VLOOKUP(INT(VLOOKUP(U721,模板计算相关数据!A:N,2,0)/30)+1,模板计算相关数据!$O$35:$U$40,4,0)+AF721</f>
        <v>5000</v>
      </c>
      <c r="AQ721" s="3">
        <f>VLOOKUP(INT(VLOOKUP(U721,模板计算相关数据!A:N,2,0)/30)+1,模板计算相关数据!$O$35:$U$40,5,0)+AG721</f>
        <v>0</v>
      </c>
      <c r="AR721" s="3">
        <f>VLOOKUP(INT(VLOOKUP(U721,模板计算相关数据!A:N,2,0)/30)+1,模板计算相关数据!$O$35:$U$40,6,0)+AH721</f>
        <v>0</v>
      </c>
      <c r="AS721" s="3">
        <f>VLOOKUP(INT(VLOOKUP(U721,模板计算相关数据!A:N,2,0)/30)+1,模板计算相关数据!$O$35:$U$40,7,0)+AI721</f>
        <v>0</v>
      </c>
      <c r="AT721" s="3">
        <f>VLOOKUP(INT(VLOOKUP(U721,模板计算相关数据!A:N,2,0)/30)+1,模板计算相关数据!$O$35:$V$40,8,0)</f>
        <v>0</v>
      </c>
      <c r="AU721" s="2"/>
    </row>
    <row r="722" spans="1:47" x14ac:dyDescent="0.2">
      <c r="A722" s="2">
        <v>307417</v>
      </c>
      <c r="B722" s="2"/>
      <c r="C722" s="2" t="s">
        <v>162</v>
      </c>
      <c r="D722" s="69" t="s">
        <v>1252</v>
      </c>
      <c r="E722" s="2"/>
      <c r="F722" s="127">
        <v>3</v>
      </c>
      <c r="G722" s="127">
        <v>101</v>
      </c>
      <c r="H722" s="3">
        <v>4</v>
      </c>
      <c r="I722" s="127">
        <v>5</v>
      </c>
      <c r="J722" s="127">
        <v>1</v>
      </c>
      <c r="K722" s="3"/>
      <c r="L722" s="2" t="s">
        <v>540</v>
      </c>
      <c r="M722" s="2"/>
      <c r="N722" s="2">
        <v>1</v>
      </c>
      <c r="O722" s="2"/>
      <c r="P722" s="3" t="s">
        <v>1615</v>
      </c>
      <c r="Q722" s="95">
        <f t="shared" si="67"/>
        <v>4.4674509803921572</v>
      </c>
      <c r="R722" s="133">
        <f>IF(P722=模板计算相关数据!$AB$24,VLOOKUP(X722,模板计算相关数据!$P$47:$T$50,2,0),VLOOKUP(X722,模板计算相关数据!$P$4:$U$7,3,0))*VLOOKUP(Y722,模板计算相关数据!$P$22:$X$30,8,0)</f>
        <v>4.4674509803921572</v>
      </c>
      <c r="S722" s="62">
        <f t="shared" si="68"/>
        <v>5.4739930589768004</v>
      </c>
      <c r="T722" s="133">
        <f>IF(P722=模板计算相关数据!$AB$24,VLOOKUP(X722,模板计算相关数据!$P$47:$T$50,5,0),VLOOKUP(X722,模板计算相关数据!$P$4:$U$7,6,0))*VLOOKUP(Y722,模板计算相关数据!$P$22:$X$30,9,0)</f>
        <v>5.4739930589768004</v>
      </c>
      <c r="U722" s="98">
        <v>1</v>
      </c>
      <c r="V722" s="95">
        <f t="shared" si="69"/>
        <v>4</v>
      </c>
      <c r="W722" s="29">
        <f>VLOOKUP(U722,模板计算相关数据!A:N,2,0)</f>
        <v>1</v>
      </c>
      <c r="X722" s="3" t="s">
        <v>151</v>
      </c>
      <c r="Y722" s="3" t="s">
        <v>162</v>
      </c>
      <c r="Z722" s="99">
        <v>1</v>
      </c>
      <c r="AA722" s="95">
        <v>1</v>
      </c>
      <c r="AB722" s="95">
        <v>1</v>
      </c>
      <c r="AC722" s="95">
        <v>1</v>
      </c>
      <c r="AD722" s="95">
        <v>0</v>
      </c>
      <c r="AE722" s="95">
        <v>0</v>
      </c>
      <c r="AF722" s="95">
        <v>0</v>
      </c>
      <c r="AG722" s="95">
        <v>0</v>
      </c>
      <c r="AH722" s="95">
        <v>0</v>
      </c>
      <c r="AI722" s="95">
        <v>0</v>
      </c>
      <c r="AJ722" s="3">
        <f>INT(VLOOKUP(U722,模板计算相关数据!A:N,4,0)*VLOOKUP(U722,模板计算相关数据!A:N,14,0)*(1+MAX(0,(VLOOKUP(U722,模板计算相关数据!A:N,7,0)-AQ722))*VLOOKUP(U722,模板计算相关数据!A:N,8,0))*(1-(AL722+AM722)*0.5/((AL722+AM722)*0.5+(VLOOKUP(U722,模板计算相关数据!A:N,2,0)+模板计算相关数据!$AC$27)*模板计算相关数据!$AC$28))*Q722*Z722)</f>
        <v>328</v>
      </c>
      <c r="AK722" s="3">
        <f>INT(VLOOKUP(U722,模板计算相关数据!A:N,3,0)/模板计算相关数据!$W$35/(1+MAX(0,(AO722/10000-VLOOKUP(U722,模板计算相关数据!A:N,9,0)))*AP722/10000)/(1-VLOOKUP(U722,模板计算相关数据!A:N,5,0)/(VLOOKUP(U722,模板计算相关数据!A:N,5,0)+(VLOOKUP(U722,模板计算相关数据!A:N,2,0)+模板计算相关数据!$AC$27)*模板计算相关数据!$AC$28))/S722*AA722)</f>
        <v>101</v>
      </c>
      <c r="AL722" s="3">
        <f>INT(VLOOKUP(U722,模板计算相关数据!A:N,5,0)*VLOOKUP(X722,模板计算相关数据!$P$4:$T$7,4,0)*VLOOKUP(Y722,模板计算相关数据!$P$22:$U$30,4,0)*AB722)</f>
        <v>136</v>
      </c>
      <c r="AM722" s="3">
        <f>INT(VLOOKUP(U722,模板计算相关数据!A:N,6,0)*VLOOKUP(X722,模板计算相关数据!$P$4:$T$7,4,0)*VLOOKUP(Y722,模板计算相关数据!$P$22:$U$30,5,0)*AC722)</f>
        <v>230</v>
      </c>
      <c r="AN722" s="3">
        <f>VLOOKUP(U722,模板计算相关数据!A:N,10,0)*0.5*VLOOKUP(Y722,模板计算相关数据!$P$22:$U$30,6,0)+AD722</f>
        <v>250</v>
      </c>
      <c r="AO722" s="3">
        <f>VLOOKUP(INT(VLOOKUP(U722,模板计算相关数据!A:N,2,0)/30)+1,模板计算相关数据!$O$35:$U$40,3,0)+AE722</f>
        <v>0</v>
      </c>
      <c r="AP722" s="3">
        <f>VLOOKUP(INT(VLOOKUP(U722,模板计算相关数据!A:N,2,0)/30)+1,模板计算相关数据!$O$35:$U$40,4,0)+AF722</f>
        <v>5000</v>
      </c>
      <c r="AQ722" s="3">
        <f>VLOOKUP(INT(VLOOKUP(U722,模板计算相关数据!A:N,2,0)/30)+1,模板计算相关数据!$O$35:$U$40,5,0)+AG722</f>
        <v>0</v>
      </c>
      <c r="AR722" s="3">
        <f>VLOOKUP(INT(VLOOKUP(U722,模板计算相关数据!A:N,2,0)/30)+1,模板计算相关数据!$O$35:$U$40,6,0)+AH722</f>
        <v>0</v>
      </c>
      <c r="AS722" s="3">
        <f>VLOOKUP(INT(VLOOKUP(U722,模板计算相关数据!A:N,2,0)/30)+1,模板计算相关数据!$O$35:$U$40,7,0)+AI722</f>
        <v>0</v>
      </c>
      <c r="AT722" s="3">
        <f>VLOOKUP(INT(VLOOKUP(U722,模板计算相关数据!A:N,2,0)/30)+1,模板计算相关数据!$O$35:$V$40,8,0)</f>
        <v>0</v>
      </c>
      <c r="AU722" s="2"/>
    </row>
    <row r="723" spans="1:47" x14ac:dyDescent="0.2">
      <c r="A723" s="2">
        <v>307418</v>
      </c>
      <c r="B723" s="2"/>
      <c r="C723" s="2" t="s">
        <v>162</v>
      </c>
      <c r="D723" s="69" t="s">
        <v>1253</v>
      </c>
      <c r="E723" s="2"/>
      <c r="F723" s="127">
        <v>3</v>
      </c>
      <c r="G723" s="127">
        <v>101</v>
      </c>
      <c r="H723" s="3">
        <v>4</v>
      </c>
      <c r="I723" s="127">
        <v>5</v>
      </c>
      <c r="J723" s="127">
        <v>1</v>
      </c>
      <c r="K723" s="3"/>
      <c r="L723" s="2" t="s">
        <v>541</v>
      </c>
      <c r="M723" s="2"/>
      <c r="N723" s="2">
        <v>1</v>
      </c>
      <c r="O723" s="2"/>
      <c r="P723" s="3" t="s">
        <v>1615</v>
      </c>
      <c r="Q723" s="95">
        <f t="shared" si="67"/>
        <v>4.4674509803921572</v>
      </c>
      <c r="R723" s="133">
        <f>IF(P723=模板计算相关数据!$AB$24,VLOOKUP(X723,模板计算相关数据!$P$47:$T$50,2,0),VLOOKUP(X723,模板计算相关数据!$P$4:$U$7,3,0))*VLOOKUP(Y723,模板计算相关数据!$P$22:$X$30,8,0)</f>
        <v>4.4674509803921572</v>
      </c>
      <c r="S723" s="62">
        <f t="shared" si="68"/>
        <v>5.4739930589768004</v>
      </c>
      <c r="T723" s="133">
        <f>IF(P723=模板计算相关数据!$AB$24,VLOOKUP(X723,模板计算相关数据!$P$47:$T$50,5,0),VLOOKUP(X723,模板计算相关数据!$P$4:$U$7,6,0))*VLOOKUP(Y723,模板计算相关数据!$P$22:$X$30,9,0)</f>
        <v>5.4739930589768004</v>
      </c>
      <c r="U723" s="98">
        <v>1</v>
      </c>
      <c r="V723" s="95">
        <f t="shared" si="69"/>
        <v>4</v>
      </c>
      <c r="W723" s="29">
        <f>VLOOKUP(U723,模板计算相关数据!A:N,2,0)</f>
        <v>1</v>
      </c>
      <c r="X723" s="3" t="s">
        <v>151</v>
      </c>
      <c r="Y723" s="3" t="s">
        <v>162</v>
      </c>
      <c r="Z723" s="99">
        <v>1</v>
      </c>
      <c r="AA723" s="95">
        <v>1</v>
      </c>
      <c r="AB723" s="95">
        <v>1</v>
      </c>
      <c r="AC723" s="95">
        <v>1</v>
      </c>
      <c r="AD723" s="95">
        <v>0</v>
      </c>
      <c r="AE723" s="95">
        <v>0</v>
      </c>
      <c r="AF723" s="95">
        <v>0</v>
      </c>
      <c r="AG723" s="95">
        <v>0</v>
      </c>
      <c r="AH723" s="95">
        <v>0</v>
      </c>
      <c r="AI723" s="95">
        <v>0</v>
      </c>
      <c r="AJ723" s="3">
        <f>INT(VLOOKUP(U723,模板计算相关数据!A:N,4,0)*VLOOKUP(U723,模板计算相关数据!A:N,14,0)*(1+MAX(0,(VLOOKUP(U723,模板计算相关数据!A:N,7,0)-AQ723))*VLOOKUP(U723,模板计算相关数据!A:N,8,0))*(1-(AL723+AM723)*0.5/((AL723+AM723)*0.5+(VLOOKUP(U723,模板计算相关数据!A:N,2,0)+模板计算相关数据!$AC$27)*模板计算相关数据!$AC$28))*Q723*Z723)</f>
        <v>328</v>
      </c>
      <c r="AK723" s="3">
        <f>INT(VLOOKUP(U723,模板计算相关数据!A:N,3,0)/模板计算相关数据!$W$35/(1+MAX(0,(AO723/10000-VLOOKUP(U723,模板计算相关数据!A:N,9,0)))*AP723/10000)/(1-VLOOKUP(U723,模板计算相关数据!A:N,5,0)/(VLOOKUP(U723,模板计算相关数据!A:N,5,0)+(VLOOKUP(U723,模板计算相关数据!A:N,2,0)+模板计算相关数据!$AC$27)*模板计算相关数据!$AC$28))/S723*AA723)</f>
        <v>101</v>
      </c>
      <c r="AL723" s="3">
        <f>INT(VLOOKUP(U723,模板计算相关数据!A:N,5,0)*VLOOKUP(X723,模板计算相关数据!$P$4:$T$7,4,0)*VLOOKUP(Y723,模板计算相关数据!$P$22:$U$30,4,0)*AB723)</f>
        <v>136</v>
      </c>
      <c r="AM723" s="3">
        <f>INT(VLOOKUP(U723,模板计算相关数据!A:N,6,0)*VLOOKUP(X723,模板计算相关数据!$P$4:$T$7,4,0)*VLOOKUP(Y723,模板计算相关数据!$P$22:$U$30,5,0)*AC723)</f>
        <v>230</v>
      </c>
      <c r="AN723" s="3">
        <f>VLOOKUP(U723,模板计算相关数据!A:N,10,0)*0.5*VLOOKUP(Y723,模板计算相关数据!$P$22:$U$30,6,0)+AD723</f>
        <v>250</v>
      </c>
      <c r="AO723" s="3">
        <f>VLOOKUP(INT(VLOOKUP(U723,模板计算相关数据!A:N,2,0)/30)+1,模板计算相关数据!$O$35:$U$40,3,0)+AE723</f>
        <v>0</v>
      </c>
      <c r="AP723" s="3">
        <f>VLOOKUP(INT(VLOOKUP(U723,模板计算相关数据!A:N,2,0)/30)+1,模板计算相关数据!$O$35:$U$40,4,0)+AF723</f>
        <v>5000</v>
      </c>
      <c r="AQ723" s="3">
        <f>VLOOKUP(INT(VLOOKUP(U723,模板计算相关数据!A:N,2,0)/30)+1,模板计算相关数据!$O$35:$U$40,5,0)+AG723</f>
        <v>0</v>
      </c>
      <c r="AR723" s="3">
        <f>VLOOKUP(INT(VLOOKUP(U723,模板计算相关数据!A:N,2,0)/30)+1,模板计算相关数据!$O$35:$U$40,6,0)+AH723</f>
        <v>0</v>
      </c>
      <c r="AS723" s="3">
        <f>VLOOKUP(INT(VLOOKUP(U723,模板计算相关数据!A:N,2,0)/30)+1,模板计算相关数据!$O$35:$U$40,7,0)+AI723</f>
        <v>0</v>
      </c>
      <c r="AT723" s="3">
        <f>VLOOKUP(INT(VLOOKUP(U723,模板计算相关数据!A:N,2,0)/30)+1,模板计算相关数据!$O$35:$V$40,8,0)</f>
        <v>0</v>
      </c>
      <c r="AU723" s="2"/>
    </row>
    <row r="724" spans="1:47" x14ac:dyDescent="0.2">
      <c r="A724" s="2">
        <v>307419</v>
      </c>
      <c r="B724" s="2"/>
      <c r="C724" s="2" t="s">
        <v>162</v>
      </c>
      <c r="D724" s="69" t="s">
        <v>1254</v>
      </c>
      <c r="E724" s="2"/>
      <c r="F724" s="127">
        <v>3</v>
      </c>
      <c r="G724" s="127">
        <v>101</v>
      </c>
      <c r="H724" s="3">
        <v>4</v>
      </c>
      <c r="I724" s="127">
        <v>5</v>
      </c>
      <c r="J724" s="127">
        <v>1</v>
      </c>
      <c r="K724" s="3"/>
      <c r="L724" s="2" t="s">
        <v>542</v>
      </c>
      <c r="M724" s="2"/>
      <c r="N724" s="2">
        <v>1</v>
      </c>
      <c r="O724" s="2"/>
      <c r="P724" s="3" t="s">
        <v>1615</v>
      </c>
      <c r="Q724" s="95">
        <f t="shared" si="67"/>
        <v>4.4674509803921572</v>
      </c>
      <c r="R724" s="133">
        <f>IF(P724=模板计算相关数据!$AB$24,VLOOKUP(X724,模板计算相关数据!$P$47:$T$50,2,0),VLOOKUP(X724,模板计算相关数据!$P$4:$U$7,3,0))*VLOOKUP(Y724,模板计算相关数据!$P$22:$X$30,8,0)</f>
        <v>4.4674509803921572</v>
      </c>
      <c r="S724" s="62">
        <f t="shared" si="68"/>
        <v>5.4739930589768004</v>
      </c>
      <c r="T724" s="133">
        <f>IF(P724=模板计算相关数据!$AB$24,VLOOKUP(X724,模板计算相关数据!$P$47:$T$50,5,0),VLOOKUP(X724,模板计算相关数据!$P$4:$U$7,6,0))*VLOOKUP(Y724,模板计算相关数据!$P$22:$X$30,9,0)</f>
        <v>5.4739930589768004</v>
      </c>
      <c r="U724" s="98">
        <v>1</v>
      </c>
      <c r="V724" s="95">
        <f t="shared" si="69"/>
        <v>4</v>
      </c>
      <c r="W724" s="29">
        <f>VLOOKUP(U724,模板计算相关数据!A:N,2,0)</f>
        <v>1</v>
      </c>
      <c r="X724" s="3" t="s">
        <v>151</v>
      </c>
      <c r="Y724" s="3" t="s">
        <v>162</v>
      </c>
      <c r="Z724" s="99">
        <v>1</v>
      </c>
      <c r="AA724" s="95">
        <v>1</v>
      </c>
      <c r="AB724" s="95">
        <v>1</v>
      </c>
      <c r="AC724" s="95">
        <v>1</v>
      </c>
      <c r="AD724" s="95">
        <v>0</v>
      </c>
      <c r="AE724" s="95">
        <v>0</v>
      </c>
      <c r="AF724" s="95">
        <v>0</v>
      </c>
      <c r="AG724" s="95">
        <v>0</v>
      </c>
      <c r="AH724" s="95">
        <v>0</v>
      </c>
      <c r="AI724" s="95">
        <v>0</v>
      </c>
      <c r="AJ724" s="3">
        <f>INT(VLOOKUP(U724,模板计算相关数据!A:N,4,0)*VLOOKUP(U724,模板计算相关数据!A:N,14,0)*(1+MAX(0,(VLOOKUP(U724,模板计算相关数据!A:N,7,0)-AQ724))*VLOOKUP(U724,模板计算相关数据!A:N,8,0))*(1-(AL724+AM724)*0.5/((AL724+AM724)*0.5+(VLOOKUP(U724,模板计算相关数据!A:N,2,0)+模板计算相关数据!$AC$27)*模板计算相关数据!$AC$28))*Q724*Z724)</f>
        <v>328</v>
      </c>
      <c r="AK724" s="3">
        <f>INT(VLOOKUP(U724,模板计算相关数据!A:N,3,0)/模板计算相关数据!$W$35/(1+MAX(0,(AO724/10000-VLOOKUP(U724,模板计算相关数据!A:N,9,0)))*AP724/10000)/(1-VLOOKUP(U724,模板计算相关数据!A:N,5,0)/(VLOOKUP(U724,模板计算相关数据!A:N,5,0)+(VLOOKUP(U724,模板计算相关数据!A:N,2,0)+模板计算相关数据!$AC$27)*模板计算相关数据!$AC$28))/S724*AA724)</f>
        <v>101</v>
      </c>
      <c r="AL724" s="3">
        <f>INT(VLOOKUP(U724,模板计算相关数据!A:N,5,0)*VLOOKUP(X724,模板计算相关数据!$P$4:$T$7,4,0)*VLOOKUP(Y724,模板计算相关数据!$P$22:$U$30,4,0)*AB724)</f>
        <v>136</v>
      </c>
      <c r="AM724" s="3">
        <f>INT(VLOOKUP(U724,模板计算相关数据!A:N,6,0)*VLOOKUP(X724,模板计算相关数据!$P$4:$T$7,4,0)*VLOOKUP(Y724,模板计算相关数据!$P$22:$U$30,5,0)*AC724)</f>
        <v>230</v>
      </c>
      <c r="AN724" s="3">
        <f>VLOOKUP(U724,模板计算相关数据!A:N,10,0)*0.5*VLOOKUP(Y724,模板计算相关数据!$P$22:$U$30,6,0)+AD724</f>
        <v>250</v>
      </c>
      <c r="AO724" s="3">
        <f>VLOOKUP(INT(VLOOKUP(U724,模板计算相关数据!A:N,2,0)/30)+1,模板计算相关数据!$O$35:$U$40,3,0)+AE724</f>
        <v>0</v>
      </c>
      <c r="AP724" s="3">
        <f>VLOOKUP(INT(VLOOKUP(U724,模板计算相关数据!A:N,2,0)/30)+1,模板计算相关数据!$O$35:$U$40,4,0)+AF724</f>
        <v>5000</v>
      </c>
      <c r="AQ724" s="3">
        <f>VLOOKUP(INT(VLOOKUP(U724,模板计算相关数据!A:N,2,0)/30)+1,模板计算相关数据!$O$35:$U$40,5,0)+AG724</f>
        <v>0</v>
      </c>
      <c r="AR724" s="3">
        <f>VLOOKUP(INT(VLOOKUP(U724,模板计算相关数据!A:N,2,0)/30)+1,模板计算相关数据!$O$35:$U$40,6,0)+AH724</f>
        <v>0</v>
      </c>
      <c r="AS724" s="3">
        <f>VLOOKUP(INT(VLOOKUP(U724,模板计算相关数据!A:N,2,0)/30)+1,模板计算相关数据!$O$35:$U$40,7,0)+AI724</f>
        <v>0</v>
      </c>
      <c r="AT724" s="3">
        <f>VLOOKUP(INT(VLOOKUP(U724,模板计算相关数据!A:N,2,0)/30)+1,模板计算相关数据!$O$35:$V$40,8,0)</f>
        <v>0</v>
      </c>
      <c r="AU724" s="2"/>
    </row>
    <row r="725" spans="1:47" x14ac:dyDescent="0.2">
      <c r="A725" s="2">
        <v>307420</v>
      </c>
      <c r="B725" s="2"/>
      <c r="C725" s="2" t="s">
        <v>162</v>
      </c>
      <c r="D725" s="69" t="s">
        <v>1255</v>
      </c>
      <c r="E725" s="2"/>
      <c r="F725" s="127">
        <v>3</v>
      </c>
      <c r="G725" s="127">
        <v>101</v>
      </c>
      <c r="H725" s="3">
        <v>4</v>
      </c>
      <c r="I725" s="127">
        <v>5</v>
      </c>
      <c r="J725" s="127">
        <v>1</v>
      </c>
      <c r="K725" s="3"/>
      <c r="L725" s="2" t="s">
        <v>543</v>
      </c>
      <c r="M725" s="2"/>
      <c r="N725" s="2">
        <v>1</v>
      </c>
      <c r="O725" s="2"/>
      <c r="P725" s="3" t="s">
        <v>1615</v>
      </c>
      <c r="Q725" s="95">
        <f t="shared" si="67"/>
        <v>4.4674509803921572</v>
      </c>
      <c r="R725" s="133">
        <f>IF(P725=模板计算相关数据!$AB$24,VLOOKUP(X725,模板计算相关数据!$P$47:$T$50,2,0),VLOOKUP(X725,模板计算相关数据!$P$4:$U$7,3,0))*VLOOKUP(Y725,模板计算相关数据!$P$22:$X$30,8,0)</f>
        <v>4.4674509803921572</v>
      </c>
      <c r="S725" s="62">
        <f t="shared" si="68"/>
        <v>5.4739930589768004</v>
      </c>
      <c r="T725" s="133">
        <f>IF(P725=模板计算相关数据!$AB$24,VLOOKUP(X725,模板计算相关数据!$P$47:$T$50,5,0),VLOOKUP(X725,模板计算相关数据!$P$4:$U$7,6,0))*VLOOKUP(Y725,模板计算相关数据!$P$22:$X$30,9,0)</f>
        <v>5.4739930589768004</v>
      </c>
      <c r="U725" s="98">
        <v>1</v>
      </c>
      <c r="V725" s="95">
        <f t="shared" si="69"/>
        <v>4</v>
      </c>
      <c r="W725" s="29">
        <f>VLOOKUP(U725,模板计算相关数据!A:N,2,0)</f>
        <v>1</v>
      </c>
      <c r="X725" s="3" t="s">
        <v>151</v>
      </c>
      <c r="Y725" s="3" t="s">
        <v>162</v>
      </c>
      <c r="Z725" s="99">
        <v>1</v>
      </c>
      <c r="AA725" s="95">
        <v>1</v>
      </c>
      <c r="AB725" s="95">
        <v>1</v>
      </c>
      <c r="AC725" s="95">
        <v>1</v>
      </c>
      <c r="AD725" s="95">
        <v>0</v>
      </c>
      <c r="AE725" s="95">
        <v>0</v>
      </c>
      <c r="AF725" s="95">
        <v>0</v>
      </c>
      <c r="AG725" s="95">
        <v>0</v>
      </c>
      <c r="AH725" s="95">
        <v>0</v>
      </c>
      <c r="AI725" s="95">
        <v>0</v>
      </c>
      <c r="AJ725" s="3">
        <f>INT(VLOOKUP(U725,模板计算相关数据!A:N,4,0)*VLOOKUP(U725,模板计算相关数据!A:N,14,0)*(1+MAX(0,(VLOOKUP(U725,模板计算相关数据!A:N,7,0)-AQ725))*VLOOKUP(U725,模板计算相关数据!A:N,8,0))*(1-(AL725+AM725)*0.5/((AL725+AM725)*0.5+(VLOOKUP(U725,模板计算相关数据!A:N,2,0)+模板计算相关数据!$AC$27)*模板计算相关数据!$AC$28))*Q725*Z725)</f>
        <v>328</v>
      </c>
      <c r="AK725" s="3">
        <f>INT(VLOOKUP(U725,模板计算相关数据!A:N,3,0)/模板计算相关数据!$W$35/(1+MAX(0,(AO725/10000-VLOOKUP(U725,模板计算相关数据!A:N,9,0)))*AP725/10000)/(1-VLOOKUP(U725,模板计算相关数据!A:N,5,0)/(VLOOKUP(U725,模板计算相关数据!A:N,5,0)+(VLOOKUP(U725,模板计算相关数据!A:N,2,0)+模板计算相关数据!$AC$27)*模板计算相关数据!$AC$28))/S725*AA725)</f>
        <v>101</v>
      </c>
      <c r="AL725" s="3">
        <f>INT(VLOOKUP(U725,模板计算相关数据!A:N,5,0)*VLOOKUP(X725,模板计算相关数据!$P$4:$T$7,4,0)*VLOOKUP(Y725,模板计算相关数据!$P$22:$U$30,4,0)*AB725)</f>
        <v>136</v>
      </c>
      <c r="AM725" s="3">
        <f>INT(VLOOKUP(U725,模板计算相关数据!A:N,6,0)*VLOOKUP(X725,模板计算相关数据!$P$4:$T$7,4,0)*VLOOKUP(Y725,模板计算相关数据!$P$22:$U$30,5,0)*AC725)</f>
        <v>230</v>
      </c>
      <c r="AN725" s="3">
        <f>VLOOKUP(U725,模板计算相关数据!A:N,10,0)*0.5*VLOOKUP(Y725,模板计算相关数据!$P$22:$U$30,6,0)+AD725</f>
        <v>250</v>
      </c>
      <c r="AO725" s="3">
        <f>VLOOKUP(INT(VLOOKUP(U725,模板计算相关数据!A:N,2,0)/30)+1,模板计算相关数据!$O$35:$U$40,3,0)+AE725</f>
        <v>0</v>
      </c>
      <c r="AP725" s="3">
        <f>VLOOKUP(INT(VLOOKUP(U725,模板计算相关数据!A:N,2,0)/30)+1,模板计算相关数据!$O$35:$U$40,4,0)+AF725</f>
        <v>5000</v>
      </c>
      <c r="AQ725" s="3">
        <f>VLOOKUP(INT(VLOOKUP(U725,模板计算相关数据!A:N,2,0)/30)+1,模板计算相关数据!$O$35:$U$40,5,0)+AG725</f>
        <v>0</v>
      </c>
      <c r="AR725" s="3">
        <f>VLOOKUP(INT(VLOOKUP(U725,模板计算相关数据!A:N,2,0)/30)+1,模板计算相关数据!$O$35:$U$40,6,0)+AH725</f>
        <v>0</v>
      </c>
      <c r="AS725" s="3">
        <f>VLOOKUP(INT(VLOOKUP(U725,模板计算相关数据!A:N,2,0)/30)+1,模板计算相关数据!$O$35:$U$40,7,0)+AI725</f>
        <v>0</v>
      </c>
      <c r="AT725" s="3">
        <f>VLOOKUP(INT(VLOOKUP(U725,模板计算相关数据!A:N,2,0)/30)+1,模板计算相关数据!$O$35:$V$40,8,0)</f>
        <v>0</v>
      </c>
      <c r="AU725" s="2"/>
    </row>
    <row r="726" spans="1:47" x14ac:dyDescent="0.2">
      <c r="A726" s="2">
        <v>307421</v>
      </c>
      <c r="B726" s="2"/>
      <c r="C726" s="2" t="s">
        <v>326</v>
      </c>
      <c r="D726" s="2" t="s">
        <v>1256</v>
      </c>
      <c r="E726" s="2"/>
      <c r="F726" s="127">
        <v>3</v>
      </c>
      <c r="G726" s="127">
        <v>101</v>
      </c>
      <c r="H726" s="3">
        <v>5</v>
      </c>
      <c r="I726" s="127">
        <v>5</v>
      </c>
      <c r="J726" s="127">
        <v>1</v>
      </c>
      <c r="K726" s="3"/>
      <c r="L726" s="2" t="s">
        <v>544</v>
      </c>
      <c r="M726" s="2"/>
      <c r="N726" s="2">
        <v>1</v>
      </c>
      <c r="O726" s="2"/>
      <c r="P726" s="3" t="s">
        <v>1615</v>
      </c>
      <c r="Q726" s="95">
        <f t="shared" si="67"/>
        <v>5.7709803921568623</v>
      </c>
      <c r="R726" s="133">
        <f>IF(P726=模板计算相关数据!$AB$24,VLOOKUP(X726,模板计算相关数据!$P$47:$T$50,2,0),VLOOKUP(X726,模板计算相关数据!$P$4:$U$7,3,0))*VLOOKUP(Y726,模板计算相关数据!$P$22:$X$30,8,0)</f>
        <v>5.7709803921568623</v>
      </c>
      <c r="S726" s="62">
        <f t="shared" si="68"/>
        <v>6.4077918749199023</v>
      </c>
      <c r="T726" s="133">
        <f>IF(P726=模板计算相关数据!$AB$24,VLOOKUP(X726,模板计算相关数据!$P$47:$T$50,5,0),VLOOKUP(X726,模板计算相关数据!$P$4:$U$7,6,0))*VLOOKUP(Y726,模板计算相关数据!$P$22:$X$30,9,0)</f>
        <v>6.4077918749199023</v>
      </c>
      <c r="U726" s="98">
        <v>1</v>
      </c>
      <c r="V726" s="95">
        <f t="shared" si="69"/>
        <v>4</v>
      </c>
      <c r="W726" s="29">
        <f>VLOOKUP(U726,模板计算相关数据!A:N,2,0)</f>
        <v>1</v>
      </c>
      <c r="X726" s="3" t="s">
        <v>151</v>
      </c>
      <c r="Y726" s="3" t="s">
        <v>243</v>
      </c>
      <c r="Z726" s="99">
        <v>1</v>
      </c>
      <c r="AA726" s="95">
        <v>1</v>
      </c>
      <c r="AB726" s="95">
        <v>1</v>
      </c>
      <c r="AC726" s="95">
        <v>1</v>
      </c>
      <c r="AD726" s="95">
        <v>0</v>
      </c>
      <c r="AE726" s="95">
        <v>0</v>
      </c>
      <c r="AF726" s="95">
        <v>0</v>
      </c>
      <c r="AG726" s="95">
        <v>0</v>
      </c>
      <c r="AH726" s="95">
        <v>0</v>
      </c>
      <c r="AI726" s="95">
        <v>0</v>
      </c>
      <c r="AJ726" s="3">
        <f>INT(VLOOKUP(U726,模板计算相关数据!A:N,4,0)*VLOOKUP(U726,模板计算相关数据!A:N,14,0)*(1+MAX(0,(VLOOKUP(U726,模板计算相关数据!A:N,7,0)-AQ726))*VLOOKUP(U726,模板计算相关数据!A:N,8,0))*(1-(AL726+AM726)*0.5/((AL726+AM726)*0.5+(VLOOKUP(U726,模板计算相关数据!A:N,2,0)+模板计算相关数据!$AC$27)*模板计算相关数据!$AC$28))*Q726*Z726)</f>
        <v>411</v>
      </c>
      <c r="AK726" s="3">
        <f>INT(VLOOKUP(U726,模板计算相关数据!A:N,3,0)/模板计算相关数据!$W$35/(1+MAX(0,(AO726/10000-VLOOKUP(U726,模板计算相关数据!A:N,9,0)))*AP726/10000)/(1-VLOOKUP(U726,模板计算相关数据!A:N,5,0)/(VLOOKUP(U726,模板计算相关数据!A:N,5,0)+(VLOOKUP(U726,模板计算相关数据!A:N,2,0)+模板计算相关数据!$AC$27)*模板计算相关数据!$AC$28))/S726*AA726)</f>
        <v>86</v>
      </c>
      <c r="AL726" s="3">
        <f>INT(VLOOKUP(U726,模板计算相关数据!A:N,5,0)*VLOOKUP(X726,模板计算相关数据!$P$4:$T$7,4,0)*VLOOKUP(Y726,模板计算相关数据!$P$22:$U$30,4,0)*AB726)</f>
        <v>145</v>
      </c>
      <c r="AM726" s="3">
        <f>INT(VLOOKUP(U726,模板计算相关数据!A:N,6,0)*VLOOKUP(X726,模板计算相关数据!$P$4:$T$7,4,0)*VLOOKUP(Y726,模板计算相关数据!$P$22:$U$30,5,0)*AC726)</f>
        <v>264</v>
      </c>
      <c r="AN726" s="3">
        <f>VLOOKUP(U726,模板计算相关数据!A:N,10,0)*0.5*VLOOKUP(Y726,模板计算相关数据!$P$22:$U$30,6,0)+AD726</f>
        <v>275</v>
      </c>
      <c r="AO726" s="3">
        <f>VLOOKUP(INT(VLOOKUP(U726,模板计算相关数据!A:N,2,0)/30)+1,模板计算相关数据!$O$35:$U$40,3,0)+AE726</f>
        <v>0</v>
      </c>
      <c r="AP726" s="3">
        <f>VLOOKUP(INT(VLOOKUP(U726,模板计算相关数据!A:N,2,0)/30)+1,模板计算相关数据!$O$35:$U$40,4,0)+AF726</f>
        <v>5000</v>
      </c>
      <c r="AQ726" s="3">
        <f>VLOOKUP(INT(VLOOKUP(U726,模板计算相关数据!A:N,2,0)/30)+1,模板计算相关数据!$O$35:$U$40,5,0)+AG726</f>
        <v>0</v>
      </c>
      <c r="AR726" s="3">
        <f>VLOOKUP(INT(VLOOKUP(U726,模板计算相关数据!A:N,2,0)/30)+1,模板计算相关数据!$O$35:$U$40,6,0)+AH726</f>
        <v>0</v>
      </c>
      <c r="AS726" s="3">
        <f>VLOOKUP(INT(VLOOKUP(U726,模板计算相关数据!A:N,2,0)/30)+1,模板计算相关数据!$O$35:$U$40,7,0)+AI726</f>
        <v>0</v>
      </c>
      <c r="AT726" s="3">
        <f>VLOOKUP(INT(VLOOKUP(U726,模板计算相关数据!A:N,2,0)/30)+1,模板计算相关数据!$O$35:$V$40,8,0)</f>
        <v>0</v>
      </c>
      <c r="AU726" s="2"/>
    </row>
    <row r="727" spans="1:47" x14ac:dyDescent="0.2">
      <c r="A727" s="2">
        <v>307422</v>
      </c>
      <c r="B727" s="2"/>
      <c r="C727" s="2" t="s">
        <v>326</v>
      </c>
      <c r="D727" s="2" t="s">
        <v>1257</v>
      </c>
      <c r="E727" s="2"/>
      <c r="F727" s="127">
        <v>3</v>
      </c>
      <c r="G727" s="127">
        <v>101</v>
      </c>
      <c r="H727" s="3">
        <v>5</v>
      </c>
      <c r="I727" s="127">
        <v>5</v>
      </c>
      <c r="J727" s="127">
        <v>1</v>
      </c>
      <c r="K727" s="3"/>
      <c r="L727" s="2" t="s">
        <v>545</v>
      </c>
      <c r="M727" s="2"/>
      <c r="N727" s="2">
        <v>1</v>
      </c>
      <c r="O727" s="2"/>
      <c r="P727" s="3" t="s">
        <v>1615</v>
      </c>
      <c r="Q727" s="95">
        <f t="shared" ref="Q727:Q790" si="70">R727</f>
        <v>5.7709803921568623</v>
      </c>
      <c r="R727" s="133">
        <f>IF(P727=模板计算相关数据!$AB$24,VLOOKUP(X727,模板计算相关数据!$P$47:$T$50,2,0),VLOOKUP(X727,模板计算相关数据!$P$4:$U$7,3,0))*VLOOKUP(Y727,模板计算相关数据!$P$22:$X$30,8,0)</f>
        <v>5.7709803921568623</v>
      </c>
      <c r="S727" s="62">
        <f t="shared" ref="S727:S790" si="71">T727</f>
        <v>6.4077918749199023</v>
      </c>
      <c r="T727" s="133">
        <f>IF(P727=模板计算相关数据!$AB$24,VLOOKUP(X727,模板计算相关数据!$P$47:$T$50,5,0),VLOOKUP(X727,模板计算相关数据!$P$4:$U$7,6,0))*VLOOKUP(Y727,模板计算相关数据!$P$22:$X$30,9,0)</f>
        <v>6.4077918749199023</v>
      </c>
      <c r="U727" s="98">
        <v>1</v>
      </c>
      <c r="V727" s="95">
        <f t="shared" si="69"/>
        <v>4</v>
      </c>
      <c r="W727" s="29">
        <f>VLOOKUP(U727,模板计算相关数据!A:N,2,0)</f>
        <v>1</v>
      </c>
      <c r="X727" s="3" t="s">
        <v>151</v>
      </c>
      <c r="Y727" s="3" t="s">
        <v>243</v>
      </c>
      <c r="Z727" s="99">
        <v>1</v>
      </c>
      <c r="AA727" s="95">
        <v>1</v>
      </c>
      <c r="AB727" s="95">
        <v>1</v>
      </c>
      <c r="AC727" s="95">
        <v>1</v>
      </c>
      <c r="AD727" s="95">
        <v>0</v>
      </c>
      <c r="AE727" s="95">
        <v>0</v>
      </c>
      <c r="AF727" s="95">
        <v>0</v>
      </c>
      <c r="AG727" s="95">
        <v>0</v>
      </c>
      <c r="AH727" s="95">
        <v>0</v>
      </c>
      <c r="AI727" s="95">
        <v>0</v>
      </c>
      <c r="AJ727" s="3">
        <f>INT(VLOOKUP(U727,模板计算相关数据!A:N,4,0)*VLOOKUP(U727,模板计算相关数据!A:N,14,0)*(1+MAX(0,(VLOOKUP(U727,模板计算相关数据!A:N,7,0)-AQ727))*VLOOKUP(U727,模板计算相关数据!A:N,8,0))*(1-(AL727+AM727)*0.5/((AL727+AM727)*0.5+(VLOOKUP(U727,模板计算相关数据!A:N,2,0)+模板计算相关数据!$AC$27)*模板计算相关数据!$AC$28))*Q727*Z727)</f>
        <v>411</v>
      </c>
      <c r="AK727" s="3">
        <f>INT(VLOOKUP(U727,模板计算相关数据!A:N,3,0)/模板计算相关数据!$W$35/(1+MAX(0,(AO727/10000-VLOOKUP(U727,模板计算相关数据!A:N,9,0)))*AP727/10000)/(1-VLOOKUP(U727,模板计算相关数据!A:N,5,0)/(VLOOKUP(U727,模板计算相关数据!A:N,5,0)+(VLOOKUP(U727,模板计算相关数据!A:N,2,0)+模板计算相关数据!$AC$27)*模板计算相关数据!$AC$28))/S727*AA727)</f>
        <v>86</v>
      </c>
      <c r="AL727" s="3">
        <f>INT(VLOOKUP(U727,模板计算相关数据!A:N,5,0)*VLOOKUP(X727,模板计算相关数据!$P$4:$T$7,4,0)*VLOOKUP(Y727,模板计算相关数据!$P$22:$U$30,4,0)*AB727)</f>
        <v>145</v>
      </c>
      <c r="AM727" s="3">
        <f>INT(VLOOKUP(U727,模板计算相关数据!A:N,6,0)*VLOOKUP(X727,模板计算相关数据!$P$4:$T$7,4,0)*VLOOKUP(Y727,模板计算相关数据!$P$22:$U$30,5,0)*AC727)</f>
        <v>264</v>
      </c>
      <c r="AN727" s="3">
        <f>VLOOKUP(U727,模板计算相关数据!A:N,10,0)*0.5*VLOOKUP(Y727,模板计算相关数据!$P$22:$U$30,6,0)+AD727</f>
        <v>275</v>
      </c>
      <c r="AO727" s="3">
        <f>VLOOKUP(INT(VLOOKUP(U727,模板计算相关数据!A:N,2,0)/30)+1,模板计算相关数据!$O$35:$U$40,3,0)+AE727</f>
        <v>0</v>
      </c>
      <c r="AP727" s="3">
        <f>VLOOKUP(INT(VLOOKUP(U727,模板计算相关数据!A:N,2,0)/30)+1,模板计算相关数据!$O$35:$U$40,4,0)+AF727</f>
        <v>5000</v>
      </c>
      <c r="AQ727" s="3">
        <f>VLOOKUP(INT(VLOOKUP(U727,模板计算相关数据!A:N,2,0)/30)+1,模板计算相关数据!$O$35:$U$40,5,0)+AG727</f>
        <v>0</v>
      </c>
      <c r="AR727" s="3">
        <f>VLOOKUP(INT(VLOOKUP(U727,模板计算相关数据!A:N,2,0)/30)+1,模板计算相关数据!$O$35:$U$40,6,0)+AH727</f>
        <v>0</v>
      </c>
      <c r="AS727" s="3">
        <f>VLOOKUP(INT(VLOOKUP(U727,模板计算相关数据!A:N,2,0)/30)+1,模板计算相关数据!$O$35:$U$40,7,0)+AI727</f>
        <v>0</v>
      </c>
      <c r="AT727" s="3">
        <f>VLOOKUP(INT(VLOOKUP(U727,模板计算相关数据!A:N,2,0)/30)+1,模板计算相关数据!$O$35:$V$40,8,0)</f>
        <v>0</v>
      </c>
      <c r="AU727" s="2"/>
    </row>
    <row r="728" spans="1:47" x14ac:dyDescent="0.2">
      <c r="A728" s="2">
        <v>307423</v>
      </c>
      <c r="B728" s="2"/>
      <c r="C728" s="2" t="s">
        <v>326</v>
      </c>
      <c r="D728" s="2" t="s">
        <v>1258</v>
      </c>
      <c r="E728" s="2"/>
      <c r="F728" s="127">
        <v>3</v>
      </c>
      <c r="G728" s="127">
        <v>101</v>
      </c>
      <c r="H728" s="3">
        <v>5</v>
      </c>
      <c r="I728" s="127">
        <v>5</v>
      </c>
      <c r="J728" s="127">
        <v>1</v>
      </c>
      <c r="K728" s="3"/>
      <c r="L728" s="2" t="s">
        <v>546</v>
      </c>
      <c r="M728" s="2"/>
      <c r="N728" s="2">
        <v>1</v>
      </c>
      <c r="O728" s="2"/>
      <c r="P728" s="3" t="s">
        <v>1615</v>
      </c>
      <c r="Q728" s="95">
        <f t="shared" si="70"/>
        <v>5.7709803921568623</v>
      </c>
      <c r="R728" s="133">
        <f>IF(P728=模板计算相关数据!$AB$24,VLOOKUP(X728,模板计算相关数据!$P$47:$T$50,2,0),VLOOKUP(X728,模板计算相关数据!$P$4:$U$7,3,0))*VLOOKUP(Y728,模板计算相关数据!$P$22:$X$30,8,0)</f>
        <v>5.7709803921568623</v>
      </c>
      <c r="S728" s="62">
        <f t="shared" si="71"/>
        <v>6.4077918749199023</v>
      </c>
      <c r="T728" s="133">
        <f>IF(P728=模板计算相关数据!$AB$24,VLOOKUP(X728,模板计算相关数据!$P$47:$T$50,5,0),VLOOKUP(X728,模板计算相关数据!$P$4:$U$7,6,0))*VLOOKUP(Y728,模板计算相关数据!$P$22:$X$30,9,0)</f>
        <v>6.4077918749199023</v>
      </c>
      <c r="U728" s="98">
        <v>1</v>
      </c>
      <c r="V728" s="95">
        <f t="shared" si="69"/>
        <v>4</v>
      </c>
      <c r="W728" s="29">
        <f>VLOOKUP(U728,模板计算相关数据!A:N,2,0)</f>
        <v>1</v>
      </c>
      <c r="X728" s="3" t="s">
        <v>151</v>
      </c>
      <c r="Y728" s="3" t="s">
        <v>243</v>
      </c>
      <c r="Z728" s="99">
        <v>1</v>
      </c>
      <c r="AA728" s="95">
        <v>1</v>
      </c>
      <c r="AB728" s="95">
        <v>1</v>
      </c>
      <c r="AC728" s="95">
        <v>1</v>
      </c>
      <c r="AD728" s="95">
        <v>0</v>
      </c>
      <c r="AE728" s="95">
        <v>0</v>
      </c>
      <c r="AF728" s="95">
        <v>0</v>
      </c>
      <c r="AG728" s="95">
        <v>0</v>
      </c>
      <c r="AH728" s="95">
        <v>0</v>
      </c>
      <c r="AI728" s="95">
        <v>0</v>
      </c>
      <c r="AJ728" s="3">
        <f>INT(VLOOKUP(U728,模板计算相关数据!A:N,4,0)*VLOOKUP(U728,模板计算相关数据!A:N,14,0)*(1+MAX(0,(VLOOKUP(U728,模板计算相关数据!A:N,7,0)-AQ728))*VLOOKUP(U728,模板计算相关数据!A:N,8,0))*(1-(AL728+AM728)*0.5/((AL728+AM728)*0.5+(VLOOKUP(U728,模板计算相关数据!A:N,2,0)+模板计算相关数据!$AC$27)*模板计算相关数据!$AC$28))*Q728*Z728)</f>
        <v>411</v>
      </c>
      <c r="AK728" s="3">
        <f>INT(VLOOKUP(U728,模板计算相关数据!A:N,3,0)/模板计算相关数据!$W$35/(1+MAX(0,(AO728/10000-VLOOKUP(U728,模板计算相关数据!A:N,9,0)))*AP728/10000)/(1-VLOOKUP(U728,模板计算相关数据!A:N,5,0)/(VLOOKUP(U728,模板计算相关数据!A:N,5,0)+(VLOOKUP(U728,模板计算相关数据!A:N,2,0)+模板计算相关数据!$AC$27)*模板计算相关数据!$AC$28))/S728*AA728)</f>
        <v>86</v>
      </c>
      <c r="AL728" s="3">
        <f>INT(VLOOKUP(U728,模板计算相关数据!A:N,5,0)*VLOOKUP(X728,模板计算相关数据!$P$4:$T$7,4,0)*VLOOKUP(Y728,模板计算相关数据!$P$22:$U$30,4,0)*AB728)</f>
        <v>145</v>
      </c>
      <c r="AM728" s="3">
        <f>INT(VLOOKUP(U728,模板计算相关数据!A:N,6,0)*VLOOKUP(X728,模板计算相关数据!$P$4:$T$7,4,0)*VLOOKUP(Y728,模板计算相关数据!$P$22:$U$30,5,0)*AC728)</f>
        <v>264</v>
      </c>
      <c r="AN728" s="3">
        <f>VLOOKUP(U728,模板计算相关数据!A:N,10,0)*0.5*VLOOKUP(Y728,模板计算相关数据!$P$22:$U$30,6,0)+AD728</f>
        <v>275</v>
      </c>
      <c r="AO728" s="3">
        <f>VLOOKUP(INT(VLOOKUP(U728,模板计算相关数据!A:N,2,0)/30)+1,模板计算相关数据!$O$35:$U$40,3,0)+AE728</f>
        <v>0</v>
      </c>
      <c r="AP728" s="3">
        <f>VLOOKUP(INT(VLOOKUP(U728,模板计算相关数据!A:N,2,0)/30)+1,模板计算相关数据!$O$35:$U$40,4,0)+AF728</f>
        <v>5000</v>
      </c>
      <c r="AQ728" s="3">
        <f>VLOOKUP(INT(VLOOKUP(U728,模板计算相关数据!A:N,2,0)/30)+1,模板计算相关数据!$O$35:$U$40,5,0)+AG728</f>
        <v>0</v>
      </c>
      <c r="AR728" s="3">
        <f>VLOOKUP(INT(VLOOKUP(U728,模板计算相关数据!A:N,2,0)/30)+1,模板计算相关数据!$O$35:$U$40,6,0)+AH728</f>
        <v>0</v>
      </c>
      <c r="AS728" s="3">
        <f>VLOOKUP(INT(VLOOKUP(U728,模板计算相关数据!A:N,2,0)/30)+1,模板计算相关数据!$O$35:$U$40,7,0)+AI728</f>
        <v>0</v>
      </c>
      <c r="AT728" s="3">
        <f>VLOOKUP(INT(VLOOKUP(U728,模板计算相关数据!A:N,2,0)/30)+1,模板计算相关数据!$O$35:$V$40,8,0)</f>
        <v>0</v>
      </c>
      <c r="AU728" s="2"/>
    </row>
    <row r="729" spans="1:47" x14ac:dyDescent="0.2">
      <c r="A729" s="2">
        <v>307424</v>
      </c>
      <c r="B729" s="2"/>
      <c r="C729" s="2" t="s">
        <v>326</v>
      </c>
      <c r="D729" s="2" t="s">
        <v>1259</v>
      </c>
      <c r="E729" s="2"/>
      <c r="F729" s="127">
        <v>3</v>
      </c>
      <c r="G729" s="127">
        <v>101</v>
      </c>
      <c r="H729" s="3">
        <v>5</v>
      </c>
      <c r="I729" s="127">
        <v>5</v>
      </c>
      <c r="J729" s="127">
        <v>1</v>
      </c>
      <c r="K729" s="3"/>
      <c r="L729" s="2" t="s">
        <v>547</v>
      </c>
      <c r="M729" s="2"/>
      <c r="N729" s="2">
        <v>1</v>
      </c>
      <c r="O729" s="2"/>
      <c r="P729" s="3" t="s">
        <v>1615</v>
      </c>
      <c r="Q729" s="95">
        <f t="shared" si="70"/>
        <v>5.7709803921568623</v>
      </c>
      <c r="R729" s="133">
        <f>IF(P729=模板计算相关数据!$AB$24,VLOOKUP(X729,模板计算相关数据!$P$47:$T$50,2,0),VLOOKUP(X729,模板计算相关数据!$P$4:$U$7,3,0))*VLOOKUP(Y729,模板计算相关数据!$P$22:$X$30,8,0)</f>
        <v>5.7709803921568623</v>
      </c>
      <c r="S729" s="62">
        <f t="shared" si="71"/>
        <v>6.4077918749199023</v>
      </c>
      <c r="T729" s="133">
        <f>IF(P729=模板计算相关数据!$AB$24,VLOOKUP(X729,模板计算相关数据!$P$47:$T$50,5,0),VLOOKUP(X729,模板计算相关数据!$P$4:$U$7,6,0))*VLOOKUP(Y729,模板计算相关数据!$P$22:$X$30,9,0)</f>
        <v>6.4077918749199023</v>
      </c>
      <c r="U729" s="98">
        <v>1</v>
      </c>
      <c r="V729" s="95">
        <f t="shared" si="69"/>
        <v>4</v>
      </c>
      <c r="W729" s="29">
        <f>VLOOKUP(U729,模板计算相关数据!A:N,2,0)</f>
        <v>1</v>
      </c>
      <c r="X729" s="3" t="s">
        <v>151</v>
      </c>
      <c r="Y729" s="3" t="s">
        <v>243</v>
      </c>
      <c r="Z729" s="99">
        <v>1</v>
      </c>
      <c r="AA729" s="95">
        <v>1</v>
      </c>
      <c r="AB729" s="95">
        <v>1</v>
      </c>
      <c r="AC729" s="95">
        <v>1</v>
      </c>
      <c r="AD729" s="95">
        <v>0</v>
      </c>
      <c r="AE729" s="95">
        <v>0</v>
      </c>
      <c r="AF729" s="95">
        <v>0</v>
      </c>
      <c r="AG729" s="95">
        <v>0</v>
      </c>
      <c r="AH729" s="95">
        <v>0</v>
      </c>
      <c r="AI729" s="95">
        <v>0</v>
      </c>
      <c r="AJ729" s="3">
        <f>INT(VLOOKUP(U729,模板计算相关数据!A:N,4,0)*VLOOKUP(U729,模板计算相关数据!A:N,14,0)*(1+MAX(0,(VLOOKUP(U729,模板计算相关数据!A:N,7,0)-AQ729))*VLOOKUP(U729,模板计算相关数据!A:N,8,0))*(1-(AL729+AM729)*0.5/((AL729+AM729)*0.5+(VLOOKUP(U729,模板计算相关数据!A:N,2,0)+模板计算相关数据!$AC$27)*模板计算相关数据!$AC$28))*Q729*Z729)</f>
        <v>411</v>
      </c>
      <c r="AK729" s="3">
        <f>INT(VLOOKUP(U729,模板计算相关数据!A:N,3,0)/模板计算相关数据!$W$35/(1+MAX(0,(AO729/10000-VLOOKUP(U729,模板计算相关数据!A:N,9,0)))*AP729/10000)/(1-VLOOKUP(U729,模板计算相关数据!A:N,5,0)/(VLOOKUP(U729,模板计算相关数据!A:N,5,0)+(VLOOKUP(U729,模板计算相关数据!A:N,2,0)+模板计算相关数据!$AC$27)*模板计算相关数据!$AC$28))/S729*AA729)</f>
        <v>86</v>
      </c>
      <c r="AL729" s="3">
        <f>INT(VLOOKUP(U729,模板计算相关数据!A:N,5,0)*VLOOKUP(X729,模板计算相关数据!$P$4:$T$7,4,0)*VLOOKUP(Y729,模板计算相关数据!$P$22:$U$30,4,0)*AB729)</f>
        <v>145</v>
      </c>
      <c r="AM729" s="3">
        <f>INT(VLOOKUP(U729,模板计算相关数据!A:N,6,0)*VLOOKUP(X729,模板计算相关数据!$P$4:$T$7,4,0)*VLOOKUP(Y729,模板计算相关数据!$P$22:$U$30,5,0)*AC729)</f>
        <v>264</v>
      </c>
      <c r="AN729" s="3">
        <f>VLOOKUP(U729,模板计算相关数据!A:N,10,0)*0.5*VLOOKUP(Y729,模板计算相关数据!$P$22:$U$30,6,0)+AD729</f>
        <v>275</v>
      </c>
      <c r="AO729" s="3">
        <f>VLOOKUP(INT(VLOOKUP(U729,模板计算相关数据!A:N,2,0)/30)+1,模板计算相关数据!$O$35:$U$40,3,0)+AE729</f>
        <v>0</v>
      </c>
      <c r="AP729" s="3">
        <f>VLOOKUP(INT(VLOOKUP(U729,模板计算相关数据!A:N,2,0)/30)+1,模板计算相关数据!$O$35:$U$40,4,0)+AF729</f>
        <v>5000</v>
      </c>
      <c r="AQ729" s="3">
        <f>VLOOKUP(INT(VLOOKUP(U729,模板计算相关数据!A:N,2,0)/30)+1,模板计算相关数据!$O$35:$U$40,5,0)+AG729</f>
        <v>0</v>
      </c>
      <c r="AR729" s="3">
        <f>VLOOKUP(INT(VLOOKUP(U729,模板计算相关数据!A:N,2,0)/30)+1,模板计算相关数据!$O$35:$U$40,6,0)+AH729</f>
        <v>0</v>
      </c>
      <c r="AS729" s="3">
        <f>VLOOKUP(INT(VLOOKUP(U729,模板计算相关数据!A:N,2,0)/30)+1,模板计算相关数据!$O$35:$U$40,7,0)+AI729</f>
        <v>0</v>
      </c>
      <c r="AT729" s="3">
        <f>VLOOKUP(INT(VLOOKUP(U729,模板计算相关数据!A:N,2,0)/30)+1,模板计算相关数据!$O$35:$V$40,8,0)</f>
        <v>0</v>
      </c>
      <c r="AU729" s="2"/>
    </row>
    <row r="730" spans="1:47" x14ac:dyDescent="0.2">
      <c r="A730" s="2">
        <v>307425</v>
      </c>
      <c r="B730" s="2"/>
      <c r="C730" s="2" t="s">
        <v>326</v>
      </c>
      <c r="D730" s="2" t="s">
        <v>1260</v>
      </c>
      <c r="E730" s="2"/>
      <c r="F730" s="127">
        <v>3</v>
      </c>
      <c r="G730" s="127">
        <v>101</v>
      </c>
      <c r="H730" s="3">
        <v>5</v>
      </c>
      <c r="I730" s="127">
        <v>5</v>
      </c>
      <c r="J730" s="127">
        <v>1</v>
      </c>
      <c r="K730" s="3"/>
      <c r="L730" s="2" t="s">
        <v>548</v>
      </c>
      <c r="M730" s="2"/>
      <c r="N730" s="2">
        <v>1</v>
      </c>
      <c r="O730" s="2"/>
      <c r="P730" s="3" t="s">
        <v>1615</v>
      </c>
      <c r="Q730" s="95">
        <f t="shared" si="70"/>
        <v>5.7709803921568623</v>
      </c>
      <c r="R730" s="133">
        <f>IF(P730=模板计算相关数据!$AB$24,VLOOKUP(X730,模板计算相关数据!$P$47:$T$50,2,0),VLOOKUP(X730,模板计算相关数据!$P$4:$U$7,3,0))*VLOOKUP(Y730,模板计算相关数据!$P$22:$X$30,8,0)</f>
        <v>5.7709803921568623</v>
      </c>
      <c r="S730" s="62">
        <f t="shared" si="71"/>
        <v>6.4077918749199023</v>
      </c>
      <c r="T730" s="133">
        <f>IF(P730=模板计算相关数据!$AB$24,VLOOKUP(X730,模板计算相关数据!$P$47:$T$50,5,0),VLOOKUP(X730,模板计算相关数据!$P$4:$U$7,6,0))*VLOOKUP(Y730,模板计算相关数据!$P$22:$X$30,9,0)</f>
        <v>6.4077918749199023</v>
      </c>
      <c r="U730" s="98">
        <v>1</v>
      </c>
      <c r="V730" s="95">
        <f t="shared" si="69"/>
        <v>4</v>
      </c>
      <c r="W730" s="29">
        <f>VLOOKUP(U730,模板计算相关数据!A:N,2,0)</f>
        <v>1</v>
      </c>
      <c r="X730" s="3" t="s">
        <v>151</v>
      </c>
      <c r="Y730" s="3" t="s">
        <v>243</v>
      </c>
      <c r="Z730" s="99">
        <v>1</v>
      </c>
      <c r="AA730" s="95">
        <v>1</v>
      </c>
      <c r="AB730" s="95">
        <v>1</v>
      </c>
      <c r="AC730" s="95">
        <v>1</v>
      </c>
      <c r="AD730" s="95">
        <v>0</v>
      </c>
      <c r="AE730" s="95">
        <v>0</v>
      </c>
      <c r="AF730" s="95">
        <v>0</v>
      </c>
      <c r="AG730" s="95">
        <v>0</v>
      </c>
      <c r="AH730" s="95">
        <v>0</v>
      </c>
      <c r="AI730" s="95">
        <v>0</v>
      </c>
      <c r="AJ730" s="3">
        <f>INT(VLOOKUP(U730,模板计算相关数据!A:N,4,0)*VLOOKUP(U730,模板计算相关数据!A:N,14,0)*(1+MAX(0,(VLOOKUP(U730,模板计算相关数据!A:N,7,0)-AQ730))*VLOOKUP(U730,模板计算相关数据!A:N,8,0))*(1-(AL730+AM730)*0.5/((AL730+AM730)*0.5+(VLOOKUP(U730,模板计算相关数据!A:N,2,0)+模板计算相关数据!$AC$27)*模板计算相关数据!$AC$28))*Q730*Z730)</f>
        <v>411</v>
      </c>
      <c r="AK730" s="3">
        <f>INT(VLOOKUP(U730,模板计算相关数据!A:N,3,0)/模板计算相关数据!$W$35/(1+MAX(0,(AO730/10000-VLOOKUP(U730,模板计算相关数据!A:N,9,0)))*AP730/10000)/(1-VLOOKUP(U730,模板计算相关数据!A:N,5,0)/(VLOOKUP(U730,模板计算相关数据!A:N,5,0)+(VLOOKUP(U730,模板计算相关数据!A:N,2,0)+模板计算相关数据!$AC$27)*模板计算相关数据!$AC$28))/S730*AA730)</f>
        <v>86</v>
      </c>
      <c r="AL730" s="3">
        <f>INT(VLOOKUP(U730,模板计算相关数据!A:N,5,0)*VLOOKUP(X730,模板计算相关数据!$P$4:$T$7,4,0)*VLOOKUP(Y730,模板计算相关数据!$P$22:$U$30,4,0)*AB730)</f>
        <v>145</v>
      </c>
      <c r="AM730" s="3">
        <f>INT(VLOOKUP(U730,模板计算相关数据!A:N,6,0)*VLOOKUP(X730,模板计算相关数据!$P$4:$T$7,4,0)*VLOOKUP(Y730,模板计算相关数据!$P$22:$U$30,5,0)*AC730)</f>
        <v>264</v>
      </c>
      <c r="AN730" s="3">
        <f>VLOOKUP(U730,模板计算相关数据!A:N,10,0)*0.5*VLOOKUP(Y730,模板计算相关数据!$P$22:$U$30,6,0)+AD730</f>
        <v>275</v>
      </c>
      <c r="AO730" s="3">
        <f>VLOOKUP(INT(VLOOKUP(U730,模板计算相关数据!A:N,2,0)/30)+1,模板计算相关数据!$O$35:$U$40,3,0)+AE730</f>
        <v>0</v>
      </c>
      <c r="AP730" s="3">
        <f>VLOOKUP(INT(VLOOKUP(U730,模板计算相关数据!A:N,2,0)/30)+1,模板计算相关数据!$O$35:$U$40,4,0)+AF730</f>
        <v>5000</v>
      </c>
      <c r="AQ730" s="3">
        <f>VLOOKUP(INT(VLOOKUP(U730,模板计算相关数据!A:N,2,0)/30)+1,模板计算相关数据!$O$35:$U$40,5,0)+AG730</f>
        <v>0</v>
      </c>
      <c r="AR730" s="3">
        <f>VLOOKUP(INT(VLOOKUP(U730,模板计算相关数据!A:N,2,0)/30)+1,模板计算相关数据!$O$35:$U$40,6,0)+AH730</f>
        <v>0</v>
      </c>
      <c r="AS730" s="3">
        <f>VLOOKUP(INT(VLOOKUP(U730,模板计算相关数据!A:N,2,0)/30)+1,模板计算相关数据!$O$35:$U$40,7,0)+AI730</f>
        <v>0</v>
      </c>
      <c r="AT730" s="3">
        <f>VLOOKUP(INT(VLOOKUP(U730,模板计算相关数据!A:N,2,0)/30)+1,模板计算相关数据!$O$35:$V$40,8,0)</f>
        <v>0</v>
      </c>
      <c r="AU730" s="2"/>
    </row>
    <row r="731" spans="1:47" x14ac:dyDescent="0.2">
      <c r="A731" s="2">
        <v>307426</v>
      </c>
      <c r="B731" s="2"/>
      <c r="C731" s="2" t="s">
        <v>152</v>
      </c>
      <c r="D731" s="2" t="s">
        <v>1256</v>
      </c>
      <c r="E731" s="2"/>
      <c r="F731" s="127">
        <v>3</v>
      </c>
      <c r="G731" s="127">
        <v>101</v>
      </c>
      <c r="H731" s="3">
        <v>1</v>
      </c>
      <c r="I731" s="127">
        <v>5</v>
      </c>
      <c r="J731" s="127">
        <v>1</v>
      </c>
      <c r="K731" s="3"/>
      <c r="L731" s="2" t="s">
        <v>549</v>
      </c>
      <c r="M731" s="2"/>
      <c r="N731" s="2">
        <v>1</v>
      </c>
      <c r="O731" s="2"/>
      <c r="P731" s="3" t="s">
        <v>1615</v>
      </c>
      <c r="Q731" s="95">
        <f t="shared" si="70"/>
        <v>4.417254901960785</v>
      </c>
      <c r="R731" s="133">
        <f>IF(P731=模板计算相关数据!$AB$24,VLOOKUP(X731,模板计算相关数据!$P$47:$T$50,2,0),VLOOKUP(X731,模板计算相关数据!$P$4:$U$7,3,0))*VLOOKUP(Y731,模板计算相关数据!$P$22:$X$30,8,0)</f>
        <v>4.417254901960785</v>
      </c>
      <c r="S731" s="62">
        <f t="shared" si="71"/>
        <v>5.4285280003474252</v>
      </c>
      <c r="T731" s="133">
        <f>IF(P731=模板计算相关数据!$AB$24,VLOOKUP(X731,模板计算相关数据!$P$47:$T$50,5,0),VLOOKUP(X731,模板计算相关数据!$P$4:$U$7,6,0))*VLOOKUP(Y731,模板计算相关数据!$P$22:$X$30,9,0)</f>
        <v>5.4285280003474252</v>
      </c>
      <c r="U731" s="98">
        <v>1</v>
      </c>
      <c r="V731" s="95">
        <f t="shared" si="69"/>
        <v>4</v>
      </c>
      <c r="W731" s="29">
        <f>VLOOKUP(U731,模板计算相关数据!A:N,2,0)</f>
        <v>1</v>
      </c>
      <c r="X731" s="3" t="s">
        <v>151</v>
      </c>
      <c r="Y731" s="3" t="s">
        <v>152</v>
      </c>
      <c r="Z731" s="99">
        <v>1</v>
      </c>
      <c r="AA731" s="95">
        <v>1</v>
      </c>
      <c r="AB731" s="95">
        <v>1</v>
      </c>
      <c r="AC731" s="95">
        <v>1</v>
      </c>
      <c r="AD731" s="95">
        <v>0</v>
      </c>
      <c r="AE731" s="95">
        <v>0</v>
      </c>
      <c r="AF731" s="95">
        <v>0</v>
      </c>
      <c r="AG731" s="95">
        <v>0</v>
      </c>
      <c r="AH731" s="95">
        <v>0</v>
      </c>
      <c r="AI731" s="95">
        <v>0</v>
      </c>
      <c r="AJ731" s="3">
        <f>INT(VLOOKUP(U731,模板计算相关数据!A:N,4,0)*VLOOKUP(U731,模板计算相关数据!A:N,14,0)*(1+MAX(0,(VLOOKUP(U731,模板计算相关数据!A:N,7,0)-AQ731))*VLOOKUP(U731,模板计算相关数据!A:N,8,0))*(1-(AL731+AM731)*0.5/((AL731+AM731)*0.5+(VLOOKUP(U731,模板计算相关数据!A:N,2,0)+模板计算相关数据!$AC$27)*模板计算相关数据!$AC$28))*Q731*Z731)</f>
        <v>325</v>
      </c>
      <c r="AK731" s="3">
        <f>INT(VLOOKUP(U731,模板计算相关数据!A:N,3,0)/模板计算相关数据!$W$35/(1+MAX(0,(AO731/10000-VLOOKUP(U731,模板计算相关数据!A:N,9,0)))*AP731/10000)/(1-VLOOKUP(U731,模板计算相关数据!A:N,5,0)/(VLOOKUP(U731,模板计算相关数据!A:N,5,0)+(VLOOKUP(U731,模板计算相关数据!A:N,2,0)+模板计算相关数据!$AC$27)*模板计算相关数据!$AC$28))/S731*AA731)</f>
        <v>102</v>
      </c>
      <c r="AL731" s="3">
        <f>INT(VLOOKUP(U731,模板计算相关数据!A:N,5,0)*VLOOKUP(X731,模板计算相关数据!$P$4:$T$7,4,0)*VLOOKUP(Y731,模板计算相关数据!$P$22:$U$30,4,0)*AB731)</f>
        <v>230</v>
      </c>
      <c r="AM731" s="3">
        <f>INT(VLOOKUP(U731,模板计算相关数据!A:N,6,0)*VLOOKUP(X731,模板计算相关数据!$P$4:$T$7,4,0)*VLOOKUP(Y731,模板计算相关数据!$P$22:$U$30,5,0)*AC731)</f>
        <v>136</v>
      </c>
      <c r="AN731" s="3">
        <f>VLOOKUP(U731,模板计算相关数据!A:N,10,0)*0.5*VLOOKUP(Y731,模板计算相关数据!$P$22:$U$30,6,0)+AD731</f>
        <v>250</v>
      </c>
      <c r="AO731" s="3">
        <f>VLOOKUP(INT(VLOOKUP(U731,模板计算相关数据!A:N,2,0)/30)+1,模板计算相关数据!$O$35:$U$40,3,0)+AE731</f>
        <v>0</v>
      </c>
      <c r="AP731" s="3">
        <f>VLOOKUP(INT(VLOOKUP(U731,模板计算相关数据!A:N,2,0)/30)+1,模板计算相关数据!$O$35:$U$40,4,0)+AF731</f>
        <v>5000</v>
      </c>
      <c r="AQ731" s="3">
        <f>VLOOKUP(INT(VLOOKUP(U731,模板计算相关数据!A:N,2,0)/30)+1,模板计算相关数据!$O$35:$U$40,5,0)+AG731</f>
        <v>0</v>
      </c>
      <c r="AR731" s="3">
        <f>VLOOKUP(INT(VLOOKUP(U731,模板计算相关数据!A:N,2,0)/30)+1,模板计算相关数据!$O$35:$U$40,6,0)+AH731</f>
        <v>0</v>
      </c>
      <c r="AS731" s="3">
        <f>VLOOKUP(INT(VLOOKUP(U731,模板计算相关数据!A:N,2,0)/30)+1,模板计算相关数据!$O$35:$U$40,7,0)+AI731</f>
        <v>0</v>
      </c>
      <c r="AT731" s="3">
        <f>VLOOKUP(INT(VLOOKUP(U731,模板计算相关数据!A:N,2,0)/30)+1,模板计算相关数据!$O$35:$V$40,8,0)</f>
        <v>0</v>
      </c>
      <c r="AU731" s="2"/>
    </row>
    <row r="732" spans="1:47" x14ac:dyDescent="0.2">
      <c r="A732" s="2">
        <v>307427</v>
      </c>
      <c r="B732" s="2"/>
      <c r="C732" s="2" t="s">
        <v>152</v>
      </c>
      <c r="D732" s="2" t="s">
        <v>1257</v>
      </c>
      <c r="E732" s="2"/>
      <c r="F732" s="127">
        <v>3</v>
      </c>
      <c r="G732" s="127">
        <v>101</v>
      </c>
      <c r="H732" s="3">
        <v>1</v>
      </c>
      <c r="I732" s="127">
        <v>5</v>
      </c>
      <c r="J732" s="127">
        <v>1</v>
      </c>
      <c r="K732" s="3"/>
      <c r="L732" s="2" t="s">
        <v>550</v>
      </c>
      <c r="M732" s="2"/>
      <c r="N732" s="2">
        <v>1</v>
      </c>
      <c r="O732" s="2"/>
      <c r="P732" s="3" t="s">
        <v>1615</v>
      </c>
      <c r="Q732" s="95">
        <f t="shared" si="70"/>
        <v>4.417254901960785</v>
      </c>
      <c r="R732" s="133">
        <f>IF(P732=模板计算相关数据!$AB$24,VLOOKUP(X732,模板计算相关数据!$P$47:$T$50,2,0),VLOOKUP(X732,模板计算相关数据!$P$4:$U$7,3,0))*VLOOKUP(Y732,模板计算相关数据!$P$22:$X$30,8,0)</f>
        <v>4.417254901960785</v>
      </c>
      <c r="S732" s="62">
        <f t="shared" si="71"/>
        <v>5.4285280003474252</v>
      </c>
      <c r="T732" s="133">
        <f>IF(P732=模板计算相关数据!$AB$24,VLOOKUP(X732,模板计算相关数据!$P$47:$T$50,5,0),VLOOKUP(X732,模板计算相关数据!$P$4:$U$7,6,0))*VLOOKUP(Y732,模板计算相关数据!$P$22:$X$30,9,0)</f>
        <v>5.4285280003474252</v>
      </c>
      <c r="U732" s="98">
        <v>1</v>
      </c>
      <c r="V732" s="95">
        <f t="shared" si="69"/>
        <v>4</v>
      </c>
      <c r="W732" s="29">
        <f>VLOOKUP(U732,模板计算相关数据!A:N,2,0)</f>
        <v>1</v>
      </c>
      <c r="X732" s="3" t="s">
        <v>151</v>
      </c>
      <c r="Y732" s="3" t="s">
        <v>152</v>
      </c>
      <c r="Z732" s="99">
        <v>1</v>
      </c>
      <c r="AA732" s="95">
        <v>1</v>
      </c>
      <c r="AB732" s="95">
        <v>1</v>
      </c>
      <c r="AC732" s="95">
        <v>1</v>
      </c>
      <c r="AD732" s="95">
        <v>0</v>
      </c>
      <c r="AE732" s="95">
        <v>0</v>
      </c>
      <c r="AF732" s="95">
        <v>0</v>
      </c>
      <c r="AG732" s="95">
        <v>0</v>
      </c>
      <c r="AH732" s="95">
        <v>0</v>
      </c>
      <c r="AI732" s="95">
        <v>0</v>
      </c>
      <c r="AJ732" s="3">
        <f>INT(VLOOKUP(U732,模板计算相关数据!A:N,4,0)*VLOOKUP(U732,模板计算相关数据!A:N,14,0)*(1+MAX(0,(VLOOKUP(U732,模板计算相关数据!A:N,7,0)-AQ732))*VLOOKUP(U732,模板计算相关数据!A:N,8,0))*(1-(AL732+AM732)*0.5/((AL732+AM732)*0.5+(VLOOKUP(U732,模板计算相关数据!A:N,2,0)+模板计算相关数据!$AC$27)*模板计算相关数据!$AC$28))*Q732*Z732)</f>
        <v>325</v>
      </c>
      <c r="AK732" s="3">
        <f>INT(VLOOKUP(U732,模板计算相关数据!A:N,3,0)/模板计算相关数据!$W$35/(1+MAX(0,(AO732/10000-VLOOKUP(U732,模板计算相关数据!A:N,9,0)))*AP732/10000)/(1-VLOOKUP(U732,模板计算相关数据!A:N,5,0)/(VLOOKUP(U732,模板计算相关数据!A:N,5,0)+(VLOOKUP(U732,模板计算相关数据!A:N,2,0)+模板计算相关数据!$AC$27)*模板计算相关数据!$AC$28))/S732*AA732)</f>
        <v>102</v>
      </c>
      <c r="AL732" s="3">
        <f>INT(VLOOKUP(U732,模板计算相关数据!A:N,5,0)*VLOOKUP(X732,模板计算相关数据!$P$4:$T$7,4,0)*VLOOKUP(Y732,模板计算相关数据!$P$22:$U$30,4,0)*AB732)</f>
        <v>230</v>
      </c>
      <c r="AM732" s="3">
        <f>INT(VLOOKUP(U732,模板计算相关数据!A:N,6,0)*VLOOKUP(X732,模板计算相关数据!$P$4:$T$7,4,0)*VLOOKUP(Y732,模板计算相关数据!$P$22:$U$30,5,0)*AC732)</f>
        <v>136</v>
      </c>
      <c r="AN732" s="3">
        <f>VLOOKUP(U732,模板计算相关数据!A:N,10,0)*0.5*VLOOKUP(Y732,模板计算相关数据!$P$22:$U$30,6,0)+AD732</f>
        <v>250</v>
      </c>
      <c r="AO732" s="3">
        <f>VLOOKUP(INT(VLOOKUP(U732,模板计算相关数据!A:N,2,0)/30)+1,模板计算相关数据!$O$35:$U$40,3,0)+AE732</f>
        <v>0</v>
      </c>
      <c r="AP732" s="3">
        <f>VLOOKUP(INT(VLOOKUP(U732,模板计算相关数据!A:N,2,0)/30)+1,模板计算相关数据!$O$35:$U$40,4,0)+AF732</f>
        <v>5000</v>
      </c>
      <c r="AQ732" s="3">
        <f>VLOOKUP(INT(VLOOKUP(U732,模板计算相关数据!A:N,2,0)/30)+1,模板计算相关数据!$O$35:$U$40,5,0)+AG732</f>
        <v>0</v>
      </c>
      <c r="AR732" s="3">
        <f>VLOOKUP(INT(VLOOKUP(U732,模板计算相关数据!A:N,2,0)/30)+1,模板计算相关数据!$O$35:$U$40,6,0)+AH732</f>
        <v>0</v>
      </c>
      <c r="AS732" s="3">
        <f>VLOOKUP(INT(VLOOKUP(U732,模板计算相关数据!A:N,2,0)/30)+1,模板计算相关数据!$O$35:$U$40,7,0)+AI732</f>
        <v>0</v>
      </c>
      <c r="AT732" s="3">
        <f>VLOOKUP(INT(VLOOKUP(U732,模板计算相关数据!A:N,2,0)/30)+1,模板计算相关数据!$O$35:$V$40,8,0)</f>
        <v>0</v>
      </c>
      <c r="AU732" s="2"/>
    </row>
    <row r="733" spans="1:47" x14ac:dyDescent="0.2">
      <c r="A733" s="2">
        <v>307428</v>
      </c>
      <c r="B733" s="2"/>
      <c r="C733" s="2" t="s">
        <v>152</v>
      </c>
      <c r="D733" s="2" t="s">
        <v>1258</v>
      </c>
      <c r="E733" s="2"/>
      <c r="F733" s="127">
        <v>3</v>
      </c>
      <c r="G733" s="127">
        <v>101</v>
      </c>
      <c r="H733" s="3">
        <v>1</v>
      </c>
      <c r="I733" s="127">
        <v>5</v>
      </c>
      <c r="J733" s="127">
        <v>1</v>
      </c>
      <c r="K733" s="3"/>
      <c r="L733" s="2" t="s">
        <v>551</v>
      </c>
      <c r="M733" s="2"/>
      <c r="N733" s="2">
        <v>1</v>
      </c>
      <c r="O733" s="2"/>
      <c r="P733" s="3" t="s">
        <v>1615</v>
      </c>
      <c r="Q733" s="95">
        <f t="shared" si="70"/>
        <v>4.417254901960785</v>
      </c>
      <c r="R733" s="133">
        <f>IF(P733=模板计算相关数据!$AB$24,VLOOKUP(X733,模板计算相关数据!$P$47:$T$50,2,0),VLOOKUP(X733,模板计算相关数据!$P$4:$U$7,3,0))*VLOOKUP(Y733,模板计算相关数据!$P$22:$X$30,8,0)</f>
        <v>4.417254901960785</v>
      </c>
      <c r="S733" s="62">
        <f t="shared" si="71"/>
        <v>5.4285280003474252</v>
      </c>
      <c r="T733" s="133">
        <f>IF(P733=模板计算相关数据!$AB$24,VLOOKUP(X733,模板计算相关数据!$P$47:$T$50,5,0),VLOOKUP(X733,模板计算相关数据!$P$4:$U$7,6,0))*VLOOKUP(Y733,模板计算相关数据!$P$22:$X$30,9,0)</f>
        <v>5.4285280003474252</v>
      </c>
      <c r="U733" s="98">
        <v>1</v>
      </c>
      <c r="V733" s="95">
        <f t="shared" si="69"/>
        <v>4</v>
      </c>
      <c r="W733" s="29">
        <f>VLOOKUP(U733,模板计算相关数据!A:N,2,0)</f>
        <v>1</v>
      </c>
      <c r="X733" s="3" t="s">
        <v>151</v>
      </c>
      <c r="Y733" s="3" t="s">
        <v>152</v>
      </c>
      <c r="Z733" s="99">
        <v>1</v>
      </c>
      <c r="AA733" s="95">
        <v>1</v>
      </c>
      <c r="AB733" s="95">
        <v>1</v>
      </c>
      <c r="AC733" s="95">
        <v>1</v>
      </c>
      <c r="AD733" s="95">
        <v>0</v>
      </c>
      <c r="AE733" s="95">
        <v>0</v>
      </c>
      <c r="AF733" s="95">
        <v>0</v>
      </c>
      <c r="AG733" s="95">
        <v>0</v>
      </c>
      <c r="AH733" s="95">
        <v>0</v>
      </c>
      <c r="AI733" s="95">
        <v>0</v>
      </c>
      <c r="AJ733" s="3">
        <f>INT(VLOOKUP(U733,模板计算相关数据!A:N,4,0)*VLOOKUP(U733,模板计算相关数据!A:N,14,0)*(1+MAX(0,(VLOOKUP(U733,模板计算相关数据!A:N,7,0)-AQ733))*VLOOKUP(U733,模板计算相关数据!A:N,8,0))*(1-(AL733+AM733)*0.5/((AL733+AM733)*0.5+(VLOOKUP(U733,模板计算相关数据!A:N,2,0)+模板计算相关数据!$AC$27)*模板计算相关数据!$AC$28))*Q733*Z733)</f>
        <v>325</v>
      </c>
      <c r="AK733" s="3">
        <f>INT(VLOOKUP(U733,模板计算相关数据!A:N,3,0)/模板计算相关数据!$W$35/(1+MAX(0,(AO733/10000-VLOOKUP(U733,模板计算相关数据!A:N,9,0)))*AP733/10000)/(1-VLOOKUP(U733,模板计算相关数据!A:N,5,0)/(VLOOKUP(U733,模板计算相关数据!A:N,5,0)+(VLOOKUP(U733,模板计算相关数据!A:N,2,0)+模板计算相关数据!$AC$27)*模板计算相关数据!$AC$28))/S733*AA733)</f>
        <v>102</v>
      </c>
      <c r="AL733" s="3">
        <f>INT(VLOOKUP(U733,模板计算相关数据!A:N,5,0)*VLOOKUP(X733,模板计算相关数据!$P$4:$T$7,4,0)*VLOOKUP(Y733,模板计算相关数据!$P$22:$U$30,4,0)*AB733)</f>
        <v>230</v>
      </c>
      <c r="AM733" s="3">
        <f>INT(VLOOKUP(U733,模板计算相关数据!A:N,6,0)*VLOOKUP(X733,模板计算相关数据!$P$4:$T$7,4,0)*VLOOKUP(Y733,模板计算相关数据!$P$22:$U$30,5,0)*AC733)</f>
        <v>136</v>
      </c>
      <c r="AN733" s="3">
        <f>VLOOKUP(U733,模板计算相关数据!A:N,10,0)*0.5*VLOOKUP(Y733,模板计算相关数据!$P$22:$U$30,6,0)+AD733</f>
        <v>250</v>
      </c>
      <c r="AO733" s="3">
        <f>VLOOKUP(INT(VLOOKUP(U733,模板计算相关数据!A:N,2,0)/30)+1,模板计算相关数据!$O$35:$U$40,3,0)+AE733</f>
        <v>0</v>
      </c>
      <c r="AP733" s="3">
        <f>VLOOKUP(INT(VLOOKUP(U733,模板计算相关数据!A:N,2,0)/30)+1,模板计算相关数据!$O$35:$U$40,4,0)+AF733</f>
        <v>5000</v>
      </c>
      <c r="AQ733" s="3">
        <f>VLOOKUP(INT(VLOOKUP(U733,模板计算相关数据!A:N,2,0)/30)+1,模板计算相关数据!$O$35:$U$40,5,0)+AG733</f>
        <v>0</v>
      </c>
      <c r="AR733" s="3">
        <f>VLOOKUP(INT(VLOOKUP(U733,模板计算相关数据!A:N,2,0)/30)+1,模板计算相关数据!$O$35:$U$40,6,0)+AH733</f>
        <v>0</v>
      </c>
      <c r="AS733" s="3">
        <f>VLOOKUP(INT(VLOOKUP(U733,模板计算相关数据!A:N,2,0)/30)+1,模板计算相关数据!$O$35:$U$40,7,0)+AI733</f>
        <v>0</v>
      </c>
      <c r="AT733" s="3">
        <f>VLOOKUP(INT(VLOOKUP(U733,模板计算相关数据!A:N,2,0)/30)+1,模板计算相关数据!$O$35:$V$40,8,0)</f>
        <v>0</v>
      </c>
      <c r="AU733" s="2"/>
    </row>
    <row r="734" spans="1:47" x14ac:dyDescent="0.2">
      <c r="A734" s="2">
        <v>307429</v>
      </c>
      <c r="B734" s="2"/>
      <c r="C734" s="2" t="s">
        <v>152</v>
      </c>
      <c r="D734" s="2" t="s">
        <v>1259</v>
      </c>
      <c r="E734" s="2"/>
      <c r="F734" s="127">
        <v>3</v>
      </c>
      <c r="G734" s="127">
        <v>101</v>
      </c>
      <c r="H734" s="3">
        <v>1</v>
      </c>
      <c r="I734" s="127">
        <v>5</v>
      </c>
      <c r="J734" s="127">
        <v>1</v>
      </c>
      <c r="K734" s="3"/>
      <c r="L734" s="2" t="s">
        <v>552</v>
      </c>
      <c r="M734" s="2"/>
      <c r="N734" s="2">
        <v>1</v>
      </c>
      <c r="O734" s="2"/>
      <c r="P734" s="3" t="s">
        <v>1615</v>
      </c>
      <c r="Q734" s="95">
        <f t="shared" si="70"/>
        <v>4.417254901960785</v>
      </c>
      <c r="R734" s="133">
        <f>IF(P734=模板计算相关数据!$AB$24,VLOOKUP(X734,模板计算相关数据!$P$47:$T$50,2,0),VLOOKUP(X734,模板计算相关数据!$P$4:$U$7,3,0))*VLOOKUP(Y734,模板计算相关数据!$P$22:$X$30,8,0)</f>
        <v>4.417254901960785</v>
      </c>
      <c r="S734" s="62">
        <f t="shared" si="71"/>
        <v>5.4285280003474252</v>
      </c>
      <c r="T734" s="133">
        <f>IF(P734=模板计算相关数据!$AB$24,VLOOKUP(X734,模板计算相关数据!$P$47:$T$50,5,0),VLOOKUP(X734,模板计算相关数据!$P$4:$U$7,6,0))*VLOOKUP(Y734,模板计算相关数据!$P$22:$X$30,9,0)</f>
        <v>5.4285280003474252</v>
      </c>
      <c r="U734" s="98">
        <v>1</v>
      </c>
      <c r="V734" s="95">
        <f t="shared" si="69"/>
        <v>4</v>
      </c>
      <c r="W734" s="29">
        <f>VLOOKUP(U734,模板计算相关数据!A:N,2,0)</f>
        <v>1</v>
      </c>
      <c r="X734" s="3" t="s">
        <v>151</v>
      </c>
      <c r="Y734" s="3" t="s">
        <v>152</v>
      </c>
      <c r="Z734" s="99">
        <v>1</v>
      </c>
      <c r="AA734" s="95">
        <v>1</v>
      </c>
      <c r="AB734" s="95">
        <v>1</v>
      </c>
      <c r="AC734" s="95">
        <v>1</v>
      </c>
      <c r="AD734" s="95">
        <v>0</v>
      </c>
      <c r="AE734" s="95">
        <v>0</v>
      </c>
      <c r="AF734" s="95">
        <v>0</v>
      </c>
      <c r="AG734" s="95">
        <v>0</v>
      </c>
      <c r="AH734" s="95">
        <v>0</v>
      </c>
      <c r="AI734" s="95">
        <v>0</v>
      </c>
      <c r="AJ734" s="3">
        <f>INT(VLOOKUP(U734,模板计算相关数据!A:N,4,0)*VLOOKUP(U734,模板计算相关数据!A:N,14,0)*(1+MAX(0,(VLOOKUP(U734,模板计算相关数据!A:N,7,0)-AQ734))*VLOOKUP(U734,模板计算相关数据!A:N,8,0))*(1-(AL734+AM734)*0.5/((AL734+AM734)*0.5+(VLOOKUP(U734,模板计算相关数据!A:N,2,0)+模板计算相关数据!$AC$27)*模板计算相关数据!$AC$28))*Q734*Z734)</f>
        <v>325</v>
      </c>
      <c r="AK734" s="3">
        <f>INT(VLOOKUP(U734,模板计算相关数据!A:N,3,0)/模板计算相关数据!$W$35/(1+MAX(0,(AO734/10000-VLOOKUP(U734,模板计算相关数据!A:N,9,0)))*AP734/10000)/(1-VLOOKUP(U734,模板计算相关数据!A:N,5,0)/(VLOOKUP(U734,模板计算相关数据!A:N,5,0)+(VLOOKUP(U734,模板计算相关数据!A:N,2,0)+模板计算相关数据!$AC$27)*模板计算相关数据!$AC$28))/S734*AA734)</f>
        <v>102</v>
      </c>
      <c r="AL734" s="3">
        <f>INT(VLOOKUP(U734,模板计算相关数据!A:N,5,0)*VLOOKUP(X734,模板计算相关数据!$P$4:$T$7,4,0)*VLOOKUP(Y734,模板计算相关数据!$P$22:$U$30,4,0)*AB734)</f>
        <v>230</v>
      </c>
      <c r="AM734" s="3">
        <f>INT(VLOOKUP(U734,模板计算相关数据!A:N,6,0)*VLOOKUP(X734,模板计算相关数据!$P$4:$T$7,4,0)*VLOOKUP(Y734,模板计算相关数据!$P$22:$U$30,5,0)*AC734)</f>
        <v>136</v>
      </c>
      <c r="AN734" s="3">
        <f>VLOOKUP(U734,模板计算相关数据!A:N,10,0)*0.5*VLOOKUP(Y734,模板计算相关数据!$P$22:$U$30,6,0)+AD734</f>
        <v>250</v>
      </c>
      <c r="AO734" s="3">
        <f>VLOOKUP(INT(VLOOKUP(U734,模板计算相关数据!A:N,2,0)/30)+1,模板计算相关数据!$O$35:$U$40,3,0)+AE734</f>
        <v>0</v>
      </c>
      <c r="AP734" s="3">
        <f>VLOOKUP(INT(VLOOKUP(U734,模板计算相关数据!A:N,2,0)/30)+1,模板计算相关数据!$O$35:$U$40,4,0)+AF734</f>
        <v>5000</v>
      </c>
      <c r="AQ734" s="3">
        <f>VLOOKUP(INT(VLOOKUP(U734,模板计算相关数据!A:N,2,0)/30)+1,模板计算相关数据!$O$35:$U$40,5,0)+AG734</f>
        <v>0</v>
      </c>
      <c r="AR734" s="3">
        <f>VLOOKUP(INT(VLOOKUP(U734,模板计算相关数据!A:N,2,0)/30)+1,模板计算相关数据!$O$35:$U$40,6,0)+AH734</f>
        <v>0</v>
      </c>
      <c r="AS734" s="3">
        <f>VLOOKUP(INT(VLOOKUP(U734,模板计算相关数据!A:N,2,0)/30)+1,模板计算相关数据!$O$35:$U$40,7,0)+AI734</f>
        <v>0</v>
      </c>
      <c r="AT734" s="3">
        <f>VLOOKUP(INT(VLOOKUP(U734,模板计算相关数据!A:N,2,0)/30)+1,模板计算相关数据!$O$35:$V$40,8,0)</f>
        <v>0</v>
      </c>
      <c r="AU734" s="2"/>
    </row>
    <row r="735" spans="1:47" x14ac:dyDescent="0.2">
      <c r="A735" s="2">
        <v>307430</v>
      </c>
      <c r="B735" s="2"/>
      <c r="C735" s="2" t="s">
        <v>152</v>
      </c>
      <c r="D735" s="2" t="s">
        <v>1260</v>
      </c>
      <c r="E735" s="2"/>
      <c r="F735" s="127">
        <v>3</v>
      </c>
      <c r="G735" s="127">
        <v>101</v>
      </c>
      <c r="H735" s="3">
        <v>1</v>
      </c>
      <c r="I735" s="127">
        <v>5</v>
      </c>
      <c r="J735" s="127">
        <v>1</v>
      </c>
      <c r="K735" s="3"/>
      <c r="L735" s="2" t="s">
        <v>553</v>
      </c>
      <c r="M735" s="2"/>
      <c r="N735" s="2">
        <v>1</v>
      </c>
      <c r="O735" s="2"/>
      <c r="P735" s="3" t="s">
        <v>1615</v>
      </c>
      <c r="Q735" s="95">
        <f t="shared" si="70"/>
        <v>4.417254901960785</v>
      </c>
      <c r="R735" s="133">
        <f>IF(P735=模板计算相关数据!$AB$24,VLOOKUP(X735,模板计算相关数据!$P$47:$T$50,2,0),VLOOKUP(X735,模板计算相关数据!$P$4:$U$7,3,0))*VLOOKUP(Y735,模板计算相关数据!$P$22:$X$30,8,0)</f>
        <v>4.417254901960785</v>
      </c>
      <c r="S735" s="62">
        <f t="shared" si="71"/>
        <v>5.4285280003474252</v>
      </c>
      <c r="T735" s="133">
        <f>IF(P735=模板计算相关数据!$AB$24,VLOOKUP(X735,模板计算相关数据!$P$47:$T$50,5,0),VLOOKUP(X735,模板计算相关数据!$P$4:$U$7,6,0))*VLOOKUP(Y735,模板计算相关数据!$P$22:$X$30,9,0)</f>
        <v>5.4285280003474252</v>
      </c>
      <c r="U735" s="98">
        <v>1</v>
      </c>
      <c r="V735" s="95">
        <f t="shared" si="69"/>
        <v>4</v>
      </c>
      <c r="W735" s="29">
        <f>VLOOKUP(U735,模板计算相关数据!A:N,2,0)</f>
        <v>1</v>
      </c>
      <c r="X735" s="3" t="s">
        <v>151</v>
      </c>
      <c r="Y735" s="3" t="s">
        <v>152</v>
      </c>
      <c r="Z735" s="99">
        <v>1</v>
      </c>
      <c r="AA735" s="95">
        <v>1</v>
      </c>
      <c r="AB735" s="95">
        <v>1</v>
      </c>
      <c r="AC735" s="95">
        <v>1</v>
      </c>
      <c r="AD735" s="95">
        <v>0</v>
      </c>
      <c r="AE735" s="95">
        <v>0</v>
      </c>
      <c r="AF735" s="95">
        <v>0</v>
      </c>
      <c r="AG735" s="95">
        <v>0</v>
      </c>
      <c r="AH735" s="95">
        <v>0</v>
      </c>
      <c r="AI735" s="95">
        <v>0</v>
      </c>
      <c r="AJ735" s="3">
        <f>INT(VLOOKUP(U735,模板计算相关数据!A:N,4,0)*VLOOKUP(U735,模板计算相关数据!A:N,14,0)*(1+MAX(0,(VLOOKUP(U735,模板计算相关数据!A:N,7,0)-AQ735))*VLOOKUP(U735,模板计算相关数据!A:N,8,0))*(1-(AL735+AM735)*0.5/((AL735+AM735)*0.5+(VLOOKUP(U735,模板计算相关数据!A:N,2,0)+模板计算相关数据!$AC$27)*模板计算相关数据!$AC$28))*Q735*Z735)</f>
        <v>325</v>
      </c>
      <c r="AK735" s="3">
        <f>INT(VLOOKUP(U735,模板计算相关数据!A:N,3,0)/模板计算相关数据!$W$35/(1+MAX(0,(AO735/10000-VLOOKUP(U735,模板计算相关数据!A:N,9,0)))*AP735/10000)/(1-VLOOKUP(U735,模板计算相关数据!A:N,5,0)/(VLOOKUP(U735,模板计算相关数据!A:N,5,0)+(VLOOKUP(U735,模板计算相关数据!A:N,2,0)+模板计算相关数据!$AC$27)*模板计算相关数据!$AC$28))/S735*AA735)</f>
        <v>102</v>
      </c>
      <c r="AL735" s="3">
        <f>INT(VLOOKUP(U735,模板计算相关数据!A:N,5,0)*VLOOKUP(X735,模板计算相关数据!$P$4:$T$7,4,0)*VLOOKUP(Y735,模板计算相关数据!$P$22:$U$30,4,0)*AB735)</f>
        <v>230</v>
      </c>
      <c r="AM735" s="3">
        <f>INT(VLOOKUP(U735,模板计算相关数据!A:N,6,0)*VLOOKUP(X735,模板计算相关数据!$P$4:$T$7,4,0)*VLOOKUP(Y735,模板计算相关数据!$P$22:$U$30,5,0)*AC735)</f>
        <v>136</v>
      </c>
      <c r="AN735" s="3">
        <f>VLOOKUP(U735,模板计算相关数据!A:N,10,0)*0.5*VLOOKUP(Y735,模板计算相关数据!$P$22:$U$30,6,0)+AD735</f>
        <v>250</v>
      </c>
      <c r="AO735" s="3">
        <f>VLOOKUP(INT(VLOOKUP(U735,模板计算相关数据!A:N,2,0)/30)+1,模板计算相关数据!$O$35:$U$40,3,0)+AE735</f>
        <v>0</v>
      </c>
      <c r="AP735" s="3">
        <f>VLOOKUP(INT(VLOOKUP(U735,模板计算相关数据!A:N,2,0)/30)+1,模板计算相关数据!$O$35:$U$40,4,0)+AF735</f>
        <v>5000</v>
      </c>
      <c r="AQ735" s="3">
        <f>VLOOKUP(INT(VLOOKUP(U735,模板计算相关数据!A:N,2,0)/30)+1,模板计算相关数据!$O$35:$U$40,5,0)+AG735</f>
        <v>0</v>
      </c>
      <c r="AR735" s="3">
        <f>VLOOKUP(INT(VLOOKUP(U735,模板计算相关数据!A:N,2,0)/30)+1,模板计算相关数据!$O$35:$U$40,6,0)+AH735</f>
        <v>0</v>
      </c>
      <c r="AS735" s="3">
        <f>VLOOKUP(INT(VLOOKUP(U735,模板计算相关数据!A:N,2,0)/30)+1,模板计算相关数据!$O$35:$U$40,7,0)+AI735</f>
        <v>0</v>
      </c>
      <c r="AT735" s="3">
        <f>VLOOKUP(INT(VLOOKUP(U735,模板计算相关数据!A:N,2,0)/30)+1,模板计算相关数据!$O$35:$V$40,8,0)</f>
        <v>0</v>
      </c>
      <c r="AU735" s="2"/>
    </row>
    <row r="736" spans="1:47" x14ac:dyDescent="0.2">
      <c r="A736" s="17">
        <v>307431</v>
      </c>
      <c r="B736" s="17"/>
      <c r="C736" s="17" t="s">
        <v>554</v>
      </c>
      <c r="D736" s="25" t="s">
        <v>1261</v>
      </c>
      <c r="E736" s="17"/>
      <c r="F736" s="152">
        <v>3</v>
      </c>
      <c r="G736" s="152">
        <v>101</v>
      </c>
      <c r="H736" s="43">
        <v>5</v>
      </c>
      <c r="I736" s="152">
        <v>5</v>
      </c>
      <c r="J736" s="152">
        <v>1</v>
      </c>
      <c r="K736" s="3"/>
      <c r="L736" s="2" t="s">
        <v>555</v>
      </c>
      <c r="M736" s="2"/>
      <c r="N736" s="2">
        <v>1</v>
      </c>
      <c r="O736" s="2"/>
      <c r="P736" s="3" t="s">
        <v>1615</v>
      </c>
      <c r="Q736" s="95">
        <f t="shared" si="70"/>
        <v>5.7709803921568623</v>
      </c>
      <c r="R736" s="133">
        <f>IF(P736=模板计算相关数据!$AB$24,VLOOKUP(X736,模板计算相关数据!$P$47:$T$50,2,0),VLOOKUP(X736,模板计算相关数据!$P$4:$U$7,3,0))*VLOOKUP(Y736,模板计算相关数据!$P$22:$X$30,8,0)</f>
        <v>5.7709803921568623</v>
      </c>
      <c r="S736" s="62">
        <f t="shared" si="71"/>
        <v>6.4077918749199023</v>
      </c>
      <c r="T736" s="133">
        <f>IF(P736=模板计算相关数据!$AB$24,VLOOKUP(X736,模板计算相关数据!$P$47:$T$50,5,0),VLOOKUP(X736,模板计算相关数据!$P$4:$U$7,6,0))*VLOOKUP(Y736,模板计算相关数据!$P$22:$X$30,9,0)</f>
        <v>6.4077918749199023</v>
      </c>
      <c r="U736" s="98">
        <v>1</v>
      </c>
      <c r="V736" s="95">
        <f t="shared" si="69"/>
        <v>4</v>
      </c>
      <c r="W736" s="29">
        <f>VLOOKUP(U736,模板计算相关数据!A:N,2,0)</f>
        <v>1</v>
      </c>
      <c r="X736" s="3" t="s">
        <v>151</v>
      </c>
      <c r="Y736" s="3" t="s">
        <v>243</v>
      </c>
      <c r="Z736" s="99">
        <v>1</v>
      </c>
      <c r="AA736" s="95">
        <v>1</v>
      </c>
      <c r="AB736" s="95">
        <v>1</v>
      </c>
      <c r="AC736" s="95">
        <v>1</v>
      </c>
      <c r="AD736" s="95">
        <v>0</v>
      </c>
      <c r="AE736" s="95">
        <v>0</v>
      </c>
      <c r="AF736" s="95">
        <v>0</v>
      </c>
      <c r="AG736" s="95">
        <v>0</v>
      </c>
      <c r="AH736" s="95">
        <v>0</v>
      </c>
      <c r="AI736" s="95">
        <v>0</v>
      </c>
      <c r="AJ736" s="3">
        <f>INT(VLOOKUP(U736,模板计算相关数据!A:N,4,0)*VLOOKUP(U736,模板计算相关数据!A:N,14,0)*(1+MAX(0,(VLOOKUP(U736,模板计算相关数据!A:N,7,0)-AQ736))*VLOOKUP(U736,模板计算相关数据!A:N,8,0))*(1-(AL736+AM736)*0.5/((AL736+AM736)*0.5+(VLOOKUP(U736,模板计算相关数据!A:N,2,0)+模板计算相关数据!$AC$27)*模板计算相关数据!$AC$28))*Q736*Z736)</f>
        <v>411</v>
      </c>
      <c r="AK736" s="3">
        <f>INT(VLOOKUP(U736,模板计算相关数据!A:N,3,0)/模板计算相关数据!$W$35/(1+MAX(0,(AO736/10000-VLOOKUP(U736,模板计算相关数据!A:N,9,0)))*AP736/10000)/(1-VLOOKUP(U736,模板计算相关数据!A:N,5,0)/(VLOOKUP(U736,模板计算相关数据!A:N,5,0)+(VLOOKUP(U736,模板计算相关数据!A:N,2,0)+模板计算相关数据!$AC$27)*模板计算相关数据!$AC$28))/S736*AA736)</f>
        <v>86</v>
      </c>
      <c r="AL736" s="3">
        <f>INT(VLOOKUP(U736,模板计算相关数据!A:N,5,0)*VLOOKUP(X736,模板计算相关数据!$P$4:$T$7,4,0)*VLOOKUP(Y736,模板计算相关数据!$P$22:$U$30,4,0)*AB736)</f>
        <v>145</v>
      </c>
      <c r="AM736" s="3">
        <f>INT(VLOOKUP(U736,模板计算相关数据!A:N,6,0)*VLOOKUP(X736,模板计算相关数据!$P$4:$T$7,4,0)*VLOOKUP(Y736,模板计算相关数据!$P$22:$U$30,5,0)*AC736)</f>
        <v>264</v>
      </c>
      <c r="AN736" s="3">
        <f>VLOOKUP(U736,模板计算相关数据!A:N,10,0)*0.5*VLOOKUP(Y736,模板计算相关数据!$P$22:$U$30,6,0)+AD736</f>
        <v>275</v>
      </c>
      <c r="AO736" s="3">
        <f>VLOOKUP(INT(VLOOKUP(U736,模板计算相关数据!A:N,2,0)/30)+1,模板计算相关数据!$O$35:$U$40,3,0)+AE736</f>
        <v>0</v>
      </c>
      <c r="AP736" s="3">
        <f>VLOOKUP(INT(VLOOKUP(U736,模板计算相关数据!A:N,2,0)/30)+1,模板计算相关数据!$O$35:$U$40,4,0)+AF736</f>
        <v>5000</v>
      </c>
      <c r="AQ736" s="3">
        <f>VLOOKUP(INT(VLOOKUP(U736,模板计算相关数据!A:N,2,0)/30)+1,模板计算相关数据!$O$35:$U$40,5,0)+AG736</f>
        <v>0</v>
      </c>
      <c r="AR736" s="3">
        <f>VLOOKUP(INT(VLOOKUP(U736,模板计算相关数据!A:N,2,0)/30)+1,模板计算相关数据!$O$35:$U$40,6,0)+AH736</f>
        <v>0</v>
      </c>
      <c r="AS736" s="3">
        <f>VLOOKUP(INT(VLOOKUP(U736,模板计算相关数据!A:N,2,0)/30)+1,模板计算相关数据!$O$35:$U$40,7,0)+AI736</f>
        <v>0</v>
      </c>
      <c r="AT736" s="3">
        <f>VLOOKUP(INT(VLOOKUP(U736,模板计算相关数据!A:N,2,0)/30)+1,模板计算相关数据!$O$35:$V$40,8,0)</f>
        <v>0</v>
      </c>
      <c r="AU736" s="2"/>
    </row>
    <row r="737" spans="1:47" x14ac:dyDescent="0.2">
      <c r="A737" s="2">
        <v>307432</v>
      </c>
      <c r="B737" s="2"/>
      <c r="C737" s="2" t="s">
        <v>326</v>
      </c>
      <c r="D737" s="69" t="s">
        <v>1262</v>
      </c>
      <c r="E737" s="2"/>
      <c r="F737" s="127">
        <v>3</v>
      </c>
      <c r="G737" s="127">
        <v>101</v>
      </c>
      <c r="H737" s="3">
        <v>5</v>
      </c>
      <c r="I737" s="127">
        <v>5</v>
      </c>
      <c r="J737" s="127">
        <v>1</v>
      </c>
      <c r="K737" s="3"/>
      <c r="L737" s="2" t="s">
        <v>556</v>
      </c>
      <c r="M737" s="2"/>
      <c r="N737" s="2">
        <v>1</v>
      </c>
      <c r="O737" s="2"/>
      <c r="P737" s="3" t="s">
        <v>1615</v>
      </c>
      <c r="Q737" s="95">
        <f t="shared" si="70"/>
        <v>5.7709803921568623</v>
      </c>
      <c r="R737" s="133">
        <f>IF(P737=模板计算相关数据!$AB$24,VLOOKUP(X737,模板计算相关数据!$P$47:$T$50,2,0),VLOOKUP(X737,模板计算相关数据!$P$4:$U$7,3,0))*VLOOKUP(Y737,模板计算相关数据!$P$22:$X$30,8,0)</f>
        <v>5.7709803921568623</v>
      </c>
      <c r="S737" s="62">
        <f t="shared" si="71"/>
        <v>6.4077918749199023</v>
      </c>
      <c r="T737" s="133">
        <f>IF(P737=模板计算相关数据!$AB$24,VLOOKUP(X737,模板计算相关数据!$P$47:$T$50,5,0),VLOOKUP(X737,模板计算相关数据!$P$4:$U$7,6,0))*VLOOKUP(Y737,模板计算相关数据!$P$22:$X$30,9,0)</f>
        <v>6.4077918749199023</v>
      </c>
      <c r="U737" s="98">
        <v>1</v>
      </c>
      <c r="V737" s="95">
        <f t="shared" si="69"/>
        <v>4</v>
      </c>
      <c r="W737" s="29">
        <f>VLOOKUP(U737,模板计算相关数据!A:N,2,0)</f>
        <v>1</v>
      </c>
      <c r="X737" s="3" t="s">
        <v>151</v>
      </c>
      <c r="Y737" s="3" t="s">
        <v>243</v>
      </c>
      <c r="Z737" s="99">
        <v>1</v>
      </c>
      <c r="AA737" s="95">
        <v>1</v>
      </c>
      <c r="AB737" s="95">
        <v>1</v>
      </c>
      <c r="AC737" s="95">
        <v>1</v>
      </c>
      <c r="AD737" s="95">
        <v>0</v>
      </c>
      <c r="AE737" s="95">
        <v>0</v>
      </c>
      <c r="AF737" s="95">
        <v>0</v>
      </c>
      <c r="AG737" s="95">
        <v>0</v>
      </c>
      <c r="AH737" s="95">
        <v>0</v>
      </c>
      <c r="AI737" s="95">
        <v>0</v>
      </c>
      <c r="AJ737" s="3">
        <f>INT(VLOOKUP(U737,模板计算相关数据!A:N,4,0)*VLOOKUP(U737,模板计算相关数据!A:N,14,0)*(1+MAX(0,(VLOOKUP(U737,模板计算相关数据!A:N,7,0)-AQ737))*VLOOKUP(U737,模板计算相关数据!A:N,8,0))*(1-(AL737+AM737)*0.5/((AL737+AM737)*0.5+(VLOOKUP(U737,模板计算相关数据!A:N,2,0)+模板计算相关数据!$AC$27)*模板计算相关数据!$AC$28))*Q737*Z737)</f>
        <v>411</v>
      </c>
      <c r="AK737" s="3">
        <f>INT(VLOOKUP(U737,模板计算相关数据!A:N,3,0)/模板计算相关数据!$W$35/(1+MAX(0,(AO737/10000-VLOOKUP(U737,模板计算相关数据!A:N,9,0)))*AP737/10000)/(1-VLOOKUP(U737,模板计算相关数据!A:N,5,0)/(VLOOKUP(U737,模板计算相关数据!A:N,5,0)+(VLOOKUP(U737,模板计算相关数据!A:N,2,0)+模板计算相关数据!$AC$27)*模板计算相关数据!$AC$28))/S737*AA737)</f>
        <v>86</v>
      </c>
      <c r="AL737" s="3">
        <f>INT(VLOOKUP(U737,模板计算相关数据!A:N,5,0)*VLOOKUP(X737,模板计算相关数据!$P$4:$T$7,4,0)*VLOOKUP(Y737,模板计算相关数据!$P$22:$U$30,4,0)*AB737)</f>
        <v>145</v>
      </c>
      <c r="AM737" s="3">
        <f>INT(VLOOKUP(U737,模板计算相关数据!A:N,6,0)*VLOOKUP(X737,模板计算相关数据!$P$4:$T$7,4,0)*VLOOKUP(Y737,模板计算相关数据!$P$22:$U$30,5,0)*AC737)</f>
        <v>264</v>
      </c>
      <c r="AN737" s="3">
        <f>VLOOKUP(U737,模板计算相关数据!A:N,10,0)*0.5*VLOOKUP(Y737,模板计算相关数据!$P$22:$U$30,6,0)+AD737</f>
        <v>275</v>
      </c>
      <c r="AO737" s="3">
        <f>VLOOKUP(INT(VLOOKUP(U737,模板计算相关数据!A:N,2,0)/30)+1,模板计算相关数据!$O$35:$U$40,3,0)+AE737</f>
        <v>0</v>
      </c>
      <c r="AP737" s="3">
        <f>VLOOKUP(INT(VLOOKUP(U737,模板计算相关数据!A:N,2,0)/30)+1,模板计算相关数据!$O$35:$U$40,4,0)+AF737</f>
        <v>5000</v>
      </c>
      <c r="AQ737" s="3">
        <f>VLOOKUP(INT(VLOOKUP(U737,模板计算相关数据!A:N,2,0)/30)+1,模板计算相关数据!$O$35:$U$40,5,0)+AG737</f>
        <v>0</v>
      </c>
      <c r="AR737" s="3">
        <f>VLOOKUP(INT(VLOOKUP(U737,模板计算相关数据!A:N,2,0)/30)+1,模板计算相关数据!$O$35:$U$40,6,0)+AH737</f>
        <v>0</v>
      </c>
      <c r="AS737" s="3">
        <f>VLOOKUP(INT(VLOOKUP(U737,模板计算相关数据!A:N,2,0)/30)+1,模板计算相关数据!$O$35:$U$40,7,0)+AI737</f>
        <v>0</v>
      </c>
      <c r="AT737" s="3">
        <f>VLOOKUP(INT(VLOOKUP(U737,模板计算相关数据!A:N,2,0)/30)+1,模板计算相关数据!$O$35:$V$40,8,0)</f>
        <v>0</v>
      </c>
      <c r="AU737" s="2"/>
    </row>
    <row r="738" spans="1:47" x14ac:dyDescent="0.2">
      <c r="A738" s="2">
        <v>307433</v>
      </c>
      <c r="B738" s="2"/>
      <c r="C738" s="2" t="s">
        <v>326</v>
      </c>
      <c r="D738" s="69" t="s">
        <v>1263</v>
      </c>
      <c r="E738" s="2"/>
      <c r="F738" s="127">
        <v>3</v>
      </c>
      <c r="G738" s="127">
        <v>101</v>
      </c>
      <c r="H738" s="3">
        <v>5</v>
      </c>
      <c r="I738" s="127">
        <v>5</v>
      </c>
      <c r="J738" s="127">
        <v>1</v>
      </c>
      <c r="K738" s="3"/>
      <c r="L738" s="2" t="s">
        <v>557</v>
      </c>
      <c r="M738" s="2"/>
      <c r="N738" s="2">
        <v>1</v>
      </c>
      <c r="O738" s="2"/>
      <c r="P738" s="3" t="s">
        <v>1615</v>
      </c>
      <c r="Q738" s="95">
        <f t="shared" si="70"/>
        <v>5.7709803921568623</v>
      </c>
      <c r="R738" s="133">
        <f>IF(P738=模板计算相关数据!$AB$24,VLOOKUP(X738,模板计算相关数据!$P$47:$T$50,2,0),VLOOKUP(X738,模板计算相关数据!$P$4:$U$7,3,0))*VLOOKUP(Y738,模板计算相关数据!$P$22:$X$30,8,0)</f>
        <v>5.7709803921568623</v>
      </c>
      <c r="S738" s="62">
        <f t="shared" si="71"/>
        <v>6.4077918749199023</v>
      </c>
      <c r="T738" s="133">
        <f>IF(P738=模板计算相关数据!$AB$24,VLOOKUP(X738,模板计算相关数据!$P$47:$T$50,5,0),VLOOKUP(X738,模板计算相关数据!$P$4:$U$7,6,0))*VLOOKUP(Y738,模板计算相关数据!$P$22:$X$30,9,0)</f>
        <v>6.4077918749199023</v>
      </c>
      <c r="U738" s="98">
        <v>1</v>
      </c>
      <c r="V738" s="95">
        <f t="shared" si="69"/>
        <v>4</v>
      </c>
      <c r="W738" s="29">
        <f>VLOOKUP(U738,模板计算相关数据!A:N,2,0)</f>
        <v>1</v>
      </c>
      <c r="X738" s="3" t="s">
        <v>151</v>
      </c>
      <c r="Y738" s="3" t="s">
        <v>243</v>
      </c>
      <c r="Z738" s="99">
        <v>1</v>
      </c>
      <c r="AA738" s="95">
        <v>1</v>
      </c>
      <c r="AB738" s="95">
        <v>1</v>
      </c>
      <c r="AC738" s="95">
        <v>1</v>
      </c>
      <c r="AD738" s="95">
        <v>0</v>
      </c>
      <c r="AE738" s="95">
        <v>0</v>
      </c>
      <c r="AF738" s="95">
        <v>0</v>
      </c>
      <c r="AG738" s="95">
        <v>0</v>
      </c>
      <c r="AH738" s="95">
        <v>0</v>
      </c>
      <c r="AI738" s="95">
        <v>0</v>
      </c>
      <c r="AJ738" s="3">
        <f>INT(VLOOKUP(U738,模板计算相关数据!A:N,4,0)*VLOOKUP(U738,模板计算相关数据!A:N,14,0)*(1+MAX(0,(VLOOKUP(U738,模板计算相关数据!A:N,7,0)-AQ738))*VLOOKUP(U738,模板计算相关数据!A:N,8,0))*(1-(AL738+AM738)*0.5/((AL738+AM738)*0.5+(VLOOKUP(U738,模板计算相关数据!A:N,2,0)+模板计算相关数据!$AC$27)*模板计算相关数据!$AC$28))*Q738*Z738)</f>
        <v>411</v>
      </c>
      <c r="AK738" s="3">
        <f>INT(VLOOKUP(U738,模板计算相关数据!A:N,3,0)/模板计算相关数据!$W$35/(1+MAX(0,(AO738/10000-VLOOKUP(U738,模板计算相关数据!A:N,9,0)))*AP738/10000)/(1-VLOOKUP(U738,模板计算相关数据!A:N,5,0)/(VLOOKUP(U738,模板计算相关数据!A:N,5,0)+(VLOOKUP(U738,模板计算相关数据!A:N,2,0)+模板计算相关数据!$AC$27)*模板计算相关数据!$AC$28))/S738*AA738)</f>
        <v>86</v>
      </c>
      <c r="AL738" s="3">
        <f>INT(VLOOKUP(U738,模板计算相关数据!A:N,5,0)*VLOOKUP(X738,模板计算相关数据!$P$4:$T$7,4,0)*VLOOKUP(Y738,模板计算相关数据!$P$22:$U$30,4,0)*AB738)</f>
        <v>145</v>
      </c>
      <c r="AM738" s="3">
        <f>INT(VLOOKUP(U738,模板计算相关数据!A:N,6,0)*VLOOKUP(X738,模板计算相关数据!$P$4:$T$7,4,0)*VLOOKUP(Y738,模板计算相关数据!$P$22:$U$30,5,0)*AC738)</f>
        <v>264</v>
      </c>
      <c r="AN738" s="3">
        <f>VLOOKUP(U738,模板计算相关数据!A:N,10,0)*0.5*VLOOKUP(Y738,模板计算相关数据!$P$22:$U$30,6,0)+AD738</f>
        <v>275</v>
      </c>
      <c r="AO738" s="3">
        <f>VLOOKUP(INT(VLOOKUP(U738,模板计算相关数据!A:N,2,0)/30)+1,模板计算相关数据!$O$35:$U$40,3,0)+AE738</f>
        <v>0</v>
      </c>
      <c r="AP738" s="3">
        <f>VLOOKUP(INT(VLOOKUP(U738,模板计算相关数据!A:N,2,0)/30)+1,模板计算相关数据!$O$35:$U$40,4,0)+AF738</f>
        <v>5000</v>
      </c>
      <c r="AQ738" s="3">
        <f>VLOOKUP(INT(VLOOKUP(U738,模板计算相关数据!A:N,2,0)/30)+1,模板计算相关数据!$O$35:$U$40,5,0)+AG738</f>
        <v>0</v>
      </c>
      <c r="AR738" s="3">
        <f>VLOOKUP(INT(VLOOKUP(U738,模板计算相关数据!A:N,2,0)/30)+1,模板计算相关数据!$O$35:$U$40,6,0)+AH738</f>
        <v>0</v>
      </c>
      <c r="AS738" s="3">
        <f>VLOOKUP(INT(VLOOKUP(U738,模板计算相关数据!A:N,2,0)/30)+1,模板计算相关数据!$O$35:$U$40,7,0)+AI738</f>
        <v>0</v>
      </c>
      <c r="AT738" s="3">
        <f>VLOOKUP(INT(VLOOKUP(U738,模板计算相关数据!A:N,2,0)/30)+1,模板计算相关数据!$O$35:$V$40,8,0)</f>
        <v>0</v>
      </c>
      <c r="AU738" s="2"/>
    </row>
    <row r="739" spans="1:47" x14ac:dyDescent="0.2">
      <c r="A739" s="2">
        <v>307434</v>
      </c>
      <c r="B739" s="2"/>
      <c r="C739" s="2" t="s">
        <v>326</v>
      </c>
      <c r="D739" s="69" t="s">
        <v>1264</v>
      </c>
      <c r="E739" s="2"/>
      <c r="F739" s="127">
        <v>3</v>
      </c>
      <c r="G739" s="127">
        <v>101</v>
      </c>
      <c r="H739" s="3">
        <v>5</v>
      </c>
      <c r="I739" s="127">
        <v>5</v>
      </c>
      <c r="J739" s="127">
        <v>1</v>
      </c>
      <c r="K739" s="3"/>
      <c r="L739" s="2" t="s">
        <v>558</v>
      </c>
      <c r="M739" s="2"/>
      <c r="N739" s="2">
        <v>1</v>
      </c>
      <c r="O739" s="2"/>
      <c r="P739" s="3" t="s">
        <v>1615</v>
      </c>
      <c r="Q739" s="95">
        <f t="shared" si="70"/>
        <v>5.7709803921568623</v>
      </c>
      <c r="R739" s="133">
        <f>IF(P739=模板计算相关数据!$AB$24,VLOOKUP(X739,模板计算相关数据!$P$47:$T$50,2,0),VLOOKUP(X739,模板计算相关数据!$P$4:$U$7,3,0))*VLOOKUP(Y739,模板计算相关数据!$P$22:$X$30,8,0)</f>
        <v>5.7709803921568623</v>
      </c>
      <c r="S739" s="62">
        <f t="shared" si="71"/>
        <v>6.4077918749199023</v>
      </c>
      <c r="T739" s="133">
        <f>IF(P739=模板计算相关数据!$AB$24,VLOOKUP(X739,模板计算相关数据!$P$47:$T$50,5,0),VLOOKUP(X739,模板计算相关数据!$P$4:$U$7,6,0))*VLOOKUP(Y739,模板计算相关数据!$P$22:$X$30,9,0)</f>
        <v>6.4077918749199023</v>
      </c>
      <c r="U739" s="98">
        <v>1</v>
      </c>
      <c r="V739" s="95">
        <f t="shared" si="69"/>
        <v>4</v>
      </c>
      <c r="W739" s="29">
        <f>VLOOKUP(U739,模板计算相关数据!A:N,2,0)</f>
        <v>1</v>
      </c>
      <c r="X739" s="3" t="s">
        <v>151</v>
      </c>
      <c r="Y739" s="3" t="s">
        <v>243</v>
      </c>
      <c r="Z739" s="99">
        <v>1</v>
      </c>
      <c r="AA739" s="95">
        <v>1</v>
      </c>
      <c r="AB739" s="95">
        <v>1</v>
      </c>
      <c r="AC739" s="95">
        <v>1</v>
      </c>
      <c r="AD739" s="95">
        <v>0</v>
      </c>
      <c r="AE739" s="95">
        <v>0</v>
      </c>
      <c r="AF739" s="95">
        <v>0</v>
      </c>
      <c r="AG739" s="95">
        <v>0</v>
      </c>
      <c r="AH739" s="95">
        <v>0</v>
      </c>
      <c r="AI739" s="95">
        <v>0</v>
      </c>
      <c r="AJ739" s="3">
        <f>INT(VLOOKUP(U739,模板计算相关数据!A:N,4,0)*VLOOKUP(U739,模板计算相关数据!A:N,14,0)*(1+MAX(0,(VLOOKUP(U739,模板计算相关数据!A:N,7,0)-AQ739))*VLOOKUP(U739,模板计算相关数据!A:N,8,0))*(1-(AL739+AM739)*0.5/((AL739+AM739)*0.5+(VLOOKUP(U739,模板计算相关数据!A:N,2,0)+模板计算相关数据!$AC$27)*模板计算相关数据!$AC$28))*Q739*Z739)</f>
        <v>411</v>
      </c>
      <c r="AK739" s="3">
        <f>INT(VLOOKUP(U739,模板计算相关数据!A:N,3,0)/模板计算相关数据!$W$35/(1+MAX(0,(AO739/10000-VLOOKUP(U739,模板计算相关数据!A:N,9,0)))*AP739/10000)/(1-VLOOKUP(U739,模板计算相关数据!A:N,5,0)/(VLOOKUP(U739,模板计算相关数据!A:N,5,0)+(VLOOKUP(U739,模板计算相关数据!A:N,2,0)+模板计算相关数据!$AC$27)*模板计算相关数据!$AC$28))/S739*AA739)</f>
        <v>86</v>
      </c>
      <c r="AL739" s="3">
        <f>INT(VLOOKUP(U739,模板计算相关数据!A:N,5,0)*VLOOKUP(X739,模板计算相关数据!$P$4:$T$7,4,0)*VLOOKUP(Y739,模板计算相关数据!$P$22:$U$30,4,0)*AB739)</f>
        <v>145</v>
      </c>
      <c r="AM739" s="3">
        <f>INT(VLOOKUP(U739,模板计算相关数据!A:N,6,0)*VLOOKUP(X739,模板计算相关数据!$P$4:$T$7,4,0)*VLOOKUP(Y739,模板计算相关数据!$P$22:$U$30,5,0)*AC739)</f>
        <v>264</v>
      </c>
      <c r="AN739" s="3">
        <f>VLOOKUP(U739,模板计算相关数据!A:N,10,0)*0.5*VLOOKUP(Y739,模板计算相关数据!$P$22:$U$30,6,0)+AD739</f>
        <v>275</v>
      </c>
      <c r="AO739" s="3">
        <f>VLOOKUP(INT(VLOOKUP(U739,模板计算相关数据!A:N,2,0)/30)+1,模板计算相关数据!$O$35:$U$40,3,0)+AE739</f>
        <v>0</v>
      </c>
      <c r="AP739" s="3">
        <f>VLOOKUP(INT(VLOOKUP(U739,模板计算相关数据!A:N,2,0)/30)+1,模板计算相关数据!$O$35:$U$40,4,0)+AF739</f>
        <v>5000</v>
      </c>
      <c r="AQ739" s="3">
        <f>VLOOKUP(INT(VLOOKUP(U739,模板计算相关数据!A:N,2,0)/30)+1,模板计算相关数据!$O$35:$U$40,5,0)+AG739</f>
        <v>0</v>
      </c>
      <c r="AR739" s="3">
        <f>VLOOKUP(INT(VLOOKUP(U739,模板计算相关数据!A:N,2,0)/30)+1,模板计算相关数据!$O$35:$U$40,6,0)+AH739</f>
        <v>0</v>
      </c>
      <c r="AS739" s="3">
        <f>VLOOKUP(INT(VLOOKUP(U739,模板计算相关数据!A:N,2,0)/30)+1,模板计算相关数据!$O$35:$U$40,7,0)+AI739</f>
        <v>0</v>
      </c>
      <c r="AT739" s="3">
        <f>VLOOKUP(INT(VLOOKUP(U739,模板计算相关数据!A:N,2,0)/30)+1,模板计算相关数据!$O$35:$V$40,8,0)</f>
        <v>0</v>
      </c>
      <c r="AU739" s="2"/>
    </row>
    <row r="740" spans="1:47" x14ac:dyDescent="0.2">
      <c r="A740" s="2">
        <v>307435</v>
      </c>
      <c r="B740" s="2"/>
      <c r="C740" s="2" t="s">
        <v>326</v>
      </c>
      <c r="D740" s="69" t="s">
        <v>1265</v>
      </c>
      <c r="E740" s="2"/>
      <c r="F740" s="127">
        <v>3</v>
      </c>
      <c r="G740" s="127">
        <v>101</v>
      </c>
      <c r="H740" s="3">
        <v>5</v>
      </c>
      <c r="I740" s="127">
        <v>5</v>
      </c>
      <c r="J740" s="127">
        <v>1</v>
      </c>
      <c r="K740" s="3"/>
      <c r="L740" s="2" t="s">
        <v>559</v>
      </c>
      <c r="M740" s="2"/>
      <c r="N740" s="2">
        <v>1</v>
      </c>
      <c r="O740" s="2"/>
      <c r="P740" s="3" t="s">
        <v>1615</v>
      </c>
      <c r="Q740" s="95">
        <f t="shared" si="70"/>
        <v>5.7709803921568623</v>
      </c>
      <c r="R740" s="133">
        <f>IF(P740=模板计算相关数据!$AB$24,VLOOKUP(X740,模板计算相关数据!$P$47:$T$50,2,0),VLOOKUP(X740,模板计算相关数据!$P$4:$U$7,3,0))*VLOOKUP(Y740,模板计算相关数据!$P$22:$X$30,8,0)</f>
        <v>5.7709803921568623</v>
      </c>
      <c r="S740" s="62">
        <f t="shared" si="71"/>
        <v>6.4077918749199023</v>
      </c>
      <c r="T740" s="133">
        <f>IF(P740=模板计算相关数据!$AB$24,VLOOKUP(X740,模板计算相关数据!$P$47:$T$50,5,0),VLOOKUP(X740,模板计算相关数据!$P$4:$U$7,6,0))*VLOOKUP(Y740,模板计算相关数据!$P$22:$X$30,9,0)</f>
        <v>6.4077918749199023</v>
      </c>
      <c r="U740" s="98">
        <v>1</v>
      </c>
      <c r="V740" s="95">
        <f t="shared" si="69"/>
        <v>4</v>
      </c>
      <c r="W740" s="29">
        <f>VLOOKUP(U740,模板计算相关数据!A:N,2,0)</f>
        <v>1</v>
      </c>
      <c r="X740" s="3" t="s">
        <v>151</v>
      </c>
      <c r="Y740" s="3" t="s">
        <v>243</v>
      </c>
      <c r="Z740" s="99">
        <v>1</v>
      </c>
      <c r="AA740" s="95">
        <v>1</v>
      </c>
      <c r="AB740" s="95">
        <v>1</v>
      </c>
      <c r="AC740" s="95">
        <v>1</v>
      </c>
      <c r="AD740" s="95">
        <v>0</v>
      </c>
      <c r="AE740" s="95">
        <v>0</v>
      </c>
      <c r="AF740" s="95">
        <v>0</v>
      </c>
      <c r="AG740" s="95">
        <v>0</v>
      </c>
      <c r="AH740" s="95">
        <v>0</v>
      </c>
      <c r="AI740" s="95">
        <v>0</v>
      </c>
      <c r="AJ740" s="3">
        <f>INT(VLOOKUP(U740,模板计算相关数据!A:N,4,0)*VLOOKUP(U740,模板计算相关数据!A:N,14,0)*(1+MAX(0,(VLOOKUP(U740,模板计算相关数据!A:N,7,0)-AQ740))*VLOOKUP(U740,模板计算相关数据!A:N,8,0))*(1-(AL740+AM740)*0.5/((AL740+AM740)*0.5+(VLOOKUP(U740,模板计算相关数据!A:N,2,0)+模板计算相关数据!$AC$27)*模板计算相关数据!$AC$28))*Q740*Z740)</f>
        <v>411</v>
      </c>
      <c r="AK740" s="3">
        <f>INT(VLOOKUP(U740,模板计算相关数据!A:N,3,0)/模板计算相关数据!$W$35/(1+MAX(0,(AO740/10000-VLOOKUP(U740,模板计算相关数据!A:N,9,0)))*AP740/10000)/(1-VLOOKUP(U740,模板计算相关数据!A:N,5,0)/(VLOOKUP(U740,模板计算相关数据!A:N,5,0)+(VLOOKUP(U740,模板计算相关数据!A:N,2,0)+模板计算相关数据!$AC$27)*模板计算相关数据!$AC$28))/S740*AA740)</f>
        <v>86</v>
      </c>
      <c r="AL740" s="3">
        <f>INT(VLOOKUP(U740,模板计算相关数据!A:N,5,0)*VLOOKUP(X740,模板计算相关数据!$P$4:$T$7,4,0)*VLOOKUP(Y740,模板计算相关数据!$P$22:$U$30,4,0)*AB740)</f>
        <v>145</v>
      </c>
      <c r="AM740" s="3">
        <f>INT(VLOOKUP(U740,模板计算相关数据!A:N,6,0)*VLOOKUP(X740,模板计算相关数据!$P$4:$T$7,4,0)*VLOOKUP(Y740,模板计算相关数据!$P$22:$U$30,5,0)*AC740)</f>
        <v>264</v>
      </c>
      <c r="AN740" s="3">
        <f>VLOOKUP(U740,模板计算相关数据!A:N,10,0)*0.5*VLOOKUP(Y740,模板计算相关数据!$P$22:$U$30,6,0)+AD740</f>
        <v>275</v>
      </c>
      <c r="AO740" s="3">
        <f>VLOOKUP(INT(VLOOKUP(U740,模板计算相关数据!A:N,2,0)/30)+1,模板计算相关数据!$O$35:$U$40,3,0)+AE740</f>
        <v>0</v>
      </c>
      <c r="AP740" s="3">
        <f>VLOOKUP(INT(VLOOKUP(U740,模板计算相关数据!A:N,2,0)/30)+1,模板计算相关数据!$O$35:$U$40,4,0)+AF740</f>
        <v>5000</v>
      </c>
      <c r="AQ740" s="3">
        <f>VLOOKUP(INT(VLOOKUP(U740,模板计算相关数据!A:N,2,0)/30)+1,模板计算相关数据!$O$35:$U$40,5,0)+AG740</f>
        <v>0</v>
      </c>
      <c r="AR740" s="3">
        <f>VLOOKUP(INT(VLOOKUP(U740,模板计算相关数据!A:N,2,0)/30)+1,模板计算相关数据!$O$35:$U$40,6,0)+AH740</f>
        <v>0</v>
      </c>
      <c r="AS740" s="3">
        <f>VLOOKUP(INT(VLOOKUP(U740,模板计算相关数据!A:N,2,0)/30)+1,模板计算相关数据!$O$35:$U$40,7,0)+AI740</f>
        <v>0</v>
      </c>
      <c r="AT740" s="3">
        <f>VLOOKUP(INT(VLOOKUP(U740,模板计算相关数据!A:N,2,0)/30)+1,模板计算相关数据!$O$35:$V$40,8,0)</f>
        <v>0</v>
      </c>
      <c r="AU740" s="2"/>
    </row>
    <row r="741" spans="1:47" x14ac:dyDescent="0.2">
      <c r="A741" s="2">
        <v>307436</v>
      </c>
      <c r="B741" s="2"/>
      <c r="C741" s="2" t="s">
        <v>343</v>
      </c>
      <c r="D741" s="2" t="s">
        <v>1266</v>
      </c>
      <c r="E741" s="2"/>
      <c r="F741" s="127">
        <v>3</v>
      </c>
      <c r="G741" s="127">
        <v>101</v>
      </c>
      <c r="H741" s="3">
        <v>3</v>
      </c>
      <c r="I741" s="127">
        <v>5</v>
      </c>
      <c r="J741" s="127">
        <v>1</v>
      </c>
      <c r="K741" s="3"/>
      <c r="L741" s="2" t="s">
        <v>560</v>
      </c>
      <c r="M741" s="2"/>
      <c r="N741" s="2">
        <v>1</v>
      </c>
      <c r="O741" s="2"/>
      <c r="P741" s="3" t="s">
        <v>1615</v>
      </c>
      <c r="Q741" s="95">
        <f t="shared" si="70"/>
        <v>5.6000000000000014</v>
      </c>
      <c r="R741" s="133">
        <f>IF(P741=模板计算相关数据!$AB$24,VLOOKUP(X741,模板计算相关数据!$P$47:$T$50,2,0),VLOOKUP(X741,模板计算相关数据!$P$4:$U$7,3,0))*VLOOKUP(Y741,模板计算相关数据!$P$22:$X$30,8,0)</f>
        <v>5.6000000000000014</v>
      </c>
      <c r="S741" s="62">
        <f t="shared" si="71"/>
        <v>6.6693344004268367</v>
      </c>
      <c r="T741" s="133">
        <f>IF(P741=模板计算相关数据!$AB$24,VLOOKUP(X741,模板计算相关数据!$P$47:$T$50,5,0),VLOOKUP(X741,模板计算相关数据!$P$4:$U$7,6,0))*VLOOKUP(Y741,模板计算相关数据!$P$22:$X$30,9,0)</f>
        <v>6.6693344004268367</v>
      </c>
      <c r="U741" s="98">
        <v>1</v>
      </c>
      <c r="V741" s="95">
        <f t="shared" si="69"/>
        <v>4</v>
      </c>
      <c r="W741" s="29">
        <f>VLOOKUP(U741,模板计算相关数据!A:N,2,0)</f>
        <v>1</v>
      </c>
      <c r="X741" s="3" t="s">
        <v>151</v>
      </c>
      <c r="Y741" s="3" t="s">
        <v>255</v>
      </c>
      <c r="Z741" s="99">
        <v>1</v>
      </c>
      <c r="AA741" s="95">
        <v>1</v>
      </c>
      <c r="AB741" s="95">
        <v>1</v>
      </c>
      <c r="AC741" s="95">
        <v>1</v>
      </c>
      <c r="AD741" s="95">
        <v>0</v>
      </c>
      <c r="AE741" s="95">
        <v>0</v>
      </c>
      <c r="AF741" s="95">
        <v>0</v>
      </c>
      <c r="AG741" s="95">
        <v>0</v>
      </c>
      <c r="AH741" s="95">
        <v>0</v>
      </c>
      <c r="AI741" s="95">
        <v>0</v>
      </c>
      <c r="AJ741" s="3">
        <f>INT(VLOOKUP(U741,模板计算相关数据!A:N,4,0)*VLOOKUP(U741,模板计算相关数据!A:N,14,0)*(1+MAX(0,(VLOOKUP(U741,模板计算相关数据!A:N,7,0)-AQ741))*VLOOKUP(U741,模板计算相关数据!A:N,8,0))*(1-(AL741+AM741)*0.5/((AL741+AM741)*0.5+(VLOOKUP(U741,模板计算相关数据!A:N,2,0)+模板计算相关数据!$AC$27)*模板计算相关数据!$AC$28))*Q741*Z741)</f>
        <v>394</v>
      </c>
      <c r="AK741" s="3">
        <f>INT(VLOOKUP(U741,模板计算相关数据!A:N,3,0)/模板计算相关数据!$W$35/(1+MAX(0,(AO741/10000-VLOOKUP(U741,模板计算相关数据!A:N,9,0)))*AP741/10000)/(1-VLOOKUP(U741,模板计算相关数据!A:N,5,0)/(VLOOKUP(U741,模板计算相关数据!A:N,5,0)+(VLOOKUP(U741,模板计算相关数据!A:N,2,0)+模板计算相关数据!$AC$27)*模板计算相关数据!$AC$28))/S741*AA741)</f>
        <v>83</v>
      </c>
      <c r="AL741" s="3">
        <f>INT(VLOOKUP(U741,模板计算相关数据!A:N,5,0)*VLOOKUP(X741,模板计算相关数据!$P$4:$T$7,4,0)*VLOOKUP(Y741,模板计算相关数据!$P$22:$U$30,4,0)*AB741)</f>
        <v>149</v>
      </c>
      <c r="AM741" s="3">
        <f>INT(VLOOKUP(U741,模板计算相关数据!A:N,6,0)*VLOOKUP(X741,模板计算相关数据!$P$4:$T$7,4,0)*VLOOKUP(Y741,模板计算相关数据!$P$22:$U$30,5,0)*AC741)</f>
        <v>277</v>
      </c>
      <c r="AN741" s="3">
        <f>VLOOKUP(U741,模板计算相关数据!A:N,10,0)*0.5*VLOOKUP(Y741,模板计算相关数据!$P$22:$U$30,6,0)+AD741</f>
        <v>225</v>
      </c>
      <c r="AO741" s="3">
        <f>VLOOKUP(INT(VLOOKUP(U741,模板计算相关数据!A:N,2,0)/30)+1,模板计算相关数据!$O$35:$U$40,3,0)+AE741</f>
        <v>0</v>
      </c>
      <c r="AP741" s="3">
        <f>VLOOKUP(INT(VLOOKUP(U741,模板计算相关数据!A:N,2,0)/30)+1,模板计算相关数据!$O$35:$U$40,4,0)+AF741</f>
        <v>5000</v>
      </c>
      <c r="AQ741" s="3">
        <f>VLOOKUP(INT(VLOOKUP(U741,模板计算相关数据!A:N,2,0)/30)+1,模板计算相关数据!$O$35:$U$40,5,0)+AG741</f>
        <v>0</v>
      </c>
      <c r="AR741" s="3">
        <f>VLOOKUP(INT(VLOOKUP(U741,模板计算相关数据!A:N,2,0)/30)+1,模板计算相关数据!$O$35:$U$40,6,0)+AH741</f>
        <v>0</v>
      </c>
      <c r="AS741" s="3">
        <f>VLOOKUP(INT(VLOOKUP(U741,模板计算相关数据!A:N,2,0)/30)+1,模板计算相关数据!$O$35:$U$40,7,0)+AI741</f>
        <v>0</v>
      </c>
      <c r="AT741" s="3">
        <f>VLOOKUP(INT(VLOOKUP(U741,模板计算相关数据!A:N,2,0)/30)+1,模板计算相关数据!$O$35:$V$40,8,0)</f>
        <v>0</v>
      </c>
      <c r="AU741" s="2"/>
    </row>
    <row r="742" spans="1:47" x14ac:dyDescent="0.2">
      <c r="A742" s="2">
        <v>307437</v>
      </c>
      <c r="B742" s="2"/>
      <c r="C742" s="2" t="s">
        <v>343</v>
      </c>
      <c r="D742" s="2" t="s">
        <v>1267</v>
      </c>
      <c r="E742" s="2"/>
      <c r="F742" s="127">
        <v>3</v>
      </c>
      <c r="G742" s="127">
        <v>101</v>
      </c>
      <c r="H742" s="3">
        <v>3</v>
      </c>
      <c r="I742" s="127">
        <v>5</v>
      </c>
      <c r="J742" s="127">
        <v>1</v>
      </c>
      <c r="K742" s="3"/>
      <c r="L742" s="2" t="s">
        <v>561</v>
      </c>
      <c r="M742" s="2"/>
      <c r="N742" s="2">
        <v>1</v>
      </c>
      <c r="O742" s="2"/>
      <c r="P742" s="3" t="s">
        <v>1615</v>
      </c>
      <c r="Q742" s="95">
        <f t="shared" si="70"/>
        <v>5.6000000000000014</v>
      </c>
      <c r="R742" s="133">
        <f>IF(P742=模板计算相关数据!$AB$24,VLOOKUP(X742,模板计算相关数据!$P$47:$T$50,2,0),VLOOKUP(X742,模板计算相关数据!$P$4:$U$7,3,0))*VLOOKUP(Y742,模板计算相关数据!$P$22:$X$30,8,0)</f>
        <v>5.6000000000000014</v>
      </c>
      <c r="S742" s="62">
        <f t="shared" si="71"/>
        <v>6.6693344004268367</v>
      </c>
      <c r="T742" s="133">
        <f>IF(P742=模板计算相关数据!$AB$24,VLOOKUP(X742,模板计算相关数据!$P$47:$T$50,5,0),VLOOKUP(X742,模板计算相关数据!$P$4:$U$7,6,0))*VLOOKUP(Y742,模板计算相关数据!$P$22:$X$30,9,0)</f>
        <v>6.6693344004268367</v>
      </c>
      <c r="U742" s="98">
        <v>1</v>
      </c>
      <c r="V742" s="95">
        <f t="shared" si="69"/>
        <v>4</v>
      </c>
      <c r="W742" s="29">
        <f>VLOOKUP(U742,模板计算相关数据!A:N,2,0)</f>
        <v>1</v>
      </c>
      <c r="X742" s="3" t="s">
        <v>151</v>
      </c>
      <c r="Y742" s="3" t="s">
        <v>255</v>
      </c>
      <c r="Z742" s="99">
        <v>1</v>
      </c>
      <c r="AA742" s="95">
        <v>1</v>
      </c>
      <c r="AB742" s="95">
        <v>1</v>
      </c>
      <c r="AC742" s="95">
        <v>1</v>
      </c>
      <c r="AD742" s="95">
        <v>0</v>
      </c>
      <c r="AE742" s="95">
        <v>0</v>
      </c>
      <c r="AF742" s="95">
        <v>0</v>
      </c>
      <c r="AG742" s="95">
        <v>0</v>
      </c>
      <c r="AH742" s="95">
        <v>0</v>
      </c>
      <c r="AI742" s="95">
        <v>0</v>
      </c>
      <c r="AJ742" s="3">
        <f>INT(VLOOKUP(U742,模板计算相关数据!A:N,4,0)*VLOOKUP(U742,模板计算相关数据!A:N,14,0)*(1+MAX(0,(VLOOKUP(U742,模板计算相关数据!A:N,7,0)-AQ742))*VLOOKUP(U742,模板计算相关数据!A:N,8,0))*(1-(AL742+AM742)*0.5/((AL742+AM742)*0.5+(VLOOKUP(U742,模板计算相关数据!A:N,2,0)+模板计算相关数据!$AC$27)*模板计算相关数据!$AC$28))*Q742*Z742)</f>
        <v>394</v>
      </c>
      <c r="AK742" s="3">
        <f>INT(VLOOKUP(U742,模板计算相关数据!A:N,3,0)/模板计算相关数据!$W$35/(1+MAX(0,(AO742/10000-VLOOKUP(U742,模板计算相关数据!A:N,9,0)))*AP742/10000)/(1-VLOOKUP(U742,模板计算相关数据!A:N,5,0)/(VLOOKUP(U742,模板计算相关数据!A:N,5,0)+(VLOOKUP(U742,模板计算相关数据!A:N,2,0)+模板计算相关数据!$AC$27)*模板计算相关数据!$AC$28))/S742*AA742)</f>
        <v>83</v>
      </c>
      <c r="AL742" s="3">
        <f>INT(VLOOKUP(U742,模板计算相关数据!A:N,5,0)*VLOOKUP(X742,模板计算相关数据!$P$4:$T$7,4,0)*VLOOKUP(Y742,模板计算相关数据!$P$22:$U$30,4,0)*AB742)</f>
        <v>149</v>
      </c>
      <c r="AM742" s="3">
        <f>INT(VLOOKUP(U742,模板计算相关数据!A:N,6,0)*VLOOKUP(X742,模板计算相关数据!$P$4:$T$7,4,0)*VLOOKUP(Y742,模板计算相关数据!$P$22:$U$30,5,0)*AC742)</f>
        <v>277</v>
      </c>
      <c r="AN742" s="3">
        <f>VLOOKUP(U742,模板计算相关数据!A:N,10,0)*0.5*VLOOKUP(Y742,模板计算相关数据!$P$22:$U$30,6,0)+AD742</f>
        <v>225</v>
      </c>
      <c r="AO742" s="3">
        <f>VLOOKUP(INT(VLOOKUP(U742,模板计算相关数据!A:N,2,0)/30)+1,模板计算相关数据!$O$35:$U$40,3,0)+AE742</f>
        <v>0</v>
      </c>
      <c r="AP742" s="3">
        <f>VLOOKUP(INT(VLOOKUP(U742,模板计算相关数据!A:N,2,0)/30)+1,模板计算相关数据!$O$35:$U$40,4,0)+AF742</f>
        <v>5000</v>
      </c>
      <c r="AQ742" s="3">
        <f>VLOOKUP(INT(VLOOKUP(U742,模板计算相关数据!A:N,2,0)/30)+1,模板计算相关数据!$O$35:$U$40,5,0)+AG742</f>
        <v>0</v>
      </c>
      <c r="AR742" s="3">
        <f>VLOOKUP(INT(VLOOKUP(U742,模板计算相关数据!A:N,2,0)/30)+1,模板计算相关数据!$O$35:$U$40,6,0)+AH742</f>
        <v>0</v>
      </c>
      <c r="AS742" s="3">
        <f>VLOOKUP(INT(VLOOKUP(U742,模板计算相关数据!A:N,2,0)/30)+1,模板计算相关数据!$O$35:$U$40,7,0)+AI742</f>
        <v>0</v>
      </c>
      <c r="AT742" s="3">
        <f>VLOOKUP(INT(VLOOKUP(U742,模板计算相关数据!A:N,2,0)/30)+1,模板计算相关数据!$O$35:$V$40,8,0)</f>
        <v>0</v>
      </c>
      <c r="AU742" s="2"/>
    </row>
    <row r="743" spans="1:47" x14ac:dyDescent="0.2">
      <c r="A743" s="2">
        <v>307438</v>
      </c>
      <c r="B743" s="2"/>
      <c r="C743" s="2" t="s">
        <v>343</v>
      </c>
      <c r="D743" s="2" t="s">
        <v>1263</v>
      </c>
      <c r="E743" s="2"/>
      <c r="F743" s="127">
        <v>3</v>
      </c>
      <c r="G743" s="127">
        <v>101</v>
      </c>
      <c r="H743" s="3">
        <v>3</v>
      </c>
      <c r="I743" s="127">
        <v>5</v>
      </c>
      <c r="J743" s="127">
        <v>1</v>
      </c>
      <c r="K743" s="3"/>
      <c r="L743" s="2" t="s">
        <v>562</v>
      </c>
      <c r="M743" s="2"/>
      <c r="N743" s="2">
        <v>1</v>
      </c>
      <c r="O743" s="2"/>
      <c r="P743" s="3" t="s">
        <v>1615</v>
      </c>
      <c r="Q743" s="95">
        <f t="shared" si="70"/>
        <v>5.6000000000000014</v>
      </c>
      <c r="R743" s="133">
        <f>IF(P743=模板计算相关数据!$AB$24,VLOOKUP(X743,模板计算相关数据!$P$47:$T$50,2,0),VLOOKUP(X743,模板计算相关数据!$P$4:$U$7,3,0))*VLOOKUP(Y743,模板计算相关数据!$P$22:$X$30,8,0)</f>
        <v>5.6000000000000014</v>
      </c>
      <c r="S743" s="62">
        <f t="shared" si="71"/>
        <v>6.6693344004268367</v>
      </c>
      <c r="T743" s="133">
        <f>IF(P743=模板计算相关数据!$AB$24,VLOOKUP(X743,模板计算相关数据!$P$47:$T$50,5,0),VLOOKUP(X743,模板计算相关数据!$P$4:$U$7,6,0))*VLOOKUP(Y743,模板计算相关数据!$P$22:$X$30,9,0)</f>
        <v>6.6693344004268367</v>
      </c>
      <c r="U743" s="98">
        <v>1</v>
      </c>
      <c r="V743" s="95">
        <f t="shared" si="69"/>
        <v>4</v>
      </c>
      <c r="W743" s="29">
        <f>VLOOKUP(U743,模板计算相关数据!A:N,2,0)</f>
        <v>1</v>
      </c>
      <c r="X743" s="3" t="s">
        <v>151</v>
      </c>
      <c r="Y743" s="3" t="s">
        <v>255</v>
      </c>
      <c r="Z743" s="99">
        <v>1</v>
      </c>
      <c r="AA743" s="95">
        <v>1</v>
      </c>
      <c r="AB743" s="95">
        <v>1</v>
      </c>
      <c r="AC743" s="95">
        <v>1</v>
      </c>
      <c r="AD743" s="95">
        <v>0</v>
      </c>
      <c r="AE743" s="95">
        <v>0</v>
      </c>
      <c r="AF743" s="95">
        <v>0</v>
      </c>
      <c r="AG743" s="95">
        <v>0</v>
      </c>
      <c r="AH743" s="95">
        <v>0</v>
      </c>
      <c r="AI743" s="95">
        <v>0</v>
      </c>
      <c r="AJ743" s="3">
        <f>INT(VLOOKUP(U743,模板计算相关数据!A:N,4,0)*VLOOKUP(U743,模板计算相关数据!A:N,14,0)*(1+MAX(0,(VLOOKUP(U743,模板计算相关数据!A:N,7,0)-AQ743))*VLOOKUP(U743,模板计算相关数据!A:N,8,0))*(1-(AL743+AM743)*0.5/((AL743+AM743)*0.5+(VLOOKUP(U743,模板计算相关数据!A:N,2,0)+模板计算相关数据!$AC$27)*模板计算相关数据!$AC$28))*Q743*Z743)</f>
        <v>394</v>
      </c>
      <c r="AK743" s="3">
        <f>INT(VLOOKUP(U743,模板计算相关数据!A:N,3,0)/模板计算相关数据!$W$35/(1+MAX(0,(AO743/10000-VLOOKUP(U743,模板计算相关数据!A:N,9,0)))*AP743/10000)/(1-VLOOKUP(U743,模板计算相关数据!A:N,5,0)/(VLOOKUP(U743,模板计算相关数据!A:N,5,0)+(VLOOKUP(U743,模板计算相关数据!A:N,2,0)+模板计算相关数据!$AC$27)*模板计算相关数据!$AC$28))/S743*AA743)</f>
        <v>83</v>
      </c>
      <c r="AL743" s="3">
        <f>INT(VLOOKUP(U743,模板计算相关数据!A:N,5,0)*VLOOKUP(X743,模板计算相关数据!$P$4:$T$7,4,0)*VLOOKUP(Y743,模板计算相关数据!$P$22:$U$30,4,0)*AB743)</f>
        <v>149</v>
      </c>
      <c r="AM743" s="3">
        <f>INT(VLOOKUP(U743,模板计算相关数据!A:N,6,0)*VLOOKUP(X743,模板计算相关数据!$P$4:$T$7,4,0)*VLOOKUP(Y743,模板计算相关数据!$P$22:$U$30,5,0)*AC743)</f>
        <v>277</v>
      </c>
      <c r="AN743" s="3">
        <f>VLOOKUP(U743,模板计算相关数据!A:N,10,0)*0.5*VLOOKUP(Y743,模板计算相关数据!$P$22:$U$30,6,0)+AD743</f>
        <v>225</v>
      </c>
      <c r="AO743" s="3">
        <f>VLOOKUP(INT(VLOOKUP(U743,模板计算相关数据!A:N,2,0)/30)+1,模板计算相关数据!$O$35:$U$40,3,0)+AE743</f>
        <v>0</v>
      </c>
      <c r="AP743" s="3">
        <f>VLOOKUP(INT(VLOOKUP(U743,模板计算相关数据!A:N,2,0)/30)+1,模板计算相关数据!$O$35:$U$40,4,0)+AF743</f>
        <v>5000</v>
      </c>
      <c r="AQ743" s="3">
        <f>VLOOKUP(INT(VLOOKUP(U743,模板计算相关数据!A:N,2,0)/30)+1,模板计算相关数据!$O$35:$U$40,5,0)+AG743</f>
        <v>0</v>
      </c>
      <c r="AR743" s="3">
        <f>VLOOKUP(INT(VLOOKUP(U743,模板计算相关数据!A:N,2,0)/30)+1,模板计算相关数据!$O$35:$U$40,6,0)+AH743</f>
        <v>0</v>
      </c>
      <c r="AS743" s="3">
        <f>VLOOKUP(INT(VLOOKUP(U743,模板计算相关数据!A:N,2,0)/30)+1,模板计算相关数据!$O$35:$U$40,7,0)+AI743</f>
        <v>0</v>
      </c>
      <c r="AT743" s="3">
        <f>VLOOKUP(INT(VLOOKUP(U743,模板计算相关数据!A:N,2,0)/30)+1,模板计算相关数据!$O$35:$V$40,8,0)</f>
        <v>0</v>
      </c>
      <c r="AU743" s="2"/>
    </row>
    <row r="744" spans="1:47" x14ac:dyDescent="0.2">
      <c r="A744" s="2">
        <v>307439</v>
      </c>
      <c r="B744" s="2"/>
      <c r="C744" s="2" t="s">
        <v>343</v>
      </c>
      <c r="D744" s="2" t="s">
        <v>1264</v>
      </c>
      <c r="E744" s="2"/>
      <c r="F744" s="127">
        <v>3</v>
      </c>
      <c r="G744" s="127">
        <v>101</v>
      </c>
      <c r="H744" s="3">
        <v>3</v>
      </c>
      <c r="I744" s="127">
        <v>5</v>
      </c>
      <c r="J744" s="127">
        <v>1</v>
      </c>
      <c r="K744" s="3"/>
      <c r="L744" s="2" t="s">
        <v>563</v>
      </c>
      <c r="M744" s="2"/>
      <c r="N744" s="2">
        <v>1</v>
      </c>
      <c r="O744" s="2"/>
      <c r="P744" s="3" t="s">
        <v>1615</v>
      </c>
      <c r="Q744" s="95">
        <f t="shared" si="70"/>
        <v>5.6000000000000014</v>
      </c>
      <c r="R744" s="133">
        <f>IF(P744=模板计算相关数据!$AB$24,VLOOKUP(X744,模板计算相关数据!$P$47:$T$50,2,0),VLOOKUP(X744,模板计算相关数据!$P$4:$U$7,3,0))*VLOOKUP(Y744,模板计算相关数据!$P$22:$X$30,8,0)</f>
        <v>5.6000000000000014</v>
      </c>
      <c r="S744" s="62">
        <f t="shared" si="71"/>
        <v>6.6693344004268367</v>
      </c>
      <c r="T744" s="133">
        <f>IF(P744=模板计算相关数据!$AB$24,VLOOKUP(X744,模板计算相关数据!$P$47:$T$50,5,0),VLOOKUP(X744,模板计算相关数据!$P$4:$U$7,6,0))*VLOOKUP(Y744,模板计算相关数据!$P$22:$X$30,9,0)</f>
        <v>6.6693344004268367</v>
      </c>
      <c r="U744" s="98">
        <v>1</v>
      </c>
      <c r="V744" s="95">
        <f t="shared" si="69"/>
        <v>4</v>
      </c>
      <c r="W744" s="29">
        <f>VLOOKUP(U744,模板计算相关数据!A:N,2,0)</f>
        <v>1</v>
      </c>
      <c r="X744" s="3" t="s">
        <v>151</v>
      </c>
      <c r="Y744" s="3" t="s">
        <v>255</v>
      </c>
      <c r="Z744" s="99">
        <v>1</v>
      </c>
      <c r="AA744" s="95">
        <v>1</v>
      </c>
      <c r="AB744" s="95">
        <v>1</v>
      </c>
      <c r="AC744" s="95">
        <v>1</v>
      </c>
      <c r="AD744" s="95">
        <v>0</v>
      </c>
      <c r="AE744" s="95">
        <v>0</v>
      </c>
      <c r="AF744" s="95">
        <v>0</v>
      </c>
      <c r="AG744" s="95">
        <v>0</v>
      </c>
      <c r="AH744" s="95">
        <v>0</v>
      </c>
      <c r="AI744" s="95">
        <v>0</v>
      </c>
      <c r="AJ744" s="3">
        <f>INT(VLOOKUP(U744,模板计算相关数据!A:N,4,0)*VLOOKUP(U744,模板计算相关数据!A:N,14,0)*(1+MAX(0,(VLOOKUP(U744,模板计算相关数据!A:N,7,0)-AQ744))*VLOOKUP(U744,模板计算相关数据!A:N,8,0))*(1-(AL744+AM744)*0.5/((AL744+AM744)*0.5+(VLOOKUP(U744,模板计算相关数据!A:N,2,0)+模板计算相关数据!$AC$27)*模板计算相关数据!$AC$28))*Q744*Z744)</f>
        <v>394</v>
      </c>
      <c r="AK744" s="3">
        <f>INT(VLOOKUP(U744,模板计算相关数据!A:N,3,0)/模板计算相关数据!$W$35/(1+MAX(0,(AO744/10000-VLOOKUP(U744,模板计算相关数据!A:N,9,0)))*AP744/10000)/(1-VLOOKUP(U744,模板计算相关数据!A:N,5,0)/(VLOOKUP(U744,模板计算相关数据!A:N,5,0)+(VLOOKUP(U744,模板计算相关数据!A:N,2,0)+模板计算相关数据!$AC$27)*模板计算相关数据!$AC$28))/S744*AA744)</f>
        <v>83</v>
      </c>
      <c r="AL744" s="3">
        <f>INT(VLOOKUP(U744,模板计算相关数据!A:N,5,0)*VLOOKUP(X744,模板计算相关数据!$P$4:$T$7,4,0)*VLOOKUP(Y744,模板计算相关数据!$P$22:$U$30,4,0)*AB744)</f>
        <v>149</v>
      </c>
      <c r="AM744" s="3">
        <f>INT(VLOOKUP(U744,模板计算相关数据!A:N,6,0)*VLOOKUP(X744,模板计算相关数据!$P$4:$T$7,4,0)*VLOOKUP(Y744,模板计算相关数据!$P$22:$U$30,5,0)*AC744)</f>
        <v>277</v>
      </c>
      <c r="AN744" s="3">
        <f>VLOOKUP(U744,模板计算相关数据!A:N,10,0)*0.5*VLOOKUP(Y744,模板计算相关数据!$P$22:$U$30,6,0)+AD744</f>
        <v>225</v>
      </c>
      <c r="AO744" s="3">
        <f>VLOOKUP(INT(VLOOKUP(U744,模板计算相关数据!A:N,2,0)/30)+1,模板计算相关数据!$O$35:$U$40,3,0)+AE744</f>
        <v>0</v>
      </c>
      <c r="AP744" s="3">
        <f>VLOOKUP(INT(VLOOKUP(U744,模板计算相关数据!A:N,2,0)/30)+1,模板计算相关数据!$O$35:$U$40,4,0)+AF744</f>
        <v>5000</v>
      </c>
      <c r="AQ744" s="3">
        <f>VLOOKUP(INT(VLOOKUP(U744,模板计算相关数据!A:N,2,0)/30)+1,模板计算相关数据!$O$35:$U$40,5,0)+AG744</f>
        <v>0</v>
      </c>
      <c r="AR744" s="3">
        <f>VLOOKUP(INT(VLOOKUP(U744,模板计算相关数据!A:N,2,0)/30)+1,模板计算相关数据!$O$35:$U$40,6,0)+AH744</f>
        <v>0</v>
      </c>
      <c r="AS744" s="3">
        <f>VLOOKUP(INT(VLOOKUP(U744,模板计算相关数据!A:N,2,0)/30)+1,模板计算相关数据!$O$35:$U$40,7,0)+AI744</f>
        <v>0</v>
      </c>
      <c r="AT744" s="3">
        <f>VLOOKUP(INT(VLOOKUP(U744,模板计算相关数据!A:N,2,0)/30)+1,模板计算相关数据!$O$35:$V$40,8,0)</f>
        <v>0</v>
      </c>
      <c r="AU744" s="2"/>
    </row>
    <row r="745" spans="1:47" x14ac:dyDescent="0.2">
      <c r="A745" s="2">
        <v>307440</v>
      </c>
      <c r="B745" s="2"/>
      <c r="C745" s="2" t="s">
        <v>343</v>
      </c>
      <c r="D745" s="2" t="s">
        <v>1265</v>
      </c>
      <c r="E745" s="2"/>
      <c r="F745" s="127">
        <v>3</v>
      </c>
      <c r="G745" s="127">
        <v>101</v>
      </c>
      <c r="H745" s="3">
        <v>3</v>
      </c>
      <c r="I745" s="127">
        <v>5</v>
      </c>
      <c r="J745" s="127">
        <v>1</v>
      </c>
      <c r="K745" s="3"/>
      <c r="L745" s="2" t="s">
        <v>564</v>
      </c>
      <c r="M745" s="2"/>
      <c r="N745" s="2">
        <v>1</v>
      </c>
      <c r="O745" s="2"/>
      <c r="P745" s="3" t="s">
        <v>1615</v>
      </c>
      <c r="Q745" s="95">
        <f t="shared" si="70"/>
        <v>5.6000000000000014</v>
      </c>
      <c r="R745" s="133">
        <f>IF(P745=模板计算相关数据!$AB$24,VLOOKUP(X745,模板计算相关数据!$P$47:$T$50,2,0),VLOOKUP(X745,模板计算相关数据!$P$4:$U$7,3,0))*VLOOKUP(Y745,模板计算相关数据!$P$22:$X$30,8,0)</f>
        <v>5.6000000000000014</v>
      </c>
      <c r="S745" s="62">
        <f t="shared" si="71"/>
        <v>6.6693344004268367</v>
      </c>
      <c r="T745" s="133">
        <f>IF(P745=模板计算相关数据!$AB$24,VLOOKUP(X745,模板计算相关数据!$P$47:$T$50,5,0),VLOOKUP(X745,模板计算相关数据!$P$4:$U$7,6,0))*VLOOKUP(Y745,模板计算相关数据!$P$22:$X$30,9,0)</f>
        <v>6.6693344004268367</v>
      </c>
      <c r="U745" s="98">
        <v>1</v>
      </c>
      <c r="V745" s="95">
        <f t="shared" si="69"/>
        <v>4</v>
      </c>
      <c r="W745" s="29">
        <f>VLOOKUP(U745,模板计算相关数据!A:N,2,0)</f>
        <v>1</v>
      </c>
      <c r="X745" s="3" t="s">
        <v>151</v>
      </c>
      <c r="Y745" s="3" t="s">
        <v>255</v>
      </c>
      <c r="Z745" s="99">
        <v>1</v>
      </c>
      <c r="AA745" s="95">
        <v>1</v>
      </c>
      <c r="AB745" s="95">
        <v>1</v>
      </c>
      <c r="AC745" s="95">
        <v>1</v>
      </c>
      <c r="AD745" s="95">
        <v>0</v>
      </c>
      <c r="AE745" s="95">
        <v>0</v>
      </c>
      <c r="AF745" s="95">
        <v>0</v>
      </c>
      <c r="AG745" s="95">
        <v>0</v>
      </c>
      <c r="AH745" s="95">
        <v>0</v>
      </c>
      <c r="AI745" s="95">
        <v>0</v>
      </c>
      <c r="AJ745" s="3">
        <f>INT(VLOOKUP(U745,模板计算相关数据!A:N,4,0)*VLOOKUP(U745,模板计算相关数据!A:N,14,0)*(1+MAX(0,(VLOOKUP(U745,模板计算相关数据!A:N,7,0)-AQ745))*VLOOKUP(U745,模板计算相关数据!A:N,8,0))*(1-(AL745+AM745)*0.5/((AL745+AM745)*0.5+(VLOOKUP(U745,模板计算相关数据!A:N,2,0)+模板计算相关数据!$AC$27)*模板计算相关数据!$AC$28))*Q745*Z745)</f>
        <v>394</v>
      </c>
      <c r="AK745" s="3">
        <f>INT(VLOOKUP(U745,模板计算相关数据!A:N,3,0)/模板计算相关数据!$W$35/(1+MAX(0,(AO745/10000-VLOOKUP(U745,模板计算相关数据!A:N,9,0)))*AP745/10000)/(1-VLOOKUP(U745,模板计算相关数据!A:N,5,0)/(VLOOKUP(U745,模板计算相关数据!A:N,5,0)+(VLOOKUP(U745,模板计算相关数据!A:N,2,0)+模板计算相关数据!$AC$27)*模板计算相关数据!$AC$28))/S745*AA745)</f>
        <v>83</v>
      </c>
      <c r="AL745" s="3">
        <f>INT(VLOOKUP(U745,模板计算相关数据!A:N,5,0)*VLOOKUP(X745,模板计算相关数据!$P$4:$T$7,4,0)*VLOOKUP(Y745,模板计算相关数据!$P$22:$U$30,4,0)*AB745)</f>
        <v>149</v>
      </c>
      <c r="AM745" s="3">
        <f>INT(VLOOKUP(U745,模板计算相关数据!A:N,6,0)*VLOOKUP(X745,模板计算相关数据!$P$4:$T$7,4,0)*VLOOKUP(Y745,模板计算相关数据!$P$22:$U$30,5,0)*AC745)</f>
        <v>277</v>
      </c>
      <c r="AN745" s="3">
        <f>VLOOKUP(U745,模板计算相关数据!A:N,10,0)*0.5*VLOOKUP(Y745,模板计算相关数据!$P$22:$U$30,6,0)+AD745</f>
        <v>225</v>
      </c>
      <c r="AO745" s="3">
        <f>VLOOKUP(INT(VLOOKUP(U745,模板计算相关数据!A:N,2,0)/30)+1,模板计算相关数据!$O$35:$U$40,3,0)+AE745</f>
        <v>0</v>
      </c>
      <c r="AP745" s="3">
        <f>VLOOKUP(INT(VLOOKUP(U745,模板计算相关数据!A:N,2,0)/30)+1,模板计算相关数据!$O$35:$U$40,4,0)+AF745</f>
        <v>5000</v>
      </c>
      <c r="AQ745" s="3">
        <f>VLOOKUP(INT(VLOOKUP(U745,模板计算相关数据!A:N,2,0)/30)+1,模板计算相关数据!$O$35:$U$40,5,0)+AG745</f>
        <v>0</v>
      </c>
      <c r="AR745" s="3">
        <f>VLOOKUP(INT(VLOOKUP(U745,模板计算相关数据!A:N,2,0)/30)+1,模板计算相关数据!$O$35:$U$40,6,0)+AH745</f>
        <v>0</v>
      </c>
      <c r="AS745" s="3">
        <f>VLOOKUP(INT(VLOOKUP(U745,模板计算相关数据!A:N,2,0)/30)+1,模板计算相关数据!$O$35:$U$40,7,0)+AI745</f>
        <v>0</v>
      </c>
      <c r="AT745" s="3">
        <f>VLOOKUP(INT(VLOOKUP(U745,模板计算相关数据!A:N,2,0)/30)+1,模板计算相关数据!$O$35:$V$40,8,0)</f>
        <v>0</v>
      </c>
      <c r="AU745" s="2"/>
    </row>
    <row r="746" spans="1:47" x14ac:dyDescent="0.2">
      <c r="A746" s="2">
        <v>307441</v>
      </c>
      <c r="B746" s="2"/>
      <c r="C746" s="2" t="s">
        <v>162</v>
      </c>
      <c r="D746" s="2" t="s">
        <v>1266</v>
      </c>
      <c r="E746" s="2"/>
      <c r="F746" s="127">
        <v>3</v>
      </c>
      <c r="G746" s="127">
        <v>101</v>
      </c>
      <c r="H746" s="3">
        <v>4</v>
      </c>
      <c r="I746" s="127">
        <v>5</v>
      </c>
      <c r="J746" s="127">
        <v>1</v>
      </c>
      <c r="K746" s="3"/>
      <c r="L746" s="2" t="s">
        <v>565</v>
      </c>
      <c r="M746" s="2"/>
      <c r="N746" s="2">
        <v>1</v>
      </c>
      <c r="O746" s="2"/>
      <c r="P746" s="3" t="s">
        <v>1615</v>
      </c>
      <c r="Q746" s="95">
        <f t="shared" si="70"/>
        <v>4.4674509803921572</v>
      </c>
      <c r="R746" s="133">
        <f>IF(P746=模板计算相关数据!$AB$24,VLOOKUP(X746,模板计算相关数据!$P$47:$T$50,2,0),VLOOKUP(X746,模板计算相关数据!$P$4:$U$7,3,0))*VLOOKUP(Y746,模板计算相关数据!$P$22:$X$30,8,0)</f>
        <v>4.4674509803921572</v>
      </c>
      <c r="S746" s="62">
        <f t="shared" si="71"/>
        <v>5.4739930589768004</v>
      </c>
      <c r="T746" s="133">
        <f>IF(P746=模板计算相关数据!$AB$24,VLOOKUP(X746,模板计算相关数据!$P$47:$T$50,5,0),VLOOKUP(X746,模板计算相关数据!$P$4:$U$7,6,0))*VLOOKUP(Y746,模板计算相关数据!$P$22:$X$30,9,0)</f>
        <v>5.4739930589768004</v>
      </c>
      <c r="U746" s="98">
        <v>1</v>
      </c>
      <c r="V746" s="95">
        <f t="shared" si="69"/>
        <v>4</v>
      </c>
      <c r="W746" s="29">
        <f>VLOOKUP(U746,模板计算相关数据!A:N,2,0)</f>
        <v>1</v>
      </c>
      <c r="X746" s="3" t="s">
        <v>151</v>
      </c>
      <c r="Y746" s="3" t="s">
        <v>162</v>
      </c>
      <c r="Z746" s="99">
        <v>1</v>
      </c>
      <c r="AA746" s="95">
        <v>1</v>
      </c>
      <c r="AB746" s="95">
        <v>1</v>
      </c>
      <c r="AC746" s="95">
        <v>1</v>
      </c>
      <c r="AD746" s="95">
        <v>0</v>
      </c>
      <c r="AE746" s="95">
        <v>0</v>
      </c>
      <c r="AF746" s="95">
        <v>0</v>
      </c>
      <c r="AG746" s="95">
        <v>0</v>
      </c>
      <c r="AH746" s="95">
        <v>0</v>
      </c>
      <c r="AI746" s="95">
        <v>0</v>
      </c>
      <c r="AJ746" s="3">
        <f>INT(VLOOKUP(U746,模板计算相关数据!A:N,4,0)*VLOOKUP(U746,模板计算相关数据!A:N,14,0)*(1+MAX(0,(VLOOKUP(U746,模板计算相关数据!A:N,7,0)-AQ746))*VLOOKUP(U746,模板计算相关数据!A:N,8,0))*(1-(AL746+AM746)*0.5/((AL746+AM746)*0.5+(VLOOKUP(U746,模板计算相关数据!A:N,2,0)+模板计算相关数据!$AC$27)*模板计算相关数据!$AC$28))*Q746*Z746)</f>
        <v>328</v>
      </c>
      <c r="AK746" s="3">
        <f>INT(VLOOKUP(U746,模板计算相关数据!A:N,3,0)/模板计算相关数据!$W$35/(1+MAX(0,(AO746/10000-VLOOKUP(U746,模板计算相关数据!A:N,9,0)))*AP746/10000)/(1-VLOOKUP(U746,模板计算相关数据!A:N,5,0)/(VLOOKUP(U746,模板计算相关数据!A:N,5,0)+(VLOOKUP(U746,模板计算相关数据!A:N,2,0)+模板计算相关数据!$AC$27)*模板计算相关数据!$AC$28))/S746*AA746)</f>
        <v>101</v>
      </c>
      <c r="AL746" s="3">
        <f>INT(VLOOKUP(U746,模板计算相关数据!A:N,5,0)*VLOOKUP(X746,模板计算相关数据!$P$4:$T$7,4,0)*VLOOKUP(Y746,模板计算相关数据!$P$22:$U$30,4,0)*AB746)</f>
        <v>136</v>
      </c>
      <c r="AM746" s="3">
        <f>INT(VLOOKUP(U746,模板计算相关数据!A:N,6,0)*VLOOKUP(X746,模板计算相关数据!$P$4:$T$7,4,0)*VLOOKUP(Y746,模板计算相关数据!$P$22:$U$30,5,0)*AC746)</f>
        <v>230</v>
      </c>
      <c r="AN746" s="3">
        <f>VLOOKUP(U746,模板计算相关数据!A:N,10,0)*0.5*VLOOKUP(Y746,模板计算相关数据!$P$22:$U$30,6,0)+AD746</f>
        <v>250</v>
      </c>
      <c r="AO746" s="3">
        <f>VLOOKUP(INT(VLOOKUP(U746,模板计算相关数据!A:N,2,0)/30)+1,模板计算相关数据!$O$35:$U$40,3,0)+AE746</f>
        <v>0</v>
      </c>
      <c r="AP746" s="3">
        <f>VLOOKUP(INT(VLOOKUP(U746,模板计算相关数据!A:N,2,0)/30)+1,模板计算相关数据!$O$35:$U$40,4,0)+AF746</f>
        <v>5000</v>
      </c>
      <c r="AQ746" s="3">
        <f>VLOOKUP(INT(VLOOKUP(U746,模板计算相关数据!A:N,2,0)/30)+1,模板计算相关数据!$O$35:$U$40,5,0)+AG746</f>
        <v>0</v>
      </c>
      <c r="AR746" s="3">
        <f>VLOOKUP(INT(VLOOKUP(U746,模板计算相关数据!A:N,2,0)/30)+1,模板计算相关数据!$O$35:$U$40,6,0)+AH746</f>
        <v>0</v>
      </c>
      <c r="AS746" s="3">
        <f>VLOOKUP(INT(VLOOKUP(U746,模板计算相关数据!A:N,2,0)/30)+1,模板计算相关数据!$O$35:$U$40,7,0)+AI746</f>
        <v>0</v>
      </c>
      <c r="AT746" s="3">
        <f>VLOOKUP(INT(VLOOKUP(U746,模板计算相关数据!A:N,2,0)/30)+1,模板计算相关数据!$O$35:$V$40,8,0)</f>
        <v>0</v>
      </c>
      <c r="AU746" s="2"/>
    </row>
    <row r="747" spans="1:47" x14ac:dyDescent="0.2">
      <c r="A747" s="2">
        <v>307442</v>
      </c>
      <c r="B747" s="2"/>
      <c r="C747" s="2" t="s">
        <v>162</v>
      </c>
      <c r="D747" s="2" t="s">
        <v>1267</v>
      </c>
      <c r="E747" s="2"/>
      <c r="F747" s="127">
        <v>3</v>
      </c>
      <c r="G747" s="127">
        <v>101</v>
      </c>
      <c r="H747" s="3">
        <v>4</v>
      </c>
      <c r="I747" s="127">
        <v>5</v>
      </c>
      <c r="J747" s="127">
        <v>1</v>
      </c>
      <c r="K747" s="3"/>
      <c r="L747" s="2" t="s">
        <v>566</v>
      </c>
      <c r="M747" s="2"/>
      <c r="N747" s="2">
        <v>1</v>
      </c>
      <c r="O747" s="2"/>
      <c r="P747" s="3" t="s">
        <v>1615</v>
      </c>
      <c r="Q747" s="95">
        <f t="shared" si="70"/>
        <v>4.4674509803921572</v>
      </c>
      <c r="R747" s="133">
        <f>IF(P747=模板计算相关数据!$AB$24,VLOOKUP(X747,模板计算相关数据!$P$47:$T$50,2,0),VLOOKUP(X747,模板计算相关数据!$P$4:$U$7,3,0))*VLOOKUP(Y747,模板计算相关数据!$P$22:$X$30,8,0)</f>
        <v>4.4674509803921572</v>
      </c>
      <c r="S747" s="62">
        <f t="shared" si="71"/>
        <v>5.4739930589768004</v>
      </c>
      <c r="T747" s="133">
        <f>IF(P747=模板计算相关数据!$AB$24,VLOOKUP(X747,模板计算相关数据!$P$47:$T$50,5,0),VLOOKUP(X747,模板计算相关数据!$P$4:$U$7,6,0))*VLOOKUP(Y747,模板计算相关数据!$P$22:$X$30,9,0)</f>
        <v>5.4739930589768004</v>
      </c>
      <c r="U747" s="98">
        <v>1</v>
      </c>
      <c r="V747" s="95">
        <f t="shared" si="69"/>
        <v>4</v>
      </c>
      <c r="W747" s="29">
        <f>VLOOKUP(U747,模板计算相关数据!A:N,2,0)</f>
        <v>1</v>
      </c>
      <c r="X747" s="3" t="s">
        <v>151</v>
      </c>
      <c r="Y747" s="3" t="s">
        <v>162</v>
      </c>
      <c r="Z747" s="99">
        <v>1</v>
      </c>
      <c r="AA747" s="95">
        <v>1</v>
      </c>
      <c r="AB747" s="95">
        <v>1</v>
      </c>
      <c r="AC747" s="95">
        <v>1</v>
      </c>
      <c r="AD747" s="95">
        <v>0</v>
      </c>
      <c r="AE747" s="95">
        <v>0</v>
      </c>
      <c r="AF747" s="95">
        <v>0</v>
      </c>
      <c r="AG747" s="95">
        <v>0</v>
      </c>
      <c r="AH747" s="95">
        <v>0</v>
      </c>
      <c r="AI747" s="95">
        <v>0</v>
      </c>
      <c r="AJ747" s="3">
        <f>INT(VLOOKUP(U747,模板计算相关数据!A:N,4,0)*VLOOKUP(U747,模板计算相关数据!A:N,14,0)*(1+MAX(0,(VLOOKUP(U747,模板计算相关数据!A:N,7,0)-AQ747))*VLOOKUP(U747,模板计算相关数据!A:N,8,0))*(1-(AL747+AM747)*0.5/((AL747+AM747)*0.5+(VLOOKUP(U747,模板计算相关数据!A:N,2,0)+模板计算相关数据!$AC$27)*模板计算相关数据!$AC$28))*Q747*Z747)</f>
        <v>328</v>
      </c>
      <c r="AK747" s="3">
        <f>INT(VLOOKUP(U747,模板计算相关数据!A:N,3,0)/模板计算相关数据!$W$35/(1+MAX(0,(AO747/10000-VLOOKUP(U747,模板计算相关数据!A:N,9,0)))*AP747/10000)/(1-VLOOKUP(U747,模板计算相关数据!A:N,5,0)/(VLOOKUP(U747,模板计算相关数据!A:N,5,0)+(VLOOKUP(U747,模板计算相关数据!A:N,2,0)+模板计算相关数据!$AC$27)*模板计算相关数据!$AC$28))/S747*AA747)</f>
        <v>101</v>
      </c>
      <c r="AL747" s="3">
        <f>INT(VLOOKUP(U747,模板计算相关数据!A:N,5,0)*VLOOKUP(X747,模板计算相关数据!$P$4:$T$7,4,0)*VLOOKUP(Y747,模板计算相关数据!$P$22:$U$30,4,0)*AB747)</f>
        <v>136</v>
      </c>
      <c r="AM747" s="3">
        <f>INT(VLOOKUP(U747,模板计算相关数据!A:N,6,0)*VLOOKUP(X747,模板计算相关数据!$P$4:$T$7,4,0)*VLOOKUP(Y747,模板计算相关数据!$P$22:$U$30,5,0)*AC747)</f>
        <v>230</v>
      </c>
      <c r="AN747" s="3">
        <f>VLOOKUP(U747,模板计算相关数据!A:N,10,0)*0.5*VLOOKUP(Y747,模板计算相关数据!$P$22:$U$30,6,0)+AD747</f>
        <v>250</v>
      </c>
      <c r="AO747" s="3">
        <f>VLOOKUP(INT(VLOOKUP(U747,模板计算相关数据!A:N,2,0)/30)+1,模板计算相关数据!$O$35:$U$40,3,0)+AE747</f>
        <v>0</v>
      </c>
      <c r="AP747" s="3">
        <f>VLOOKUP(INT(VLOOKUP(U747,模板计算相关数据!A:N,2,0)/30)+1,模板计算相关数据!$O$35:$U$40,4,0)+AF747</f>
        <v>5000</v>
      </c>
      <c r="AQ747" s="3">
        <f>VLOOKUP(INT(VLOOKUP(U747,模板计算相关数据!A:N,2,0)/30)+1,模板计算相关数据!$O$35:$U$40,5,0)+AG747</f>
        <v>0</v>
      </c>
      <c r="AR747" s="3">
        <f>VLOOKUP(INT(VLOOKUP(U747,模板计算相关数据!A:N,2,0)/30)+1,模板计算相关数据!$O$35:$U$40,6,0)+AH747</f>
        <v>0</v>
      </c>
      <c r="AS747" s="3">
        <f>VLOOKUP(INT(VLOOKUP(U747,模板计算相关数据!A:N,2,0)/30)+1,模板计算相关数据!$O$35:$U$40,7,0)+AI747</f>
        <v>0</v>
      </c>
      <c r="AT747" s="3">
        <f>VLOOKUP(INT(VLOOKUP(U747,模板计算相关数据!A:N,2,0)/30)+1,模板计算相关数据!$O$35:$V$40,8,0)</f>
        <v>0</v>
      </c>
      <c r="AU747" s="2"/>
    </row>
    <row r="748" spans="1:47" x14ac:dyDescent="0.2">
      <c r="A748" s="2">
        <v>307443</v>
      </c>
      <c r="B748" s="2"/>
      <c r="C748" s="2" t="s">
        <v>162</v>
      </c>
      <c r="D748" s="2" t="s">
        <v>1263</v>
      </c>
      <c r="E748" s="2"/>
      <c r="F748" s="127">
        <v>3</v>
      </c>
      <c r="G748" s="127">
        <v>101</v>
      </c>
      <c r="H748" s="3">
        <v>4</v>
      </c>
      <c r="I748" s="127">
        <v>5</v>
      </c>
      <c r="J748" s="127">
        <v>1</v>
      </c>
      <c r="K748" s="3"/>
      <c r="L748" s="2" t="s">
        <v>567</v>
      </c>
      <c r="M748" s="2"/>
      <c r="N748" s="2">
        <v>1</v>
      </c>
      <c r="O748" s="2"/>
      <c r="P748" s="3" t="s">
        <v>1615</v>
      </c>
      <c r="Q748" s="95">
        <f t="shared" si="70"/>
        <v>4.4674509803921572</v>
      </c>
      <c r="R748" s="133">
        <f>IF(P748=模板计算相关数据!$AB$24,VLOOKUP(X748,模板计算相关数据!$P$47:$T$50,2,0),VLOOKUP(X748,模板计算相关数据!$P$4:$U$7,3,0))*VLOOKUP(Y748,模板计算相关数据!$P$22:$X$30,8,0)</f>
        <v>4.4674509803921572</v>
      </c>
      <c r="S748" s="62">
        <f t="shared" si="71"/>
        <v>5.4739930589768004</v>
      </c>
      <c r="T748" s="133">
        <f>IF(P748=模板计算相关数据!$AB$24,VLOOKUP(X748,模板计算相关数据!$P$47:$T$50,5,0),VLOOKUP(X748,模板计算相关数据!$P$4:$U$7,6,0))*VLOOKUP(Y748,模板计算相关数据!$P$22:$X$30,9,0)</f>
        <v>5.4739930589768004</v>
      </c>
      <c r="U748" s="98">
        <v>1</v>
      </c>
      <c r="V748" s="95">
        <f t="shared" si="69"/>
        <v>4</v>
      </c>
      <c r="W748" s="29">
        <f>VLOOKUP(U748,模板计算相关数据!A:N,2,0)</f>
        <v>1</v>
      </c>
      <c r="X748" s="3" t="s">
        <v>151</v>
      </c>
      <c r="Y748" s="3" t="s">
        <v>162</v>
      </c>
      <c r="Z748" s="99">
        <v>1</v>
      </c>
      <c r="AA748" s="95">
        <v>1</v>
      </c>
      <c r="AB748" s="95">
        <v>1</v>
      </c>
      <c r="AC748" s="95">
        <v>1</v>
      </c>
      <c r="AD748" s="95">
        <v>0</v>
      </c>
      <c r="AE748" s="95">
        <v>0</v>
      </c>
      <c r="AF748" s="95">
        <v>0</v>
      </c>
      <c r="AG748" s="95">
        <v>0</v>
      </c>
      <c r="AH748" s="95">
        <v>0</v>
      </c>
      <c r="AI748" s="95">
        <v>0</v>
      </c>
      <c r="AJ748" s="3">
        <f>INT(VLOOKUP(U748,模板计算相关数据!A:N,4,0)*VLOOKUP(U748,模板计算相关数据!A:N,14,0)*(1+MAX(0,(VLOOKUP(U748,模板计算相关数据!A:N,7,0)-AQ748))*VLOOKUP(U748,模板计算相关数据!A:N,8,0))*(1-(AL748+AM748)*0.5/((AL748+AM748)*0.5+(VLOOKUP(U748,模板计算相关数据!A:N,2,0)+模板计算相关数据!$AC$27)*模板计算相关数据!$AC$28))*Q748*Z748)</f>
        <v>328</v>
      </c>
      <c r="AK748" s="3">
        <f>INT(VLOOKUP(U748,模板计算相关数据!A:N,3,0)/模板计算相关数据!$W$35/(1+MAX(0,(AO748/10000-VLOOKUP(U748,模板计算相关数据!A:N,9,0)))*AP748/10000)/(1-VLOOKUP(U748,模板计算相关数据!A:N,5,0)/(VLOOKUP(U748,模板计算相关数据!A:N,5,0)+(VLOOKUP(U748,模板计算相关数据!A:N,2,0)+模板计算相关数据!$AC$27)*模板计算相关数据!$AC$28))/S748*AA748)</f>
        <v>101</v>
      </c>
      <c r="AL748" s="3">
        <f>INT(VLOOKUP(U748,模板计算相关数据!A:N,5,0)*VLOOKUP(X748,模板计算相关数据!$P$4:$T$7,4,0)*VLOOKUP(Y748,模板计算相关数据!$P$22:$U$30,4,0)*AB748)</f>
        <v>136</v>
      </c>
      <c r="AM748" s="3">
        <f>INT(VLOOKUP(U748,模板计算相关数据!A:N,6,0)*VLOOKUP(X748,模板计算相关数据!$P$4:$T$7,4,0)*VLOOKUP(Y748,模板计算相关数据!$P$22:$U$30,5,0)*AC748)</f>
        <v>230</v>
      </c>
      <c r="AN748" s="3">
        <f>VLOOKUP(U748,模板计算相关数据!A:N,10,0)*0.5*VLOOKUP(Y748,模板计算相关数据!$P$22:$U$30,6,0)+AD748</f>
        <v>250</v>
      </c>
      <c r="AO748" s="3">
        <f>VLOOKUP(INT(VLOOKUP(U748,模板计算相关数据!A:N,2,0)/30)+1,模板计算相关数据!$O$35:$U$40,3,0)+AE748</f>
        <v>0</v>
      </c>
      <c r="AP748" s="3">
        <f>VLOOKUP(INT(VLOOKUP(U748,模板计算相关数据!A:N,2,0)/30)+1,模板计算相关数据!$O$35:$U$40,4,0)+AF748</f>
        <v>5000</v>
      </c>
      <c r="AQ748" s="3">
        <f>VLOOKUP(INT(VLOOKUP(U748,模板计算相关数据!A:N,2,0)/30)+1,模板计算相关数据!$O$35:$U$40,5,0)+AG748</f>
        <v>0</v>
      </c>
      <c r="AR748" s="3">
        <f>VLOOKUP(INT(VLOOKUP(U748,模板计算相关数据!A:N,2,0)/30)+1,模板计算相关数据!$O$35:$U$40,6,0)+AH748</f>
        <v>0</v>
      </c>
      <c r="AS748" s="3">
        <f>VLOOKUP(INT(VLOOKUP(U748,模板计算相关数据!A:N,2,0)/30)+1,模板计算相关数据!$O$35:$U$40,7,0)+AI748</f>
        <v>0</v>
      </c>
      <c r="AT748" s="3">
        <f>VLOOKUP(INT(VLOOKUP(U748,模板计算相关数据!A:N,2,0)/30)+1,模板计算相关数据!$O$35:$V$40,8,0)</f>
        <v>0</v>
      </c>
      <c r="AU748" s="2"/>
    </row>
    <row r="749" spans="1:47" x14ac:dyDescent="0.2">
      <c r="A749" s="2">
        <v>307444</v>
      </c>
      <c r="B749" s="2"/>
      <c r="C749" s="2" t="s">
        <v>162</v>
      </c>
      <c r="D749" s="2" t="s">
        <v>1264</v>
      </c>
      <c r="E749" s="2"/>
      <c r="F749" s="127">
        <v>3</v>
      </c>
      <c r="G749" s="127">
        <v>101</v>
      </c>
      <c r="H749" s="3">
        <v>4</v>
      </c>
      <c r="I749" s="127">
        <v>5</v>
      </c>
      <c r="J749" s="127">
        <v>1</v>
      </c>
      <c r="K749" s="3"/>
      <c r="L749" s="2" t="s">
        <v>568</v>
      </c>
      <c r="M749" s="2"/>
      <c r="N749" s="2">
        <v>1</v>
      </c>
      <c r="O749" s="2"/>
      <c r="P749" s="3" t="s">
        <v>1615</v>
      </c>
      <c r="Q749" s="95">
        <f t="shared" si="70"/>
        <v>4.4674509803921572</v>
      </c>
      <c r="R749" s="133">
        <f>IF(P749=模板计算相关数据!$AB$24,VLOOKUP(X749,模板计算相关数据!$P$47:$T$50,2,0),VLOOKUP(X749,模板计算相关数据!$P$4:$U$7,3,0))*VLOOKUP(Y749,模板计算相关数据!$P$22:$X$30,8,0)</f>
        <v>4.4674509803921572</v>
      </c>
      <c r="S749" s="62">
        <f t="shared" si="71"/>
        <v>5.4739930589768004</v>
      </c>
      <c r="T749" s="133">
        <f>IF(P749=模板计算相关数据!$AB$24,VLOOKUP(X749,模板计算相关数据!$P$47:$T$50,5,0),VLOOKUP(X749,模板计算相关数据!$P$4:$U$7,6,0))*VLOOKUP(Y749,模板计算相关数据!$P$22:$X$30,9,0)</f>
        <v>5.4739930589768004</v>
      </c>
      <c r="U749" s="98">
        <v>1</v>
      </c>
      <c r="V749" s="95">
        <f t="shared" si="69"/>
        <v>4</v>
      </c>
      <c r="W749" s="29">
        <f>VLOOKUP(U749,模板计算相关数据!A:N,2,0)</f>
        <v>1</v>
      </c>
      <c r="X749" s="3" t="s">
        <v>151</v>
      </c>
      <c r="Y749" s="3" t="s">
        <v>162</v>
      </c>
      <c r="Z749" s="99">
        <v>1</v>
      </c>
      <c r="AA749" s="95">
        <v>1</v>
      </c>
      <c r="AB749" s="95">
        <v>1</v>
      </c>
      <c r="AC749" s="95">
        <v>1</v>
      </c>
      <c r="AD749" s="95">
        <v>0</v>
      </c>
      <c r="AE749" s="95">
        <v>0</v>
      </c>
      <c r="AF749" s="95">
        <v>0</v>
      </c>
      <c r="AG749" s="95">
        <v>0</v>
      </c>
      <c r="AH749" s="95">
        <v>0</v>
      </c>
      <c r="AI749" s="95">
        <v>0</v>
      </c>
      <c r="AJ749" s="3">
        <f>INT(VLOOKUP(U749,模板计算相关数据!A:N,4,0)*VLOOKUP(U749,模板计算相关数据!A:N,14,0)*(1+MAX(0,(VLOOKUP(U749,模板计算相关数据!A:N,7,0)-AQ749))*VLOOKUP(U749,模板计算相关数据!A:N,8,0))*(1-(AL749+AM749)*0.5/((AL749+AM749)*0.5+(VLOOKUP(U749,模板计算相关数据!A:N,2,0)+模板计算相关数据!$AC$27)*模板计算相关数据!$AC$28))*Q749*Z749)</f>
        <v>328</v>
      </c>
      <c r="AK749" s="3">
        <f>INT(VLOOKUP(U749,模板计算相关数据!A:N,3,0)/模板计算相关数据!$W$35/(1+MAX(0,(AO749/10000-VLOOKUP(U749,模板计算相关数据!A:N,9,0)))*AP749/10000)/(1-VLOOKUP(U749,模板计算相关数据!A:N,5,0)/(VLOOKUP(U749,模板计算相关数据!A:N,5,0)+(VLOOKUP(U749,模板计算相关数据!A:N,2,0)+模板计算相关数据!$AC$27)*模板计算相关数据!$AC$28))/S749*AA749)</f>
        <v>101</v>
      </c>
      <c r="AL749" s="3">
        <f>INT(VLOOKUP(U749,模板计算相关数据!A:N,5,0)*VLOOKUP(X749,模板计算相关数据!$P$4:$T$7,4,0)*VLOOKUP(Y749,模板计算相关数据!$P$22:$U$30,4,0)*AB749)</f>
        <v>136</v>
      </c>
      <c r="AM749" s="3">
        <f>INT(VLOOKUP(U749,模板计算相关数据!A:N,6,0)*VLOOKUP(X749,模板计算相关数据!$P$4:$T$7,4,0)*VLOOKUP(Y749,模板计算相关数据!$P$22:$U$30,5,0)*AC749)</f>
        <v>230</v>
      </c>
      <c r="AN749" s="3">
        <f>VLOOKUP(U749,模板计算相关数据!A:N,10,0)*0.5*VLOOKUP(Y749,模板计算相关数据!$P$22:$U$30,6,0)+AD749</f>
        <v>250</v>
      </c>
      <c r="AO749" s="3">
        <f>VLOOKUP(INT(VLOOKUP(U749,模板计算相关数据!A:N,2,0)/30)+1,模板计算相关数据!$O$35:$U$40,3,0)+AE749</f>
        <v>0</v>
      </c>
      <c r="AP749" s="3">
        <f>VLOOKUP(INT(VLOOKUP(U749,模板计算相关数据!A:N,2,0)/30)+1,模板计算相关数据!$O$35:$U$40,4,0)+AF749</f>
        <v>5000</v>
      </c>
      <c r="AQ749" s="3">
        <f>VLOOKUP(INT(VLOOKUP(U749,模板计算相关数据!A:N,2,0)/30)+1,模板计算相关数据!$O$35:$U$40,5,0)+AG749</f>
        <v>0</v>
      </c>
      <c r="AR749" s="3">
        <f>VLOOKUP(INT(VLOOKUP(U749,模板计算相关数据!A:N,2,0)/30)+1,模板计算相关数据!$O$35:$U$40,6,0)+AH749</f>
        <v>0</v>
      </c>
      <c r="AS749" s="3">
        <f>VLOOKUP(INT(VLOOKUP(U749,模板计算相关数据!A:N,2,0)/30)+1,模板计算相关数据!$O$35:$U$40,7,0)+AI749</f>
        <v>0</v>
      </c>
      <c r="AT749" s="3">
        <f>VLOOKUP(INT(VLOOKUP(U749,模板计算相关数据!A:N,2,0)/30)+1,模板计算相关数据!$O$35:$V$40,8,0)</f>
        <v>0</v>
      </c>
      <c r="AU749" s="2"/>
    </row>
    <row r="750" spans="1:47" x14ac:dyDescent="0.2">
      <c r="A750" s="2">
        <v>307445</v>
      </c>
      <c r="B750" s="2"/>
      <c r="C750" s="2" t="s">
        <v>162</v>
      </c>
      <c r="D750" s="2" t="s">
        <v>1265</v>
      </c>
      <c r="E750" s="2"/>
      <c r="F750" s="127">
        <v>3</v>
      </c>
      <c r="G750" s="127">
        <v>101</v>
      </c>
      <c r="H750" s="3">
        <v>4</v>
      </c>
      <c r="I750" s="127">
        <v>5</v>
      </c>
      <c r="J750" s="127">
        <v>1</v>
      </c>
      <c r="K750" s="3"/>
      <c r="L750" s="2" t="s">
        <v>569</v>
      </c>
      <c r="M750" s="2"/>
      <c r="N750" s="2">
        <v>1</v>
      </c>
      <c r="O750" s="2"/>
      <c r="P750" s="3" t="s">
        <v>1615</v>
      </c>
      <c r="Q750" s="95">
        <f t="shared" si="70"/>
        <v>4.4674509803921572</v>
      </c>
      <c r="R750" s="133">
        <f>IF(P750=模板计算相关数据!$AB$24,VLOOKUP(X750,模板计算相关数据!$P$47:$T$50,2,0),VLOOKUP(X750,模板计算相关数据!$P$4:$U$7,3,0))*VLOOKUP(Y750,模板计算相关数据!$P$22:$X$30,8,0)</f>
        <v>4.4674509803921572</v>
      </c>
      <c r="S750" s="62">
        <f t="shared" si="71"/>
        <v>5.4739930589768004</v>
      </c>
      <c r="T750" s="133">
        <f>IF(P750=模板计算相关数据!$AB$24,VLOOKUP(X750,模板计算相关数据!$P$47:$T$50,5,0),VLOOKUP(X750,模板计算相关数据!$P$4:$U$7,6,0))*VLOOKUP(Y750,模板计算相关数据!$P$22:$X$30,9,0)</f>
        <v>5.4739930589768004</v>
      </c>
      <c r="U750" s="98">
        <v>1</v>
      </c>
      <c r="V750" s="95">
        <f t="shared" si="69"/>
        <v>4</v>
      </c>
      <c r="W750" s="29">
        <f>VLOOKUP(U750,模板计算相关数据!A:N,2,0)</f>
        <v>1</v>
      </c>
      <c r="X750" s="3" t="s">
        <v>151</v>
      </c>
      <c r="Y750" s="3" t="s">
        <v>162</v>
      </c>
      <c r="Z750" s="99">
        <v>1</v>
      </c>
      <c r="AA750" s="95">
        <v>1</v>
      </c>
      <c r="AB750" s="95">
        <v>1</v>
      </c>
      <c r="AC750" s="95">
        <v>1</v>
      </c>
      <c r="AD750" s="95">
        <v>0</v>
      </c>
      <c r="AE750" s="95">
        <v>0</v>
      </c>
      <c r="AF750" s="95">
        <v>0</v>
      </c>
      <c r="AG750" s="95">
        <v>0</v>
      </c>
      <c r="AH750" s="95">
        <v>0</v>
      </c>
      <c r="AI750" s="95">
        <v>0</v>
      </c>
      <c r="AJ750" s="3">
        <f>INT(VLOOKUP(U750,模板计算相关数据!A:N,4,0)*VLOOKUP(U750,模板计算相关数据!A:N,14,0)*(1+MAX(0,(VLOOKUP(U750,模板计算相关数据!A:N,7,0)-AQ750))*VLOOKUP(U750,模板计算相关数据!A:N,8,0))*(1-(AL750+AM750)*0.5/((AL750+AM750)*0.5+(VLOOKUP(U750,模板计算相关数据!A:N,2,0)+模板计算相关数据!$AC$27)*模板计算相关数据!$AC$28))*Q750*Z750)</f>
        <v>328</v>
      </c>
      <c r="AK750" s="3">
        <f>INT(VLOOKUP(U750,模板计算相关数据!A:N,3,0)/模板计算相关数据!$W$35/(1+MAX(0,(AO750/10000-VLOOKUP(U750,模板计算相关数据!A:N,9,0)))*AP750/10000)/(1-VLOOKUP(U750,模板计算相关数据!A:N,5,0)/(VLOOKUP(U750,模板计算相关数据!A:N,5,0)+(VLOOKUP(U750,模板计算相关数据!A:N,2,0)+模板计算相关数据!$AC$27)*模板计算相关数据!$AC$28))/S750*AA750)</f>
        <v>101</v>
      </c>
      <c r="AL750" s="3">
        <f>INT(VLOOKUP(U750,模板计算相关数据!A:N,5,0)*VLOOKUP(X750,模板计算相关数据!$P$4:$T$7,4,0)*VLOOKUP(Y750,模板计算相关数据!$P$22:$U$30,4,0)*AB750)</f>
        <v>136</v>
      </c>
      <c r="AM750" s="3">
        <f>INT(VLOOKUP(U750,模板计算相关数据!A:N,6,0)*VLOOKUP(X750,模板计算相关数据!$P$4:$T$7,4,0)*VLOOKUP(Y750,模板计算相关数据!$P$22:$U$30,5,0)*AC750)</f>
        <v>230</v>
      </c>
      <c r="AN750" s="3">
        <f>VLOOKUP(U750,模板计算相关数据!A:N,10,0)*0.5*VLOOKUP(Y750,模板计算相关数据!$P$22:$U$30,6,0)+AD750</f>
        <v>250</v>
      </c>
      <c r="AO750" s="3">
        <f>VLOOKUP(INT(VLOOKUP(U750,模板计算相关数据!A:N,2,0)/30)+1,模板计算相关数据!$O$35:$U$40,3,0)+AE750</f>
        <v>0</v>
      </c>
      <c r="AP750" s="3">
        <f>VLOOKUP(INT(VLOOKUP(U750,模板计算相关数据!A:N,2,0)/30)+1,模板计算相关数据!$O$35:$U$40,4,0)+AF750</f>
        <v>5000</v>
      </c>
      <c r="AQ750" s="3">
        <f>VLOOKUP(INT(VLOOKUP(U750,模板计算相关数据!A:N,2,0)/30)+1,模板计算相关数据!$O$35:$U$40,5,0)+AG750</f>
        <v>0</v>
      </c>
      <c r="AR750" s="3">
        <f>VLOOKUP(INT(VLOOKUP(U750,模板计算相关数据!A:N,2,0)/30)+1,模板计算相关数据!$O$35:$U$40,6,0)+AH750</f>
        <v>0</v>
      </c>
      <c r="AS750" s="3">
        <f>VLOOKUP(INT(VLOOKUP(U750,模板计算相关数据!A:N,2,0)/30)+1,模板计算相关数据!$O$35:$U$40,7,0)+AI750</f>
        <v>0</v>
      </c>
      <c r="AT750" s="3">
        <f>VLOOKUP(INT(VLOOKUP(U750,模板计算相关数据!A:N,2,0)/30)+1,模板计算相关数据!$O$35:$V$40,8,0)</f>
        <v>0</v>
      </c>
      <c r="AU750" s="2"/>
    </row>
    <row r="751" spans="1:47" x14ac:dyDescent="0.2">
      <c r="A751" s="17">
        <v>307446</v>
      </c>
      <c r="B751" s="17"/>
      <c r="C751" s="17" t="s">
        <v>570</v>
      </c>
      <c r="D751" s="25" t="s">
        <v>1268</v>
      </c>
      <c r="E751" s="17"/>
      <c r="F751" s="152">
        <v>3</v>
      </c>
      <c r="G751" s="152">
        <v>101</v>
      </c>
      <c r="H751" s="43">
        <v>4</v>
      </c>
      <c r="I751" s="152">
        <v>5</v>
      </c>
      <c r="J751" s="152">
        <v>1</v>
      </c>
      <c r="K751" s="3"/>
      <c r="L751" s="2" t="s">
        <v>571</v>
      </c>
      <c r="M751" s="2"/>
      <c r="N751" s="2">
        <v>1</v>
      </c>
      <c r="O751" s="2"/>
      <c r="P751" s="3" t="s">
        <v>1615</v>
      </c>
      <c r="Q751" s="95">
        <f t="shared" si="70"/>
        <v>4.4674509803921572</v>
      </c>
      <c r="R751" s="133">
        <f>IF(P751=模板计算相关数据!$AB$24,VLOOKUP(X751,模板计算相关数据!$P$47:$T$50,2,0),VLOOKUP(X751,模板计算相关数据!$P$4:$U$7,3,0))*VLOOKUP(Y751,模板计算相关数据!$P$22:$X$30,8,0)</f>
        <v>4.4674509803921572</v>
      </c>
      <c r="S751" s="62">
        <f t="shared" si="71"/>
        <v>5.4739930589768004</v>
      </c>
      <c r="T751" s="133">
        <f>IF(P751=模板计算相关数据!$AB$24,VLOOKUP(X751,模板计算相关数据!$P$47:$T$50,5,0),VLOOKUP(X751,模板计算相关数据!$P$4:$U$7,6,0))*VLOOKUP(Y751,模板计算相关数据!$P$22:$X$30,9,0)</f>
        <v>5.4739930589768004</v>
      </c>
      <c r="U751" s="98">
        <v>1</v>
      </c>
      <c r="V751" s="95">
        <f t="shared" si="69"/>
        <v>4</v>
      </c>
      <c r="W751" s="29">
        <f>VLOOKUP(U751,模板计算相关数据!A:N,2,0)</f>
        <v>1</v>
      </c>
      <c r="X751" s="3" t="s">
        <v>151</v>
      </c>
      <c r="Y751" s="3" t="s">
        <v>162</v>
      </c>
      <c r="Z751" s="99">
        <v>1</v>
      </c>
      <c r="AA751" s="95">
        <v>1</v>
      </c>
      <c r="AB751" s="95">
        <v>1</v>
      </c>
      <c r="AC751" s="95">
        <v>1</v>
      </c>
      <c r="AD751" s="95">
        <v>0</v>
      </c>
      <c r="AE751" s="95">
        <v>0</v>
      </c>
      <c r="AF751" s="95">
        <v>0</v>
      </c>
      <c r="AG751" s="95">
        <v>0</v>
      </c>
      <c r="AH751" s="95">
        <v>0</v>
      </c>
      <c r="AI751" s="95">
        <v>0</v>
      </c>
      <c r="AJ751" s="3">
        <f>INT(VLOOKUP(U751,模板计算相关数据!A:N,4,0)*VLOOKUP(U751,模板计算相关数据!A:N,14,0)*(1+MAX(0,(VLOOKUP(U751,模板计算相关数据!A:N,7,0)-AQ751))*VLOOKUP(U751,模板计算相关数据!A:N,8,0))*(1-(AL751+AM751)*0.5/((AL751+AM751)*0.5+(VLOOKUP(U751,模板计算相关数据!A:N,2,0)+模板计算相关数据!$AC$27)*模板计算相关数据!$AC$28))*Q751*Z751)</f>
        <v>328</v>
      </c>
      <c r="AK751" s="3">
        <f>INT(VLOOKUP(U751,模板计算相关数据!A:N,3,0)/模板计算相关数据!$W$35/(1+MAX(0,(AO751/10000-VLOOKUP(U751,模板计算相关数据!A:N,9,0)))*AP751/10000)/(1-VLOOKUP(U751,模板计算相关数据!A:N,5,0)/(VLOOKUP(U751,模板计算相关数据!A:N,5,0)+(VLOOKUP(U751,模板计算相关数据!A:N,2,0)+模板计算相关数据!$AC$27)*模板计算相关数据!$AC$28))/S751*AA751)</f>
        <v>101</v>
      </c>
      <c r="AL751" s="3">
        <f>INT(VLOOKUP(U751,模板计算相关数据!A:N,5,0)*VLOOKUP(X751,模板计算相关数据!$P$4:$T$7,4,0)*VLOOKUP(Y751,模板计算相关数据!$P$22:$U$30,4,0)*AB751)</f>
        <v>136</v>
      </c>
      <c r="AM751" s="3">
        <f>INT(VLOOKUP(U751,模板计算相关数据!A:N,6,0)*VLOOKUP(X751,模板计算相关数据!$P$4:$T$7,4,0)*VLOOKUP(Y751,模板计算相关数据!$P$22:$U$30,5,0)*AC751)</f>
        <v>230</v>
      </c>
      <c r="AN751" s="3">
        <f>VLOOKUP(U751,模板计算相关数据!A:N,10,0)*0.5*VLOOKUP(Y751,模板计算相关数据!$P$22:$U$30,6,0)+AD751</f>
        <v>250</v>
      </c>
      <c r="AO751" s="3">
        <f>VLOOKUP(INT(VLOOKUP(U751,模板计算相关数据!A:N,2,0)/30)+1,模板计算相关数据!$O$35:$U$40,3,0)+AE751</f>
        <v>0</v>
      </c>
      <c r="AP751" s="3">
        <f>VLOOKUP(INT(VLOOKUP(U751,模板计算相关数据!A:N,2,0)/30)+1,模板计算相关数据!$O$35:$U$40,4,0)+AF751</f>
        <v>5000</v>
      </c>
      <c r="AQ751" s="3">
        <f>VLOOKUP(INT(VLOOKUP(U751,模板计算相关数据!A:N,2,0)/30)+1,模板计算相关数据!$O$35:$U$40,5,0)+AG751</f>
        <v>0</v>
      </c>
      <c r="AR751" s="3">
        <f>VLOOKUP(INT(VLOOKUP(U751,模板计算相关数据!A:N,2,0)/30)+1,模板计算相关数据!$O$35:$U$40,6,0)+AH751</f>
        <v>0</v>
      </c>
      <c r="AS751" s="3">
        <f>VLOOKUP(INT(VLOOKUP(U751,模板计算相关数据!A:N,2,0)/30)+1,模板计算相关数据!$O$35:$U$40,7,0)+AI751</f>
        <v>0</v>
      </c>
      <c r="AT751" s="3">
        <f>VLOOKUP(INT(VLOOKUP(U751,模板计算相关数据!A:N,2,0)/30)+1,模板计算相关数据!$O$35:$V$40,8,0)</f>
        <v>0</v>
      </c>
      <c r="AU751" s="2"/>
    </row>
    <row r="752" spans="1:47" x14ac:dyDescent="0.2">
      <c r="A752" s="2">
        <v>307447</v>
      </c>
      <c r="B752" s="2"/>
      <c r="C752" s="2" t="s">
        <v>162</v>
      </c>
      <c r="D752" s="69" t="s">
        <v>1269</v>
      </c>
      <c r="E752" s="2"/>
      <c r="F752" s="127">
        <v>3</v>
      </c>
      <c r="G752" s="127">
        <v>101</v>
      </c>
      <c r="H752" s="3">
        <v>4</v>
      </c>
      <c r="I752" s="127">
        <v>5</v>
      </c>
      <c r="J752" s="127">
        <v>1</v>
      </c>
      <c r="K752" s="3"/>
      <c r="L752" s="2" t="s">
        <v>572</v>
      </c>
      <c r="M752" s="2"/>
      <c r="N752" s="2">
        <v>1</v>
      </c>
      <c r="O752" s="2"/>
      <c r="P752" s="3" t="s">
        <v>1615</v>
      </c>
      <c r="Q752" s="95">
        <f t="shared" si="70"/>
        <v>4.4674509803921572</v>
      </c>
      <c r="R752" s="133">
        <f>IF(P752=模板计算相关数据!$AB$24,VLOOKUP(X752,模板计算相关数据!$P$47:$T$50,2,0),VLOOKUP(X752,模板计算相关数据!$P$4:$U$7,3,0))*VLOOKUP(Y752,模板计算相关数据!$P$22:$X$30,8,0)</f>
        <v>4.4674509803921572</v>
      </c>
      <c r="S752" s="62">
        <f t="shared" si="71"/>
        <v>5.4739930589768004</v>
      </c>
      <c r="T752" s="133">
        <f>IF(P752=模板计算相关数据!$AB$24,VLOOKUP(X752,模板计算相关数据!$P$47:$T$50,5,0),VLOOKUP(X752,模板计算相关数据!$P$4:$U$7,6,0))*VLOOKUP(Y752,模板计算相关数据!$P$22:$X$30,9,0)</f>
        <v>5.4739930589768004</v>
      </c>
      <c r="U752" s="98">
        <v>1</v>
      </c>
      <c r="V752" s="95">
        <f t="shared" ref="V752:V815" si="72">W752+3</f>
        <v>4</v>
      </c>
      <c r="W752" s="29">
        <f>VLOOKUP(U752,模板计算相关数据!A:N,2,0)</f>
        <v>1</v>
      </c>
      <c r="X752" s="3" t="s">
        <v>151</v>
      </c>
      <c r="Y752" s="3" t="s">
        <v>162</v>
      </c>
      <c r="Z752" s="99">
        <v>1</v>
      </c>
      <c r="AA752" s="95">
        <v>1</v>
      </c>
      <c r="AB752" s="95">
        <v>1</v>
      </c>
      <c r="AC752" s="95">
        <v>1</v>
      </c>
      <c r="AD752" s="95">
        <v>0</v>
      </c>
      <c r="AE752" s="95">
        <v>0</v>
      </c>
      <c r="AF752" s="95">
        <v>0</v>
      </c>
      <c r="AG752" s="95">
        <v>0</v>
      </c>
      <c r="AH752" s="95">
        <v>0</v>
      </c>
      <c r="AI752" s="95">
        <v>0</v>
      </c>
      <c r="AJ752" s="3">
        <f>INT(VLOOKUP(U752,模板计算相关数据!A:N,4,0)*VLOOKUP(U752,模板计算相关数据!A:N,14,0)*(1+MAX(0,(VLOOKUP(U752,模板计算相关数据!A:N,7,0)-AQ752))*VLOOKUP(U752,模板计算相关数据!A:N,8,0))*(1-(AL752+AM752)*0.5/((AL752+AM752)*0.5+(VLOOKUP(U752,模板计算相关数据!A:N,2,0)+模板计算相关数据!$AC$27)*模板计算相关数据!$AC$28))*Q752*Z752)</f>
        <v>328</v>
      </c>
      <c r="AK752" s="3">
        <f>INT(VLOOKUP(U752,模板计算相关数据!A:N,3,0)/模板计算相关数据!$W$35/(1+MAX(0,(AO752/10000-VLOOKUP(U752,模板计算相关数据!A:N,9,0)))*AP752/10000)/(1-VLOOKUP(U752,模板计算相关数据!A:N,5,0)/(VLOOKUP(U752,模板计算相关数据!A:N,5,0)+(VLOOKUP(U752,模板计算相关数据!A:N,2,0)+模板计算相关数据!$AC$27)*模板计算相关数据!$AC$28))/S752*AA752)</f>
        <v>101</v>
      </c>
      <c r="AL752" s="3">
        <f>INT(VLOOKUP(U752,模板计算相关数据!A:N,5,0)*VLOOKUP(X752,模板计算相关数据!$P$4:$T$7,4,0)*VLOOKUP(Y752,模板计算相关数据!$P$22:$U$30,4,0)*AB752)</f>
        <v>136</v>
      </c>
      <c r="AM752" s="3">
        <f>INT(VLOOKUP(U752,模板计算相关数据!A:N,6,0)*VLOOKUP(X752,模板计算相关数据!$P$4:$T$7,4,0)*VLOOKUP(Y752,模板计算相关数据!$P$22:$U$30,5,0)*AC752)</f>
        <v>230</v>
      </c>
      <c r="AN752" s="3">
        <f>VLOOKUP(U752,模板计算相关数据!A:N,10,0)*0.5*VLOOKUP(Y752,模板计算相关数据!$P$22:$U$30,6,0)+AD752</f>
        <v>250</v>
      </c>
      <c r="AO752" s="3">
        <f>VLOOKUP(INT(VLOOKUP(U752,模板计算相关数据!A:N,2,0)/30)+1,模板计算相关数据!$O$35:$U$40,3,0)+AE752</f>
        <v>0</v>
      </c>
      <c r="AP752" s="3">
        <f>VLOOKUP(INT(VLOOKUP(U752,模板计算相关数据!A:N,2,0)/30)+1,模板计算相关数据!$O$35:$U$40,4,0)+AF752</f>
        <v>5000</v>
      </c>
      <c r="AQ752" s="3">
        <f>VLOOKUP(INT(VLOOKUP(U752,模板计算相关数据!A:N,2,0)/30)+1,模板计算相关数据!$O$35:$U$40,5,0)+AG752</f>
        <v>0</v>
      </c>
      <c r="AR752" s="3">
        <f>VLOOKUP(INT(VLOOKUP(U752,模板计算相关数据!A:N,2,0)/30)+1,模板计算相关数据!$O$35:$U$40,6,0)+AH752</f>
        <v>0</v>
      </c>
      <c r="AS752" s="3">
        <f>VLOOKUP(INT(VLOOKUP(U752,模板计算相关数据!A:N,2,0)/30)+1,模板计算相关数据!$O$35:$U$40,7,0)+AI752</f>
        <v>0</v>
      </c>
      <c r="AT752" s="3">
        <f>VLOOKUP(INT(VLOOKUP(U752,模板计算相关数据!A:N,2,0)/30)+1,模板计算相关数据!$O$35:$V$40,8,0)</f>
        <v>0</v>
      </c>
      <c r="AU752" s="2"/>
    </row>
    <row r="753" spans="1:47" x14ac:dyDescent="0.2">
      <c r="A753" s="2">
        <v>307448</v>
      </c>
      <c r="B753" s="2"/>
      <c r="C753" s="2" t="s">
        <v>162</v>
      </c>
      <c r="D753" s="69" t="s">
        <v>1270</v>
      </c>
      <c r="E753" s="2"/>
      <c r="F753" s="127">
        <v>3</v>
      </c>
      <c r="G753" s="127">
        <v>101</v>
      </c>
      <c r="H753" s="3">
        <v>4</v>
      </c>
      <c r="I753" s="127">
        <v>5</v>
      </c>
      <c r="J753" s="127">
        <v>1</v>
      </c>
      <c r="K753" s="3"/>
      <c r="L753" s="2" t="s">
        <v>573</v>
      </c>
      <c r="M753" s="2"/>
      <c r="N753" s="2">
        <v>1</v>
      </c>
      <c r="O753" s="2"/>
      <c r="P753" s="3" t="s">
        <v>1615</v>
      </c>
      <c r="Q753" s="95">
        <f t="shared" si="70"/>
        <v>4.4674509803921572</v>
      </c>
      <c r="R753" s="133">
        <f>IF(P753=模板计算相关数据!$AB$24,VLOOKUP(X753,模板计算相关数据!$P$47:$T$50,2,0),VLOOKUP(X753,模板计算相关数据!$P$4:$U$7,3,0))*VLOOKUP(Y753,模板计算相关数据!$P$22:$X$30,8,0)</f>
        <v>4.4674509803921572</v>
      </c>
      <c r="S753" s="62">
        <f t="shared" si="71"/>
        <v>5.4739930589768004</v>
      </c>
      <c r="T753" s="133">
        <f>IF(P753=模板计算相关数据!$AB$24,VLOOKUP(X753,模板计算相关数据!$P$47:$T$50,5,0),VLOOKUP(X753,模板计算相关数据!$P$4:$U$7,6,0))*VLOOKUP(Y753,模板计算相关数据!$P$22:$X$30,9,0)</f>
        <v>5.4739930589768004</v>
      </c>
      <c r="U753" s="98">
        <v>1</v>
      </c>
      <c r="V753" s="95">
        <f t="shared" si="72"/>
        <v>4</v>
      </c>
      <c r="W753" s="29">
        <f>VLOOKUP(U753,模板计算相关数据!A:N,2,0)</f>
        <v>1</v>
      </c>
      <c r="X753" s="3" t="s">
        <v>151</v>
      </c>
      <c r="Y753" s="3" t="s">
        <v>162</v>
      </c>
      <c r="Z753" s="99">
        <v>1</v>
      </c>
      <c r="AA753" s="95">
        <v>1</v>
      </c>
      <c r="AB753" s="95">
        <v>1</v>
      </c>
      <c r="AC753" s="95">
        <v>1</v>
      </c>
      <c r="AD753" s="95">
        <v>0</v>
      </c>
      <c r="AE753" s="95">
        <v>0</v>
      </c>
      <c r="AF753" s="95">
        <v>0</v>
      </c>
      <c r="AG753" s="95">
        <v>0</v>
      </c>
      <c r="AH753" s="95">
        <v>0</v>
      </c>
      <c r="AI753" s="95">
        <v>0</v>
      </c>
      <c r="AJ753" s="3">
        <f>INT(VLOOKUP(U753,模板计算相关数据!A:N,4,0)*VLOOKUP(U753,模板计算相关数据!A:N,14,0)*(1+MAX(0,(VLOOKUP(U753,模板计算相关数据!A:N,7,0)-AQ753))*VLOOKUP(U753,模板计算相关数据!A:N,8,0))*(1-(AL753+AM753)*0.5/((AL753+AM753)*0.5+(VLOOKUP(U753,模板计算相关数据!A:N,2,0)+模板计算相关数据!$AC$27)*模板计算相关数据!$AC$28))*Q753*Z753)</f>
        <v>328</v>
      </c>
      <c r="AK753" s="3">
        <f>INT(VLOOKUP(U753,模板计算相关数据!A:N,3,0)/模板计算相关数据!$W$35/(1+MAX(0,(AO753/10000-VLOOKUP(U753,模板计算相关数据!A:N,9,0)))*AP753/10000)/(1-VLOOKUP(U753,模板计算相关数据!A:N,5,0)/(VLOOKUP(U753,模板计算相关数据!A:N,5,0)+(VLOOKUP(U753,模板计算相关数据!A:N,2,0)+模板计算相关数据!$AC$27)*模板计算相关数据!$AC$28))/S753*AA753)</f>
        <v>101</v>
      </c>
      <c r="AL753" s="3">
        <f>INT(VLOOKUP(U753,模板计算相关数据!A:N,5,0)*VLOOKUP(X753,模板计算相关数据!$P$4:$T$7,4,0)*VLOOKUP(Y753,模板计算相关数据!$P$22:$U$30,4,0)*AB753)</f>
        <v>136</v>
      </c>
      <c r="AM753" s="3">
        <f>INT(VLOOKUP(U753,模板计算相关数据!A:N,6,0)*VLOOKUP(X753,模板计算相关数据!$P$4:$T$7,4,0)*VLOOKUP(Y753,模板计算相关数据!$P$22:$U$30,5,0)*AC753)</f>
        <v>230</v>
      </c>
      <c r="AN753" s="3">
        <f>VLOOKUP(U753,模板计算相关数据!A:N,10,0)*0.5*VLOOKUP(Y753,模板计算相关数据!$P$22:$U$30,6,0)+AD753</f>
        <v>250</v>
      </c>
      <c r="AO753" s="3">
        <f>VLOOKUP(INT(VLOOKUP(U753,模板计算相关数据!A:N,2,0)/30)+1,模板计算相关数据!$O$35:$U$40,3,0)+AE753</f>
        <v>0</v>
      </c>
      <c r="AP753" s="3">
        <f>VLOOKUP(INT(VLOOKUP(U753,模板计算相关数据!A:N,2,0)/30)+1,模板计算相关数据!$O$35:$U$40,4,0)+AF753</f>
        <v>5000</v>
      </c>
      <c r="AQ753" s="3">
        <f>VLOOKUP(INT(VLOOKUP(U753,模板计算相关数据!A:N,2,0)/30)+1,模板计算相关数据!$O$35:$U$40,5,0)+AG753</f>
        <v>0</v>
      </c>
      <c r="AR753" s="3">
        <f>VLOOKUP(INT(VLOOKUP(U753,模板计算相关数据!A:N,2,0)/30)+1,模板计算相关数据!$O$35:$U$40,6,0)+AH753</f>
        <v>0</v>
      </c>
      <c r="AS753" s="3">
        <f>VLOOKUP(INT(VLOOKUP(U753,模板计算相关数据!A:N,2,0)/30)+1,模板计算相关数据!$O$35:$U$40,7,0)+AI753</f>
        <v>0</v>
      </c>
      <c r="AT753" s="3">
        <f>VLOOKUP(INT(VLOOKUP(U753,模板计算相关数据!A:N,2,0)/30)+1,模板计算相关数据!$O$35:$V$40,8,0)</f>
        <v>0</v>
      </c>
      <c r="AU753" s="2"/>
    </row>
    <row r="754" spans="1:47" x14ac:dyDescent="0.2">
      <c r="A754" s="2">
        <v>307449</v>
      </c>
      <c r="B754" s="2"/>
      <c r="C754" s="2" t="s">
        <v>162</v>
      </c>
      <c r="D754" s="69" t="s">
        <v>1271</v>
      </c>
      <c r="E754" s="2"/>
      <c r="F754" s="127">
        <v>3</v>
      </c>
      <c r="G754" s="127">
        <v>101</v>
      </c>
      <c r="H754" s="3">
        <v>4</v>
      </c>
      <c r="I754" s="127">
        <v>5</v>
      </c>
      <c r="J754" s="127">
        <v>1</v>
      </c>
      <c r="K754" s="3"/>
      <c r="L754" s="2" t="s">
        <v>574</v>
      </c>
      <c r="M754" s="2"/>
      <c r="N754" s="2">
        <v>1</v>
      </c>
      <c r="O754" s="2"/>
      <c r="P754" s="3" t="s">
        <v>1615</v>
      </c>
      <c r="Q754" s="95">
        <f t="shared" si="70"/>
        <v>4.4674509803921572</v>
      </c>
      <c r="R754" s="133">
        <f>IF(P754=模板计算相关数据!$AB$24,VLOOKUP(X754,模板计算相关数据!$P$47:$T$50,2,0),VLOOKUP(X754,模板计算相关数据!$P$4:$U$7,3,0))*VLOOKUP(Y754,模板计算相关数据!$P$22:$X$30,8,0)</f>
        <v>4.4674509803921572</v>
      </c>
      <c r="S754" s="62">
        <f t="shared" si="71"/>
        <v>5.4739930589768004</v>
      </c>
      <c r="T754" s="133">
        <f>IF(P754=模板计算相关数据!$AB$24,VLOOKUP(X754,模板计算相关数据!$P$47:$T$50,5,0),VLOOKUP(X754,模板计算相关数据!$P$4:$U$7,6,0))*VLOOKUP(Y754,模板计算相关数据!$P$22:$X$30,9,0)</f>
        <v>5.4739930589768004</v>
      </c>
      <c r="U754" s="98">
        <v>1</v>
      </c>
      <c r="V754" s="95">
        <f t="shared" si="72"/>
        <v>4</v>
      </c>
      <c r="W754" s="29">
        <f>VLOOKUP(U754,模板计算相关数据!A:N,2,0)</f>
        <v>1</v>
      </c>
      <c r="X754" s="3" t="s">
        <v>151</v>
      </c>
      <c r="Y754" s="3" t="s">
        <v>162</v>
      </c>
      <c r="Z754" s="99">
        <v>1</v>
      </c>
      <c r="AA754" s="95">
        <v>1</v>
      </c>
      <c r="AB754" s="95">
        <v>1</v>
      </c>
      <c r="AC754" s="95">
        <v>1</v>
      </c>
      <c r="AD754" s="95">
        <v>0</v>
      </c>
      <c r="AE754" s="95">
        <v>0</v>
      </c>
      <c r="AF754" s="95">
        <v>0</v>
      </c>
      <c r="AG754" s="95">
        <v>0</v>
      </c>
      <c r="AH754" s="95">
        <v>0</v>
      </c>
      <c r="AI754" s="95">
        <v>0</v>
      </c>
      <c r="AJ754" s="3">
        <f>INT(VLOOKUP(U754,模板计算相关数据!A:N,4,0)*VLOOKUP(U754,模板计算相关数据!A:N,14,0)*(1+MAX(0,(VLOOKUP(U754,模板计算相关数据!A:N,7,0)-AQ754))*VLOOKUP(U754,模板计算相关数据!A:N,8,0))*(1-(AL754+AM754)*0.5/((AL754+AM754)*0.5+(VLOOKUP(U754,模板计算相关数据!A:N,2,0)+模板计算相关数据!$AC$27)*模板计算相关数据!$AC$28))*Q754*Z754)</f>
        <v>328</v>
      </c>
      <c r="AK754" s="3">
        <f>INT(VLOOKUP(U754,模板计算相关数据!A:N,3,0)/模板计算相关数据!$W$35/(1+MAX(0,(AO754/10000-VLOOKUP(U754,模板计算相关数据!A:N,9,0)))*AP754/10000)/(1-VLOOKUP(U754,模板计算相关数据!A:N,5,0)/(VLOOKUP(U754,模板计算相关数据!A:N,5,0)+(VLOOKUP(U754,模板计算相关数据!A:N,2,0)+模板计算相关数据!$AC$27)*模板计算相关数据!$AC$28))/S754*AA754)</f>
        <v>101</v>
      </c>
      <c r="AL754" s="3">
        <f>INT(VLOOKUP(U754,模板计算相关数据!A:N,5,0)*VLOOKUP(X754,模板计算相关数据!$P$4:$T$7,4,0)*VLOOKUP(Y754,模板计算相关数据!$P$22:$U$30,4,0)*AB754)</f>
        <v>136</v>
      </c>
      <c r="AM754" s="3">
        <f>INT(VLOOKUP(U754,模板计算相关数据!A:N,6,0)*VLOOKUP(X754,模板计算相关数据!$P$4:$T$7,4,0)*VLOOKUP(Y754,模板计算相关数据!$P$22:$U$30,5,0)*AC754)</f>
        <v>230</v>
      </c>
      <c r="AN754" s="3">
        <f>VLOOKUP(U754,模板计算相关数据!A:N,10,0)*0.5*VLOOKUP(Y754,模板计算相关数据!$P$22:$U$30,6,0)+AD754</f>
        <v>250</v>
      </c>
      <c r="AO754" s="3">
        <f>VLOOKUP(INT(VLOOKUP(U754,模板计算相关数据!A:N,2,0)/30)+1,模板计算相关数据!$O$35:$U$40,3,0)+AE754</f>
        <v>0</v>
      </c>
      <c r="AP754" s="3">
        <f>VLOOKUP(INT(VLOOKUP(U754,模板计算相关数据!A:N,2,0)/30)+1,模板计算相关数据!$O$35:$U$40,4,0)+AF754</f>
        <v>5000</v>
      </c>
      <c r="AQ754" s="3">
        <f>VLOOKUP(INT(VLOOKUP(U754,模板计算相关数据!A:N,2,0)/30)+1,模板计算相关数据!$O$35:$U$40,5,0)+AG754</f>
        <v>0</v>
      </c>
      <c r="AR754" s="3">
        <f>VLOOKUP(INT(VLOOKUP(U754,模板计算相关数据!A:N,2,0)/30)+1,模板计算相关数据!$O$35:$U$40,6,0)+AH754</f>
        <v>0</v>
      </c>
      <c r="AS754" s="3">
        <f>VLOOKUP(INT(VLOOKUP(U754,模板计算相关数据!A:N,2,0)/30)+1,模板计算相关数据!$O$35:$U$40,7,0)+AI754</f>
        <v>0</v>
      </c>
      <c r="AT754" s="3">
        <f>VLOOKUP(INT(VLOOKUP(U754,模板计算相关数据!A:N,2,0)/30)+1,模板计算相关数据!$O$35:$V$40,8,0)</f>
        <v>0</v>
      </c>
      <c r="AU754" s="2"/>
    </row>
    <row r="755" spans="1:47" x14ac:dyDescent="0.2">
      <c r="A755" s="2">
        <v>307450</v>
      </c>
      <c r="B755" s="2"/>
      <c r="C755" s="2" t="s">
        <v>162</v>
      </c>
      <c r="D755" s="69" t="s">
        <v>1272</v>
      </c>
      <c r="E755" s="2"/>
      <c r="F755" s="127">
        <v>3</v>
      </c>
      <c r="G755" s="127">
        <v>101</v>
      </c>
      <c r="H755" s="3">
        <v>4</v>
      </c>
      <c r="I755" s="127">
        <v>5</v>
      </c>
      <c r="J755" s="127">
        <v>1</v>
      </c>
      <c r="K755" s="3"/>
      <c r="L755" s="2" t="s">
        <v>575</v>
      </c>
      <c r="M755" s="2"/>
      <c r="N755" s="2">
        <v>1</v>
      </c>
      <c r="O755" s="2"/>
      <c r="P755" s="3" t="s">
        <v>1615</v>
      </c>
      <c r="Q755" s="95">
        <f t="shared" si="70"/>
        <v>4.4674509803921572</v>
      </c>
      <c r="R755" s="133">
        <f>IF(P755=模板计算相关数据!$AB$24,VLOOKUP(X755,模板计算相关数据!$P$47:$T$50,2,0),VLOOKUP(X755,模板计算相关数据!$P$4:$U$7,3,0))*VLOOKUP(Y755,模板计算相关数据!$P$22:$X$30,8,0)</f>
        <v>4.4674509803921572</v>
      </c>
      <c r="S755" s="62">
        <f t="shared" si="71"/>
        <v>5.4739930589768004</v>
      </c>
      <c r="T755" s="133">
        <f>IF(P755=模板计算相关数据!$AB$24,VLOOKUP(X755,模板计算相关数据!$P$47:$T$50,5,0),VLOOKUP(X755,模板计算相关数据!$P$4:$U$7,6,0))*VLOOKUP(Y755,模板计算相关数据!$P$22:$X$30,9,0)</f>
        <v>5.4739930589768004</v>
      </c>
      <c r="U755" s="98">
        <v>1</v>
      </c>
      <c r="V755" s="95">
        <f t="shared" si="72"/>
        <v>4</v>
      </c>
      <c r="W755" s="29">
        <f>VLOOKUP(U755,模板计算相关数据!A:N,2,0)</f>
        <v>1</v>
      </c>
      <c r="X755" s="3" t="s">
        <v>151</v>
      </c>
      <c r="Y755" s="3" t="s">
        <v>162</v>
      </c>
      <c r="Z755" s="99">
        <v>1</v>
      </c>
      <c r="AA755" s="95">
        <v>1</v>
      </c>
      <c r="AB755" s="95">
        <v>1</v>
      </c>
      <c r="AC755" s="95">
        <v>1</v>
      </c>
      <c r="AD755" s="95">
        <v>0</v>
      </c>
      <c r="AE755" s="95">
        <v>0</v>
      </c>
      <c r="AF755" s="95">
        <v>0</v>
      </c>
      <c r="AG755" s="95">
        <v>0</v>
      </c>
      <c r="AH755" s="95">
        <v>0</v>
      </c>
      <c r="AI755" s="95">
        <v>0</v>
      </c>
      <c r="AJ755" s="3">
        <f>INT(VLOOKUP(U755,模板计算相关数据!A:N,4,0)*VLOOKUP(U755,模板计算相关数据!A:N,14,0)*(1+MAX(0,(VLOOKUP(U755,模板计算相关数据!A:N,7,0)-AQ755))*VLOOKUP(U755,模板计算相关数据!A:N,8,0))*(1-(AL755+AM755)*0.5/((AL755+AM755)*0.5+(VLOOKUP(U755,模板计算相关数据!A:N,2,0)+模板计算相关数据!$AC$27)*模板计算相关数据!$AC$28))*Q755*Z755)</f>
        <v>328</v>
      </c>
      <c r="AK755" s="3">
        <f>INT(VLOOKUP(U755,模板计算相关数据!A:N,3,0)/模板计算相关数据!$W$35/(1+MAX(0,(AO755/10000-VLOOKUP(U755,模板计算相关数据!A:N,9,0)))*AP755/10000)/(1-VLOOKUP(U755,模板计算相关数据!A:N,5,0)/(VLOOKUP(U755,模板计算相关数据!A:N,5,0)+(VLOOKUP(U755,模板计算相关数据!A:N,2,0)+模板计算相关数据!$AC$27)*模板计算相关数据!$AC$28))/S755*AA755)</f>
        <v>101</v>
      </c>
      <c r="AL755" s="3">
        <f>INT(VLOOKUP(U755,模板计算相关数据!A:N,5,0)*VLOOKUP(X755,模板计算相关数据!$P$4:$T$7,4,0)*VLOOKUP(Y755,模板计算相关数据!$P$22:$U$30,4,0)*AB755)</f>
        <v>136</v>
      </c>
      <c r="AM755" s="3">
        <f>INT(VLOOKUP(U755,模板计算相关数据!A:N,6,0)*VLOOKUP(X755,模板计算相关数据!$P$4:$T$7,4,0)*VLOOKUP(Y755,模板计算相关数据!$P$22:$U$30,5,0)*AC755)</f>
        <v>230</v>
      </c>
      <c r="AN755" s="3">
        <f>VLOOKUP(U755,模板计算相关数据!A:N,10,0)*0.5*VLOOKUP(Y755,模板计算相关数据!$P$22:$U$30,6,0)+AD755</f>
        <v>250</v>
      </c>
      <c r="AO755" s="3">
        <f>VLOOKUP(INT(VLOOKUP(U755,模板计算相关数据!A:N,2,0)/30)+1,模板计算相关数据!$O$35:$U$40,3,0)+AE755</f>
        <v>0</v>
      </c>
      <c r="AP755" s="3">
        <f>VLOOKUP(INT(VLOOKUP(U755,模板计算相关数据!A:N,2,0)/30)+1,模板计算相关数据!$O$35:$U$40,4,0)+AF755</f>
        <v>5000</v>
      </c>
      <c r="AQ755" s="3">
        <f>VLOOKUP(INT(VLOOKUP(U755,模板计算相关数据!A:N,2,0)/30)+1,模板计算相关数据!$O$35:$U$40,5,0)+AG755</f>
        <v>0</v>
      </c>
      <c r="AR755" s="3">
        <f>VLOOKUP(INT(VLOOKUP(U755,模板计算相关数据!A:N,2,0)/30)+1,模板计算相关数据!$O$35:$U$40,6,0)+AH755</f>
        <v>0</v>
      </c>
      <c r="AS755" s="3">
        <f>VLOOKUP(INT(VLOOKUP(U755,模板计算相关数据!A:N,2,0)/30)+1,模板计算相关数据!$O$35:$U$40,7,0)+AI755</f>
        <v>0</v>
      </c>
      <c r="AT755" s="3">
        <f>VLOOKUP(INT(VLOOKUP(U755,模板计算相关数据!A:N,2,0)/30)+1,模板计算相关数据!$O$35:$V$40,8,0)</f>
        <v>0</v>
      </c>
      <c r="AU755" s="2"/>
    </row>
    <row r="756" spans="1:47" x14ac:dyDescent="0.2">
      <c r="A756" s="2">
        <v>307451</v>
      </c>
      <c r="B756" s="2"/>
      <c r="C756" s="2" t="s">
        <v>576</v>
      </c>
      <c r="D756" s="2" t="s">
        <v>1273</v>
      </c>
      <c r="E756" s="2"/>
      <c r="F756" s="127">
        <v>3</v>
      </c>
      <c r="G756" s="127">
        <v>101</v>
      </c>
      <c r="H756" s="3">
        <v>2</v>
      </c>
      <c r="I756" s="127">
        <v>5</v>
      </c>
      <c r="J756" s="127">
        <v>1</v>
      </c>
      <c r="K756" s="3"/>
      <c r="L756" s="2" t="s">
        <v>577</v>
      </c>
      <c r="M756" s="2"/>
      <c r="N756" s="2">
        <v>1</v>
      </c>
      <c r="O756" s="2"/>
      <c r="P756" s="3" t="s">
        <v>1615</v>
      </c>
      <c r="Q756" s="95">
        <f t="shared" si="70"/>
        <v>6.9411764705882364</v>
      </c>
      <c r="R756" s="133">
        <f>IF(P756=模板计算相关数据!$AB$24,VLOOKUP(X756,模板计算相关数据!$P$47:$T$50,2,0),VLOOKUP(X756,模板计算相关数据!$P$4:$U$7,3,0))*VLOOKUP(Y756,模板计算相关数据!$P$22:$X$30,8,0)</f>
        <v>6.9411764705882364</v>
      </c>
      <c r="S756" s="62">
        <f t="shared" si="71"/>
        <v>8.2943498888557112</v>
      </c>
      <c r="T756" s="133">
        <f>IF(P756=模板计算相关数据!$AB$24,VLOOKUP(X756,模板计算相关数据!$P$47:$T$50,5,0),VLOOKUP(X756,模板计算相关数据!$P$4:$U$7,6,0))*VLOOKUP(Y756,模板计算相关数据!$P$22:$X$30,9,0)</f>
        <v>8.2943498888557112</v>
      </c>
      <c r="U756" s="98">
        <v>1</v>
      </c>
      <c r="V756" s="95">
        <f t="shared" si="72"/>
        <v>4</v>
      </c>
      <c r="W756" s="29">
        <f>VLOOKUP(U756,模板计算相关数据!A:N,2,0)</f>
        <v>1</v>
      </c>
      <c r="X756" s="3" t="s">
        <v>151</v>
      </c>
      <c r="Y756" s="3" t="s">
        <v>155</v>
      </c>
      <c r="Z756" s="99">
        <v>1</v>
      </c>
      <c r="AA756" s="95">
        <v>1</v>
      </c>
      <c r="AB756" s="95">
        <v>1</v>
      </c>
      <c r="AC756" s="95">
        <v>1</v>
      </c>
      <c r="AD756" s="95">
        <v>0</v>
      </c>
      <c r="AE756" s="95">
        <v>0</v>
      </c>
      <c r="AF756" s="95">
        <v>0</v>
      </c>
      <c r="AG756" s="95">
        <v>0</v>
      </c>
      <c r="AH756" s="95">
        <v>0</v>
      </c>
      <c r="AI756" s="95">
        <v>0</v>
      </c>
      <c r="AJ756" s="3">
        <f>INT(VLOOKUP(U756,模板计算相关数据!A:N,4,0)*VLOOKUP(U756,模板计算相关数据!A:N,14,0)*(1+MAX(0,(VLOOKUP(U756,模板计算相关数据!A:N,7,0)-AQ756))*VLOOKUP(U756,模板计算相关数据!A:N,8,0))*(1-(AL756+AM756)*0.5/((AL756+AM756)*0.5+(VLOOKUP(U756,模板计算相关数据!A:N,2,0)+模板计算相关数据!$AC$27)*模板计算相关数据!$AC$28))*Q756*Z756)</f>
        <v>487</v>
      </c>
      <c r="AK756" s="3">
        <f>INT(VLOOKUP(U756,模板计算相关数据!A:N,3,0)/模板计算相关数据!$W$35/(1+MAX(0,(AO756/10000-VLOOKUP(U756,模板计算相关数据!A:N,9,0)))*AP756/10000)/(1-VLOOKUP(U756,模板计算相关数据!A:N,5,0)/(VLOOKUP(U756,模板计算相关数据!A:N,5,0)+(VLOOKUP(U756,模板计算相关数据!A:N,2,0)+模板计算相关数据!$AC$27)*模板计算相关数据!$AC$28))/S756*AA756)</f>
        <v>67</v>
      </c>
      <c r="AL756" s="3">
        <f>INT(VLOOKUP(U756,模板计算相关数据!A:N,5,0)*VLOOKUP(X756,模板计算相关数据!$P$4:$T$7,4,0)*VLOOKUP(Y756,模板计算相关数据!$P$22:$U$30,4,0)*AB756)</f>
        <v>277</v>
      </c>
      <c r="AM756" s="3">
        <f>INT(VLOOKUP(U756,模板计算相关数据!A:N,6,0)*VLOOKUP(X756,模板计算相关数据!$P$4:$T$7,4,0)*VLOOKUP(Y756,模板计算相关数据!$P$22:$U$30,5,0)*AC756)</f>
        <v>153</v>
      </c>
      <c r="AN756" s="3">
        <f>VLOOKUP(U756,模板计算相关数据!A:N,10,0)*0.5*VLOOKUP(Y756,模板计算相关数据!$P$22:$U$30,6,0)+AD756</f>
        <v>225</v>
      </c>
      <c r="AO756" s="3">
        <f>VLOOKUP(INT(VLOOKUP(U756,模板计算相关数据!A:N,2,0)/30)+1,模板计算相关数据!$O$35:$U$40,3,0)+AE756</f>
        <v>0</v>
      </c>
      <c r="AP756" s="3">
        <f>VLOOKUP(INT(VLOOKUP(U756,模板计算相关数据!A:N,2,0)/30)+1,模板计算相关数据!$O$35:$U$40,4,0)+AF756</f>
        <v>5000</v>
      </c>
      <c r="AQ756" s="3">
        <f>VLOOKUP(INT(VLOOKUP(U756,模板计算相关数据!A:N,2,0)/30)+1,模板计算相关数据!$O$35:$U$40,5,0)+AG756</f>
        <v>0</v>
      </c>
      <c r="AR756" s="3">
        <f>VLOOKUP(INT(VLOOKUP(U756,模板计算相关数据!A:N,2,0)/30)+1,模板计算相关数据!$O$35:$U$40,6,0)+AH756</f>
        <v>0</v>
      </c>
      <c r="AS756" s="3">
        <f>VLOOKUP(INT(VLOOKUP(U756,模板计算相关数据!A:N,2,0)/30)+1,模板计算相关数据!$O$35:$U$40,7,0)+AI756</f>
        <v>0</v>
      </c>
      <c r="AT756" s="3">
        <f>VLOOKUP(INT(VLOOKUP(U756,模板计算相关数据!A:N,2,0)/30)+1,模板计算相关数据!$O$35:$V$40,8,0)</f>
        <v>0</v>
      </c>
      <c r="AU756" s="2"/>
    </row>
    <row r="757" spans="1:47" x14ac:dyDescent="0.2">
      <c r="A757" s="2">
        <v>307452</v>
      </c>
      <c r="B757" s="2"/>
      <c r="C757" s="2" t="s">
        <v>576</v>
      </c>
      <c r="D757" s="2" t="s">
        <v>1274</v>
      </c>
      <c r="E757" s="2"/>
      <c r="F757" s="127">
        <v>3</v>
      </c>
      <c r="G757" s="127">
        <v>101</v>
      </c>
      <c r="H757" s="3">
        <v>2</v>
      </c>
      <c r="I757" s="127">
        <v>5</v>
      </c>
      <c r="J757" s="127">
        <v>1</v>
      </c>
      <c r="K757" s="3"/>
      <c r="L757" s="2" t="s">
        <v>578</v>
      </c>
      <c r="M757" s="2"/>
      <c r="N757" s="2">
        <v>1</v>
      </c>
      <c r="O757" s="2"/>
      <c r="P757" s="3" t="s">
        <v>1615</v>
      </c>
      <c r="Q757" s="95">
        <f t="shared" si="70"/>
        <v>6.9411764705882364</v>
      </c>
      <c r="R757" s="133">
        <f>IF(P757=模板计算相关数据!$AB$24,VLOOKUP(X757,模板计算相关数据!$P$47:$T$50,2,0),VLOOKUP(X757,模板计算相关数据!$P$4:$U$7,3,0))*VLOOKUP(Y757,模板计算相关数据!$P$22:$X$30,8,0)</f>
        <v>6.9411764705882364</v>
      </c>
      <c r="S757" s="62">
        <f t="shared" si="71"/>
        <v>8.2943498888557112</v>
      </c>
      <c r="T757" s="133">
        <f>IF(P757=模板计算相关数据!$AB$24,VLOOKUP(X757,模板计算相关数据!$P$47:$T$50,5,0),VLOOKUP(X757,模板计算相关数据!$P$4:$U$7,6,0))*VLOOKUP(Y757,模板计算相关数据!$P$22:$X$30,9,0)</f>
        <v>8.2943498888557112</v>
      </c>
      <c r="U757" s="98">
        <v>1</v>
      </c>
      <c r="V757" s="95">
        <f t="shared" si="72"/>
        <v>4</v>
      </c>
      <c r="W757" s="29">
        <f>VLOOKUP(U757,模板计算相关数据!A:N,2,0)</f>
        <v>1</v>
      </c>
      <c r="X757" s="3" t="s">
        <v>151</v>
      </c>
      <c r="Y757" s="3" t="s">
        <v>155</v>
      </c>
      <c r="Z757" s="99">
        <v>1</v>
      </c>
      <c r="AA757" s="95">
        <v>1</v>
      </c>
      <c r="AB757" s="95">
        <v>1</v>
      </c>
      <c r="AC757" s="95">
        <v>1</v>
      </c>
      <c r="AD757" s="95">
        <v>0</v>
      </c>
      <c r="AE757" s="95">
        <v>0</v>
      </c>
      <c r="AF757" s="95">
        <v>0</v>
      </c>
      <c r="AG757" s="95">
        <v>0</v>
      </c>
      <c r="AH757" s="95">
        <v>0</v>
      </c>
      <c r="AI757" s="95">
        <v>0</v>
      </c>
      <c r="AJ757" s="3">
        <f>INT(VLOOKUP(U757,模板计算相关数据!A:N,4,0)*VLOOKUP(U757,模板计算相关数据!A:N,14,0)*(1+MAX(0,(VLOOKUP(U757,模板计算相关数据!A:N,7,0)-AQ757))*VLOOKUP(U757,模板计算相关数据!A:N,8,0))*(1-(AL757+AM757)*0.5/((AL757+AM757)*0.5+(VLOOKUP(U757,模板计算相关数据!A:N,2,0)+模板计算相关数据!$AC$27)*模板计算相关数据!$AC$28))*Q757*Z757)</f>
        <v>487</v>
      </c>
      <c r="AK757" s="3">
        <f>INT(VLOOKUP(U757,模板计算相关数据!A:N,3,0)/模板计算相关数据!$W$35/(1+MAX(0,(AO757/10000-VLOOKUP(U757,模板计算相关数据!A:N,9,0)))*AP757/10000)/(1-VLOOKUP(U757,模板计算相关数据!A:N,5,0)/(VLOOKUP(U757,模板计算相关数据!A:N,5,0)+(VLOOKUP(U757,模板计算相关数据!A:N,2,0)+模板计算相关数据!$AC$27)*模板计算相关数据!$AC$28))/S757*AA757)</f>
        <v>67</v>
      </c>
      <c r="AL757" s="3">
        <f>INT(VLOOKUP(U757,模板计算相关数据!A:N,5,0)*VLOOKUP(X757,模板计算相关数据!$P$4:$T$7,4,0)*VLOOKUP(Y757,模板计算相关数据!$P$22:$U$30,4,0)*AB757)</f>
        <v>277</v>
      </c>
      <c r="AM757" s="3">
        <f>INT(VLOOKUP(U757,模板计算相关数据!A:N,6,0)*VLOOKUP(X757,模板计算相关数据!$P$4:$T$7,4,0)*VLOOKUP(Y757,模板计算相关数据!$P$22:$U$30,5,0)*AC757)</f>
        <v>153</v>
      </c>
      <c r="AN757" s="3">
        <f>VLOOKUP(U757,模板计算相关数据!A:N,10,0)*0.5*VLOOKUP(Y757,模板计算相关数据!$P$22:$U$30,6,0)+AD757</f>
        <v>225</v>
      </c>
      <c r="AO757" s="3">
        <f>VLOOKUP(INT(VLOOKUP(U757,模板计算相关数据!A:N,2,0)/30)+1,模板计算相关数据!$O$35:$U$40,3,0)+AE757</f>
        <v>0</v>
      </c>
      <c r="AP757" s="3">
        <f>VLOOKUP(INT(VLOOKUP(U757,模板计算相关数据!A:N,2,0)/30)+1,模板计算相关数据!$O$35:$U$40,4,0)+AF757</f>
        <v>5000</v>
      </c>
      <c r="AQ757" s="3">
        <f>VLOOKUP(INT(VLOOKUP(U757,模板计算相关数据!A:N,2,0)/30)+1,模板计算相关数据!$O$35:$U$40,5,0)+AG757</f>
        <v>0</v>
      </c>
      <c r="AR757" s="3">
        <f>VLOOKUP(INT(VLOOKUP(U757,模板计算相关数据!A:N,2,0)/30)+1,模板计算相关数据!$O$35:$U$40,6,0)+AH757</f>
        <v>0</v>
      </c>
      <c r="AS757" s="3">
        <f>VLOOKUP(INT(VLOOKUP(U757,模板计算相关数据!A:N,2,0)/30)+1,模板计算相关数据!$O$35:$U$40,7,0)+AI757</f>
        <v>0</v>
      </c>
      <c r="AT757" s="3">
        <f>VLOOKUP(INT(VLOOKUP(U757,模板计算相关数据!A:N,2,0)/30)+1,模板计算相关数据!$O$35:$V$40,8,0)</f>
        <v>0</v>
      </c>
      <c r="AU757" s="2"/>
    </row>
    <row r="758" spans="1:47" x14ac:dyDescent="0.2">
      <c r="A758" s="2">
        <v>307453</v>
      </c>
      <c r="B758" s="2"/>
      <c r="C758" s="2" t="s">
        <v>576</v>
      </c>
      <c r="D758" s="2" t="s">
        <v>1270</v>
      </c>
      <c r="E758" s="2"/>
      <c r="F758" s="127">
        <v>3</v>
      </c>
      <c r="G758" s="127">
        <v>101</v>
      </c>
      <c r="H758" s="3">
        <v>2</v>
      </c>
      <c r="I758" s="127">
        <v>5</v>
      </c>
      <c r="J758" s="127">
        <v>1</v>
      </c>
      <c r="K758" s="3"/>
      <c r="L758" s="2" t="s">
        <v>579</v>
      </c>
      <c r="M758" s="2"/>
      <c r="N758" s="2">
        <v>1</v>
      </c>
      <c r="O758" s="2"/>
      <c r="P758" s="3" t="s">
        <v>1615</v>
      </c>
      <c r="Q758" s="95">
        <f t="shared" si="70"/>
        <v>6.9411764705882364</v>
      </c>
      <c r="R758" s="133">
        <f>IF(P758=模板计算相关数据!$AB$24,VLOOKUP(X758,模板计算相关数据!$P$47:$T$50,2,0),VLOOKUP(X758,模板计算相关数据!$P$4:$U$7,3,0))*VLOOKUP(Y758,模板计算相关数据!$P$22:$X$30,8,0)</f>
        <v>6.9411764705882364</v>
      </c>
      <c r="S758" s="62">
        <f t="shared" si="71"/>
        <v>8.2943498888557112</v>
      </c>
      <c r="T758" s="133">
        <f>IF(P758=模板计算相关数据!$AB$24,VLOOKUP(X758,模板计算相关数据!$P$47:$T$50,5,0),VLOOKUP(X758,模板计算相关数据!$P$4:$U$7,6,0))*VLOOKUP(Y758,模板计算相关数据!$P$22:$X$30,9,0)</f>
        <v>8.2943498888557112</v>
      </c>
      <c r="U758" s="98">
        <v>1</v>
      </c>
      <c r="V758" s="95">
        <f t="shared" si="72"/>
        <v>4</v>
      </c>
      <c r="W758" s="29">
        <f>VLOOKUP(U758,模板计算相关数据!A:N,2,0)</f>
        <v>1</v>
      </c>
      <c r="X758" s="3" t="s">
        <v>151</v>
      </c>
      <c r="Y758" s="3" t="s">
        <v>155</v>
      </c>
      <c r="Z758" s="99">
        <v>1</v>
      </c>
      <c r="AA758" s="95">
        <v>1</v>
      </c>
      <c r="AB758" s="95">
        <v>1</v>
      </c>
      <c r="AC758" s="95">
        <v>1</v>
      </c>
      <c r="AD758" s="95">
        <v>0</v>
      </c>
      <c r="AE758" s="95">
        <v>0</v>
      </c>
      <c r="AF758" s="95">
        <v>0</v>
      </c>
      <c r="AG758" s="95">
        <v>0</v>
      </c>
      <c r="AH758" s="95">
        <v>0</v>
      </c>
      <c r="AI758" s="95">
        <v>0</v>
      </c>
      <c r="AJ758" s="3">
        <f>INT(VLOOKUP(U758,模板计算相关数据!A:N,4,0)*VLOOKUP(U758,模板计算相关数据!A:N,14,0)*(1+MAX(0,(VLOOKUP(U758,模板计算相关数据!A:N,7,0)-AQ758))*VLOOKUP(U758,模板计算相关数据!A:N,8,0))*(1-(AL758+AM758)*0.5/((AL758+AM758)*0.5+(VLOOKUP(U758,模板计算相关数据!A:N,2,0)+模板计算相关数据!$AC$27)*模板计算相关数据!$AC$28))*Q758*Z758)</f>
        <v>487</v>
      </c>
      <c r="AK758" s="3">
        <f>INT(VLOOKUP(U758,模板计算相关数据!A:N,3,0)/模板计算相关数据!$W$35/(1+MAX(0,(AO758/10000-VLOOKUP(U758,模板计算相关数据!A:N,9,0)))*AP758/10000)/(1-VLOOKUP(U758,模板计算相关数据!A:N,5,0)/(VLOOKUP(U758,模板计算相关数据!A:N,5,0)+(VLOOKUP(U758,模板计算相关数据!A:N,2,0)+模板计算相关数据!$AC$27)*模板计算相关数据!$AC$28))/S758*AA758)</f>
        <v>67</v>
      </c>
      <c r="AL758" s="3">
        <f>INT(VLOOKUP(U758,模板计算相关数据!A:N,5,0)*VLOOKUP(X758,模板计算相关数据!$P$4:$T$7,4,0)*VLOOKUP(Y758,模板计算相关数据!$P$22:$U$30,4,0)*AB758)</f>
        <v>277</v>
      </c>
      <c r="AM758" s="3">
        <f>INT(VLOOKUP(U758,模板计算相关数据!A:N,6,0)*VLOOKUP(X758,模板计算相关数据!$P$4:$T$7,4,0)*VLOOKUP(Y758,模板计算相关数据!$P$22:$U$30,5,0)*AC758)</f>
        <v>153</v>
      </c>
      <c r="AN758" s="3">
        <f>VLOOKUP(U758,模板计算相关数据!A:N,10,0)*0.5*VLOOKUP(Y758,模板计算相关数据!$P$22:$U$30,6,0)+AD758</f>
        <v>225</v>
      </c>
      <c r="AO758" s="3">
        <f>VLOOKUP(INT(VLOOKUP(U758,模板计算相关数据!A:N,2,0)/30)+1,模板计算相关数据!$O$35:$U$40,3,0)+AE758</f>
        <v>0</v>
      </c>
      <c r="AP758" s="3">
        <f>VLOOKUP(INT(VLOOKUP(U758,模板计算相关数据!A:N,2,0)/30)+1,模板计算相关数据!$O$35:$U$40,4,0)+AF758</f>
        <v>5000</v>
      </c>
      <c r="AQ758" s="3">
        <f>VLOOKUP(INT(VLOOKUP(U758,模板计算相关数据!A:N,2,0)/30)+1,模板计算相关数据!$O$35:$U$40,5,0)+AG758</f>
        <v>0</v>
      </c>
      <c r="AR758" s="3">
        <f>VLOOKUP(INT(VLOOKUP(U758,模板计算相关数据!A:N,2,0)/30)+1,模板计算相关数据!$O$35:$U$40,6,0)+AH758</f>
        <v>0</v>
      </c>
      <c r="AS758" s="3">
        <f>VLOOKUP(INT(VLOOKUP(U758,模板计算相关数据!A:N,2,0)/30)+1,模板计算相关数据!$O$35:$U$40,7,0)+AI758</f>
        <v>0</v>
      </c>
      <c r="AT758" s="3">
        <f>VLOOKUP(INT(VLOOKUP(U758,模板计算相关数据!A:N,2,0)/30)+1,模板计算相关数据!$O$35:$V$40,8,0)</f>
        <v>0</v>
      </c>
      <c r="AU758" s="2"/>
    </row>
    <row r="759" spans="1:47" x14ac:dyDescent="0.2">
      <c r="A759" s="2">
        <v>307454</v>
      </c>
      <c r="B759" s="2"/>
      <c r="C759" s="2" t="s">
        <v>576</v>
      </c>
      <c r="D759" s="2" t="s">
        <v>1271</v>
      </c>
      <c r="E759" s="2"/>
      <c r="F759" s="127">
        <v>3</v>
      </c>
      <c r="G759" s="127">
        <v>101</v>
      </c>
      <c r="H759" s="3">
        <v>2</v>
      </c>
      <c r="I759" s="127">
        <v>5</v>
      </c>
      <c r="J759" s="127">
        <v>1</v>
      </c>
      <c r="K759" s="3"/>
      <c r="L759" s="2" t="s">
        <v>580</v>
      </c>
      <c r="M759" s="2"/>
      <c r="N759" s="2">
        <v>1</v>
      </c>
      <c r="O759" s="2"/>
      <c r="P759" s="3" t="s">
        <v>1615</v>
      </c>
      <c r="Q759" s="95">
        <f t="shared" si="70"/>
        <v>6.9411764705882364</v>
      </c>
      <c r="R759" s="133">
        <f>IF(P759=模板计算相关数据!$AB$24,VLOOKUP(X759,模板计算相关数据!$P$47:$T$50,2,0),VLOOKUP(X759,模板计算相关数据!$P$4:$U$7,3,0))*VLOOKUP(Y759,模板计算相关数据!$P$22:$X$30,8,0)</f>
        <v>6.9411764705882364</v>
      </c>
      <c r="S759" s="62">
        <f t="shared" si="71"/>
        <v>8.2943498888557112</v>
      </c>
      <c r="T759" s="133">
        <f>IF(P759=模板计算相关数据!$AB$24,VLOOKUP(X759,模板计算相关数据!$P$47:$T$50,5,0),VLOOKUP(X759,模板计算相关数据!$P$4:$U$7,6,0))*VLOOKUP(Y759,模板计算相关数据!$P$22:$X$30,9,0)</f>
        <v>8.2943498888557112</v>
      </c>
      <c r="U759" s="98">
        <v>1</v>
      </c>
      <c r="V759" s="95">
        <f t="shared" si="72"/>
        <v>4</v>
      </c>
      <c r="W759" s="29">
        <f>VLOOKUP(U759,模板计算相关数据!A:N,2,0)</f>
        <v>1</v>
      </c>
      <c r="X759" s="3" t="s">
        <v>151</v>
      </c>
      <c r="Y759" s="3" t="s">
        <v>155</v>
      </c>
      <c r="Z759" s="99">
        <v>1</v>
      </c>
      <c r="AA759" s="95">
        <v>1</v>
      </c>
      <c r="AB759" s="95">
        <v>1</v>
      </c>
      <c r="AC759" s="95">
        <v>1</v>
      </c>
      <c r="AD759" s="95">
        <v>0</v>
      </c>
      <c r="AE759" s="95">
        <v>0</v>
      </c>
      <c r="AF759" s="95">
        <v>0</v>
      </c>
      <c r="AG759" s="95">
        <v>0</v>
      </c>
      <c r="AH759" s="95">
        <v>0</v>
      </c>
      <c r="AI759" s="95">
        <v>0</v>
      </c>
      <c r="AJ759" s="3">
        <f>INT(VLOOKUP(U759,模板计算相关数据!A:N,4,0)*VLOOKUP(U759,模板计算相关数据!A:N,14,0)*(1+MAX(0,(VLOOKUP(U759,模板计算相关数据!A:N,7,0)-AQ759))*VLOOKUP(U759,模板计算相关数据!A:N,8,0))*(1-(AL759+AM759)*0.5/((AL759+AM759)*0.5+(VLOOKUP(U759,模板计算相关数据!A:N,2,0)+模板计算相关数据!$AC$27)*模板计算相关数据!$AC$28))*Q759*Z759)</f>
        <v>487</v>
      </c>
      <c r="AK759" s="3">
        <f>INT(VLOOKUP(U759,模板计算相关数据!A:N,3,0)/模板计算相关数据!$W$35/(1+MAX(0,(AO759/10000-VLOOKUP(U759,模板计算相关数据!A:N,9,0)))*AP759/10000)/(1-VLOOKUP(U759,模板计算相关数据!A:N,5,0)/(VLOOKUP(U759,模板计算相关数据!A:N,5,0)+(VLOOKUP(U759,模板计算相关数据!A:N,2,0)+模板计算相关数据!$AC$27)*模板计算相关数据!$AC$28))/S759*AA759)</f>
        <v>67</v>
      </c>
      <c r="AL759" s="3">
        <f>INT(VLOOKUP(U759,模板计算相关数据!A:N,5,0)*VLOOKUP(X759,模板计算相关数据!$P$4:$T$7,4,0)*VLOOKUP(Y759,模板计算相关数据!$P$22:$U$30,4,0)*AB759)</f>
        <v>277</v>
      </c>
      <c r="AM759" s="3">
        <f>INT(VLOOKUP(U759,模板计算相关数据!A:N,6,0)*VLOOKUP(X759,模板计算相关数据!$P$4:$T$7,4,0)*VLOOKUP(Y759,模板计算相关数据!$P$22:$U$30,5,0)*AC759)</f>
        <v>153</v>
      </c>
      <c r="AN759" s="3">
        <f>VLOOKUP(U759,模板计算相关数据!A:N,10,0)*0.5*VLOOKUP(Y759,模板计算相关数据!$P$22:$U$30,6,0)+AD759</f>
        <v>225</v>
      </c>
      <c r="AO759" s="3">
        <f>VLOOKUP(INT(VLOOKUP(U759,模板计算相关数据!A:N,2,0)/30)+1,模板计算相关数据!$O$35:$U$40,3,0)+AE759</f>
        <v>0</v>
      </c>
      <c r="AP759" s="3">
        <f>VLOOKUP(INT(VLOOKUP(U759,模板计算相关数据!A:N,2,0)/30)+1,模板计算相关数据!$O$35:$U$40,4,0)+AF759</f>
        <v>5000</v>
      </c>
      <c r="AQ759" s="3">
        <f>VLOOKUP(INT(VLOOKUP(U759,模板计算相关数据!A:N,2,0)/30)+1,模板计算相关数据!$O$35:$U$40,5,0)+AG759</f>
        <v>0</v>
      </c>
      <c r="AR759" s="3">
        <f>VLOOKUP(INT(VLOOKUP(U759,模板计算相关数据!A:N,2,0)/30)+1,模板计算相关数据!$O$35:$U$40,6,0)+AH759</f>
        <v>0</v>
      </c>
      <c r="AS759" s="3">
        <f>VLOOKUP(INT(VLOOKUP(U759,模板计算相关数据!A:N,2,0)/30)+1,模板计算相关数据!$O$35:$U$40,7,0)+AI759</f>
        <v>0</v>
      </c>
      <c r="AT759" s="3">
        <f>VLOOKUP(INT(VLOOKUP(U759,模板计算相关数据!A:N,2,0)/30)+1,模板计算相关数据!$O$35:$V$40,8,0)</f>
        <v>0</v>
      </c>
      <c r="AU759" s="2"/>
    </row>
    <row r="760" spans="1:47" x14ac:dyDescent="0.2">
      <c r="A760" s="2">
        <v>307455</v>
      </c>
      <c r="B760" s="2"/>
      <c r="C760" s="2" t="s">
        <v>576</v>
      </c>
      <c r="D760" s="2" t="s">
        <v>1272</v>
      </c>
      <c r="E760" s="2"/>
      <c r="F760" s="127">
        <v>3</v>
      </c>
      <c r="G760" s="127">
        <v>101</v>
      </c>
      <c r="H760" s="3">
        <v>2</v>
      </c>
      <c r="I760" s="127">
        <v>5</v>
      </c>
      <c r="J760" s="127">
        <v>1</v>
      </c>
      <c r="K760" s="3"/>
      <c r="L760" s="2" t="s">
        <v>581</v>
      </c>
      <c r="M760" s="2"/>
      <c r="N760" s="2">
        <v>1</v>
      </c>
      <c r="O760" s="2"/>
      <c r="P760" s="3" t="s">
        <v>1615</v>
      </c>
      <c r="Q760" s="95">
        <f t="shared" si="70"/>
        <v>6.9411764705882364</v>
      </c>
      <c r="R760" s="133">
        <f>IF(P760=模板计算相关数据!$AB$24,VLOOKUP(X760,模板计算相关数据!$P$47:$T$50,2,0),VLOOKUP(X760,模板计算相关数据!$P$4:$U$7,3,0))*VLOOKUP(Y760,模板计算相关数据!$P$22:$X$30,8,0)</f>
        <v>6.9411764705882364</v>
      </c>
      <c r="S760" s="62">
        <f t="shared" si="71"/>
        <v>8.2943498888557112</v>
      </c>
      <c r="T760" s="133">
        <f>IF(P760=模板计算相关数据!$AB$24,VLOOKUP(X760,模板计算相关数据!$P$47:$T$50,5,0),VLOOKUP(X760,模板计算相关数据!$P$4:$U$7,6,0))*VLOOKUP(Y760,模板计算相关数据!$P$22:$X$30,9,0)</f>
        <v>8.2943498888557112</v>
      </c>
      <c r="U760" s="98">
        <v>1</v>
      </c>
      <c r="V760" s="95">
        <f t="shared" si="72"/>
        <v>4</v>
      </c>
      <c r="W760" s="29">
        <f>VLOOKUP(U760,模板计算相关数据!A:N,2,0)</f>
        <v>1</v>
      </c>
      <c r="X760" s="3" t="s">
        <v>151</v>
      </c>
      <c r="Y760" s="3" t="s">
        <v>155</v>
      </c>
      <c r="Z760" s="99">
        <v>1</v>
      </c>
      <c r="AA760" s="95">
        <v>1</v>
      </c>
      <c r="AB760" s="95">
        <v>1</v>
      </c>
      <c r="AC760" s="95">
        <v>1</v>
      </c>
      <c r="AD760" s="95">
        <v>0</v>
      </c>
      <c r="AE760" s="95">
        <v>0</v>
      </c>
      <c r="AF760" s="95">
        <v>0</v>
      </c>
      <c r="AG760" s="95">
        <v>0</v>
      </c>
      <c r="AH760" s="95">
        <v>0</v>
      </c>
      <c r="AI760" s="95">
        <v>0</v>
      </c>
      <c r="AJ760" s="3">
        <f>INT(VLOOKUP(U760,模板计算相关数据!A:N,4,0)*VLOOKUP(U760,模板计算相关数据!A:N,14,0)*(1+MAX(0,(VLOOKUP(U760,模板计算相关数据!A:N,7,0)-AQ760))*VLOOKUP(U760,模板计算相关数据!A:N,8,0))*(1-(AL760+AM760)*0.5/((AL760+AM760)*0.5+(VLOOKUP(U760,模板计算相关数据!A:N,2,0)+模板计算相关数据!$AC$27)*模板计算相关数据!$AC$28))*Q760*Z760)</f>
        <v>487</v>
      </c>
      <c r="AK760" s="3">
        <f>INT(VLOOKUP(U760,模板计算相关数据!A:N,3,0)/模板计算相关数据!$W$35/(1+MAX(0,(AO760/10000-VLOOKUP(U760,模板计算相关数据!A:N,9,0)))*AP760/10000)/(1-VLOOKUP(U760,模板计算相关数据!A:N,5,0)/(VLOOKUP(U760,模板计算相关数据!A:N,5,0)+(VLOOKUP(U760,模板计算相关数据!A:N,2,0)+模板计算相关数据!$AC$27)*模板计算相关数据!$AC$28))/S760*AA760)</f>
        <v>67</v>
      </c>
      <c r="AL760" s="3">
        <f>INT(VLOOKUP(U760,模板计算相关数据!A:N,5,0)*VLOOKUP(X760,模板计算相关数据!$P$4:$T$7,4,0)*VLOOKUP(Y760,模板计算相关数据!$P$22:$U$30,4,0)*AB760)</f>
        <v>277</v>
      </c>
      <c r="AM760" s="3">
        <f>INT(VLOOKUP(U760,模板计算相关数据!A:N,6,0)*VLOOKUP(X760,模板计算相关数据!$P$4:$T$7,4,0)*VLOOKUP(Y760,模板计算相关数据!$P$22:$U$30,5,0)*AC760)</f>
        <v>153</v>
      </c>
      <c r="AN760" s="3">
        <f>VLOOKUP(U760,模板计算相关数据!A:N,10,0)*0.5*VLOOKUP(Y760,模板计算相关数据!$P$22:$U$30,6,0)+AD760</f>
        <v>225</v>
      </c>
      <c r="AO760" s="3">
        <f>VLOOKUP(INT(VLOOKUP(U760,模板计算相关数据!A:N,2,0)/30)+1,模板计算相关数据!$O$35:$U$40,3,0)+AE760</f>
        <v>0</v>
      </c>
      <c r="AP760" s="3">
        <f>VLOOKUP(INT(VLOOKUP(U760,模板计算相关数据!A:N,2,0)/30)+1,模板计算相关数据!$O$35:$U$40,4,0)+AF760</f>
        <v>5000</v>
      </c>
      <c r="AQ760" s="3">
        <f>VLOOKUP(INT(VLOOKUP(U760,模板计算相关数据!A:N,2,0)/30)+1,模板计算相关数据!$O$35:$U$40,5,0)+AG760</f>
        <v>0</v>
      </c>
      <c r="AR760" s="3">
        <f>VLOOKUP(INT(VLOOKUP(U760,模板计算相关数据!A:N,2,0)/30)+1,模板计算相关数据!$O$35:$U$40,6,0)+AH760</f>
        <v>0</v>
      </c>
      <c r="AS760" s="3">
        <f>VLOOKUP(INT(VLOOKUP(U760,模板计算相关数据!A:N,2,0)/30)+1,模板计算相关数据!$O$35:$U$40,7,0)+AI760</f>
        <v>0</v>
      </c>
      <c r="AT760" s="3">
        <f>VLOOKUP(INT(VLOOKUP(U760,模板计算相关数据!A:N,2,0)/30)+1,模板计算相关数据!$O$35:$V$40,8,0)</f>
        <v>0</v>
      </c>
      <c r="AU760" s="2"/>
    </row>
    <row r="761" spans="1:47" x14ac:dyDescent="0.2">
      <c r="A761" s="2">
        <v>307456</v>
      </c>
      <c r="B761" s="2"/>
      <c r="C761" s="2" t="s">
        <v>582</v>
      </c>
      <c r="D761" s="2" t="s">
        <v>1273</v>
      </c>
      <c r="E761" s="2"/>
      <c r="F761" s="127">
        <v>3</v>
      </c>
      <c r="G761" s="127">
        <v>101</v>
      </c>
      <c r="H761" s="3">
        <v>2</v>
      </c>
      <c r="I761" s="127">
        <v>5</v>
      </c>
      <c r="J761" s="127">
        <v>1</v>
      </c>
      <c r="K761" s="3"/>
      <c r="L761" s="2" t="s">
        <v>583</v>
      </c>
      <c r="M761" s="2"/>
      <c r="N761" s="2">
        <v>1</v>
      </c>
      <c r="O761" s="2"/>
      <c r="P761" s="3" t="s">
        <v>1615</v>
      </c>
      <c r="Q761" s="95">
        <f t="shared" si="70"/>
        <v>6.9411764705882364</v>
      </c>
      <c r="R761" s="133">
        <f>IF(P761=模板计算相关数据!$AB$24,VLOOKUP(X761,模板计算相关数据!$P$47:$T$50,2,0),VLOOKUP(X761,模板计算相关数据!$P$4:$U$7,3,0))*VLOOKUP(Y761,模板计算相关数据!$P$22:$X$30,8,0)</f>
        <v>6.9411764705882364</v>
      </c>
      <c r="S761" s="62">
        <f t="shared" si="71"/>
        <v>8.2943498888557112</v>
      </c>
      <c r="T761" s="133">
        <f>IF(P761=模板计算相关数据!$AB$24,VLOOKUP(X761,模板计算相关数据!$P$47:$T$50,5,0),VLOOKUP(X761,模板计算相关数据!$P$4:$U$7,6,0))*VLOOKUP(Y761,模板计算相关数据!$P$22:$X$30,9,0)</f>
        <v>8.2943498888557112</v>
      </c>
      <c r="U761" s="98">
        <v>1</v>
      </c>
      <c r="V761" s="95">
        <f t="shared" si="72"/>
        <v>4</v>
      </c>
      <c r="W761" s="29">
        <f>VLOOKUP(U761,模板计算相关数据!A:N,2,0)</f>
        <v>1</v>
      </c>
      <c r="X761" s="3" t="s">
        <v>151</v>
      </c>
      <c r="Y761" s="3" t="s">
        <v>155</v>
      </c>
      <c r="Z761" s="99">
        <v>1</v>
      </c>
      <c r="AA761" s="95">
        <v>1</v>
      </c>
      <c r="AB761" s="95">
        <v>1</v>
      </c>
      <c r="AC761" s="95">
        <v>1</v>
      </c>
      <c r="AD761" s="95">
        <v>0</v>
      </c>
      <c r="AE761" s="95">
        <v>0</v>
      </c>
      <c r="AF761" s="95">
        <v>0</v>
      </c>
      <c r="AG761" s="95">
        <v>0</v>
      </c>
      <c r="AH761" s="95">
        <v>0</v>
      </c>
      <c r="AI761" s="95">
        <v>0</v>
      </c>
      <c r="AJ761" s="3">
        <f>INT(VLOOKUP(U761,模板计算相关数据!A:N,4,0)*VLOOKUP(U761,模板计算相关数据!A:N,14,0)*(1+MAX(0,(VLOOKUP(U761,模板计算相关数据!A:N,7,0)-AQ761))*VLOOKUP(U761,模板计算相关数据!A:N,8,0))*(1-(AL761+AM761)*0.5/((AL761+AM761)*0.5+(VLOOKUP(U761,模板计算相关数据!A:N,2,0)+模板计算相关数据!$AC$27)*模板计算相关数据!$AC$28))*Q761*Z761)</f>
        <v>487</v>
      </c>
      <c r="AK761" s="3">
        <f>INT(VLOOKUP(U761,模板计算相关数据!A:N,3,0)/模板计算相关数据!$W$35/(1+MAX(0,(AO761/10000-VLOOKUP(U761,模板计算相关数据!A:N,9,0)))*AP761/10000)/(1-VLOOKUP(U761,模板计算相关数据!A:N,5,0)/(VLOOKUP(U761,模板计算相关数据!A:N,5,0)+(VLOOKUP(U761,模板计算相关数据!A:N,2,0)+模板计算相关数据!$AC$27)*模板计算相关数据!$AC$28))/S761*AA761)</f>
        <v>67</v>
      </c>
      <c r="AL761" s="3">
        <f>INT(VLOOKUP(U761,模板计算相关数据!A:N,5,0)*VLOOKUP(X761,模板计算相关数据!$P$4:$T$7,4,0)*VLOOKUP(Y761,模板计算相关数据!$P$22:$U$30,4,0)*AB761)</f>
        <v>277</v>
      </c>
      <c r="AM761" s="3">
        <f>INT(VLOOKUP(U761,模板计算相关数据!A:N,6,0)*VLOOKUP(X761,模板计算相关数据!$P$4:$T$7,4,0)*VLOOKUP(Y761,模板计算相关数据!$P$22:$U$30,5,0)*AC761)</f>
        <v>153</v>
      </c>
      <c r="AN761" s="3">
        <f>VLOOKUP(U761,模板计算相关数据!A:N,10,0)*0.5*VLOOKUP(Y761,模板计算相关数据!$P$22:$U$30,6,0)+AD761</f>
        <v>225</v>
      </c>
      <c r="AO761" s="3">
        <f>VLOOKUP(INT(VLOOKUP(U761,模板计算相关数据!A:N,2,0)/30)+1,模板计算相关数据!$O$35:$U$40,3,0)+AE761</f>
        <v>0</v>
      </c>
      <c r="AP761" s="3">
        <f>VLOOKUP(INT(VLOOKUP(U761,模板计算相关数据!A:N,2,0)/30)+1,模板计算相关数据!$O$35:$U$40,4,0)+AF761</f>
        <v>5000</v>
      </c>
      <c r="AQ761" s="3">
        <f>VLOOKUP(INT(VLOOKUP(U761,模板计算相关数据!A:N,2,0)/30)+1,模板计算相关数据!$O$35:$U$40,5,0)+AG761</f>
        <v>0</v>
      </c>
      <c r="AR761" s="3">
        <f>VLOOKUP(INT(VLOOKUP(U761,模板计算相关数据!A:N,2,0)/30)+1,模板计算相关数据!$O$35:$U$40,6,0)+AH761</f>
        <v>0</v>
      </c>
      <c r="AS761" s="3">
        <f>VLOOKUP(INT(VLOOKUP(U761,模板计算相关数据!A:N,2,0)/30)+1,模板计算相关数据!$O$35:$U$40,7,0)+AI761</f>
        <v>0</v>
      </c>
      <c r="AT761" s="3">
        <f>VLOOKUP(INT(VLOOKUP(U761,模板计算相关数据!A:N,2,0)/30)+1,模板计算相关数据!$O$35:$V$40,8,0)</f>
        <v>0</v>
      </c>
      <c r="AU761" s="2"/>
    </row>
    <row r="762" spans="1:47" x14ac:dyDescent="0.2">
      <c r="A762" s="2">
        <v>307457</v>
      </c>
      <c r="B762" s="2"/>
      <c r="C762" s="2" t="s">
        <v>582</v>
      </c>
      <c r="D762" s="2" t="s">
        <v>1274</v>
      </c>
      <c r="E762" s="2"/>
      <c r="F762" s="127">
        <v>3</v>
      </c>
      <c r="G762" s="127">
        <v>101</v>
      </c>
      <c r="H762" s="3">
        <v>2</v>
      </c>
      <c r="I762" s="127">
        <v>5</v>
      </c>
      <c r="J762" s="127">
        <v>1</v>
      </c>
      <c r="K762" s="3"/>
      <c r="L762" s="2" t="s">
        <v>584</v>
      </c>
      <c r="M762" s="2"/>
      <c r="N762" s="2">
        <v>1</v>
      </c>
      <c r="O762" s="2"/>
      <c r="P762" s="3" t="s">
        <v>1615</v>
      </c>
      <c r="Q762" s="95">
        <f t="shared" si="70"/>
        <v>6.9411764705882364</v>
      </c>
      <c r="R762" s="133">
        <f>IF(P762=模板计算相关数据!$AB$24,VLOOKUP(X762,模板计算相关数据!$P$47:$T$50,2,0),VLOOKUP(X762,模板计算相关数据!$P$4:$U$7,3,0))*VLOOKUP(Y762,模板计算相关数据!$P$22:$X$30,8,0)</f>
        <v>6.9411764705882364</v>
      </c>
      <c r="S762" s="62">
        <f t="shared" si="71"/>
        <v>8.2943498888557112</v>
      </c>
      <c r="T762" s="133">
        <f>IF(P762=模板计算相关数据!$AB$24,VLOOKUP(X762,模板计算相关数据!$P$47:$T$50,5,0),VLOOKUP(X762,模板计算相关数据!$P$4:$U$7,6,0))*VLOOKUP(Y762,模板计算相关数据!$P$22:$X$30,9,0)</f>
        <v>8.2943498888557112</v>
      </c>
      <c r="U762" s="98">
        <v>1</v>
      </c>
      <c r="V762" s="95">
        <f t="shared" si="72"/>
        <v>4</v>
      </c>
      <c r="W762" s="29">
        <f>VLOOKUP(U762,模板计算相关数据!A:N,2,0)</f>
        <v>1</v>
      </c>
      <c r="X762" s="3" t="s">
        <v>151</v>
      </c>
      <c r="Y762" s="3" t="s">
        <v>155</v>
      </c>
      <c r="Z762" s="99">
        <v>1</v>
      </c>
      <c r="AA762" s="95">
        <v>1</v>
      </c>
      <c r="AB762" s="95">
        <v>1</v>
      </c>
      <c r="AC762" s="95">
        <v>1</v>
      </c>
      <c r="AD762" s="95">
        <v>0</v>
      </c>
      <c r="AE762" s="95">
        <v>0</v>
      </c>
      <c r="AF762" s="95">
        <v>0</v>
      </c>
      <c r="AG762" s="95">
        <v>0</v>
      </c>
      <c r="AH762" s="95">
        <v>0</v>
      </c>
      <c r="AI762" s="95">
        <v>0</v>
      </c>
      <c r="AJ762" s="3">
        <f>INT(VLOOKUP(U762,模板计算相关数据!A:N,4,0)*VLOOKUP(U762,模板计算相关数据!A:N,14,0)*(1+MAX(0,(VLOOKUP(U762,模板计算相关数据!A:N,7,0)-AQ762))*VLOOKUP(U762,模板计算相关数据!A:N,8,0))*(1-(AL762+AM762)*0.5/((AL762+AM762)*0.5+(VLOOKUP(U762,模板计算相关数据!A:N,2,0)+模板计算相关数据!$AC$27)*模板计算相关数据!$AC$28))*Q762*Z762)</f>
        <v>487</v>
      </c>
      <c r="AK762" s="3">
        <f>INT(VLOOKUP(U762,模板计算相关数据!A:N,3,0)/模板计算相关数据!$W$35/(1+MAX(0,(AO762/10000-VLOOKUP(U762,模板计算相关数据!A:N,9,0)))*AP762/10000)/(1-VLOOKUP(U762,模板计算相关数据!A:N,5,0)/(VLOOKUP(U762,模板计算相关数据!A:N,5,0)+(VLOOKUP(U762,模板计算相关数据!A:N,2,0)+模板计算相关数据!$AC$27)*模板计算相关数据!$AC$28))/S762*AA762)</f>
        <v>67</v>
      </c>
      <c r="AL762" s="3">
        <f>INT(VLOOKUP(U762,模板计算相关数据!A:N,5,0)*VLOOKUP(X762,模板计算相关数据!$P$4:$T$7,4,0)*VLOOKUP(Y762,模板计算相关数据!$P$22:$U$30,4,0)*AB762)</f>
        <v>277</v>
      </c>
      <c r="AM762" s="3">
        <f>INT(VLOOKUP(U762,模板计算相关数据!A:N,6,0)*VLOOKUP(X762,模板计算相关数据!$P$4:$T$7,4,0)*VLOOKUP(Y762,模板计算相关数据!$P$22:$U$30,5,0)*AC762)</f>
        <v>153</v>
      </c>
      <c r="AN762" s="3">
        <f>VLOOKUP(U762,模板计算相关数据!A:N,10,0)*0.5*VLOOKUP(Y762,模板计算相关数据!$P$22:$U$30,6,0)+AD762</f>
        <v>225</v>
      </c>
      <c r="AO762" s="3">
        <f>VLOOKUP(INT(VLOOKUP(U762,模板计算相关数据!A:N,2,0)/30)+1,模板计算相关数据!$O$35:$U$40,3,0)+AE762</f>
        <v>0</v>
      </c>
      <c r="AP762" s="3">
        <f>VLOOKUP(INT(VLOOKUP(U762,模板计算相关数据!A:N,2,0)/30)+1,模板计算相关数据!$O$35:$U$40,4,0)+AF762</f>
        <v>5000</v>
      </c>
      <c r="AQ762" s="3">
        <f>VLOOKUP(INT(VLOOKUP(U762,模板计算相关数据!A:N,2,0)/30)+1,模板计算相关数据!$O$35:$U$40,5,0)+AG762</f>
        <v>0</v>
      </c>
      <c r="AR762" s="3">
        <f>VLOOKUP(INT(VLOOKUP(U762,模板计算相关数据!A:N,2,0)/30)+1,模板计算相关数据!$O$35:$U$40,6,0)+AH762</f>
        <v>0</v>
      </c>
      <c r="AS762" s="3">
        <f>VLOOKUP(INT(VLOOKUP(U762,模板计算相关数据!A:N,2,0)/30)+1,模板计算相关数据!$O$35:$U$40,7,0)+AI762</f>
        <v>0</v>
      </c>
      <c r="AT762" s="3">
        <f>VLOOKUP(INT(VLOOKUP(U762,模板计算相关数据!A:N,2,0)/30)+1,模板计算相关数据!$O$35:$V$40,8,0)</f>
        <v>0</v>
      </c>
      <c r="AU762" s="2"/>
    </row>
    <row r="763" spans="1:47" x14ac:dyDescent="0.2">
      <c r="A763" s="2">
        <v>307458</v>
      </c>
      <c r="B763" s="2"/>
      <c r="C763" s="2" t="s">
        <v>582</v>
      </c>
      <c r="D763" s="2" t="s">
        <v>1270</v>
      </c>
      <c r="E763" s="2"/>
      <c r="F763" s="127">
        <v>3</v>
      </c>
      <c r="G763" s="127">
        <v>101</v>
      </c>
      <c r="H763" s="3">
        <v>2</v>
      </c>
      <c r="I763" s="127">
        <v>5</v>
      </c>
      <c r="J763" s="127">
        <v>1</v>
      </c>
      <c r="K763" s="3"/>
      <c r="L763" s="2" t="s">
        <v>585</v>
      </c>
      <c r="M763" s="2"/>
      <c r="N763" s="2">
        <v>1</v>
      </c>
      <c r="O763" s="2"/>
      <c r="P763" s="3" t="s">
        <v>1615</v>
      </c>
      <c r="Q763" s="95">
        <f t="shared" si="70"/>
        <v>6.9411764705882364</v>
      </c>
      <c r="R763" s="133">
        <f>IF(P763=模板计算相关数据!$AB$24,VLOOKUP(X763,模板计算相关数据!$P$47:$T$50,2,0),VLOOKUP(X763,模板计算相关数据!$P$4:$U$7,3,0))*VLOOKUP(Y763,模板计算相关数据!$P$22:$X$30,8,0)</f>
        <v>6.9411764705882364</v>
      </c>
      <c r="S763" s="62">
        <f t="shared" si="71"/>
        <v>8.2943498888557112</v>
      </c>
      <c r="T763" s="133">
        <f>IF(P763=模板计算相关数据!$AB$24,VLOOKUP(X763,模板计算相关数据!$P$47:$T$50,5,0),VLOOKUP(X763,模板计算相关数据!$P$4:$U$7,6,0))*VLOOKUP(Y763,模板计算相关数据!$P$22:$X$30,9,0)</f>
        <v>8.2943498888557112</v>
      </c>
      <c r="U763" s="98">
        <v>1</v>
      </c>
      <c r="V763" s="95">
        <f t="shared" si="72"/>
        <v>4</v>
      </c>
      <c r="W763" s="29">
        <f>VLOOKUP(U763,模板计算相关数据!A:N,2,0)</f>
        <v>1</v>
      </c>
      <c r="X763" s="3" t="s">
        <v>151</v>
      </c>
      <c r="Y763" s="3" t="s">
        <v>155</v>
      </c>
      <c r="Z763" s="99">
        <v>1</v>
      </c>
      <c r="AA763" s="95">
        <v>1</v>
      </c>
      <c r="AB763" s="95">
        <v>1</v>
      </c>
      <c r="AC763" s="95">
        <v>1</v>
      </c>
      <c r="AD763" s="95">
        <v>0</v>
      </c>
      <c r="AE763" s="95">
        <v>0</v>
      </c>
      <c r="AF763" s="95">
        <v>0</v>
      </c>
      <c r="AG763" s="95">
        <v>0</v>
      </c>
      <c r="AH763" s="95">
        <v>0</v>
      </c>
      <c r="AI763" s="95">
        <v>0</v>
      </c>
      <c r="AJ763" s="3">
        <f>INT(VLOOKUP(U763,模板计算相关数据!A:N,4,0)*VLOOKUP(U763,模板计算相关数据!A:N,14,0)*(1+MAX(0,(VLOOKUP(U763,模板计算相关数据!A:N,7,0)-AQ763))*VLOOKUP(U763,模板计算相关数据!A:N,8,0))*(1-(AL763+AM763)*0.5/((AL763+AM763)*0.5+(VLOOKUP(U763,模板计算相关数据!A:N,2,0)+模板计算相关数据!$AC$27)*模板计算相关数据!$AC$28))*Q763*Z763)</f>
        <v>487</v>
      </c>
      <c r="AK763" s="3">
        <f>INT(VLOOKUP(U763,模板计算相关数据!A:N,3,0)/模板计算相关数据!$W$35/(1+MAX(0,(AO763/10000-VLOOKUP(U763,模板计算相关数据!A:N,9,0)))*AP763/10000)/(1-VLOOKUP(U763,模板计算相关数据!A:N,5,0)/(VLOOKUP(U763,模板计算相关数据!A:N,5,0)+(VLOOKUP(U763,模板计算相关数据!A:N,2,0)+模板计算相关数据!$AC$27)*模板计算相关数据!$AC$28))/S763*AA763)</f>
        <v>67</v>
      </c>
      <c r="AL763" s="3">
        <f>INT(VLOOKUP(U763,模板计算相关数据!A:N,5,0)*VLOOKUP(X763,模板计算相关数据!$P$4:$T$7,4,0)*VLOOKUP(Y763,模板计算相关数据!$P$22:$U$30,4,0)*AB763)</f>
        <v>277</v>
      </c>
      <c r="AM763" s="3">
        <f>INT(VLOOKUP(U763,模板计算相关数据!A:N,6,0)*VLOOKUP(X763,模板计算相关数据!$P$4:$T$7,4,0)*VLOOKUP(Y763,模板计算相关数据!$P$22:$U$30,5,0)*AC763)</f>
        <v>153</v>
      </c>
      <c r="AN763" s="3">
        <f>VLOOKUP(U763,模板计算相关数据!A:N,10,0)*0.5*VLOOKUP(Y763,模板计算相关数据!$P$22:$U$30,6,0)+AD763</f>
        <v>225</v>
      </c>
      <c r="AO763" s="3">
        <f>VLOOKUP(INT(VLOOKUP(U763,模板计算相关数据!A:N,2,0)/30)+1,模板计算相关数据!$O$35:$U$40,3,0)+AE763</f>
        <v>0</v>
      </c>
      <c r="AP763" s="3">
        <f>VLOOKUP(INT(VLOOKUP(U763,模板计算相关数据!A:N,2,0)/30)+1,模板计算相关数据!$O$35:$U$40,4,0)+AF763</f>
        <v>5000</v>
      </c>
      <c r="AQ763" s="3">
        <f>VLOOKUP(INT(VLOOKUP(U763,模板计算相关数据!A:N,2,0)/30)+1,模板计算相关数据!$O$35:$U$40,5,0)+AG763</f>
        <v>0</v>
      </c>
      <c r="AR763" s="3">
        <f>VLOOKUP(INT(VLOOKUP(U763,模板计算相关数据!A:N,2,0)/30)+1,模板计算相关数据!$O$35:$U$40,6,0)+AH763</f>
        <v>0</v>
      </c>
      <c r="AS763" s="3">
        <f>VLOOKUP(INT(VLOOKUP(U763,模板计算相关数据!A:N,2,0)/30)+1,模板计算相关数据!$O$35:$U$40,7,0)+AI763</f>
        <v>0</v>
      </c>
      <c r="AT763" s="3">
        <f>VLOOKUP(INT(VLOOKUP(U763,模板计算相关数据!A:N,2,0)/30)+1,模板计算相关数据!$O$35:$V$40,8,0)</f>
        <v>0</v>
      </c>
      <c r="AU763" s="2"/>
    </row>
    <row r="764" spans="1:47" x14ac:dyDescent="0.2">
      <c r="A764" s="2">
        <v>307459</v>
      </c>
      <c r="B764" s="2"/>
      <c r="C764" s="2" t="s">
        <v>582</v>
      </c>
      <c r="D764" s="2" t="s">
        <v>1271</v>
      </c>
      <c r="E764" s="2"/>
      <c r="F764" s="127">
        <v>3</v>
      </c>
      <c r="G764" s="127">
        <v>101</v>
      </c>
      <c r="H764" s="3">
        <v>2</v>
      </c>
      <c r="I764" s="127">
        <v>5</v>
      </c>
      <c r="J764" s="127">
        <v>1</v>
      </c>
      <c r="K764" s="3"/>
      <c r="L764" s="2" t="s">
        <v>586</v>
      </c>
      <c r="M764" s="2"/>
      <c r="N764" s="2">
        <v>1</v>
      </c>
      <c r="O764" s="2"/>
      <c r="P764" s="3" t="s">
        <v>1615</v>
      </c>
      <c r="Q764" s="95">
        <f t="shared" si="70"/>
        <v>6.9411764705882364</v>
      </c>
      <c r="R764" s="133">
        <f>IF(P764=模板计算相关数据!$AB$24,VLOOKUP(X764,模板计算相关数据!$P$47:$T$50,2,0),VLOOKUP(X764,模板计算相关数据!$P$4:$U$7,3,0))*VLOOKUP(Y764,模板计算相关数据!$P$22:$X$30,8,0)</f>
        <v>6.9411764705882364</v>
      </c>
      <c r="S764" s="62">
        <f t="shared" si="71"/>
        <v>8.2943498888557112</v>
      </c>
      <c r="T764" s="133">
        <f>IF(P764=模板计算相关数据!$AB$24,VLOOKUP(X764,模板计算相关数据!$P$47:$T$50,5,0),VLOOKUP(X764,模板计算相关数据!$P$4:$U$7,6,0))*VLOOKUP(Y764,模板计算相关数据!$P$22:$X$30,9,0)</f>
        <v>8.2943498888557112</v>
      </c>
      <c r="U764" s="98">
        <v>1</v>
      </c>
      <c r="V764" s="95">
        <f t="shared" si="72"/>
        <v>4</v>
      </c>
      <c r="W764" s="29">
        <f>VLOOKUP(U764,模板计算相关数据!A:N,2,0)</f>
        <v>1</v>
      </c>
      <c r="X764" s="3" t="s">
        <v>151</v>
      </c>
      <c r="Y764" s="3" t="s">
        <v>155</v>
      </c>
      <c r="Z764" s="99">
        <v>1</v>
      </c>
      <c r="AA764" s="95">
        <v>1</v>
      </c>
      <c r="AB764" s="95">
        <v>1</v>
      </c>
      <c r="AC764" s="95">
        <v>1</v>
      </c>
      <c r="AD764" s="95">
        <v>0</v>
      </c>
      <c r="AE764" s="95">
        <v>0</v>
      </c>
      <c r="AF764" s="95">
        <v>0</v>
      </c>
      <c r="AG764" s="95">
        <v>0</v>
      </c>
      <c r="AH764" s="95">
        <v>0</v>
      </c>
      <c r="AI764" s="95">
        <v>0</v>
      </c>
      <c r="AJ764" s="3">
        <f>INT(VLOOKUP(U764,模板计算相关数据!A:N,4,0)*VLOOKUP(U764,模板计算相关数据!A:N,14,0)*(1+MAX(0,(VLOOKUP(U764,模板计算相关数据!A:N,7,0)-AQ764))*VLOOKUP(U764,模板计算相关数据!A:N,8,0))*(1-(AL764+AM764)*0.5/((AL764+AM764)*0.5+(VLOOKUP(U764,模板计算相关数据!A:N,2,0)+模板计算相关数据!$AC$27)*模板计算相关数据!$AC$28))*Q764*Z764)</f>
        <v>487</v>
      </c>
      <c r="AK764" s="3">
        <f>INT(VLOOKUP(U764,模板计算相关数据!A:N,3,0)/模板计算相关数据!$W$35/(1+MAX(0,(AO764/10000-VLOOKUP(U764,模板计算相关数据!A:N,9,0)))*AP764/10000)/(1-VLOOKUP(U764,模板计算相关数据!A:N,5,0)/(VLOOKUP(U764,模板计算相关数据!A:N,5,0)+(VLOOKUP(U764,模板计算相关数据!A:N,2,0)+模板计算相关数据!$AC$27)*模板计算相关数据!$AC$28))/S764*AA764)</f>
        <v>67</v>
      </c>
      <c r="AL764" s="3">
        <f>INT(VLOOKUP(U764,模板计算相关数据!A:N,5,0)*VLOOKUP(X764,模板计算相关数据!$P$4:$T$7,4,0)*VLOOKUP(Y764,模板计算相关数据!$P$22:$U$30,4,0)*AB764)</f>
        <v>277</v>
      </c>
      <c r="AM764" s="3">
        <f>INT(VLOOKUP(U764,模板计算相关数据!A:N,6,0)*VLOOKUP(X764,模板计算相关数据!$P$4:$T$7,4,0)*VLOOKUP(Y764,模板计算相关数据!$P$22:$U$30,5,0)*AC764)</f>
        <v>153</v>
      </c>
      <c r="AN764" s="3">
        <f>VLOOKUP(U764,模板计算相关数据!A:N,10,0)*0.5*VLOOKUP(Y764,模板计算相关数据!$P$22:$U$30,6,0)+AD764</f>
        <v>225</v>
      </c>
      <c r="AO764" s="3">
        <f>VLOOKUP(INT(VLOOKUP(U764,模板计算相关数据!A:N,2,0)/30)+1,模板计算相关数据!$O$35:$U$40,3,0)+AE764</f>
        <v>0</v>
      </c>
      <c r="AP764" s="3">
        <f>VLOOKUP(INT(VLOOKUP(U764,模板计算相关数据!A:N,2,0)/30)+1,模板计算相关数据!$O$35:$U$40,4,0)+AF764</f>
        <v>5000</v>
      </c>
      <c r="AQ764" s="3">
        <f>VLOOKUP(INT(VLOOKUP(U764,模板计算相关数据!A:N,2,0)/30)+1,模板计算相关数据!$O$35:$U$40,5,0)+AG764</f>
        <v>0</v>
      </c>
      <c r="AR764" s="3">
        <f>VLOOKUP(INT(VLOOKUP(U764,模板计算相关数据!A:N,2,0)/30)+1,模板计算相关数据!$O$35:$U$40,6,0)+AH764</f>
        <v>0</v>
      </c>
      <c r="AS764" s="3">
        <f>VLOOKUP(INT(VLOOKUP(U764,模板计算相关数据!A:N,2,0)/30)+1,模板计算相关数据!$O$35:$U$40,7,0)+AI764</f>
        <v>0</v>
      </c>
      <c r="AT764" s="3">
        <f>VLOOKUP(INT(VLOOKUP(U764,模板计算相关数据!A:N,2,0)/30)+1,模板计算相关数据!$O$35:$V$40,8,0)</f>
        <v>0</v>
      </c>
      <c r="AU764" s="2"/>
    </row>
    <row r="765" spans="1:47" x14ac:dyDescent="0.2">
      <c r="A765" s="2">
        <v>307460</v>
      </c>
      <c r="B765" s="2"/>
      <c r="C765" s="2" t="s">
        <v>582</v>
      </c>
      <c r="D765" s="2" t="s">
        <v>1272</v>
      </c>
      <c r="E765" s="2"/>
      <c r="F765" s="127">
        <v>3</v>
      </c>
      <c r="G765" s="127">
        <v>101</v>
      </c>
      <c r="H765" s="3">
        <v>2</v>
      </c>
      <c r="I765" s="127">
        <v>5</v>
      </c>
      <c r="J765" s="127">
        <v>1</v>
      </c>
      <c r="K765" s="3"/>
      <c r="L765" s="2" t="s">
        <v>587</v>
      </c>
      <c r="M765" s="2"/>
      <c r="N765" s="2">
        <v>1</v>
      </c>
      <c r="O765" s="2"/>
      <c r="P765" s="3" t="s">
        <v>1615</v>
      </c>
      <c r="Q765" s="95">
        <f t="shared" si="70"/>
        <v>6.9411764705882364</v>
      </c>
      <c r="R765" s="133">
        <f>IF(P765=模板计算相关数据!$AB$24,VLOOKUP(X765,模板计算相关数据!$P$47:$T$50,2,0),VLOOKUP(X765,模板计算相关数据!$P$4:$U$7,3,0))*VLOOKUP(Y765,模板计算相关数据!$P$22:$X$30,8,0)</f>
        <v>6.9411764705882364</v>
      </c>
      <c r="S765" s="62">
        <f t="shared" si="71"/>
        <v>8.2943498888557112</v>
      </c>
      <c r="T765" s="133">
        <f>IF(P765=模板计算相关数据!$AB$24,VLOOKUP(X765,模板计算相关数据!$P$47:$T$50,5,0),VLOOKUP(X765,模板计算相关数据!$P$4:$U$7,6,0))*VLOOKUP(Y765,模板计算相关数据!$P$22:$X$30,9,0)</f>
        <v>8.2943498888557112</v>
      </c>
      <c r="U765" s="98">
        <v>1</v>
      </c>
      <c r="V765" s="95">
        <f t="shared" si="72"/>
        <v>4</v>
      </c>
      <c r="W765" s="29">
        <f>VLOOKUP(U765,模板计算相关数据!A:N,2,0)</f>
        <v>1</v>
      </c>
      <c r="X765" s="3" t="s">
        <v>151</v>
      </c>
      <c r="Y765" s="3" t="s">
        <v>155</v>
      </c>
      <c r="Z765" s="99">
        <v>1</v>
      </c>
      <c r="AA765" s="95">
        <v>1</v>
      </c>
      <c r="AB765" s="95">
        <v>1</v>
      </c>
      <c r="AC765" s="95">
        <v>1</v>
      </c>
      <c r="AD765" s="95">
        <v>0</v>
      </c>
      <c r="AE765" s="95">
        <v>0</v>
      </c>
      <c r="AF765" s="95">
        <v>0</v>
      </c>
      <c r="AG765" s="95">
        <v>0</v>
      </c>
      <c r="AH765" s="95">
        <v>0</v>
      </c>
      <c r="AI765" s="95">
        <v>0</v>
      </c>
      <c r="AJ765" s="3">
        <f>INT(VLOOKUP(U765,模板计算相关数据!A:N,4,0)*VLOOKUP(U765,模板计算相关数据!A:N,14,0)*(1+MAX(0,(VLOOKUP(U765,模板计算相关数据!A:N,7,0)-AQ765))*VLOOKUP(U765,模板计算相关数据!A:N,8,0))*(1-(AL765+AM765)*0.5/((AL765+AM765)*0.5+(VLOOKUP(U765,模板计算相关数据!A:N,2,0)+模板计算相关数据!$AC$27)*模板计算相关数据!$AC$28))*Q765*Z765)</f>
        <v>487</v>
      </c>
      <c r="AK765" s="3">
        <f>INT(VLOOKUP(U765,模板计算相关数据!A:N,3,0)/模板计算相关数据!$W$35/(1+MAX(0,(AO765/10000-VLOOKUP(U765,模板计算相关数据!A:N,9,0)))*AP765/10000)/(1-VLOOKUP(U765,模板计算相关数据!A:N,5,0)/(VLOOKUP(U765,模板计算相关数据!A:N,5,0)+(VLOOKUP(U765,模板计算相关数据!A:N,2,0)+模板计算相关数据!$AC$27)*模板计算相关数据!$AC$28))/S765*AA765)</f>
        <v>67</v>
      </c>
      <c r="AL765" s="3">
        <f>INT(VLOOKUP(U765,模板计算相关数据!A:N,5,0)*VLOOKUP(X765,模板计算相关数据!$P$4:$T$7,4,0)*VLOOKUP(Y765,模板计算相关数据!$P$22:$U$30,4,0)*AB765)</f>
        <v>277</v>
      </c>
      <c r="AM765" s="3">
        <f>INT(VLOOKUP(U765,模板计算相关数据!A:N,6,0)*VLOOKUP(X765,模板计算相关数据!$P$4:$T$7,4,0)*VLOOKUP(Y765,模板计算相关数据!$P$22:$U$30,5,0)*AC765)</f>
        <v>153</v>
      </c>
      <c r="AN765" s="3">
        <f>VLOOKUP(U765,模板计算相关数据!A:N,10,0)*0.5*VLOOKUP(Y765,模板计算相关数据!$P$22:$U$30,6,0)+AD765</f>
        <v>225</v>
      </c>
      <c r="AO765" s="3">
        <f>VLOOKUP(INT(VLOOKUP(U765,模板计算相关数据!A:N,2,0)/30)+1,模板计算相关数据!$O$35:$U$40,3,0)+AE765</f>
        <v>0</v>
      </c>
      <c r="AP765" s="3">
        <f>VLOOKUP(INT(VLOOKUP(U765,模板计算相关数据!A:N,2,0)/30)+1,模板计算相关数据!$O$35:$U$40,4,0)+AF765</f>
        <v>5000</v>
      </c>
      <c r="AQ765" s="3">
        <f>VLOOKUP(INT(VLOOKUP(U765,模板计算相关数据!A:N,2,0)/30)+1,模板计算相关数据!$O$35:$U$40,5,0)+AG765</f>
        <v>0</v>
      </c>
      <c r="AR765" s="3">
        <f>VLOOKUP(INT(VLOOKUP(U765,模板计算相关数据!A:N,2,0)/30)+1,模板计算相关数据!$O$35:$U$40,6,0)+AH765</f>
        <v>0</v>
      </c>
      <c r="AS765" s="3">
        <f>VLOOKUP(INT(VLOOKUP(U765,模板计算相关数据!A:N,2,0)/30)+1,模板计算相关数据!$O$35:$U$40,7,0)+AI765</f>
        <v>0</v>
      </c>
      <c r="AT765" s="3">
        <f>VLOOKUP(INT(VLOOKUP(U765,模板计算相关数据!A:N,2,0)/30)+1,模板计算相关数据!$O$35:$V$40,8,0)</f>
        <v>0</v>
      </c>
      <c r="AU765" s="2"/>
    </row>
    <row r="766" spans="1:47" x14ac:dyDescent="0.2">
      <c r="A766" s="17">
        <v>307461</v>
      </c>
      <c r="B766" s="17"/>
      <c r="C766" s="25" t="s">
        <v>776</v>
      </c>
      <c r="D766" s="25" t="s">
        <v>1275</v>
      </c>
      <c r="E766" s="17"/>
      <c r="F766" s="152">
        <v>3</v>
      </c>
      <c r="G766" s="152">
        <v>101</v>
      </c>
      <c r="H766" s="43">
        <v>2</v>
      </c>
      <c r="I766" s="152">
        <v>5</v>
      </c>
      <c r="J766" s="152">
        <v>1</v>
      </c>
      <c r="K766" s="3"/>
      <c r="L766" s="69" t="s">
        <v>787</v>
      </c>
      <c r="M766" s="2"/>
      <c r="N766" s="2">
        <v>1</v>
      </c>
      <c r="O766" s="2"/>
      <c r="P766" s="3" t="s">
        <v>1615</v>
      </c>
      <c r="Q766" s="95">
        <f t="shared" si="70"/>
        <v>6.9411764705882364</v>
      </c>
      <c r="R766" s="133">
        <f>IF(P766=模板计算相关数据!$AB$24,VLOOKUP(X766,模板计算相关数据!$P$47:$T$50,2,0),VLOOKUP(X766,模板计算相关数据!$P$4:$U$7,3,0))*VLOOKUP(Y766,模板计算相关数据!$P$22:$X$30,8,0)</f>
        <v>6.9411764705882364</v>
      </c>
      <c r="S766" s="62">
        <f t="shared" si="71"/>
        <v>8.2943498888557112</v>
      </c>
      <c r="T766" s="133">
        <f>IF(P766=模板计算相关数据!$AB$24,VLOOKUP(X766,模板计算相关数据!$P$47:$T$50,5,0),VLOOKUP(X766,模板计算相关数据!$P$4:$U$7,6,0))*VLOOKUP(Y766,模板计算相关数据!$P$22:$X$30,9,0)</f>
        <v>8.2943498888557112</v>
      </c>
      <c r="U766" s="98">
        <v>1</v>
      </c>
      <c r="V766" s="95">
        <f t="shared" si="72"/>
        <v>4</v>
      </c>
      <c r="W766" s="29">
        <f>VLOOKUP(U766,模板计算相关数据!A:N,2,0)</f>
        <v>1</v>
      </c>
      <c r="X766" s="3" t="s">
        <v>151</v>
      </c>
      <c r="Y766" s="3" t="s">
        <v>155</v>
      </c>
      <c r="Z766" s="99">
        <v>1</v>
      </c>
      <c r="AA766" s="95">
        <v>1</v>
      </c>
      <c r="AB766" s="95">
        <v>1</v>
      </c>
      <c r="AC766" s="95">
        <v>1</v>
      </c>
      <c r="AD766" s="95">
        <v>0</v>
      </c>
      <c r="AE766" s="95">
        <v>0</v>
      </c>
      <c r="AF766" s="95">
        <v>0</v>
      </c>
      <c r="AG766" s="95">
        <v>0</v>
      </c>
      <c r="AH766" s="95">
        <v>0</v>
      </c>
      <c r="AI766" s="95">
        <v>0</v>
      </c>
      <c r="AJ766" s="3">
        <f>INT(VLOOKUP(U766,模板计算相关数据!A:N,4,0)*VLOOKUP(U766,模板计算相关数据!A:N,14,0)*(1+MAX(0,(VLOOKUP(U766,模板计算相关数据!A:N,7,0)-AQ766))*VLOOKUP(U766,模板计算相关数据!A:N,8,0))*(1-(AL766+AM766)*0.5/((AL766+AM766)*0.5+(VLOOKUP(U766,模板计算相关数据!A:N,2,0)+模板计算相关数据!$AC$27)*模板计算相关数据!$AC$28))*Q766*Z766)</f>
        <v>487</v>
      </c>
      <c r="AK766" s="3">
        <f>INT(VLOOKUP(U766,模板计算相关数据!A:N,3,0)/模板计算相关数据!$W$35/(1+MAX(0,(AO766/10000-VLOOKUP(U766,模板计算相关数据!A:N,9,0)))*AP766/10000)/(1-VLOOKUP(U766,模板计算相关数据!A:N,5,0)/(VLOOKUP(U766,模板计算相关数据!A:N,5,0)+(VLOOKUP(U766,模板计算相关数据!A:N,2,0)+模板计算相关数据!$AC$27)*模板计算相关数据!$AC$28))/S766*AA766)</f>
        <v>67</v>
      </c>
      <c r="AL766" s="3">
        <f>INT(VLOOKUP(U766,模板计算相关数据!A:N,5,0)*VLOOKUP(X766,模板计算相关数据!$P$4:$T$7,4,0)*VLOOKUP(Y766,模板计算相关数据!$P$22:$U$30,4,0)*AB766)</f>
        <v>277</v>
      </c>
      <c r="AM766" s="3">
        <f>INT(VLOOKUP(U766,模板计算相关数据!A:N,6,0)*VLOOKUP(X766,模板计算相关数据!$P$4:$T$7,4,0)*VLOOKUP(Y766,模板计算相关数据!$P$22:$U$30,5,0)*AC766)</f>
        <v>153</v>
      </c>
      <c r="AN766" s="3">
        <f>VLOOKUP(U766,模板计算相关数据!A:N,10,0)*0.5*VLOOKUP(Y766,模板计算相关数据!$P$22:$U$30,6,0)+AD766</f>
        <v>225</v>
      </c>
      <c r="AO766" s="3">
        <f>VLOOKUP(INT(VLOOKUP(U766,模板计算相关数据!A:N,2,0)/30)+1,模板计算相关数据!$O$35:$U$40,3,0)+AE766</f>
        <v>0</v>
      </c>
      <c r="AP766" s="3">
        <f>VLOOKUP(INT(VLOOKUP(U766,模板计算相关数据!A:N,2,0)/30)+1,模板计算相关数据!$O$35:$U$40,4,0)+AF766</f>
        <v>5000</v>
      </c>
      <c r="AQ766" s="3">
        <f>VLOOKUP(INT(VLOOKUP(U766,模板计算相关数据!A:N,2,0)/30)+1,模板计算相关数据!$O$35:$U$40,5,0)+AG766</f>
        <v>0</v>
      </c>
      <c r="AR766" s="3">
        <f>VLOOKUP(INT(VLOOKUP(U766,模板计算相关数据!A:N,2,0)/30)+1,模板计算相关数据!$O$35:$U$40,6,0)+AH766</f>
        <v>0</v>
      </c>
      <c r="AS766" s="3">
        <f>VLOOKUP(INT(VLOOKUP(U766,模板计算相关数据!A:N,2,0)/30)+1,模板计算相关数据!$O$35:$U$40,7,0)+AI766</f>
        <v>0</v>
      </c>
      <c r="AT766" s="3">
        <f>VLOOKUP(INT(VLOOKUP(U766,模板计算相关数据!A:N,2,0)/30)+1,模板计算相关数据!$O$35:$V$40,8,0)</f>
        <v>0</v>
      </c>
      <c r="AU766" s="2"/>
    </row>
    <row r="767" spans="1:47" x14ac:dyDescent="0.2">
      <c r="A767" s="2">
        <v>307462</v>
      </c>
      <c r="B767" s="2"/>
      <c r="C767" s="2" t="s">
        <v>777</v>
      </c>
      <c r="D767" s="69" t="s">
        <v>1276</v>
      </c>
      <c r="E767" s="2"/>
      <c r="F767" s="127">
        <v>3</v>
      </c>
      <c r="G767" s="127">
        <v>101</v>
      </c>
      <c r="H767" s="3">
        <v>2</v>
      </c>
      <c r="I767" s="127">
        <v>5</v>
      </c>
      <c r="J767" s="127">
        <v>1</v>
      </c>
      <c r="K767" s="3"/>
      <c r="L767" s="69" t="s">
        <v>788</v>
      </c>
      <c r="M767" s="2"/>
      <c r="N767" s="2">
        <v>1</v>
      </c>
      <c r="O767" s="2"/>
      <c r="P767" s="3" t="s">
        <v>1615</v>
      </c>
      <c r="Q767" s="95">
        <f t="shared" si="70"/>
        <v>6.9411764705882364</v>
      </c>
      <c r="R767" s="133">
        <f>IF(P767=模板计算相关数据!$AB$24,VLOOKUP(X767,模板计算相关数据!$P$47:$T$50,2,0),VLOOKUP(X767,模板计算相关数据!$P$4:$U$7,3,0))*VLOOKUP(Y767,模板计算相关数据!$P$22:$X$30,8,0)</f>
        <v>6.9411764705882364</v>
      </c>
      <c r="S767" s="62">
        <f t="shared" si="71"/>
        <v>8.2943498888557112</v>
      </c>
      <c r="T767" s="133">
        <f>IF(P767=模板计算相关数据!$AB$24,VLOOKUP(X767,模板计算相关数据!$P$47:$T$50,5,0),VLOOKUP(X767,模板计算相关数据!$P$4:$U$7,6,0))*VLOOKUP(Y767,模板计算相关数据!$P$22:$X$30,9,0)</f>
        <v>8.2943498888557112</v>
      </c>
      <c r="U767" s="98">
        <v>1</v>
      </c>
      <c r="V767" s="95">
        <f t="shared" si="72"/>
        <v>4</v>
      </c>
      <c r="W767" s="29">
        <f>VLOOKUP(U767,模板计算相关数据!A:N,2,0)</f>
        <v>1</v>
      </c>
      <c r="X767" s="3" t="s">
        <v>151</v>
      </c>
      <c r="Y767" s="3" t="s">
        <v>155</v>
      </c>
      <c r="Z767" s="99">
        <v>1</v>
      </c>
      <c r="AA767" s="95">
        <v>1</v>
      </c>
      <c r="AB767" s="95">
        <v>1</v>
      </c>
      <c r="AC767" s="95">
        <v>1</v>
      </c>
      <c r="AD767" s="95">
        <v>0</v>
      </c>
      <c r="AE767" s="95">
        <v>0</v>
      </c>
      <c r="AF767" s="95">
        <v>0</v>
      </c>
      <c r="AG767" s="95">
        <v>0</v>
      </c>
      <c r="AH767" s="95">
        <v>0</v>
      </c>
      <c r="AI767" s="95">
        <v>0</v>
      </c>
      <c r="AJ767" s="3">
        <f>INT(VLOOKUP(U767,模板计算相关数据!A:N,4,0)*VLOOKUP(U767,模板计算相关数据!A:N,14,0)*(1+MAX(0,(VLOOKUP(U767,模板计算相关数据!A:N,7,0)-AQ767))*VLOOKUP(U767,模板计算相关数据!A:N,8,0))*(1-(AL767+AM767)*0.5/((AL767+AM767)*0.5+(VLOOKUP(U767,模板计算相关数据!A:N,2,0)+模板计算相关数据!$AC$27)*模板计算相关数据!$AC$28))*Q767*Z767)</f>
        <v>487</v>
      </c>
      <c r="AK767" s="3">
        <f>INT(VLOOKUP(U767,模板计算相关数据!A:N,3,0)/模板计算相关数据!$W$35/(1+MAX(0,(AO767/10000-VLOOKUP(U767,模板计算相关数据!A:N,9,0)))*AP767/10000)/(1-VLOOKUP(U767,模板计算相关数据!A:N,5,0)/(VLOOKUP(U767,模板计算相关数据!A:N,5,0)+(VLOOKUP(U767,模板计算相关数据!A:N,2,0)+模板计算相关数据!$AC$27)*模板计算相关数据!$AC$28))/S767*AA767)</f>
        <v>67</v>
      </c>
      <c r="AL767" s="3">
        <f>INT(VLOOKUP(U767,模板计算相关数据!A:N,5,0)*VLOOKUP(X767,模板计算相关数据!$P$4:$T$7,4,0)*VLOOKUP(Y767,模板计算相关数据!$P$22:$U$30,4,0)*AB767)</f>
        <v>277</v>
      </c>
      <c r="AM767" s="3">
        <f>INT(VLOOKUP(U767,模板计算相关数据!A:N,6,0)*VLOOKUP(X767,模板计算相关数据!$P$4:$T$7,4,0)*VLOOKUP(Y767,模板计算相关数据!$P$22:$U$30,5,0)*AC767)</f>
        <v>153</v>
      </c>
      <c r="AN767" s="3">
        <f>VLOOKUP(U767,模板计算相关数据!A:N,10,0)*0.5*VLOOKUP(Y767,模板计算相关数据!$P$22:$U$30,6,0)+AD767</f>
        <v>225</v>
      </c>
      <c r="AO767" s="3">
        <f>VLOOKUP(INT(VLOOKUP(U767,模板计算相关数据!A:N,2,0)/30)+1,模板计算相关数据!$O$35:$U$40,3,0)+AE767</f>
        <v>0</v>
      </c>
      <c r="AP767" s="3">
        <f>VLOOKUP(INT(VLOOKUP(U767,模板计算相关数据!A:N,2,0)/30)+1,模板计算相关数据!$O$35:$U$40,4,0)+AF767</f>
        <v>5000</v>
      </c>
      <c r="AQ767" s="3">
        <f>VLOOKUP(INT(VLOOKUP(U767,模板计算相关数据!A:N,2,0)/30)+1,模板计算相关数据!$O$35:$U$40,5,0)+AG767</f>
        <v>0</v>
      </c>
      <c r="AR767" s="3">
        <f>VLOOKUP(INT(VLOOKUP(U767,模板计算相关数据!A:N,2,0)/30)+1,模板计算相关数据!$O$35:$U$40,6,0)+AH767</f>
        <v>0</v>
      </c>
      <c r="AS767" s="3">
        <f>VLOOKUP(INT(VLOOKUP(U767,模板计算相关数据!A:N,2,0)/30)+1,模板计算相关数据!$O$35:$U$40,7,0)+AI767</f>
        <v>0</v>
      </c>
      <c r="AT767" s="3">
        <f>VLOOKUP(INT(VLOOKUP(U767,模板计算相关数据!A:N,2,0)/30)+1,模板计算相关数据!$O$35:$V$40,8,0)</f>
        <v>0</v>
      </c>
      <c r="AU767" s="2"/>
    </row>
    <row r="768" spans="1:47" x14ac:dyDescent="0.2">
      <c r="A768" s="2">
        <v>307463</v>
      </c>
      <c r="B768" s="2"/>
      <c r="C768" s="2" t="s">
        <v>777</v>
      </c>
      <c r="D768" s="69" t="s">
        <v>1277</v>
      </c>
      <c r="E768" s="2"/>
      <c r="F768" s="127">
        <v>3</v>
      </c>
      <c r="G768" s="127">
        <v>101</v>
      </c>
      <c r="H768" s="3">
        <v>2</v>
      </c>
      <c r="I768" s="127">
        <v>5</v>
      </c>
      <c r="J768" s="127">
        <v>1</v>
      </c>
      <c r="K768" s="3"/>
      <c r="L768" s="69" t="s">
        <v>789</v>
      </c>
      <c r="M768" s="2"/>
      <c r="N768" s="2">
        <v>1</v>
      </c>
      <c r="O768" s="2"/>
      <c r="P768" s="3" t="s">
        <v>1615</v>
      </c>
      <c r="Q768" s="95">
        <f t="shared" si="70"/>
        <v>6.9411764705882364</v>
      </c>
      <c r="R768" s="133">
        <f>IF(P768=模板计算相关数据!$AB$24,VLOOKUP(X768,模板计算相关数据!$P$47:$T$50,2,0),VLOOKUP(X768,模板计算相关数据!$P$4:$U$7,3,0))*VLOOKUP(Y768,模板计算相关数据!$P$22:$X$30,8,0)</f>
        <v>6.9411764705882364</v>
      </c>
      <c r="S768" s="62">
        <f t="shared" si="71"/>
        <v>8.2943498888557112</v>
      </c>
      <c r="T768" s="133">
        <f>IF(P768=模板计算相关数据!$AB$24,VLOOKUP(X768,模板计算相关数据!$P$47:$T$50,5,0),VLOOKUP(X768,模板计算相关数据!$P$4:$U$7,6,0))*VLOOKUP(Y768,模板计算相关数据!$P$22:$X$30,9,0)</f>
        <v>8.2943498888557112</v>
      </c>
      <c r="U768" s="98">
        <v>1</v>
      </c>
      <c r="V768" s="95">
        <f t="shared" si="72"/>
        <v>4</v>
      </c>
      <c r="W768" s="29">
        <f>VLOOKUP(U768,模板计算相关数据!A:N,2,0)</f>
        <v>1</v>
      </c>
      <c r="X768" s="3" t="s">
        <v>151</v>
      </c>
      <c r="Y768" s="3" t="s">
        <v>155</v>
      </c>
      <c r="Z768" s="99">
        <v>1</v>
      </c>
      <c r="AA768" s="95">
        <v>1</v>
      </c>
      <c r="AB768" s="95">
        <v>1</v>
      </c>
      <c r="AC768" s="95">
        <v>1</v>
      </c>
      <c r="AD768" s="95">
        <v>0</v>
      </c>
      <c r="AE768" s="95">
        <v>0</v>
      </c>
      <c r="AF768" s="95">
        <v>0</v>
      </c>
      <c r="AG768" s="95">
        <v>0</v>
      </c>
      <c r="AH768" s="95">
        <v>0</v>
      </c>
      <c r="AI768" s="95">
        <v>0</v>
      </c>
      <c r="AJ768" s="3">
        <f>INT(VLOOKUP(U768,模板计算相关数据!A:N,4,0)*VLOOKUP(U768,模板计算相关数据!A:N,14,0)*(1+MAX(0,(VLOOKUP(U768,模板计算相关数据!A:N,7,0)-AQ768))*VLOOKUP(U768,模板计算相关数据!A:N,8,0))*(1-(AL768+AM768)*0.5/((AL768+AM768)*0.5+(VLOOKUP(U768,模板计算相关数据!A:N,2,0)+模板计算相关数据!$AC$27)*模板计算相关数据!$AC$28))*Q768*Z768)</f>
        <v>487</v>
      </c>
      <c r="AK768" s="3">
        <f>INT(VLOOKUP(U768,模板计算相关数据!A:N,3,0)/模板计算相关数据!$W$35/(1+MAX(0,(AO768/10000-VLOOKUP(U768,模板计算相关数据!A:N,9,0)))*AP768/10000)/(1-VLOOKUP(U768,模板计算相关数据!A:N,5,0)/(VLOOKUP(U768,模板计算相关数据!A:N,5,0)+(VLOOKUP(U768,模板计算相关数据!A:N,2,0)+模板计算相关数据!$AC$27)*模板计算相关数据!$AC$28))/S768*AA768)</f>
        <v>67</v>
      </c>
      <c r="AL768" s="3">
        <f>INT(VLOOKUP(U768,模板计算相关数据!A:N,5,0)*VLOOKUP(X768,模板计算相关数据!$P$4:$T$7,4,0)*VLOOKUP(Y768,模板计算相关数据!$P$22:$U$30,4,0)*AB768)</f>
        <v>277</v>
      </c>
      <c r="AM768" s="3">
        <f>INT(VLOOKUP(U768,模板计算相关数据!A:N,6,0)*VLOOKUP(X768,模板计算相关数据!$P$4:$T$7,4,0)*VLOOKUP(Y768,模板计算相关数据!$P$22:$U$30,5,0)*AC768)</f>
        <v>153</v>
      </c>
      <c r="AN768" s="3">
        <f>VLOOKUP(U768,模板计算相关数据!A:N,10,0)*0.5*VLOOKUP(Y768,模板计算相关数据!$P$22:$U$30,6,0)+AD768</f>
        <v>225</v>
      </c>
      <c r="AO768" s="3">
        <f>VLOOKUP(INT(VLOOKUP(U768,模板计算相关数据!A:N,2,0)/30)+1,模板计算相关数据!$O$35:$U$40,3,0)+AE768</f>
        <v>0</v>
      </c>
      <c r="AP768" s="3">
        <f>VLOOKUP(INT(VLOOKUP(U768,模板计算相关数据!A:N,2,0)/30)+1,模板计算相关数据!$O$35:$U$40,4,0)+AF768</f>
        <v>5000</v>
      </c>
      <c r="AQ768" s="3">
        <f>VLOOKUP(INT(VLOOKUP(U768,模板计算相关数据!A:N,2,0)/30)+1,模板计算相关数据!$O$35:$U$40,5,0)+AG768</f>
        <v>0</v>
      </c>
      <c r="AR768" s="3">
        <f>VLOOKUP(INT(VLOOKUP(U768,模板计算相关数据!A:N,2,0)/30)+1,模板计算相关数据!$O$35:$U$40,6,0)+AH768</f>
        <v>0</v>
      </c>
      <c r="AS768" s="3">
        <f>VLOOKUP(INT(VLOOKUP(U768,模板计算相关数据!A:N,2,0)/30)+1,模板计算相关数据!$O$35:$U$40,7,0)+AI768</f>
        <v>0</v>
      </c>
      <c r="AT768" s="3">
        <f>VLOOKUP(INT(VLOOKUP(U768,模板计算相关数据!A:N,2,0)/30)+1,模板计算相关数据!$O$35:$V$40,8,0)</f>
        <v>0</v>
      </c>
      <c r="AU768" s="2"/>
    </row>
    <row r="769" spans="1:47" x14ac:dyDescent="0.2">
      <c r="A769" s="2">
        <v>307464</v>
      </c>
      <c r="B769" s="2"/>
      <c r="C769" s="69" t="s">
        <v>778</v>
      </c>
      <c r="D769" s="69" t="s">
        <v>1278</v>
      </c>
      <c r="E769" s="2"/>
      <c r="F769" s="127">
        <v>3</v>
      </c>
      <c r="G769" s="127">
        <v>101</v>
      </c>
      <c r="H769" s="3">
        <v>4</v>
      </c>
      <c r="I769" s="127">
        <v>5</v>
      </c>
      <c r="J769" s="127">
        <v>1</v>
      </c>
      <c r="K769" s="3"/>
      <c r="L769" s="69" t="s">
        <v>790</v>
      </c>
      <c r="M769" s="2"/>
      <c r="N769" s="2">
        <v>1</v>
      </c>
      <c r="O769" s="2"/>
      <c r="P769" s="3" t="s">
        <v>1615</v>
      </c>
      <c r="Q769" s="95">
        <f t="shared" si="70"/>
        <v>4.4674509803921572</v>
      </c>
      <c r="R769" s="133">
        <f>IF(P769=模板计算相关数据!$AB$24,VLOOKUP(X769,模板计算相关数据!$P$47:$T$50,2,0),VLOOKUP(X769,模板计算相关数据!$P$4:$U$7,3,0))*VLOOKUP(Y769,模板计算相关数据!$P$22:$X$30,8,0)</f>
        <v>4.4674509803921572</v>
      </c>
      <c r="S769" s="62">
        <f t="shared" si="71"/>
        <v>5.4739930589768004</v>
      </c>
      <c r="T769" s="133">
        <f>IF(P769=模板计算相关数据!$AB$24,VLOOKUP(X769,模板计算相关数据!$P$47:$T$50,5,0),VLOOKUP(X769,模板计算相关数据!$P$4:$U$7,6,0))*VLOOKUP(Y769,模板计算相关数据!$P$22:$X$30,9,0)</f>
        <v>5.4739930589768004</v>
      </c>
      <c r="U769" s="98">
        <v>1</v>
      </c>
      <c r="V769" s="95">
        <f t="shared" si="72"/>
        <v>4</v>
      </c>
      <c r="W769" s="29">
        <f>VLOOKUP(U769,模板计算相关数据!A:N,2,0)</f>
        <v>1</v>
      </c>
      <c r="X769" s="3" t="s">
        <v>151</v>
      </c>
      <c r="Y769" s="3" t="s">
        <v>162</v>
      </c>
      <c r="Z769" s="99">
        <v>1</v>
      </c>
      <c r="AA769" s="95">
        <v>1</v>
      </c>
      <c r="AB769" s="95">
        <v>1</v>
      </c>
      <c r="AC769" s="95">
        <v>1</v>
      </c>
      <c r="AD769" s="95">
        <v>0</v>
      </c>
      <c r="AE769" s="95">
        <v>0</v>
      </c>
      <c r="AF769" s="95">
        <v>0</v>
      </c>
      <c r="AG769" s="95">
        <v>0</v>
      </c>
      <c r="AH769" s="95">
        <v>0</v>
      </c>
      <c r="AI769" s="95">
        <v>0</v>
      </c>
      <c r="AJ769" s="3">
        <f>INT(VLOOKUP(U769,模板计算相关数据!A:N,4,0)*VLOOKUP(U769,模板计算相关数据!A:N,14,0)*(1+MAX(0,(VLOOKUP(U769,模板计算相关数据!A:N,7,0)-AQ769))*VLOOKUP(U769,模板计算相关数据!A:N,8,0))*(1-(AL769+AM769)*0.5/((AL769+AM769)*0.5+(VLOOKUP(U769,模板计算相关数据!A:N,2,0)+模板计算相关数据!$AC$27)*模板计算相关数据!$AC$28))*Q769*Z769)</f>
        <v>328</v>
      </c>
      <c r="AK769" s="3">
        <f>INT(VLOOKUP(U769,模板计算相关数据!A:N,3,0)/模板计算相关数据!$W$35/(1+MAX(0,(AO769/10000-VLOOKUP(U769,模板计算相关数据!A:N,9,0)))*AP769/10000)/(1-VLOOKUP(U769,模板计算相关数据!A:N,5,0)/(VLOOKUP(U769,模板计算相关数据!A:N,5,0)+(VLOOKUP(U769,模板计算相关数据!A:N,2,0)+模板计算相关数据!$AC$27)*模板计算相关数据!$AC$28))/S769*AA769)</f>
        <v>101</v>
      </c>
      <c r="AL769" s="3">
        <f>INT(VLOOKUP(U769,模板计算相关数据!A:N,5,0)*VLOOKUP(X769,模板计算相关数据!$P$4:$T$7,4,0)*VLOOKUP(Y769,模板计算相关数据!$P$22:$U$30,4,0)*AB769)</f>
        <v>136</v>
      </c>
      <c r="AM769" s="3">
        <f>INT(VLOOKUP(U769,模板计算相关数据!A:N,6,0)*VLOOKUP(X769,模板计算相关数据!$P$4:$T$7,4,0)*VLOOKUP(Y769,模板计算相关数据!$P$22:$U$30,5,0)*AC769)</f>
        <v>230</v>
      </c>
      <c r="AN769" s="3">
        <f>VLOOKUP(U769,模板计算相关数据!A:N,10,0)*0.5*VLOOKUP(Y769,模板计算相关数据!$P$22:$U$30,6,0)+AD769</f>
        <v>250</v>
      </c>
      <c r="AO769" s="3">
        <f>VLOOKUP(INT(VLOOKUP(U769,模板计算相关数据!A:N,2,0)/30)+1,模板计算相关数据!$O$35:$U$40,3,0)+AE769</f>
        <v>0</v>
      </c>
      <c r="AP769" s="3">
        <f>VLOOKUP(INT(VLOOKUP(U769,模板计算相关数据!A:N,2,0)/30)+1,模板计算相关数据!$O$35:$U$40,4,0)+AF769</f>
        <v>5000</v>
      </c>
      <c r="AQ769" s="3">
        <f>VLOOKUP(INT(VLOOKUP(U769,模板计算相关数据!A:N,2,0)/30)+1,模板计算相关数据!$O$35:$U$40,5,0)+AG769</f>
        <v>0</v>
      </c>
      <c r="AR769" s="3">
        <f>VLOOKUP(INT(VLOOKUP(U769,模板计算相关数据!A:N,2,0)/30)+1,模板计算相关数据!$O$35:$U$40,6,0)+AH769</f>
        <v>0</v>
      </c>
      <c r="AS769" s="3">
        <f>VLOOKUP(INT(VLOOKUP(U769,模板计算相关数据!A:N,2,0)/30)+1,模板计算相关数据!$O$35:$U$40,7,0)+AI769</f>
        <v>0</v>
      </c>
      <c r="AT769" s="3">
        <f>VLOOKUP(INT(VLOOKUP(U769,模板计算相关数据!A:N,2,0)/30)+1,模板计算相关数据!$O$35:$V$40,8,0)</f>
        <v>0</v>
      </c>
      <c r="AU769" s="2"/>
    </row>
    <row r="770" spans="1:47" x14ac:dyDescent="0.2">
      <c r="A770" s="2">
        <v>307465</v>
      </c>
      <c r="B770" s="2"/>
      <c r="C770" s="69" t="s">
        <v>778</v>
      </c>
      <c r="D770" s="69" t="s">
        <v>1279</v>
      </c>
      <c r="E770" s="2"/>
      <c r="F770" s="127">
        <v>3</v>
      </c>
      <c r="G770" s="127">
        <v>101</v>
      </c>
      <c r="H770" s="3">
        <v>4</v>
      </c>
      <c r="I770" s="127">
        <v>5</v>
      </c>
      <c r="J770" s="127">
        <v>1</v>
      </c>
      <c r="K770" s="3"/>
      <c r="L770" s="69" t="s">
        <v>791</v>
      </c>
      <c r="M770" s="2"/>
      <c r="N770" s="2">
        <v>1</v>
      </c>
      <c r="O770" s="2"/>
      <c r="P770" s="3" t="s">
        <v>1615</v>
      </c>
      <c r="Q770" s="95">
        <f t="shared" si="70"/>
        <v>4.4674509803921572</v>
      </c>
      <c r="R770" s="133">
        <f>IF(P770=模板计算相关数据!$AB$24,VLOOKUP(X770,模板计算相关数据!$P$47:$T$50,2,0),VLOOKUP(X770,模板计算相关数据!$P$4:$U$7,3,0))*VLOOKUP(Y770,模板计算相关数据!$P$22:$X$30,8,0)</f>
        <v>4.4674509803921572</v>
      </c>
      <c r="S770" s="62">
        <f t="shared" si="71"/>
        <v>5.4739930589768004</v>
      </c>
      <c r="T770" s="133">
        <f>IF(P770=模板计算相关数据!$AB$24,VLOOKUP(X770,模板计算相关数据!$P$47:$T$50,5,0),VLOOKUP(X770,模板计算相关数据!$P$4:$U$7,6,0))*VLOOKUP(Y770,模板计算相关数据!$P$22:$X$30,9,0)</f>
        <v>5.4739930589768004</v>
      </c>
      <c r="U770" s="98">
        <v>1</v>
      </c>
      <c r="V770" s="95">
        <f t="shared" si="72"/>
        <v>4</v>
      </c>
      <c r="W770" s="29">
        <f>VLOOKUP(U770,模板计算相关数据!A:N,2,0)</f>
        <v>1</v>
      </c>
      <c r="X770" s="3" t="s">
        <v>151</v>
      </c>
      <c r="Y770" s="3" t="s">
        <v>162</v>
      </c>
      <c r="Z770" s="99">
        <v>1</v>
      </c>
      <c r="AA770" s="95">
        <v>1</v>
      </c>
      <c r="AB770" s="95">
        <v>1</v>
      </c>
      <c r="AC770" s="95">
        <v>1</v>
      </c>
      <c r="AD770" s="95">
        <v>0</v>
      </c>
      <c r="AE770" s="95">
        <v>0</v>
      </c>
      <c r="AF770" s="95">
        <v>0</v>
      </c>
      <c r="AG770" s="95">
        <v>0</v>
      </c>
      <c r="AH770" s="95">
        <v>0</v>
      </c>
      <c r="AI770" s="95">
        <v>0</v>
      </c>
      <c r="AJ770" s="3">
        <f>INT(VLOOKUP(U770,模板计算相关数据!A:N,4,0)*VLOOKUP(U770,模板计算相关数据!A:N,14,0)*(1+MAX(0,(VLOOKUP(U770,模板计算相关数据!A:N,7,0)-AQ770))*VLOOKUP(U770,模板计算相关数据!A:N,8,0))*(1-(AL770+AM770)*0.5/((AL770+AM770)*0.5+(VLOOKUP(U770,模板计算相关数据!A:N,2,0)+模板计算相关数据!$AC$27)*模板计算相关数据!$AC$28))*Q770*Z770)</f>
        <v>328</v>
      </c>
      <c r="AK770" s="3">
        <f>INT(VLOOKUP(U770,模板计算相关数据!A:N,3,0)/模板计算相关数据!$W$35/(1+MAX(0,(AO770/10000-VLOOKUP(U770,模板计算相关数据!A:N,9,0)))*AP770/10000)/(1-VLOOKUP(U770,模板计算相关数据!A:N,5,0)/(VLOOKUP(U770,模板计算相关数据!A:N,5,0)+(VLOOKUP(U770,模板计算相关数据!A:N,2,0)+模板计算相关数据!$AC$27)*模板计算相关数据!$AC$28))/S770*AA770)</f>
        <v>101</v>
      </c>
      <c r="AL770" s="3">
        <f>INT(VLOOKUP(U770,模板计算相关数据!A:N,5,0)*VLOOKUP(X770,模板计算相关数据!$P$4:$T$7,4,0)*VLOOKUP(Y770,模板计算相关数据!$P$22:$U$30,4,0)*AB770)</f>
        <v>136</v>
      </c>
      <c r="AM770" s="3">
        <f>INT(VLOOKUP(U770,模板计算相关数据!A:N,6,0)*VLOOKUP(X770,模板计算相关数据!$P$4:$T$7,4,0)*VLOOKUP(Y770,模板计算相关数据!$P$22:$U$30,5,0)*AC770)</f>
        <v>230</v>
      </c>
      <c r="AN770" s="3">
        <f>VLOOKUP(U770,模板计算相关数据!A:N,10,0)*0.5*VLOOKUP(Y770,模板计算相关数据!$P$22:$U$30,6,0)+AD770</f>
        <v>250</v>
      </c>
      <c r="AO770" s="3">
        <f>VLOOKUP(INT(VLOOKUP(U770,模板计算相关数据!A:N,2,0)/30)+1,模板计算相关数据!$O$35:$U$40,3,0)+AE770</f>
        <v>0</v>
      </c>
      <c r="AP770" s="3">
        <f>VLOOKUP(INT(VLOOKUP(U770,模板计算相关数据!A:N,2,0)/30)+1,模板计算相关数据!$O$35:$U$40,4,0)+AF770</f>
        <v>5000</v>
      </c>
      <c r="AQ770" s="3">
        <f>VLOOKUP(INT(VLOOKUP(U770,模板计算相关数据!A:N,2,0)/30)+1,模板计算相关数据!$O$35:$U$40,5,0)+AG770</f>
        <v>0</v>
      </c>
      <c r="AR770" s="3">
        <f>VLOOKUP(INT(VLOOKUP(U770,模板计算相关数据!A:N,2,0)/30)+1,模板计算相关数据!$O$35:$U$40,6,0)+AH770</f>
        <v>0</v>
      </c>
      <c r="AS770" s="3">
        <f>VLOOKUP(INT(VLOOKUP(U770,模板计算相关数据!A:N,2,0)/30)+1,模板计算相关数据!$O$35:$U$40,7,0)+AI770</f>
        <v>0</v>
      </c>
      <c r="AT770" s="3">
        <f>VLOOKUP(INT(VLOOKUP(U770,模板计算相关数据!A:N,2,0)/30)+1,模板计算相关数据!$O$35:$V$40,8,0)</f>
        <v>0</v>
      </c>
      <c r="AU770" s="2"/>
    </row>
    <row r="771" spans="1:47" x14ac:dyDescent="0.2">
      <c r="A771" s="2">
        <v>307466</v>
      </c>
      <c r="B771" s="2"/>
      <c r="C771" s="69" t="s">
        <v>778</v>
      </c>
      <c r="D771" s="69" t="s">
        <v>1280</v>
      </c>
      <c r="E771" s="2"/>
      <c r="F771" s="127">
        <v>3</v>
      </c>
      <c r="G771" s="127">
        <v>101</v>
      </c>
      <c r="H771" s="3">
        <v>4</v>
      </c>
      <c r="I771" s="127">
        <v>5</v>
      </c>
      <c r="J771" s="127">
        <v>1</v>
      </c>
      <c r="K771" s="3"/>
      <c r="L771" s="69" t="s">
        <v>792</v>
      </c>
      <c r="M771" s="2"/>
      <c r="N771" s="2">
        <v>1</v>
      </c>
      <c r="O771" s="2"/>
      <c r="P771" s="3" t="s">
        <v>1615</v>
      </c>
      <c r="Q771" s="95">
        <f t="shared" si="70"/>
        <v>4.4674509803921572</v>
      </c>
      <c r="R771" s="133">
        <f>IF(P771=模板计算相关数据!$AB$24,VLOOKUP(X771,模板计算相关数据!$P$47:$T$50,2,0),VLOOKUP(X771,模板计算相关数据!$P$4:$U$7,3,0))*VLOOKUP(Y771,模板计算相关数据!$P$22:$X$30,8,0)</f>
        <v>4.4674509803921572</v>
      </c>
      <c r="S771" s="62">
        <f t="shared" si="71"/>
        <v>5.4739930589768004</v>
      </c>
      <c r="T771" s="133">
        <f>IF(P771=模板计算相关数据!$AB$24,VLOOKUP(X771,模板计算相关数据!$P$47:$T$50,5,0),VLOOKUP(X771,模板计算相关数据!$P$4:$U$7,6,0))*VLOOKUP(Y771,模板计算相关数据!$P$22:$X$30,9,0)</f>
        <v>5.4739930589768004</v>
      </c>
      <c r="U771" s="98">
        <v>1</v>
      </c>
      <c r="V771" s="95">
        <f t="shared" si="72"/>
        <v>4</v>
      </c>
      <c r="W771" s="29">
        <f>VLOOKUP(U771,模板计算相关数据!A:N,2,0)</f>
        <v>1</v>
      </c>
      <c r="X771" s="3" t="s">
        <v>151</v>
      </c>
      <c r="Y771" s="3" t="s">
        <v>162</v>
      </c>
      <c r="Z771" s="99">
        <v>1</v>
      </c>
      <c r="AA771" s="95">
        <v>1</v>
      </c>
      <c r="AB771" s="95">
        <v>1</v>
      </c>
      <c r="AC771" s="95">
        <v>1</v>
      </c>
      <c r="AD771" s="95">
        <v>0</v>
      </c>
      <c r="AE771" s="95">
        <v>0</v>
      </c>
      <c r="AF771" s="95">
        <v>0</v>
      </c>
      <c r="AG771" s="95">
        <v>0</v>
      </c>
      <c r="AH771" s="95">
        <v>0</v>
      </c>
      <c r="AI771" s="95">
        <v>0</v>
      </c>
      <c r="AJ771" s="3">
        <f>INT(VLOOKUP(U771,模板计算相关数据!A:N,4,0)*VLOOKUP(U771,模板计算相关数据!A:N,14,0)*(1+MAX(0,(VLOOKUP(U771,模板计算相关数据!A:N,7,0)-AQ771))*VLOOKUP(U771,模板计算相关数据!A:N,8,0))*(1-(AL771+AM771)*0.5/((AL771+AM771)*0.5+(VLOOKUP(U771,模板计算相关数据!A:N,2,0)+模板计算相关数据!$AC$27)*模板计算相关数据!$AC$28))*Q771*Z771)</f>
        <v>328</v>
      </c>
      <c r="AK771" s="3">
        <f>INT(VLOOKUP(U771,模板计算相关数据!A:N,3,0)/模板计算相关数据!$W$35/(1+MAX(0,(AO771/10000-VLOOKUP(U771,模板计算相关数据!A:N,9,0)))*AP771/10000)/(1-VLOOKUP(U771,模板计算相关数据!A:N,5,0)/(VLOOKUP(U771,模板计算相关数据!A:N,5,0)+(VLOOKUP(U771,模板计算相关数据!A:N,2,0)+模板计算相关数据!$AC$27)*模板计算相关数据!$AC$28))/S771*AA771)</f>
        <v>101</v>
      </c>
      <c r="AL771" s="3">
        <f>INT(VLOOKUP(U771,模板计算相关数据!A:N,5,0)*VLOOKUP(X771,模板计算相关数据!$P$4:$T$7,4,0)*VLOOKUP(Y771,模板计算相关数据!$P$22:$U$30,4,0)*AB771)</f>
        <v>136</v>
      </c>
      <c r="AM771" s="3">
        <f>INT(VLOOKUP(U771,模板计算相关数据!A:N,6,0)*VLOOKUP(X771,模板计算相关数据!$P$4:$T$7,4,0)*VLOOKUP(Y771,模板计算相关数据!$P$22:$U$30,5,0)*AC771)</f>
        <v>230</v>
      </c>
      <c r="AN771" s="3">
        <f>VLOOKUP(U771,模板计算相关数据!A:N,10,0)*0.5*VLOOKUP(Y771,模板计算相关数据!$P$22:$U$30,6,0)+AD771</f>
        <v>250</v>
      </c>
      <c r="AO771" s="3">
        <f>VLOOKUP(INT(VLOOKUP(U771,模板计算相关数据!A:N,2,0)/30)+1,模板计算相关数据!$O$35:$U$40,3,0)+AE771</f>
        <v>0</v>
      </c>
      <c r="AP771" s="3">
        <f>VLOOKUP(INT(VLOOKUP(U771,模板计算相关数据!A:N,2,0)/30)+1,模板计算相关数据!$O$35:$U$40,4,0)+AF771</f>
        <v>5000</v>
      </c>
      <c r="AQ771" s="3">
        <f>VLOOKUP(INT(VLOOKUP(U771,模板计算相关数据!A:N,2,0)/30)+1,模板计算相关数据!$O$35:$U$40,5,0)+AG771</f>
        <v>0</v>
      </c>
      <c r="AR771" s="3">
        <f>VLOOKUP(INT(VLOOKUP(U771,模板计算相关数据!A:N,2,0)/30)+1,模板计算相关数据!$O$35:$U$40,6,0)+AH771</f>
        <v>0</v>
      </c>
      <c r="AS771" s="3">
        <f>VLOOKUP(INT(VLOOKUP(U771,模板计算相关数据!A:N,2,0)/30)+1,模板计算相关数据!$O$35:$U$40,7,0)+AI771</f>
        <v>0</v>
      </c>
      <c r="AT771" s="3">
        <f>VLOOKUP(INT(VLOOKUP(U771,模板计算相关数据!A:N,2,0)/30)+1,模板计算相关数据!$O$35:$V$40,8,0)</f>
        <v>0</v>
      </c>
      <c r="AU771" s="2"/>
    </row>
    <row r="772" spans="1:47" x14ac:dyDescent="0.2">
      <c r="A772" s="2">
        <v>307467</v>
      </c>
      <c r="B772" s="2"/>
      <c r="C772" s="69" t="s">
        <v>757</v>
      </c>
      <c r="D772" s="69" t="s">
        <v>1278</v>
      </c>
      <c r="E772" s="2"/>
      <c r="F772" s="127">
        <v>3</v>
      </c>
      <c r="G772" s="127">
        <v>101</v>
      </c>
      <c r="H772" s="3">
        <v>1</v>
      </c>
      <c r="I772" s="127">
        <v>5</v>
      </c>
      <c r="J772" s="127">
        <v>1</v>
      </c>
      <c r="K772" s="3"/>
      <c r="L772" s="69" t="s">
        <v>793</v>
      </c>
      <c r="M772" s="2"/>
      <c r="N772" s="2">
        <v>1</v>
      </c>
      <c r="O772" s="2"/>
      <c r="P772" s="3" t="s">
        <v>1615</v>
      </c>
      <c r="Q772" s="95">
        <f t="shared" si="70"/>
        <v>4.417254901960785</v>
      </c>
      <c r="R772" s="133">
        <f>IF(P772=模板计算相关数据!$AB$24,VLOOKUP(X772,模板计算相关数据!$P$47:$T$50,2,0),VLOOKUP(X772,模板计算相关数据!$P$4:$U$7,3,0))*VLOOKUP(Y772,模板计算相关数据!$P$22:$X$30,8,0)</f>
        <v>4.417254901960785</v>
      </c>
      <c r="S772" s="62">
        <f t="shared" si="71"/>
        <v>5.4285280003474252</v>
      </c>
      <c r="T772" s="133">
        <f>IF(P772=模板计算相关数据!$AB$24,VLOOKUP(X772,模板计算相关数据!$P$47:$T$50,5,0),VLOOKUP(X772,模板计算相关数据!$P$4:$U$7,6,0))*VLOOKUP(Y772,模板计算相关数据!$P$22:$X$30,9,0)</f>
        <v>5.4285280003474252</v>
      </c>
      <c r="U772" s="98">
        <v>1</v>
      </c>
      <c r="V772" s="95">
        <f t="shared" si="72"/>
        <v>4</v>
      </c>
      <c r="W772" s="29">
        <f>VLOOKUP(U772,模板计算相关数据!A:N,2,0)</f>
        <v>1</v>
      </c>
      <c r="X772" s="3" t="s">
        <v>151</v>
      </c>
      <c r="Y772" s="3" t="s">
        <v>152</v>
      </c>
      <c r="Z772" s="99">
        <v>1</v>
      </c>
      <c r="AA772" s="95">
        <v>1</v>
      </c>
      <c r="AB772" s="95">
        <v>1</v>
      </c>
      <c r="AC772" s="95">
        <v>1</v>
      </c>
      <c r="AD772" s="95">
        <v>0</v>
      </c>
      <c r="AE772" s="95">
        <v>0</v>
      </c>
      <c r="AF772" s="95">
        <v>0</v>
      </c>
      <c r="AG772" s="95">
        <v>0</v>
      </c>
      <c r="AH772" s="95">
        <v>0</v>
      </c>
      <c r="AI772" s="95">
        <v>0</v>
      </c>
      <c r="AJ772" s="3">
        <f>INT(VLOOKUP(U772,模板计算相关数据!A:N,4,0)*VLOOKUP(U772,模板计算相关数据!A:N,14,0)*(1+MAX(0,(VLOOKUP(U772,模板计算相关数据!A:N,7,0)-AQ772))*VLOOKUP(U772,模板计算相关数据!A:N,8,0))*(1-(AL772+AM772)*0.5/((AL772+AM772)*0.5+(VLOOKUP(U772,模板计算相关数据!A:N,2,0)+模板计算相关数据!$AC$27)*模板计算相关数据!$AC$28))*Q772*Z772)</f>
        <v>325</v>
      </c>
      <c r="AK772" s="3">
        <f>INT(VLOOKUP(U772,模板计算相关数据!A:N,3,0)/模板计算相关数据!$W$35/(1+MAX(0,(AO772/10000-VLOOKUP(U772,模板计算相关数据!A:N,9,0)))*AP772/10000)/(1-VLOOKUP(U772,模板计算相关数据!A:N,5,0)/(VLOOKUP(U772,模板计算相关数据!A:N,5,0)+(VLOOKUP(U772,模板计算相关数据!A:N,2,0)+模板计算相关数据!$AC$27)*模板计算相关数据!$AC$28))/S772*AA772)</f>
        <v>102</v>
      </c>
      <c r="AL772" s="3">
        <f>INT(VLOOKUP(U772,模板计算相关数据!A:N,5,0)*VLOOKUP(X772,模板计算相关数据!$P$4:$T$7,4,0)*VLOOKUP(Y772,模板计算相关数据!$P$22:$U$30,4,0)*AB772)</f>
        <v>230</v>
      </c>
      <c r="AM772" s="3">
        <f>INT(VLOOKUP(U772,模板计算相关数据!A:N,6,0)*VLOOKUP(X772,模板计算相关数据!$P$4:$T$7,4,0)*VLOOKUP(Y772,模板计算相关数据!$P$22:$U$30,5,0)*AC772)</f>
        <v>136</v>
      </c>
      <c r="AN772" s="3">
        <f>VLOOKUP(U772,模板计算相关数据!A:N,10,0)*0.5*VLOOKUP(Y772,模板计算相关数据!$P$22:$U$30,6,0)+AD772</f>
        <v>250</v>
      </c>
      <c r="AO772" s="3">
        <f>VLOOKUP(INT(VLOOKUP(U772,模板计算相关数据!A:N,2,0)/30)+1,模板计算相关数据!$O$35:$U$40,3,0)+AE772</f>
        <v>0</v>
      </c>
      <c r="AP772" s="3">
        <f>VLOOKUP(INT(VLOOKUP(U772,模板计算相关数据!A:N,2,0)/30)+1,模板计算相关数据!$O$35:$U$40,4,0)+AF772</f>
        <v>5000</v>
      </c>
      <c r="AQ772" s="3">
        <f>VLOOKUP(INT(VLOOKUP(U772,模板计算相关数据!A:N,2,0)/30)+1,模板计算相关数据!$O$35:$U$40,5,0)+AG772</f>
        <v>0</v>
      </c>
      <c r="AR772" s="3">
        <f>VLOOKUP(INT(VLOOKUP(U772,模板计算相关数据!A:N,2,0)/30)+1,模板计算相关数据!$O$35:$U$40,6,0)+AH772</f>
        <v>0</v>
      </c>
      <c r="AS772" s="3">
        <f>VLOOKUP(INT(VLOOKUP(U772,模板计算相关数据!A:N,2,0)/30)+1,模板计算相关数据!$O$35:$U$40,7,0)+AI772</f>
        <v>0</v>
      </c>
      <c r="AT772" s="3">
        <f>VLOOKUP(INT(VLOOKUP(U772,模板计算相关数据!A:N,2,0)/30)+1,模板计算相关数据!$O$35:$V$40,8,0)</f>
        <v>0</v>
      </c>
      <c r="AU772" s="2"/>
    </row>
    <row r="773" spans="1:47" x14ac:dyDescent="0.2">
      <c r="A773" s="2">
        <v>307468</v>
      </c>
      <c r="B773" s="2"/>
      <c r="C773" s="69" t="s">
        <v>757</v>
      </c>
      <c r="D773" s="69" t="s">
        <v>1279</v>
      </c>
      <c r="E773" s="2"/>
      <c r="F773" s="127">
        <v>3</v>
      </c>
      <c r="G773" s="127">
        <v>101</v>
      </c>
      <c r="H773" s="3">
        <v>1</v>
      </c>
      <c r="I773" s="127">
        <v>5</v>
      </c>
      <c r="J773" s="127">
        <v>1</v>
      </c>
      <c r="K773" s="3"/>
      <c r="L773" s="69" t="s">
        <v>794</v>
      </c>
      <c r="M773" s="2"/>
      <c r="N773" s="2">
        <v>1</v>
      </c>
      <c r="O773" s="2"/>
      <c r="P773" s="3" t="s">
        <v>1615</v>
      </c>
      <c r="Q773" s="95">
        <f t="shared" si="70"/>
        <v>4.417254901960785</v>
      </c>
      <c r="R773" s="133">
        <f>IF(P773=模板计算相关数据!$AB$24,VLOOKUP(X773,模板计算相关数据!$P$47:$T$50,2,0),VLOOKUP(X773,模板计算相关数据!$P$4:$U$7,3,0))*VLOOKUP(Y773,模板计算相关数据!$P$22:$X$30,8,0)</f>
        <v>4.417254901960785</v>
      </c>
      <c r="S773" s="62">
        <f t="shared" si="71"/>
        <v>5.4285280003474252</v>
      </c>
      <c r="T773" s="133">
        <f>IF(P773=模板计算相关数据!$AB$24,VLOOKUP(X773,模板计算相关数据!$P$47:$T$50,5,0),VLOOKUP(X773,模板计算相关数据!$P$4:$U$7,6,0))*VLOOKUP(Y773,模板计算相关数据!$P$22:$X$30,9,0)</f>
        <v>5.4285280003474252</v>
      </c>
      <c r="U773" s="98">
        <v>1</v>
      </c>
      <c r="V773" s="95">
        <f t="shared" si="72"/>
        <v>4</v>
      </c>
      <c r="W773" s="29">
        <f>VLOOKUP(U773,模板计算相关数据!A:N,2,0)</f>
        <v>1</v>
      </c>
      <c r="X773" s="3" t="s">
        <v>151</v>
      </c>
      <c r="Y773" s="3" t="s">
        <v>152</v>
      </c>
      <c r="Z773" s="99">
        <v>1</v>
      </c>
      <c r="AA773" s="95">
        <v>1</v>
      </c>
      <c r="AB773" s="95">
        <v>1</v>
      </c>
      <c r="AC773" s="95">
        <v>1</v>
      </c>
      <c r="AD773" s="95">
        <v>0</v>
      </c>
      <c r="AE773" s="95">
        <v>0</v>
      </c>
      <c r="AF773" s="95">
        <v>0</v>
      </c>
      <c r="AG773" s="95">
        <v>0</v>
      </c>
      <c r="AH773" s="95">
        <v>0</v>
      </c>
      <c r="AI773" s="95">
        <v>0</v>
      </c>
      <c r="AJ773" s="3">
        <f>INT(VLOOKUP(U773,模板计算相关数据!A:N,4,0)*VLOOKUP(U773,模板计算相关数据!A:N,14,0)*(1+MAX(0,(VLOOKUP(U773,模板计算相关数据!A:N,7,0)-AQ773))*VLOOKUP(U773,模板计算相关数据!A:N,8,0))*(1-(AL773+AM773)*0.5/((AL773+AM773)*0.5+(VLOOKUP(U773,模板计算相关数据!A:N,2,0)+模板计算相关数据!$AC$27)*模板计算相关数据!$AC$28))*Q773*Z773)</f>
        <v>325</v>
      </c>
      <c r="AK773" s="3">
        <f>INT(VLOOKUP(U773,模板计算相关数据!A:N,3,0)/模板计算相关数据!$W$35/(1+MAX(0,(AO773/10000-VLOOKUP(U773,模板计算相关数据!A:N,9,0)))*AP773/10000)/(1-VLOOKUP(U773,模板计算相关数据!A:N,5,0)/(VLOOKUP(U773,模板计算相关数据!A:N,5,0)+(VLOOKUP(U773,模板计算相关数据!A:N,2,0)+模板计算相关数据!$AC$27)*模板计算相关数据!$AC$28))/S773*AA773)</f>
        <v>102</v>
      </c>
      <c r="AL773" s="3">
        <f>INT(VLOOKUP(U773,模板计算相关数据!A:N,5,0)*VLOOKUP(X773,模板计算相关数据!$P$4:$T$7,4,0)*VLOOKUP(Y773,模板计算相关数据!$P$22:$U$30,4,0)*AB773)</f>
        <v>230</v>
      </c>
      <c r="AM773" s="3">
        <f>INT(VLOOKUP(U773,模板计算相关数据!A:N,6,0)*VLOOKUP(X773,模板计算相关数据!$P$4:$T$7,4,0)*VLOOKUP(Y773,模板计算相关数据!$P$22:$U$30,5,0)*AC773)</f>
        <v>136</v>
      </c>
      <c r="AN773" s="3">
        <f>VLOOKUP(U773,模板计算相关数据!A:N,10,0)*0.5*VLOOKUP(Y773,模板计算相关数据!$P$22:$U$30,6,0)+AD773</f>
        <v>250</v>
      </c>
      <c r="AO773" s="3">
        <f>VLOOKUP(INT(VLOOKUP(U773,模板计算相关数据!A:N,2,0)/30)+1,模板计算相关数据!$O$35:$U$40,3,0)+AE773</f>
        <v>0</v>
      </c>
      <c r="AP773" s="3">
        <f>VLOOKUP(INT(VLOOKUP(U773,模板计算相关数据!A:N,2,0)/30)+1,模板计算相关数据!$O$35:$U$40,4,0)+AF773</f>
        <v>5000</v>
      </c>
      <c r="AQ773" s="3">
        <f>VLOOKUP(INT(VLOOKUP(U773,模板计算相关数据!A:N,2,0)/30)+1,模板计算相关数据!$O$35:$U$40,5,0)+AG773</f>
        <v>0</v>
      </c>
      <c r="AR773" s="3">
        <f>VLOOKUP(INT(VLOOKUP(U773,模板计算相关数据!A:N,2,0)/30)+1,模板计算相关数据!$O$35:$U$40,6,0)+AH773</f>
        <v>0</v>
      </c>
      <c r="AS773" s="3">
        <f>VLOOKUP(INT(VLOOKUP(U773,模板计算相关数据!A:N,2,0)/30)+1,模板计算相关数据!$O$35:$U$40,7,0)+AI773</f>
        <v>0</v>
      </c>
      <c r="AT773" s="3">
        <f>VLOOKUP(INT(VLOOKUP(U773,模板计算相关数据!A:N,2,0)/30)+1,模板计算相关数据!$O$35:$V$40,8,0)</f>
        <v>0</v>
      </c>
      <c r="AU773" s="2"/>
    </row>
    <row r="774" spans="1:47" x14ac:dyDescent="0.2">
      <c r="A774" s="2">
        <v>307469</v>
      </c>
      <c r="B774" s="2"/>
      <c r="C774" s="69" t="s">
        <v>757</v>
      </c>
      <c r="D774" s="69" t="s">
        <v>1280</v>
      </c>
      <c r="E774" s="2"/>
      <c r="F774" s="127">
        <v>3</v>
      </c>
      <c r="G774" s="127">
        <v>101</v>
      </c>
      <c r="H774" s="3">
        <v>1</v>
      </c>
      <c r="I774" s="127">
        <v>5</v>
      </c>
      <c r="J774" s="127">
        <v>1</v>
      </c>
      <c r="K774" s="3"/>
      <c r="L774" s="69" t="s">
        <v>795</v>
      </c>
      <c r="M774" s="2"/>
      <c r="N774" s="2">
        <v>1</v>
      </c>
      <c r="O774" s="2"/>
      <c r="P774" s="3" t="s">
        <v>1615</v>
      </c>
      <c r="Q774" s="95">
        <f t="shared" si="70"/>
        <v>4.417254901960785</v>
      </c>
      <c r="R774" s="133">
        <f>IF(P774=模板计算相关数据!$AB$24,VLOOKUP(X774,模板计算相关数据!$P$47:$T$50,2,0),VLOOKUP(X774,模板计算相关数据!$P$4:$U$7,3,0))*VLOOKUP(Y774,模板计算相关数据!$P$22:$X$30,8,0)</f>
        <v>4.417254901960785</v>
      </c>
      <c r="S774" s="62">
        <f t="shared" si="71"/>
        <v>5.4285280003474252</v>
      </c>
      <c r="T774" s="133">
        <f>IF(P774=模板计算相关数据!$AB$24,VLOOKUP(X774,模板计算相关数据!$P$47:$T$50,5,0),VLOOKUP(X774,模板计算相关数据!$P$4:$U$7,6,0))*VLOOKUP(Y774,模板计算相关数据!$P$22:$X$30,9,0)</f>
        <v>5.4285280003474252</v>
      </c>
      <c r="U774" s="98">
        <v>1</v>
      </c>
      <c r="V774" s="95">
        <f t="shared" si="72"/>
        <v>4</v>
      </c>
      <c r="W774" s="29">
        <f>VLOOKUP(U774,模板计算相关数据!A:N,2,0)</f>
        <v>1</v>
      </c>
      <c r="X774" s="3" t="s">
        <v>151</v>
      </c>
      <c r="Y774" s="3" t="s">
        <v>152</v>
      </c>
      <c r="Z774" s="99">
        <v>1</v>
      </c>
      <c r="AA774" s="95">
        <v>1</v>
      </c>
      <c r="AB774" s="95">
        <v>1</v>
      </c>
      <c r="AC774" s="95">
        <v>1</v>
      </c>
      <c r="AD774" s="95">
        <v>0</v>
      </c>
      <c r="AE774" s="95">
        <v>0</v>
      </c>
      <c r="AF774" s="95">
        <v>0</v>
      </c>
      <c r="AG774" s="95">
        <v>0</v>
      </c>
      <c r="AH774" s="95">
        <v>0</v>
      </c>
      <c r="AI774" s="95">
        <v>0</v>
      </c>
      <c r="AJ774" s="3">
        <f>INT(VLOOKUP(U774,模板计算相关数据!A:N,4,0)*VLOOKUP(U774,模板计算相关数据!A:N,14,0)*(1+MAX(0,(VLOOKUP(U774,模板计算相关数据!A:N,7,0)-AQ774))*VLOOKUP(U774,模板计算相关数据!A:N,8,0))*(1-(AL774+AM774)*0.5/((AL774+AM774)*0.5+(VLOOKUP(U774,模板计算相关数据!A:N,2,0)+模板计算相关数据!$AC$27)*模板计算相关数据!$AC$28))*Q774*Z774)</f>
        <v>325</v>
      </c>
      <c r="AK774" s="3">
        <f>INT(VLOOKUP(U774,模板计算相关数据!A:N,3,0)/模板计算相关数据!$W$35/(1+MAX(0,(AO774/10000-VLOOKUP(U774,模板计算相关数据!A:N,9,0)))*AP774/10000)/(1-VLOOKUP(U774,模板计算相关数据!A:N,5,0)/(VLOOKUP(U774,模板计算相关数据!A:N,5,0)+(VLOOKUP(U774,模板计算相关数据!A:N,2,0)+模板计算相关数据!$AC$27)*模板计算相关数据!$AC$28))/S774*AA774)</f>
        <v>102</v>
      </c>
      <c r="AL774" s="3">
        <f>INT(VLOOKUP(U774,模板计算相关数据!A:N,5,0)*VLOOKUP(X774,模板计算相关数据!$P$4:$T$7,4,0)*VLOOKUP(Y774,模板计算相关数据!$P$22:$U$30,4,0)*AB774)</f>
        <v>230</v>
      </c>
      <c r="AM774" s="3">
        <f>INT(VLOOKUP(U774,模板计算相关数据!A:N,6,0)*VLOOKUP(X774,模板计算相关数据!$P$4:$T$7,4,0)*VLOOKUP(Y774,模板计算相关数据!$P$22:$U$30,5,0)*AC774)</f>
        <v>136</v>
      </c>
      <c r="AN774" s="3">
        <f>VLOOKUP(U774,模板计算相关数据!A:N,10,0)*0.5*VLOOKUP(Y774,模板计算相关数据!$P$22:$U$30,6,0)+AD774</f>
        <v>250</v>
      </c>
      <c r="AO774" s="3">
        <f>VLOOKUP(INT(VLOOKUP(U774,模板计算相关数据!A:N,2,0)/30)+1,模板计算相关数据!$O$35:$U$40,3,0)+AE774</f>
        <v>0</v>
      </c>
      <c r="AP774" s="3">
        <f>VLOOKUP(INT(VLOOKUP(U774,模板计算相关数据!A:N,2,0)/30)+1,模板计算相关数据!$O$35:$U$40,4,0)+AF774</f>
        <v>5000</v>
      </c>
      <c r="AQ774" s="3">
        <f>VLOOKUP(INT(VLOOKUP(U774,模板计算相关数据!A:N,2,0)/30)+1,模板计算相关数据!$O$35:$U$40,5,0)+AG774</f>
        <v>0</v>
      </c>
      <c r="AR774" s="3">
        <f>VLOOKUP(INT(VLOOKUP(U774,模板计算相关数据!A:N,2,0)/30)+1,模板计算相关数据!$O$35:$U$40,6,0)+AH774</f>
        <v>0</v>
      </c>
      <c r="AS774" s="3">
        <f>VLOOKUP(INT(VLOOKUP(U774,模板计算相关数据!A:N,2,0)/30)+1,模板计算相关数据!$O$35:$U$40,7,0)+AI774</f>
        <v>0</v>
      </c>
      <c r="AT774" s="3">
        <f>VLOOKUP(INT(VLOOKUP(U774,模板计算相关数据!A:N,2,0)/30)+1,模板计算相关数据!$O$35:$V$40,8,0)</f>
        <v>0</v>
      </c>
      <c r="AU774" s="2"/>
    </row>
    <row r="775" spans="1:47" x14ac:dyDescent="0.2">
      <c r="A775" s="17">
        <v>307470</v>
      </c>
      <c r="B775" s="17"/>
      <c r="C775" s="25" t="s">
        <v>796</v>
      </c>
      <c r="D775" s="25" t="s">
        <v>1281</v>
      </c>
      <c r="E775" s="17"/>
      <c r="F775" s="152">
        <v>3</v>
      </c>
      <c r="G775" s="152">
        <v>101</v>
      </c>
      <c r="H775" s="43">
        <v>3</v>
      </c>
      <c r="I775" s="152">
        <v>5</v>
      </c>
      <c r="J775" s="152">
        <v>1</v>
      </c>
      <c r="K775" s="3"/>
      <c r="L775" s="69" t="s">
        <v>799</v>
      </c>
      <c r="M775" s="2"/>
      <c r="N775" s="2">
        <v>1</v>
      </c>
      <c r="O775" s="2"/>
      <c r="P775" s="3" t="s">
        <v>1615</v>
      </c>
      <c r="Q775" s="95">
        <f t="shared" si="70"/>
        <v>5.6000000000000014</v>
      </c>
      <c r="R775" s="133">
        <f>IF(P775=模板计算相关数据!$AB$24,VLOOKUP(X775,模板计算相关数据!$P$47:$T$50,2,0),VLOOKUP(X775,模板计算相关数据!$P$4:$U$7,3,0))*VLOOKUP(Y775,模板计算相关数据!$P$22:$X$30,8,0)</f>
        <v>5.6000000000000014</v>
      </c>
      <c r="S775" s="62">
        <f t="shared" si="71"/>
        <v>6.6693344004268367</v>
      </c>
      <c r="T775" s="133">
        <f>IF(P775=模板计算相关数据!$AB$24,VLOOKUP(X775,模板计算相关数据!$P$47:$T$50,5,0),VLOOKUP(X775,模板计算相关数据!$P$4:$U$7,6,0))*VLOOKUP(Y775,模板计算相关数据!$P$22:$X$30,9,0)</f>
        <v>6.6693344004268367</v>
      </c>
      <c r="U775" s="98">
        <v>1</v>
      </c>
      <c r="V775" s="95">
        <f t="shared" si="72"/>
        <v>4</v>
      </c>
      <c r="W775" s="29">
        <f>VLOOKUP(U775,模板计算相关数据!A:N,2,0)</f>
        <v>1</v>
      </c>
      <c r="X775" s="3" t="s">
        <v>151</v>
      </c>
      <c r="Y775" s="3" t="s">
        <v>255</v>
      </c>
      <c r="Z775" s="99">
        <v>1</v>
      </c>
      <c r="AA775" s="95">
        <v>1</v>
      </c>
      <c r="AB775" s="95">
        <v>1</v>
      </c>
      <c r="AC775" s="95">
        <v>1</v>
      </c>
      <c r="AD775" s="95">
        <v>0</v>
      </c>
      <c r="AE775" s="95">
        <v>0</v>
      </c>
      <c r="AF775" s="95">
        <v>0</v>
      </c>
      <c r="AG775" s="95">
        <v>0</v>
      </c>
      <c r="AH775" s="95">
        <v>0</v>
      </c>
      <c r="AI775" s="95">
        <v>0</v>
      </c>
      <c r="AJ775" s="3">
        <f>INT(VLOOKUP(U775,模板计算相关数据!A:N,4,0)*VLOOKUP(U775,模板计算相关数据!A:N,14,0)*(1+MAX(0,(VLOOKUP(U775,模板计算相关数据!A:N,7,0)-AQ775))*VLOOKUP(U775,模板计算相关数据!A:N,8,0))*(1-(AL775+AM775)*0.5/((AL775+AM775)*0.5+(VLOOKUP(U775,模板计算相关数据!A:N,2,0)+模板计算相关数据!$AC$27)*模板计算相关数据!$AC$28))*Q775*Z775)</f>
        <v>394</v>
      </c>
      <c r="AK775" s="3">
        <f>INT(VLOOKUP(U775,模板计算相关数据!A:N,3,0)/模板计算相关数据!$W$35/(1+MAX(0,(AO775/10000-VLOOKUP(U775,模板计算相关数据!A:N,9,0)))*AP775/10000)/(1-VLOOKUP(U775,模板计算相关数据!A:N,5,0)/(VLOOKUP(U775,模板计算相关数据!A:N,5,0)+(VLOOKUP(U775,模板计算相关数据!A:N,2,0)+模板计算相关数据!$AC$27)*模板计算相关数据!$AC$28))/S775*AA775)</f>
        <v>83</v>
      </c>
      <c r="AL775" s="3">
        <f>INT(VLOOKUP(U775,模板计算相关数据!A:N,5,0)*VLOOKUP(X775,模板计算相关数据!$P$4:$T$7,4,0)*VLOOKUP(Y775,模板计算相关数据!$P$22:$U$30,4,0)*AB775)</f>
        <v>149</v>
      </c>
      <c r="AM775" s="3">
        <f>INT(VLOOKUP(U775,模板计算相关数据!A:N,6,0)*VLOOKUP(X775,模板计算相关数据!$P$4:$T$7,4,0)*VLOOKUP(Y775,模板计算相关数据!$P$22:$U$30,5,0)*AC775)</f>
        <v>277</v>
      </c>
      <c r="AN775" s="3">
        <f>VLOOKUP(U775,模板计算相关数据!A:N,10,0)*0.5*VLOOKUP(Y775,模板计算相关数据!$P$22:$U$30,6,0)+AD775</f>
        <v>225</v>
      </c>
      <c r="AO775" s="3">
        <f>VLOOKUP(INT(VLOOKUP(U775,模板计算相关数据!A:N,2,0)/30)+1,模板计算相关数据!$O$35:$U$40,3,0)+AE775</f>
        <v>0</v>
      </c>
      <c r="AP775" s="3">
        <f>VLOOKUP(INT(VLOOKUP(U775,模板计算相关数据!A:N,2,0)/30)+1,模板计算相关数据!$O$35:$U$40,4,0)+AF775</f>
        <v>5000</v>
      </c>
      <c r="AQ775" s="3">
        <f>VLOOKUP(INT(VLOOKUP(U775,模板计算相关数据!A:N,2,0)/30)+1,模板计算相关数据!$O$35:$U$40,5,0)+AG775</f>
        <v>0</v>
      </c>
      <c r="AR775" s="3">
        <f>VLOOKUP(INT(VLOOKUP(U775,模板计算相关数据!A:N,2,0)/30)+1,模板计算相关数据!$O$35:$U$40,6,0)+AH775</f>
        <v>0</v>
      </c>
      <c r="AS775" s="3">
        <f>VLOOKUP(INT(VLOOKUP(U775,模板计算相关数据!A:N,2,0)/30)+1,模板计算相关数据!$O$35:$U$40,7,0)+AI775</f>
        <v>0</v>
      </c>
      <c r="AT775" s="3">
        <f>VLOOKUP(INT(VLOOKUP(U775,模板计算相关数据!A:N,2,0)/30)+1,模板计算相关数据!$O$35:$V$40,8,0)</f>
        <v>0</v>
      </c>
      <c r="AU775" s="2"/>
    </row>
    <row r="776" spans="1:47" x14ac:dyDescent="0.2">
      <c r="A776" s="2">
        <v>307471</v>
      </c>
      <c r="B776" s="2"/>
      <c r="C776" s="2" t="s">
        <v>343</v>
      </c>
      <c r="D776" s="69" t="s">
        <v>1282</v>
      </c>
      <c r="E776" s="2"/>
      <c r="F776" s="127">
        <v>3</v>
      </c>
      <c r="G776" s="127">
        <v>101</v>
      </c>
      <c r="H776" s="3">
        <v>3</v>
      </c>
      <c r="I776" s="127">
        <v>5</v>
      </c>
      <c r="J776" s="127">
        <v>1</v>
      </c>
      <c r="K776" s="3"/>
      <c r="L776" s="69" t="s">
        <v>800</v>
      </c>
      <c r="M776" s="2"/>
      <c r="N776" s="2">
        <v>1</v>
      </c>
      <c r="O776" s="2"/>
      <c r="P776" s="3" t="s">
        <v>1615</v>
      </c>
      <c r="Q776" s="95">
        <f t="shared" si="70"/>
        <v>5.6000000000000014</v>
      </c>
      <c r="R776" s="133">
        <f>IF(P776=模板计算相关数据!$AB$24,VLOOKUP(X776,模板计算相关数据!$P$47:$T$50,2,0),VLOOKUP(X776,模板计算相关数据!$P$4:$U$7,3,0))*VLOOKUP(Y776,模板计算相关数据!$P$22:$X$30,8,0)</f>
        <v>5.6000000000000014</v>
      </c>
      <c r="S776" s="62">
        <f t="shared" si="71"/>
        <v>6.6693344004268367</v>
      </c>
      <c r="T776" s="133">
        <f>IF(P776=模板计算相关数据!$AB$24,VLOOKUP(X776,模板计算相关数据!$P$47:$T$50,5,0),VLOOKUP(X776,模板计算相关数据!$P$4:$U$7,6,0))*VLOOKUP(Y776,模板计算相关数据!$P$22:$X$30,9,0)</f>
        <v>6.6693344004268367</v>
      </c>
      <c r="U776" s="98">
        <v>1</v>
      </c>
      <c r="V776" s="95">
        <f t="shared" si="72"/>
        <v>4</v>
      </c>
      <c r="W776" s="29">
        <f>VLOOKUP(U776,模板计算相关数据!A:N,2,0)</f>
        <v>1</v>
      </c>
      <c r="X776" s="3" t="s">
        <v>151</v>
      </c>
      <c r="Y776" s="3" t="s">
        <v>255</v>
      </c>
      <c r="Z776" s="99">
        <v>1</v>
      </c>
      <c r="AA776" s="95">
        <v>1</v>
      </c>
      <c r="AB776" s="95">
        <v>1</v>
      </c>
      <c r="AC776" s="95">
        <v>1</v>
      </c>
      <c r="AD776" s="95">
        <v>0</v>
      </c>
      <c r="AE776" s="95">
        <v>0</v>
      </c>
      <c r="AF776" s="95">
        <v>0</v>
      </c>
      <c r="AG776" s="95">
        <v>0</v>
      </c>
      <c r="AH776" s="95">
        <v>0</v>
      </c>
      <c r="AI776" s="95">
        <v>0</v>
      </c>
      <c r="AJ776" s="3">
        <f>INT(VLOOKUP(U776,模板计算相关数据!A:N,4,0)*VLOOKUP(U776,模板计算相关数据!A:N,14,0)*(1+MAX(0,(VLOOKUP(U776,模板计算相关数据!A:N,7,0)-AQ776))*VLOOKUP(U776,模板计算相关数据!A:N,8,0))*(1-(AL776+AM776)*0.5/((AL776+AM776)*0.5+(VLOOKUP(U776,模板计算相关数据!A:N,2,0)+模板计算相关数据!$AC$27)*模板计算相关数据!$AC$28))*Q776*Z776)</f>
        <v>394</v>
      </c>
      <c r="AK776" s="3">
        <f>INT(VLOOKUP(U776,模板计算相关数据!A:N,3,0)/模板计算相关数据!$W$35/(1+MAX(0,(AO776/10000-VLOOKUP(U776,模板计算相关数据!A:N,9,0)))*AP776/10000)/(1-VLOOKUP(U776,模板计算相关数据!A:N,5,0)/(VLOOKUP(U776,模板计算相关数据!A:N,5,0)+(VLOOKUP(U776,模板计算相关数据!A:N,2,0)+模板计算相关数据!$AC$27)*模板计算相关数据!$AC$28))/S776*AA776)</f>
        <v>83</v>
      </c>
      <c r="AL776" s="3">
        <f>INT(VLOOKUP(U776,模板计算相关数据!A:N,5,0)*VLOOKUP(X776,模板计算相关数据!$P$4:$T$7,4,0)*VLOOKUP(Y776,模板计算相关数据!$P$22:$U$30,4,0)*AB776)</f>
        <v>149</v>
      </c>
      <c r="AM776" s="3">
        <f>INT(VLOOKUP(U776,模板计算相关数据!A:N,6,0)*VLOOKUP(X776,模板计算相关数据!$P$4:$T$7,4,0)*VLOOKUP(Y776,模板计算相关数据!$P$22:$U$30,5,0)*AC776)</f>
        <v>277</v>
      </c>
      <c r="AN776" s="3">
        <f>VLOOKUP(U776,模板计算相关数据!A:N,10,0)*0.5*VLOOKUP(Y776,模板计算相关数据!$P$22:$U$30,6,0)+AD776</f>
        <v>225</v>
      </c>
      <c r="AO776" s="3">
        <f>VLOOKUP(INT(VLOOKUP(U776,模板计算相关数据!A:N,2,0)/30)+1,模板计算相关数据!$O$35:$U$40,3,0)+AE776</f>
        <v>0</v>
      </c>
      <c r="AP776" s="3">
        <f>VLOOKUP(INT(VLOOKUP(U776,模板计算相关数据!A:N,2,0)/30)+1,模板计算相关数据!$O$35:$U$40,4,0)+AF776</f>
        <v>5000</v>
      </c>
      <c r="AQ776" s="3">
        <f>VLOOKUP(INT(VLOOKUP(U776,模板计算相关数据!A:N,2,0)/30)+1,模板计算相关数据!$O$35:$U$40,5,0)+AG776</f>
        <v>0</v>
      </c>
      <c r="AR776" s="3">
        <f>VLOOKUP(INT(VLOOKUP(U776,模板计算相关数据!A:N,2,0)/30)+1,模板计算相关数据!$O$35:$U$40,6,0)+AH776</f>
        <v>0</v>
      </c>
      <c r="AS776" s="3">
        <f>VLOOKUP(INT(VLOOKUP(U776,模板计算相关数据!A:N,2,0)/30)+1,模板计算相关数据!$O$35:$U$40,7,0)+AI776</f>
        <v>0</v>
      </c>
      <c r="AT776" s="3">
        <f>VLOOKUP(INT(VLOOKUP(U776,模板计算相关数据!A:N,2,0)/30)+1,模板计算相关数据!$O$35:$V$40,8,0)</f>
        <v>0</v>
      </c>
      <c r="AU776" s="2"/>
    </row>
    <row r="777" spans="1:47" x14ac:dyDescent="0.2">
      <c r="A777" s="2">
        <v>307472</v>
      </c>
      <c r="B777" s="2"/>
      <c r="C777" s="2" t="s">
        <v>343</v>
      </c>
      <c r="D777" s="69" t="s">
        <v>1283</v>
      </c>
      <c r="E777" s="2"/>
      <c r="F777" s="127">
        <v>3</v>
      </c>
      <c r="G777" s="127">
        <v>101</v>
      </c>
      <c r="H777" s="3">
        <v>3</v>
      </c>
      <c r="I777" s="127">
        <v>5</v>
      </c>
      <c r="J777" s="127">
        <v>1</v>
      </c>
      <c r="K777" s="3"/>
      <c r="L777" s="69" t="s">
        <v>801</v>
      </c>
      <c r="M777" s="2"/>
      <c r="N777" s="2">
        <v>1</v>
      </c>
      <c r="O777" s="2"/>
      <c r="P777" s="3" t="s">
        <v>1615</v>
      </c>
      <c r="Q777" s="95">
        <f t="shared" si="70"/>
        <v>5.6000000000000014</v>
      </c>
      <c r="R777" s="133">
        <f>IF(P777=模板计算相关数据!$AB$24,VLOOKUP(X777,模板计算相关数据!$P$47:$T$50,2,0),VLOOKUP(X777,模板计算相关数据!$P$4:$U$7,3,0))*VLOOKUP(Y777,模板计算相关数据!$P$22:$X$30,8,0)</f>
        <v>5.6000000000000014</v>
      </c>
      <c r="S777" s="62">
        <f t="shared" si="71"/>
        <v>6.6693344004268367</v>
      </c>
      <c r="T777" s="133">
        <f>IF(P777=模板计算相关数据!$AB$24,VLOOKUP(X777,模板计算相关数据!$P$47:$T$50,5,0),VLOOKUP(X777,模板计算相关数据!$P$4:$U$7,6,0))*VLOOKUP(Y777,模板计算相关数据!$P$22:$X$30,9,0)</f>
        <v>6.6693344004268367</v>
      </c>
      <c r="U777" s="98">
        <v>1</v>
      </c>
      <c r="V777" s="95">
        <f t="shared" si="72"/>
        <v>4</v>
      </c>
      <c r="W777" s="29">
        <f>VLOOKUP(U777,模板计算相关数据!A:N,2,0)</f>
        <v>1</v>
      </c>
      <c r="X777" s="3" t="s">
        <v>151</v>
      </c>
      <c r="Y777" s="3" t="s">
        <v>255</v>
      </c>
      <c r="Z777" s="99">
        <v>1</v>
      </c>
      <c r="AA777" s="95">
        <v>1</v>
      </c>
      <c r="AB777" s="95">
        <v>1</v>
      </c>
      <c r="AC777" s="95">
        <v>1</v>
      </c>
      <c r="AD777" s="95">
        <v>0</v>
      </c>
      <c r="AE777" s="95">
        <v>0</v>
      </c>
      <c r="AF777" s="95">
        <v>0</v>
      </c>
      <c r="AG777" s="95">
        <v>0</v>
      </c>
      <c r="AH777" s="95">
        <v>0</v>
      </c>
      <c r="AI777" s="95">
        <v>0</v>
      </c>
      <c r="AJ777" s="3">
        <f>INT(VLOOKUP(U777,模板计算相关数据!A:N,4,0)*VLOOKUP(U777,模板计算相关数据!A:N,14,0)*(1+MAX(0,(VLOOKUP(U777,模板计算相关数据!A:N,7,0)-AQ777))*VLOOKUP(U777,模板计算相关数据!A:N,8,0))*(1-(AL777+AM777)*0.5/((AL777+AM777)*0.5+(VLOOKUP(U777,模板计算相关数据!A:N,2,0)+模板计算相关数据!$AC$27)*模板计算相关数据!$AC$28))*Q777*Z777)</f>
        <v>394</v>
      </c>
      <c r="AK777" s="3">
        <f>INT(VLOOKUP(U777,模板计算相关数据!A:N,3,0)/模板计算相关数据!$W$35/(1+MAX(0,(AO777/10000-VLOOKUP(U777,模板计算相关数据!A:N,9,0)))*AP777/10000)/(1-VLOOKUP(U777,模板计算相关数据!A:N,5,0)/(VLOOKUP(U777,模板计算相关数据!A:N,5,0)+(VLOOKUP(U777,模板计算相关数据!A:N,2,0)+模板计算相关数据!$AC$27)*模板计算相关数据!$AC$28))/S777*AA777)</f>
        <v>83</v>
      </c>
      <c r="AL777" s="3">
        <f>INT(VLOOKUP(U777,模板计算相关数据!A:N,5,0)*VLOOKUP(X777,模板计算相关数据!$P$4:$T$7,4,0)*VLOOKUP(Y777,模板计算相关数据!$P$22:$U$30,4,0)*AB777)</f>
        <v>149</v>
      </c>
      <c r="AM777" s="3">
        <f>INT(VLOOKUP(U777,模板计算相关数据!A:N,6,0)*VLOOKUP(X777,模板计算相关数据!$P$4:$T$7,4,0)*VLOOKUP(Y777,模板计算相关数据!$P$22:$U$30,5,0)*AC777)</f>
        <v>277</v>
      </c>
      <c r="AN777" s="3">
        <f>VLOOKUP(U777,模板计算相关数据!A:N,10,0)*0.5*VLOOKUP(Y777,模板计算相关数据!$P$22:$U$30,6,0)+AD777</f>
        <v>225</v>
      </c>
      <c r="AO777" s="3">
        <f>VLOOKUP(INT(VLOOKUP(U777,模板计算相关数据!A:N,2,0)/30)+1,模板计算相关数据!$O$35:$U$40,3,0)+AE777</f>
        <v>0</v>
      </c>
      <c r="AP777" s="3">
        <f>VLOOKUP(INT(VLOOKUP(U777,模板计算相关数据!A:N,2,0)/30)+1,模板计算相关数据!$O$35:$U$40,4,0)+AF777</f>
        <v>5000</v>
      </c>
      <c r="AQ777" s="3">
        <f>VLOOKUP(INT(VLOOKUP(U777,模板计算相关数据!A:N,2,0)/30)+1,模板计算相关数据!$O$35:$U$40,5,0)+AG777</f>
        <v>0</v>
      </c>
      <c r="AR777" s="3">
        <f>VLOOKUP(INT(VLOOKUP(U777,模板计算相关数据!A:N,2,0)/30)+1,模板计算相关数据!$O$35:$U$40,6,0)+AH777</f>
        <v>0</v>
      </c>
      <c r="AS777" s="3">
        <f>VLOOKUP(INT(VLOOKUP(U777,模板计算相关数据!A:N,2,0)/30)+1,模板计算相关数据!$O$35:$U$40,7,0)+AI777</f>
        <v>0</v>
      </c>
      <c r="AT777" s="3">
        <f>VLOOKUP(INT(VLOOKUP(U777,模板计算相关数据!A:N,2,0)/30)+1,模板计算相关数据!$O$35:$V$40,8,0)</f>
        <v>0</v>
      </c>
      <c r="AU777" s="2"/>
    </row>
    <row r="778" spans="1:47" x14ac:dyDescent="0.2">
      <c r="A778" s="2">
        <v>307473</v>
      </c>
      <c r="B778" s="2"/>
      <c r="C778" s="69" t="s">
        <v>774</v>
      </c>
      <c r="D778" s="69" t="s">
        <v>1284</v>
      </c>
      <c r="E778" s="2"/>
      <c r="F778" s="127">
        <v>3</v>
      </c>
      <c r="G778" s="127">
        <v>101</v>
      </c>
      <c r="H778" s="3">
        <v>1</v>
      </c>
      <c r="I778" s="127">
        <v>5</v>
      </c>
      <c r="J778" s="127">
        <v>1</v>
      </c>
      <c r="K778" s="3"/>
      <c r="L778" s="69" t="s">
        <v>802</v>
      </c>
      <c r="M778" s="2"/>
      <c r="N778" s="2">
        <v>1</v>
      </c>
      <c r="O778" s="2"/>
      <c r="P778" s="3" t="s">
        <v>1615</v>
      </c>
      <c r="Q778" s="95">
        <f t="shared" si="70"/>
        <v>4.417254901960785</v>
      </c>
      <c r="R778" s="133">
        <f>IF(P778=模板计算相关数据!$AB$24,VLOOKUP(X778,模板计算相关数据!$P$47:$T$50,2,0),VLOOKUP(X778,模板计算相关数据!$P$4:$U$7,3,0))*VLOOKUP(Y778,模板计算相关数据!$P$22:$X$30,8,0)</f>
        <v>4.417254901960785</v>
      </c>
      <c r="S778" s="62">
        <f t="shared" si="71"/>
        <v>5.4285280003474252</v>
      </c>
      <c r="T778" s="133">
        <f>IF(P778=模板计算相关数据!$AB$24,VLOOKUP(X778,模板计算相关数据!$P$47:$T$50,5,0),VLOOKUP(X778,模板计算相关数据!$P$4:$U$7,6,0))*VLOOKUP(Y778,模板计算相关数据!$P$22:$X$30,9,0)</f>
        <v>5.4285280003474252</v>
      </c>
      <c r="U778" s="98">
        <v>1</v>
      </c>
      <c r="V778" s="95">
        <f t="shared" si="72"/>
        <v>4</v>
      </c>
      <c r="W778" s="29">
        <f>VLOOKUP(U778,模板计算相关数据!A:N,2,0)</f>
        <v>1</v>
      </c>
      <c r="X778" s="3" t="s">
        <v>151</v>
      </c>
      <c r="Y778" s="3" t="s">
        <v>152</v>
      </c>
      <c r="Z778" s="99">
        <v>1</v>
      </c>
      <c r="AA778" s="95">
        <v>1</v>
      </c>
      <c r="AB778" s="95">
        <v>1</v>
      </c>
      <c r="AC778" s="95">
        <v>1</v>
      </c>
      <c r="AD778" s="95">
        <v>0</v>
      </c>
      <c r="AE778" s="95">
        <v>0</v>
      </c>
      <c r="AF778" s="95">
        <v>0</v>
      </c>
      <c r="AG778" s="95">
        <v>0</v>
      </c>
      <c r="AH778" s="95">
        <v>0</v>
      </c>
      <c r="AI778" s="95">
        <v>0</v>
      </c>
      <c r="AJ778" s="3">
        <f>INT(VLOOKUP(U778,模板计算相关数据!A:N,4,0)*VLOOKUP(U778,模板计算相关数据!A:N,14,0)*(1+MAX(0,(VLOOKUP(U778,模板计算相关数据!A:N,7,0)-AQ778))*VLOOKUP(U778,模板计算相关数据!A:N,8,0))*(1-(AL778+AM778)*0.5/((AL778+AM778)*0.5+(VLOOKUP(U778,模板计算相关数据!A:N,2,0)+模板计算相关数据!$AC$27)*模板计算相关数据!$AC$28))*Q778*Z778)</f>
        <v>325</v>
      </c>
      <c r="AK778" s="3">
        <f>INT(VLOOKUP(U778,模板计算相关数据!A:N,3,0)/模板计算相关数据!$W$35/(1+MAX(0,(AO778/10000-VLOOKUP(U778,模板计算相关数据!A:N,9,0)))*AP778/10000)/(1-VLOOKUP(U778,模板计算相关数据!A:N,5,0)/(VLOOKUP(U778,模板计算相关数据!A:N,5,0)+(VLOOKUP(U778,模板计算相关数据!A:N,2,0)+模板计算相关数据!$AC$27)*模板计算相关数据!$AC$28))/S778*AA778)</f>
        <v>102</v>
      </c>
      <c r="AL778" s="3">
        <f>INT(VLOOKUP(U778,模板计算相关数据!A:N,5,0)*VLOOKUP(X778,模板计算相关数据!$P$4:$T$7,4,0)*VLOOKUP(Y778,模板计算相关数据!$P$22:$U$30,4,0)*AB778)</f>
        <v>230</v>
      </c>
      <c r="AM778" s="3">
        <f>INT(VLOOKUP(U778,模板计算相关数据!A:N,6,0)*VLOOKUP(X778,模板计算相关数据!$P$4:$T$7,4,0)*VLOOKUP(Y778,模板计算相关数据!$P$22:$U$30,5,0)*AC778)</f>
        <v>136</v>
      </c>
      <c r="AN778" s="3">
        <f>VLOOKUP(U778,模板计算相关数据!A:N,10,0)*0.5*VLOOKUP(Y778,模板计算相关数据!$P$22:$U$30,6,0)+AD778</f>
        <v>250</v>
      </c>
      <c r="AO778" s="3">
        <f>VLOOKUP(INT(VLOOKUP(U778,模板计算相关数据!A:N,2,0)/30)+1,模板计算相关数据!$O$35:$U$40,3,0)+AE778</f>
        <v>0</v>
      </c>
      <c r="AP778" s="3">
        <f>VLOOKUP(INT(VLOOKUP(U778,模板计算相关数据!A:N,2,0)/30)+1,模板计算相关数据!$O$35:$U$40,4,0)+AF778</f>
        <v>5000</v>
      </c>
      <c r="AQ778" s="3">
        <f>VLOOKUP(INT(VLOOKUP(U778,模板计算相关数据!A:N,2,0)/30)+1,模板计算相关数据!$O$35:$U$40,5,0)+AG778</f>
        <v>0</v>
      </c>
      <c r="AR778" s="3">
        <f>VLOOKUP(INT(VLOOKUP(U778,模板计算相关数据!A:N,2,0)/30)+1,模板计算相关数据!$O$35:$U$40,6,0)+AH778</f>
        <v>0</v>
      </c>
      <c r="AS778" s="3">
        <f>VLOOKUP(INT(VLOOKUP(U778,模板计算相关数据!A:N,2,0)/30)+1,模板计算相关数据!$O$35:$U$40,7,0)+AI778</f>
        <v>0</v>
      </c>
      <c r="AT778" s="3">
        <f>VLOOKUP(INT(VLOOKUP(U778,模板计算相关数据!A:N,2,0)/30)+1,模板计算相关数据!$O$35:$V$40,8,0)</f>
        <v>0</v>
      </c>
      <c r="AU778" s="2"/>
    </row>
    <row r="779" spans="1:47" x14ac:dyDescent="0.2">
      <c r="A779" s="2">
        <v>307474</v>
      </c>
      <c r="B779" s="2"/>
      <c r="C779" s="69" t="s">
        <v>774</v>
      </c>
      <c r="D779" s="69" t="s">
        <v>1285</v>
      </c>
      <c r="E779" s="2"/>
      <c r="F779" s="127">
        <v>3</v>
      </c>
      <c r="G779" s="127">
        <v>101</v>
      </c>
      <c r="H779" s="3">
        <v>1</v>
      </c>
      <c r="I779" s="127">
        <v>5</v>
      </c>
      <c r="J779" s="127">
        <v>1</v>
      </c>
      <c r="K779" s="3"/>
      <c r="L779" s="69" t="s">
        <v>803</v>
      </c>
      <c r="M779" s="2"/>
      <c r="N779" s="2">
        <v>1</v>
      </c>
      <c r="O779" s="2"/>
      <c r="P779" s="3" t="s">
        <v>1615</v>
      </c>
      <c r="Q779" s="95">
        <f t="shared" si="70"/>
        <v>4.417254901960785</v>
      </c>
      <c r="R779" s="133">
        <f>IF(P779=模板计算相关数据!$AB$24,VLOOKUP(X779,模板计算相关数据!$P$47:$T$50,2,0),VLOOKUP(X779,模板计算相关数据!$P$4:$U$7,3,0))*VLOOKUP(Y779,模板计算相关数据!$P$22:$X$30,8,0)</f>
        <v>4.417254901960785</v>
      </c>
      <c r="S779" s="62">
        <f t="shared" si="71"/>
        <v>5.4285280003474252</v>
      </c>
      <c r="T779" s="133">
        <f>IF(P779=模板计算相关数据!$AB$24,VLOOKUP(X779,模板计算相关数据!$P$47:$T$50,5,0),VLOOKUP(X779,模板计算相关数据!$P$4:$U$7,6,0))*VLOOKUP(Y779,模板计算相关数据!$P$22:$X$30,9,0)</f>
        <v>5.4285280003474252</v>
      </c>
      <c r="U779" s="98">
        <v>1</v>
      </c>
      <c r="V779" s="95">
        <f t="shared" si="72"/>
        <v>4</v>
      </c>
      <c r="W779" s="29">
        <f>VLOOKUP(U779,模板计算相关数据!A:N,2,0)</f>
        <v>1</v>
      </c>
      <c r="X779" s="3" t="s">
        <v>151</v>
      </c>
      <c r="Y779" s="3" t="s">
        <v>152</v>
      </c>
      <c r="Z779" s="99">
        <v>1</v>
      </c>
      <c r="AA779" s="95">
        <v>1</v>
      </c>
      <c r="AB779" s="95">
        <v>1</v>
      </c>
      <c r="AC779" s="95">
        <v>1</v>
      </c>
      <c r="AD779" s="95">
        <v>0</v>
      </c>
      <c r="AE779" s="95">
        <v>0</v>
      </c>
      <c r="AF779" s="95">
        <v>0</v>
      </c>
      <c r="AG779" s="95">
        <v>0</v>
      </c>
      <c r="AH779" s="95">
        <v>0</v>
      </c>
      <c r="AI779" s="95">
        <v>0</v>
      </c>
      <c r="AJ779" s="3">
        <f>INT(VLOOKUP(U779,模板计算相关数据!A:N,4,0)*VLOOKUP(U779,模板计算相关数据!A:N,14,0)*(1+MAX(0,(VLOOKUP(U779,模板计算相关数据!A:N,7,0)-AQ779))*VLOOKUP(U779,模板计算相关数据!A:N,8,0))*(1-(AL779+AM779)*0.5/((AL779+AM779)*0.5+(VLOOKUP(U779,模板计算相关数据!A:N,2,0)+模板计算相关数据!$AC$27)*模板计算相关数据!$AC$28))*Q779*Z779)</f>
        <v>325</v>
      </c>
      <c r="AK779" s="3">
        <f>INT(VLOOKUP(U779,模板计算相关数据!A:N,3,0)/模板计算相关数据!$W$35/(1+MAX(0,(AO779/10000-VLOOKUP(U779,模板计算相关数据!A:N,9,0)))*AP779/10000)/(1-VLOOKUP(U779,模板计算相关数据!A:N,5,0)/(VLOOKUP(U779,模板计算相关数据!A:N,5,0)+(VLOOKUP(U779,模板计算相关数据!A:N,2,0)+模板计算相关数据!$AC$27)*模板计算相关数据!$AC$28))/S779*AA779)</f>
        <v>102</v>
      </c>
      <c r="AL779" s="3">
        <f>INT(VLOOKUP(U779,模板计算相关数据!A:N,5,0)*VLOOKUP(X779,模板计算相关数据!$P$4:$T$7,4,0)*VLOOKUP(Y779,模板计算相关数据!$P$22:$U$30,4,0)*AB779)</f>
        <v>230</v>
      </c>
      <c r="AM779" s="3">
        <f>INT(VLOOKUP(U779,模板计算相关数据!A:N,6,0)*VLOOKUP(X779,模板计算相关数据!$P$4:$T$7,4,0)*VLOOKUP(Y779,模板计算相关数据!$P$22:$U$30,5,0)*AC779)</f>
        <v>136</v>
      </c>
      <c r="AN779" s="3">
        <f>VLOOKUP(U779,模板计算相关数据!A:N,10,0)*0.5*VLOOKUP(Y779,模板计算相关数据!$P$22:$U$30,6,0)+AD779</f>
        <v>250</v>
      </c>
      <c r="AO779" s="3">
        <f>VLOOKUP(INT(VLOOKUP(U779,模板计算相关数据!A:N,2,0)/30)+1,模板计算相关数据!$O$35:$U$40,3,0)+AE779</f>
        <v>0</v>
      </c>
      <c r="AP779" s="3">
        <f>VLOOKUP(INT(VLOOKUP(U779,模板计算相关数据!A:N,2,0)/30)+1,模板计算相关数据!$O$35:$U$40,4,0)+AF779</f>
        <v>5000</v>
      </c>
      <c r="AQ779" s="3">
        <f>VLOOKUP(INT(VLOOKUP(U779,模板计算相关数据!A:N,2,0)/30)+1,模板计算相关数据!$O$35:$U$40,5,0)+AG779</f>
        <v>0</v>
      </c>
      <c r="AR779" s="3">
        <f>VLOOKUP(INT(VLOOKUP(U779,模板计算相关数据!A:N,2,0)/30)+1,模板计算相关数据!$O$35:$U$40,6,0)+AH779</f>
        <v>0</v>
      </c>
      <c r="AS779" s="3">
        <f>VLOOKUP(INT(VLOOKUP(U779,模板计算相关数据!A:N,2,0)/30)+1,模板计算相关数据!$O$35:$U$40,7,0)+AI779</f>
        <v>0</v>
      </c>
      <c r="AT779" s="3">
        <f>VLOOKUP(INT(VLOOKUP(U779,模板计算相关数据!A:N,2,0)/30)+1,模板计算相关数据!$O$35:$V$40,8,0)</f>
        <v>0</v>
      </c>
      <c r="AU779" s="2"/>
    </row>
    <row r="780" spans="1:47" x14ac:dyDescent="0.2">
      <c r="A780" s="2">
        <v>307475</v>
      </c>
      <c r="B780" s="2"/>
      <c r="C780" s="69" t="s">
        <v>774</v>
      </c>
      <c r="D780" s="69" t="s">
        <v>1283</v>
      </c>
      <c r="E780" s="2"/>
      <c r="F780" s="127">
        <v>3</v>
      </c>
      <c r="G780" s="127">
        <v>101</v>
      </c>
      <c r="H780" s="3">
        <v>1</v>
      </c>
      <c r="I780" s="127">
        <v>5</v>
      </c>
      <c r="J780" s="127">
        <v>1</v>
      </c>
      <c r="K780" s="3"/>
      <c r="L780" s="69" t="s">
        <v>804</v>
      </c>
      <c r="M780" s="2"/>
      <c r="N780" s="2">
        <v>1</v>
      </c>
      <c r="O780" s="2"/>
      <c r="P780" s="3" t="s">
        <v>1615</v>
      </c>
      <c r="Q780" s="95">
        <f t="shared" si="70"/>
        <v>4.417254901960785</v>
      </c>
      <c r="R780" s="133">
        <f>IF(P780=模板计算相关数据!$AB$24,VLOOKUP(X780,模板计算相关数据!$P$47:$T$50,2,0),VLOOKUP(X780,模板计算相关数据!$P$4:$U$7,3,0))*VLOOKUP(Y780,模板计算相关数据!$P$22:$X$30,8,0)</f>
        <v>4.417254901960785</v>
      </c>
      <c r="S780" s="62">
        <f t="shared" si="71"/>
        <v>5.4285280003474252</v>
      </c>
      <c r="T780" s="133">
        <f>IF(P780=模板计算相关数据!$AB$24,VLOOKUP(X780,模板计算相关数据!$P$47:$T$50,5,0),VLOOKUP(X780,模板计算相关数据!$P$4:$U$7,6,0))*VLOOKUP(Y780,模板计算相关数据!$P$22:$X$30,9,0)</f>
        <v>5.4285280003474252</v>
      </c>
      <c r="U780" s="98">
        <v>1</v>
      </c>
      <c r="V780" s="95">
        <f t="shared" si="72"/>
        <v>4</v>
      </c>
      <c r="W780" s="29">
        <f>VLOOKUP(U780,模板计算相关数据!A:N,2,0)</f>
        <v>1</v>
      </c>
      <c r="X780" s="3" t="s">
        <v>151</v>
      </c>
      <c r="Y780" s="3" t="s">
        <v>152</v>
      </c>
      <c r="Z780" s="99">
        <v>1</v>
      </c>
      <c r="AA780" s="95">
        <v>1</v>
      </c>
      <c r="AB780" s="95">
        <v>1</v>
      </c>
      <c r="AC780" s="95">
        <v>1</v>
      </c>
      <c r="AD780" s="95">
        <v>0</v>
      </c>
      <c r="AE780" s="95">
        <v>0</v>
      </c>
      <c r="AF780" s="95">
        <v>0</v>
      </c>
      <c r="AG780" s="95">
        <v>0</v>
      </c>
      <c r="AH780" s="95">
        <v>0</v>
      </c>
      <c r="AI780" s="95">
        <v>0</v>
      </c>
      <c r="AJ780" s="3">
        <f>INT(VLOOKUP(U780,模板计算相关数据!A:N,4,0)*VLOOKUP(U780,模板计算相关数据!A:N,14,0)*(1+MAX(0,(VLOOKUP(U780,模板计算相关数据!A:N,7,0)-AQ780))*VLOOKUP(U780,模板计算相关数据!A:N,8,0))*(1-(AL780+AM780)*0.5/((AL780+AM780)*0.5+(VLOOKUP(U780,模板计算相关数据!A:N,2,0)+模板计算相关数据!$AC$27)*模板计算相关数据!$AC$28))*Q780*Z780)</f>
        <v>325</v>
      </c>
      <c r="AK780" s="3">
        <f>INT(VLOOKUP(U780,模板计算相关数据!A:N,3,0)/模板计算相关数据!$W$35/(1+MAX(0,(AO780/10000-VLOOKUP(U780,模板计算相关数据!A:N,9,0)))*AP780/10000)/(1-VLOOKUP(U780,模板计算相关数据!A:N,5,0)/(VLOOKUP(U780,模板计算相关数据!A:N,5,0)+(VLOOKUP(U780,模板计算相关数据!A:N,2,0)+模板计算相关数据!$AC$27)*模板计算相关数据!$AC$28))/S780*AA780)</f>
        <v>102</v>
      </c>
      <c r="AL780" s="3">
        <f>INT(VLOOKUP(U780,模板计算相关数据!A:N,5,0)*VLOOKUP(X780,模板计算相关数据!$P$4:$T$7,4,0)*VLOOKUP(Y780,模板计算相关数据!$P$22:$U$30,4,0)*AB780)</f>
        <v>230</v>
      </c>
      <c r="AM780" s="3">
        <f>INT(VLOOKUP(U780,模板计算相关数据!A:N,6,0)*VLOOKUP(X780,模板计算相关数据!$P$4:$T$7,4,0)*VLOOKUP(Y780,模板计算相关数据!$P$22:$U$30,5,0)*AC780)</f>
        <v>136</v>
      </c>
      <c r="AN780" s="3">
        <f>VLOOKUP(U780,模板计算相关数据!A:N,10,0)*0.5*VLOOKUP(Y780,模板计算相关数据!$P$22:$U$30,6,0)+AD780</f>
        <v>250</v>
      </c>
      <c r="AO780" s="3">
        <f>VLOOKUP(INT(VLOOKUP(U780,模板计算相关数据!A:N,2,0)/30)+1,模板计算相关数据!$O$35:$U$40,3,0)+AE780</f>
        <v>0</v>
      </c>
      <c r="AP780" s="3">
        <f>VLOOKUP(INT(VLOOKUP(U780,模板计算相关数据!A:N,2,0)/30)+1,模板计算相关数据!$O$35:$U$40,4,0)+AF780</f>
        <v>5000</v>
      </c>
      <c r="AQ780" s="3">
        <f>VLOOKUP(INT(VLOOKUP(U780,模板计算相关数据!A:N,2,0)/30)+1,模板计算相关数据!$O$35:$U$40,5,0)+AG780</f>
        <v>0</v>
      </c>
      <c r="AR780" s="3">
        <f>VLOOKUP(INT(VLOOKUP(U780,模板计算相关数据!A:N,2,0)/30)+1,模板计算相关数据!$O$35:$U$40,6,0)+AH780</f>
        <v>0</v>
      </c>
      <c r="AS780" s="3">
        <f>VLOOKUP(INT(VLOOKUP(U780,模板计算相关数据!A:N,2,0)/30)+1,模板计算相关数据!$O$35:$U$40,7,0)+AI780</f>
        <v>0</v>
      </c>
      <c r="AT780" s="3">
        <f>VLOOKUP(INT(VLOOKUP(U780,模板计算相关数据!A:N,2,0)/30)+1,模板计算相关数据!$O$35:$V$40,8,0)</f>
        <v>0</v>
      </c>
      <c r="AU780" s="2"/>
    </row>
    <row r="781" spans="1:47" x14ac:dyDescent="0.2">
      <c r="A781" s="2">
        <v>307476</v>
      </c>
      <c r="B781" s="2"/>
      <c r="C781" s="69" t="s">
        <v>797</v>
      </c>
      <c r="D781" s="69" t="s">
        <v>1284</v>
      </c>
      <c r="E781" s="2"/>
      <c r="F781" s="127">
        <v>3</v>
      </c>
      <c r="G781" s="127">
        <v>101</v>
      </c>
      <c r="H781" s="3">
        <v>2</v>
      </c>
      <c r="I781" s="127">
        <v>5</v>
      </c>
      <c r="J781" s="127">
        <v>1</v>
      </c>
      <c r="K781" s="3"/>
      <c r="L781" s="69" t="s">
        <v>805</v>
      </c>
      <c r="M781" s="2"/>
      <c r="N781" s="2">
        <v>1</v>
      </c>
      <c r="O781" s="2"/>
      <c r="P781" s="3" t="s">
        <v>1615</v>
      </c>
      <c r="Q781" s="95">
        <f t="shared" si="70"/>
        <v>6.9411764705882364</v>
      </c>
      <c r="R781" s="133">
        <f>IF(P781=模板计算相关数据!$AB$24,VLOOKUP(X781,模板计算相关数据!$P$47:$T$50,2,0),VLOOKUP(X781,模板计算相关数据!$P$4:$U$7,3,0))*VLOOKUP(Y781,模板计算相关数据!$P$22:$X$30,8,0)</f>
        <v>6.9411764705882364</v>
      </c>
      <c r="S781" s="62">
        <f t="shared" si="71"/>
        <v>8.2943498888557112</v>
      </c>
      <c r="T781" s="133">
        <f>IF(P781=模板计算相关数据!$AB$24,VLOOKUP(X781,模板计算相关数据!$P$47:$T$50,5,0),VLOOKUP(X781,模板计算相关数据!$P$4:$U$7,6,0))*VLOOKUP(Y781,模板计算相关数据!$P$22:$X$30,9,0)</f>
        <v>8.2943498888557112</v>
      </c>
      <c r="U781" s="98">
        <v>1</v>
      </c>
      <c r="V781" s="95">
        <f t="shared" si="72"/>
        <v>4</v>
      </c>
      <c r="W781" s="29">
        <f>VLOOKUP(U781,模板计算相关数据!A:N,2,0)</f>
        <v>1</v>
      </c>
      <c r="X781" s="3" t="s">
        <v>151</v>
      </c>
      <c r="Y781" s="3" t="s">
        <v>155</v>
      </c>
      <c r="Z781" s="99">
        <v>1</v>
      </c>
      <c r="AA781" s="95">
        <v>1</v>
      </c>
      <c r="AB781" s="95">
        <v>1</v>
      </c>
      <c r="AC781" s="95">
        <v>1</v>
      </c>
      <c r="AD781" s="95">
        <v>0</v>
      </c>
      <c r="AE781" s="95">
        <v>0</v>
      </c>
      <c r="AF781" s="95">
        <v>0</v>
      </c>
      <c r="AG781" s="95">
        <v>0</v>
      </c>
      <c r="AH781" s="95">
        <v>0</v>
      </c>
      <c r="AI781" s="95">
        <v>0</v>
      </c>
      <c r="AJ781" s="3">
        <f>INT(VLOOKUP(U781,模板计算相关数据!A:N,4,0)*VLOOKUP(U781,模板计算相关数据!A:N,14,0)*(1+MAX(0,(VLOOKUP(U781,模板计算相关数据!A:N,7,0)-AQ781))*VLOOKUP(U781,模板计算相关数据!A:N,8,0))*(1-(AL781+AM781)*0.5/((AL781+AM781)*0.5+(VLOOKUP(U781,模板计算相关数据!A:N,2,0)+模板计算相关数据!$AC$27)*模板计算相关数据!$AC$28))*Q781*Z781)</f>
        <v>487</v>
      </c>
      <c r="AK781" s="3">
        <f>INT(VLOOKUP(U781,模板计算相关数据!A:N,3,0)/模板计算相关数据!$W$35/(1+MAX(0,(AO781/10000-VLOOKUP(U781,模板计算相关数据!A:N,9,0)))*AP781/10000)/(1-VLOOKUP(U781,模板计算相关数据!A:N,5,0)/(VLOOKUP(U781,模板计算相关数据!A:N,5,0)+(VLOOKUP(U781,模板计算相关数据!A:N,2,0)+模板计算相关数据!$AC$27)*模板计算相关数据!$AC$28))/S781*AA781)</f>
        <v>67</v>
      </c>
      <c r="AL781" s="3">
        <f>INT(VLOOKUP(U781,模板计算相关数据!A:N,5,0)*VLOOKUP(X781,模板计算相关数据!$P$4:$T$7,4,0)*VLOOKUP(Y781,模板计算相关数据!$P$22:$U$30,4,0)*AB781)</f>
        <v>277</v>
      </c>
      <c r="AM781" s="3">
        <f>INT(VLOOKUP(U781,模板计算相关数据!A:N,6,0)*VLOOKUP(X781,模板计算相关数据!$P$4:$T$7,4,0)*VLOOKUP(Y781,模板计算相关数据!$P$22:$U$30,5,0)*AC781)</f>
        <v>153</v>
      </c>
      <c r="AN781" s="3">
        <f>VLOOKUP(U781,模板计算相关数据!A:N,10,0)*0.5*VLOOKUP(Y781,模板计算相关数据!$P$22:$U$30,6,0)+AD781</f>
        <v>225</v>
      </c>
      <c r="AO781" s="3">
        <f>VLOOKUP(INT(VLOOKUP(U781,模板计算相关数据!A:N,2,0)/30)+1,模板计算相关数据!$O$35:$U$40,3,0)+AE781</f>
        <v>0</v>
      </c>
      <c r="AP781" s="3">
        <f>VLOOKUP(INT(VLOOKUP(U781,模板计算相关数据!A:N,2,0)/30)+1,模板计算相关数据!$O$35:$U$40,4,0)+AF781</f>
        <v>5000</v>
      </c>
      <c r="AQ781" s="3">
        <f>VLOOKUP(INT(VLOOKUP(U781,模板计算相关数据!A:N,2,0)/30)+1,模板计算相关数据!$O$35:$U$40,5,0)+AG781</f>
        <v>0</v>
      </c>
      <c r="AR781" s="3">
        <f>VLOOKUP(INT(VLOOKUP(U781,模板计算相关数据!A:N,2,0)/30)+1,模板计算相关数据!$O$35:$U$40,6,0)+AH781</f>
        <v>0</v>
      </c>
      <c r="AS781" s="3">
        <f>VLOOKUP(INT(VLOOKUP(U781,模板计算相关数据!A:N,2,0)/30)+1,模板计算相关数据!$O$35:$U$40,7,0)+AI781</f>
        <v>0</v>
      </c>
      <c r="AT781" s="3">
        <f>VLOOKUP(INT(VLOOKUP(U781,模板计算相关数据!A:N,2,0)/30)+1,模板计算相关数据!$O$35:$V$40,8,0)</f>
        <v>0</v>
      </c>
      <c r="AU781" s="2"/>
    </row>
    <row r="782" spans="1:47" x14ac:dyDescent="0.2">
      <c r="A782" s="2">
        <v>307477</v>
      </c>
      <c r="B782" s="2"/>
      <c r="C782" s="69" t="s">
        <v>797</v>
      </c>
      <c r="D782" s="69" t="s">
        <v>1285</v>
      </c>
      <c r="E782" s="2"/>
      <c r="F782" s="127">
        <v>3</v>
      </c>
      <c r="G782" s="127">
        <v>101</v>
      </c>
      <c r="H782" s="3">
        <v>2</v>
      </c>
      <c r="I782" s="127">
        <v>5</v>
      </c>
      <c r="J782" s="127">
        <v>1</v>
      </c>
      <c r="K782" s="3"/>
      <c r="L782" s="69" t="s">
        <v>806</v>
      </c>
      <c r="M782" s="2"/>
      <c r="N782" s="2">
        <v>1</v>
      </c>
      <c r="O782" s="2"/>
      <c r="P782" s="3" t="s">
        <v>1615</v>
      </c>
      <c r="Q782" s="95">
        <f t="shared" si="70"/>
        <v>6.9411764705882364</v>
      </c>
      <c r="R782" s="133">
        <f>IF(P782=模板计算相关数据!$AB$24,VLOOKUP(X782,模板计算相关数据!$P$47:$T$50,2,0),VLOOKUP(X782,模板计算相关数据!$P$4:$U$7,3,0))*VLOOKUP(Y782,模板计算相关数据!$P$22:$X$30,8,0)</f>
        <v>6.9411764705882364</v>
      </c>
      <c r="S782" s="62">
        <f t="shared" si="71"/>
        <v>8.2943498888557112</v>
      </c>
      <c r="T782" s="133">
        <f>IF(P782=模板计算相关数据!$AB$24,VLOOKUP(X782,模板计算相关数据!$P$47:$T$50,5,0),VLOOKUP(X782,模板计算相关数据!$P$4:$U$7,6,0))*VLOOKUP(Y782,模板计算相关数据!$P$22:$X$30,9,0)</f>
        <v>8.2943498888557112</v>
      </c>
      <c r="U782" s="98">
        <v>1</v>
      </c>
      <c r="V782" s="95">
        <f t="shared" si="72"/>
        <v>4</v>
      </c>
      <c r="W782" s="29">
        <f>VLOOKUP(U782,模板计算相关数据!A:N,2,0)</f>
        <v>1</v>
      </c>
      <c r="X782" s="3" t="s">
        <v>151</v>
      </c>
      <c r="Y782" s="3" t="s">
        <v>155</v>
      </c>
      <c r="Z782" s="99">
        <v>1</v>
      </c>
      <c r="AA782" s="95">
        <v>1</v>
      </c>
      <c r="AB782" s="95">
        <v>1</v>
      </c>
      <c r="AC782" s="95">
        <v>1</v>
      </c>
      <c r="AD782" s="95">
        <v>0</v>
      </c>
      <c r="AE782" s="95">
        <v>0</v>
      </c>
      <c r="AF782" s="95">
        <v>0</v>
      </c>
      <c r="AG782" s="95">
        <v>0</v>
      </c>
      <c r="AH782" s="95">
        <v>0</v>
      </c>
      <c r="AI782" s="95">
        <v>0</v>
      </c>
      <c r="AJ782" s="3">
        <f>INT(VLOOKUP(U782,模板计算相关数据!A:N,4,0)*VLOOKUP(U782,模板计算相关数据!A:N,14,0)*(1+MAX(0,(VLOOKUP(U782,模板计算相关数据!A:N,7,0)-AQ782))*VLOOKUP(U782,模板计算相关数据!A:N,8,0))*(1-(AL782+AM782)*0.5/((AL782+AM782)*0.5+(VLOOKUP(U782,模板计算相关数据!A:N,2,0)+模板计算相关数据!$AC$27)*模板计算相关数据!$AC$28))*Q782*Z782)</f>
        <v>487</v>
      </c>
      <c r="AK782" s="3">
        <f>INT(VLOOKUP(U782,模板计算相关数据!A:N,3,0)/模板计算相关数据!$W$35/(1+MAX(0,(AO782/10000-VLOOKUP(U782,模板计算相关数据!A:N,9,0)))*AP782/10000)/(1-VLOOKUP(U782,模板计算相关数据!A:N,5,0)/(VLOOKUP(U782,模板计算相关数据!A:N,5,0)+(VLOOKUP(U782,模板计算相关数据!A:N,2,0)+模板计算相关数据!$AC$27)*模板计算相关数据!$AC$28))/S782*AA782)</f>
        <v>67</v>
      </c>
      <c r="AL782" s="3">
        <f>INT(VLOOKUP(U782,模板计算相关数据!A:N,5,0)*VLOOKUP(X782,模板计算相关数据!$P$4:$T$7,4,0)*VLOOKUP(Y782,模板计算相关数据!$P$22:$U$30,4,0)*AB782)</f>
        <v>277</v>
      </c>
      <c r="AM782" s="3">
        <f>INT(VLOOKUP(U782,模板计算相关数据!A:N,6,0)*VLOOKUP(X782,模板计算相关数据!$P$4:$T$7,4,0)*VLOOKUP(Y782,模板计算相关数据!$P$22:$U$30,5,0)*AC782)</f>
        <v>153</v>
      </c>
      <c r="AN782" s="3">
        <f>VLOOKUP(U782,模板计算相关数据!A:N,10,0)*0.5*VLOOKUP(Y782,模板计算相关数据!$P$22:$U$30,6,0)+AD782</f>
        <v>225</v>
      </c>
      <c r="AO782" s="3">
        <f>VLOOKUP(INT(VLOOKUP(U782,模板计算相关数据!A:N,2,0)/30)+1,模板计算相关数据!$O$35:$U$40,3,0)+AE782</f>
        <v>0</v>
      </c>
      <c r="AP782" s="3">
        <f>VLOOKUP(INT(VLOOKUP(U782,模板计算相关数据!A:N,2,0)/30)+1,模板计算相关数据!$O$35:$U$40,4,0)+AF782</f>
        <v>5000</v>
      </c>
      <c r="AQ782" s="3">
        <f>VLOOKUP(INT(VLOOKUP(U782,模板计算相关数据!A:N,2,0)/30)+1,模板计算相关数据!$O$35:$U$40,5,0)+AG782</f>
        <v>0</v>
      </c>
      <c r="AR782" s="3">
        <f>VLOOKUP(INT(VLOOKUP(U782,模板计算相关数据!A:N,2,0)/30)+1,模板计算相关数据!$O$35:$U$40,6,0)+AH782</f>
        <v>0</v>
      </c>
      <c r="AS782" s="3">
        <f>VLOOKUP(INT(VLOOKUP(U782,模板计算相关数据!A:N,2,0)/30)+1,模板计算相关数据!$O$35:$U$40,7,0)+AI782</f>
        <v>0</v>
      </c>
      <c r="AT782" s="3">
        <f>VLOOKUP(INT(VLOOKUP(U782,模板计算相关数据!A:N,2,0)/30)+1,模板计算相关数据!$O$35:$V$40,8,0)</f>
        <v>0</v>
      </c>
      <c r="AU782" s="2"/>
    </row>
    <row r="783" spans="1:47" x14ac:dyDescent="0.2">
      <c r="A783" s="2">
        <v>307478</v>
      </c>
      <c r="B783" s="2"/>
      <c r="C783" s="69" t="s">
        <v>797</v>
      </c>
      <c r="D783" s="69" t="s">
        <v>1283</v>
      </c>
      <c r="E783" s="2"/>
      <c r="F783" s="127">
        <v>3</v>
      </c>
      <c r="G783" s="127">
        <v>101</v>
      </c>
      <c r="H783" s="3">
        <v>2</v>
      </c>
      <c r="I783" s="127">
        <v>5</v>
      </c>
      <c r="J783" s="127">
        <v>1</v>
      </c>
      <c r="K783" s="3"/>
      <c r="L783" s="69" t="s">
        <v>807</v>
      </c>
      <c r="M783" s="2"/>
      <c r="N783" s="2">
        <v>1</v>
      </c>
      <c r="O783" s="2"/>
      <c r="P783" s="3" t="s">
        <v>1615</v>
      </c>
      <c r="Q783" s="95">
        <f t="shared" si="70"/>
        <v>6.9411764705882364</v>
      </c>
      <c r="R783" s="133">
        <f>IF(P783=模板计算相关数据!$AB$24,VLOOKUP(X783,模板计算相关数据!$P$47:$T$50,2,0),VLOOKUP(X783,模板计算相关数据!$P$4:$U$7,3,0))*VLOOKUP(Y783,模板计算相关数据!$P$22:$X$30,8,0)</f>
        <v>6.9411764705882364</v>
      </c>
      <c r="S783" s="62">
        <f t="shared" si="71"/>
        <v>8.2943498888557112</v>
      </c>
      <c r="T783" s="133">
        <f>IF(P783=模板计算相关数据!$AB$24,VLOOKUP(X783,模板计算相关数据!$P$47:$T$50,5,0),VLOOKUP(X783,模板计算相关数据!$P$4:$U$7,6,0))*VLOOKUP(Y783,模板计算相关数据!$P$22:$X$30,9,0)</f>
        <v>8.2943498888557112</v>
      </c>
      <c r="U783" s="98">
        <v>1</v>
      </c>
      <c r="V783" s="95">
        <f t="shared" si="72"/>
        <v>4</v>
      </c>
      <c r="W783" s="29">
        <f>VLOOKUP(U783,模板计算相关数据!A:N,2,0)</f>
        <v>1</v>
      </c>
      <c r="X783" s="3" t="s">
        <v>151</v>
      </c>
      <c r="Y783" s="3" t="s">
        <v>155</v>
      </c>
      <c r="Z783" s="99">
        <v>1</v>
      </c>
      <c r="AA783" s="95">
        <v>1</v>
      </c>
      <c r="AB783" s="95">
        <v>1</v>
      </c>
      <c r="AC783" s="95">
        <v>1</v>
      </c>
      <c r="AD783" s="95">
        <v>0</v>
      </c>
      <c r="AE783" s="95">
        <v>0</v>
      </c>
      <c r="AF783" s="95">
        <v>0</v>
      </c>
      <c r="AG783" s="95">
        <v>0</v>
      </c>
      <c r="AH783" s="95">
        <v>0</v>
      </c>
      <c r="AI783" s="95">
        <v>0</v>
      </c>
      <c r="AJ783" s="3">
        <f>INT(VLOOKUP(U783,模板计算相关数据!A:N,4,0)*VLOOKUP(U783,模板计算相关数据!A:N,14,0)*(1+MAX(0,(VLOOKUP(U783,模板计算相关数据!A:N,7,0)-AQ783))*VLOOKUP(U783,模板计算相关数据!A:N,8,0))*(1-(AL783+AM783)*0.5/((AL783+AM783)*0.5+(VLOOKUP(U783,模板计算相关数据!A:N,2,0)+模板计算相关数据!$AC$27)*模板计算相关数据!$AC$28))*Q783*Z783)</f>
        <v>487</v>
      </c>
      <c r="AK783" s="3">
        <f>INT(VLOOKUP(U783,模板计算相关数据!A:N,3,0)/模板计算相关数据!$W$35/(1+MAX(0,(AO783/10000-VLOOKUP(U783,模板计算相关数据!A:N,9,0)))*AP783/10000)/(1-VLOOKUP(U783,模板计算相关数据!A:N,5,0)/(VLOOKUP(U783,模板计算相关数据!A:N,5,0)+(VLOOKUP(U783,模板计算相关数据!A:N,2,0)+模板计算相关数据!$AC$27)*模板计算相关数据!$AC$28))/S783*AA783)</f>
        <v>67</v>
      </c>
      <c r="AL783" s="3">
        <f>INT(VLOOKUP(U783,模板计算相关数据!A:N,5,0)*VLOOKUP(X783,模板计算相关数据!$P$4:$T$7,4,0)*VLOOKUP(Y783,模板计算相关数据!$P$22:$U$30,4,0)*AB783)</f>
        <v>277</v>
      </c>
      <c r="AM783" s="3">
        <f>INT(VLOOKUP(U783,模板计算相关数据!A:N,6,0)*VLOOKUP(X783,模板计算相关数据!$P$4:$T$7,4,0)*VLOOKUP(Y783,模板计算相关数据!$P$22:$U$30,5,0)*AC783)</f>
        <v>153</v>
      </c>
      <c r="AN783" s="3">
        <f>VLOOKUP(U783,模板计算相关数据!A:N,10,0)*0.5*VLOOKUP(Y783,模板计算相关数据!$P$22:$U$30,6,0)+AD783</f>
        <v>225</v>
      </c>
      <c r="AO783" s="3">
        <f>VLOOKUP(INT(VLOOKUP(U783,模板计算相关数据!A:N,2,0)/30)+1,模板计算相关数据!$O$35:$U$40,3,0)+AE783</f>
        <v>0</v>
      </c>
      <c r="AP783" s="3">
        <f>VLOOKUP(INT(VLOOKUP(U783,模板计算相关数据!A:N,2,0)/30)+1,模板计算相关数据!$O$35:$U$40,4,0)+AF783</f>
        <v>5000</v>
      </c>
      <c r="AQ783" s="3">
        <f>VLOOKUP(INT(VLOOKUP(U783,模板计算相关数据!A:N,2,0)/30)+1,模板计算相关数据!$O$35:$U$40,5,0)+AG783</f>
        <v>0</v>
      </c>
      <c r="AR783" s="3">
        <f>VLOOKUP(INT(VLOOKUP(U783,模板计算相关数据!A:N,2,0)/30)+1,模板计算相关数据!$O$35:$U$40,6,0)+AH783</f>
        <v>0</v>
      </c>
      <c r="AS783" s="3">
        <f>VLOOKUP(INT(VLOOKUP(U783,模板计算相关数据!A:N,2,0)/30)+1,模板计算相关数据!$O$35:$U$40,7,0)+AI783</f>
        <v>0</v>
      </c>
      <c r="AT783" s="3">
        <f>VLOOKUP(INT(VLOOKUP(U783,模板计算相关数据!A:N,2,0)/30)+1,模板计算相关数据!$O$35:$V$40,8,0)</f>
        <v>0</v>
      </c>
      <c r="AU783" s="2"/>
    </row>
    <row r="784" spans="1:47" x14ac:dyDescent="0.2">
      <c r="A784" s="2">
        <v>307479</v>
      </c>
      <c r="B784" s="2"/>
      <c r="C784" s="69" t="s">
        <v>798</v>
      </c>
      <c r="D784" s="69" t="s">
        <v>1284</v>
      </c>
      <c r="E784" s="2"/>
      <c r="F784" s="127">
        <v>3</v>
      </c>
      <c r="G784" s="127">
        <v>101</v>
      </c>
      <c r="H784" s="3">
        <v>4</v>
      </c>
      <c r="I784" s="127">
        <v>5</v>
      </c>
      <c r="J784" s="127">
        <v>1</v>
      </c>
      <c r="K784" s="3"/>
      <c r="L784" s="69" t="s">
        <v>808</v>
      </c>
      <c r="M784" s="2"/>
      <c r="N784" s="2">
        <v>1</v>
      </c>
      <c r="O784" s="2"/>
      <c r="P784" s="3" t="s">
        <v>1615</v>
      </c>
      <c r="Q784" s="95">
        <f t="shared" si="70"/>
        <v>4.4674509803921572</v>
      </c>
      <c r="R784" s="133">
        <f>IF(P784=模板计算相关数据!$AB$24,VLOOKUP(X784,模板计算相关数据!$P$47:$T$50,2,0),VLOOKUP(X784,模板计算相关数据!$P$4:$U$7,3,0))*VLOOKUP(Y784,模板计算相关数据!$P$22:$X$30,8,0)</f>
        <v>4.4674509803921572</v>
      </c>
      <c r="S784" s="62">
        <f t="shared" si="71"/>
        <v>5.4739930589768004</v>
      </c>
      <c r="T784" s="133">
        <f>IF(P784=模板计算相关数据!$AB$24,VLOOKUP(X784,模板计算相关数据!$P$47:$T$50,5,0),VLOOKUP(X784,模板计算相关数据!$P$4:$U$7,6,0))*VLOOKUP(Y784,模板计算相关数据!$P$22:$X$30,9,0)</f>
        <v>5.4739930589768004</v>
      </c>
      <c r="U784" s="98">
        <v>1</v>
      </c>
      <c r="V784" s="95">
        <f t="shared" si="72"/>
        <v>4</v>
      </c>
      <c r="W784" s="29">
        <f>VLOOKUP(U784,模板计算相关数据!A:N,2,0)</f>
        <v>1</v>
      </c>
      <c r="X784" s="3" t="s">
        <v>151</v>
      </c>
      <c r="Y784" s="3" t="s">
        <v>162</v>
      </c>
      <c r="Z784" s="99">
        <v>1</v>
      </c>
      <c r="AA784" s="95">
        <v>1</v>
      </c>
      <c r="AB784" s="95">
        <v>1</v>
      </c>
      <c r="AC784" s="95">
        <v>1</v>
      </c>
      <c r="AD784" s="95">
        <v>0</v>
      </c>
      <c r="AE784" s="95">
        <v>0</v>
      </c>
      <c r="AF784" s="95">
        <v>0</v>
      </c>
      <c r="AG784" s="95">
        <v>0</v>
      </c>
      <c r="AH784" s="95">
        <v>0</v>
      </c>
      <c r="AI784" s="95">
        <v>0</v>
      </c>
      <c r="AJ784" s="3">
        <f>INT(VLOOKUP(U784,模板计算相关数据!A:N,4,0)*VLOOKUP(U784,模板计算相关数据!A:N,14,0)*(1+MAX(0,(VLOOKUP(U784,模板计算相关数据!A:N,7,0)-AQ784))*VLOOKUP(U784,模板计算相关数据!A:N,8,0))*(1-(AL784+AM784)*0.5/((AL784+AM784)*0.5+(VLOOKUP(U784,模板计算相关数据!A:N,2,0)+模板计算相关数据!$AC$27)*模板计算相关数据!$AC$28))*Q784*Z784)</f>
        <v>328</v>
      </c>
      <c r="AK784" s="3">
        <f>INT(VLOOKUP(U784,模板计算相关数据!A:N,3,0)/模板计算相关数据!$W$35/(1+MAX(0,(AO784/10000-VLOOKUP(U784,模板计算相关数据!A:N,9,0)))*AP784/10000)/(1-VLOOKUP(U784,模板计算相关数据!A:N,5,0)/(VLOOKUP(U784,模板计算相关数据!A:N,5,0)+(VLOOKUP(U784,模板计算相关数据!A:N,2,0)+模板计算相关数据!$AC$27)*模板计算相关数据!$AC$28))/S784*AA784)</f>
        <v>101</v>
      </c>
      <c r="AL784" s="3">
        <f>INT(VLOOKUP(U784,模板计算相关数据!A:N,5,0)*VLOOKUP(X784,模板计算相关数据!$P$4:$T$7,4,0)*VLOOKUP(Y784,模板计算相关数据!$P$22:$U$30,4,0)*AB784)</f>
        <v>136</v>
      </c>
      <c r="AM784" s="3">
        <f>INT(VLOOKUP(U784,模板计算相关数据!A:N,6,0)*VLOOKUP(X784,模板计算相关数据!$P$4:$T$7,4,0)*VLOOKUP(Y784,模板计算相关数据!$P$22:$U$30,5,0)*AC784)</f>
        <v>230</v>
      </c>
      <c r="AN784" s="3">
        <f>VLOOKUP(U784,模板计算相关数据!A:N,10,0)*0.5*VLOOKUP(Y784,模板计算相关数据!$P$22:$U$30,6,0)+AD784</f>
        <v>250</v>
      </c>
      <c r="AO784" s="3">
        <f>VLOOKUP(INT(VLOOKUP(U784,模板计算相关数据!A:N,2,0)/30)+1,模板计算相关数据!$O$35:$U$40,3,0)+AE784</f>
        <v>0</v>
      </c>
      <c r="AP784" s="3">
        <f>VLOOKUP(INT(VLOOKUP(U784,模板计算相关数据!A:N,2,0)/30)+1,模板计算相关数据!$O$35:$U$40,4,0)+AF784</f>
        <v>5000</v>
      </c>
      <c r="AQ784" s="3">
        <f>VLOOKUP(INT(VLOOKUP(U784,模板计算相关数据!A:N,2,0)/30)+1,模板计算相关数据!$O$35:$U$40,5,0)+AG784</f>
        <v>0</v>
      </c>
      <c r="AR784" s="3">
        <f>VLOOKUP(INT(VLOOKUP(U784,模板计算相关数据!A:N,2,0)/30)+1,模板计算相关数据!$O$35:$U$40,6,0)+AH784</f>
        <v>0</v>
      </c>
      <c r="AS784" s="3">
        <f>VLOOKUP(INT(VLOOKUP(U784,模板计算相关数据!A:N,2,0)/30)+1,模板计算相关数据!$O$35:$U$40,7,0)+AI784</f>
        <v>0</v>
      </c>
      <c r="AT784" s="3">
        <f>VLOOKUP(INT(VLOOKUP(U784,模板计算相关数据!A:N,2,0)/30)+1,模板计算相关数据!$O$35:$V$40,8,0)</f>
        <v>0</v>
      </c>
      <c r="AU784" s="2"/>
    </row>
    <row r="785" spans="1:47" x14ac:dyDescent="0.2">
      <c r="A785" s="2">
        <v>307480</v>
      </c>
      <c r="B785" s="2"/>
      <c r="C785" s="69" t="s">
        <v>798</v>
      </c>
      <c r="D785" s="69" t="s">
        <v>1285</v>
      </c>
      <c r="E785" s="2"/>
      <c r="F785" s="127">
        <v>3</v>
      </c>
      <c r="G785" s="127">
        <v>101</v>
      </c>
      <c r="H785" s="3">
        <v>4</v>
      </c>
      <c r="I785" s="127">
        <v>5</v>
      </c>
      <c r="J785" s="127">
        <v>1</v>
      </c>
      <c r="K785" s="3"/>
      <c r="L785" s="69" t="s">
        <v>809</v>
      </c>
      <c r="M785" s="2"/>
      <c r="N785" s="2">
        <v>1</v>
      </c>
      <c r="O785" s="2"/>
      <c r="P785" s="3" t="s">
        <v>1615</v>
      </c>
      <c r="Q785" s="95">
        <f t="shared" si="70"/>
        <v>4.4674509803921572</v>
      </c>
      <c r="R785" s="133">
        <f>IF(P785=模板计算相关数据!$AB$24,VLOOKUP(X785,模板计算相关数据!$P$47:$T$50,2,0),VLOOKUP(X785,模板计算相关数据!$P$4:$U$7,3,0))*VLOOKUP(Y785,模板计算相关数据!$P$22:$X$30,8,0)</f>
        <v>4.4674509803921572</v>
      </c>
      <c r="S785" s="62">
        <f t="shared" si="71"/>
        <v>5.4739930589768004</v>
      </c>
      <c r="T785" s="133">
        <f>IF(P785=模板计算相关数据!$AB$24,VLOOKUP(X785,模板计算相关数据!$P$47:$T$50,5,0),VLOOKUP(X785,模板计算相关数据!$P$4:$U$7,6,0))*VLOOKUP(Y785,模板计算相关数据!$P$22:$X$30,9,0)</f>
        <v>5.4739930589768004</v>
      </c>
      <c r="U785" s="98">
        <v>1</v>
      </c>
      <c r="V785" s="95">
        <f t="shared" si="72"/>
        <v>4</v>
      </c>
      <c r="W785" s="29">
        <f>VLOOKUP(U785,模板计算相关数据!A:N,2,0)</f>
        <v>1</v>
      </c>
      <c r="X785" s="3" t="s">
        <v>151</v>
      </c>
      <c r="Y785" s="3" t="s">
        <v>162</v>
      </c>
      <c r="Z785" s="99">
        <v>1</v>
      </c>
      <c r="AA785" s="95">
        <v>1</v>
      </c>
      <c r="AB785" s="95">
        <v>1</v>
      </c>
      <c r="AC785" s="95">
        <v>1</v>
      </c>
      <c r="AD785" s="95">
        <v>0</v>
      </c>
      <c r="AE785" s="95">
        <v>0</v>
      </c>
      <c r="AF785" s="95">
        <v>0</v>
      </c>
      <c r="AG785" s="95">
        <v>0</v>
      </c>
      <c r="AH785" s="95">
        <v>0</v>
      </c>
      <c r="AI785" s="95">
        <v>0</v>
      </c>
      <c r="AJ785" s="3">
        <f>INT(VLOOKUP(U785,模板计算相关数据!A:N,4,0)*VLOOKUP(U785,模板计算相关数据!A:N,14,0)*(1+MAX(0,(VLOOKUP(U785,模板计算相关数据!A:N,7,0)-AQ785))*VLOOKUP(U785,模板计算相关数据!A:N,8,0))*(1-(AL785+AM785)*0.5/((AL785+AM785)*0.5+(VLOOKUP(U785,模板计算相关数据!A:N,2,0)+模板计算相关数据!$AC$27)*模板计算相关数据!$AC$28))*Q785*Z785)</f>
        <v>328</v>
      </c>
      <c r="AK785" s="3">
        <f>INT(VLOOKUP(U785,模板计算相关数据!A:N,3,0)/模板计算相关数据!$W$35/(1+MAX(0,(AO785/10000-VLOOKUP(U785,模板计算相关数据!A:N,9,0)))*AP785/10000)/(1-VLOOKUP(U785,模板计算相关数据!A:N,5,0)/(VLOOKUP(U785,模板计算相关数据!A:N,5,0)+(VLOOKUP(U785,模板计算相关数据!A:N,2,0)+模板计算相关数据!$AC$27)*模板计算相关数据!$AC$28))/S785*AA785)</f>
        <v>101</v>
      </c>
      <c r="AL785" s="3">
        <f>INT(VLOOKUP(U785,模板计算相关数据!A:N,5,0)*VLOOKUP(X785,模板计算相关数据!$P$4:$T$7,4,0)*VLOOKUP(Y785,模板计算相关数据!$P$22:$U$30,4,0)*AB785)</f>
        <v>136</v>
      </c>
      <c r="AM785" s="3">
        <f>INT(VLOOKUP(U785,模板计算相关数据!A:N,6,0)*VLOOKUP(X785,模板计算相关数据!$P$4:$T$7,4,0)*VLOOKUP(Y785,模板计算相关数据!$P$22:$U$30,5,0)*AC785)</f>
        <v>230</v>
      </c>
      <c r="AN785" s="3">
        <f>VLOOKUP(U785,模板计算相关数据!A:N,10,0)*0.5*VLOOKUP(Y785,模板计算相关数据!$P$22:$U$30,6,0)+AD785</f>
        <v>250</v>
      </c>
      <c r="AO785" s="3">
        <f>VLOOKUP(INT(VLOOKUP(U785,模板计算相关数据!A:N,2,0)/30)+1,模板计算相关数据!$O$35:$U$40,3,0)+AE785</f>
        <v>0</v>
      </c>
      <c r="AP785" s="3">
        <f>VLOOKUP(INT(VLOOKUP(U785,模板计算相关数据!A:N,2,0)/30)+1,模板计算相关数据!$O$35:$U$40,4,0)+AF785</f>
        <v>5000</v>
      </c>
      <c r="AQ785" s="3">
        <f>VLOOKUP(INT(VLOOKUP(U785,模板计算相关数据!A:N,2,0)/30)+1,模板计算相关数据!$O$35:$U$40,5,0)+AG785</f>
        <v>0</v>
      </c>
      <c r="AR785" s="3">
        <f>VLOOKUP(INT(VLOOKUP(U785,模板计算相关数据!A:N,2,0)/30)+1,模板计算相关数据!$O$35:$U$40,6,0)+AH785</f>
        <v>0</v>
      </c>
      <c r="AS785" s="3">
        <f>VLOOKUP(INT(VLOOKUP(U785,模板计算相关数据!A:N,2,0)/30)+1,模板计算相关数据!$O$35:$U$40,7,0)+AI785</f>
        <v>0</v>
      </c>
      <c r="AT785" s="3">
        <f>VLOOKUP(INT(VLOOKUP(U785,模板计算相关数据!A:N,2,0)/30)+1,模板计算相关数据!$O$35:$V$40,8,0)</f>
        <v>0</v>
      </c>
      <c r="AU785" s="2"/>
    </row>
    <row r="786" spans="1:47" x14ac:dyDescent="0.2">
      <c r="A786" s="2">
        <v>307481</v>
      </c>
      <c r="B786" s="2"/>
      <c r="C786" s="69" t="s">
        <v>798</v>
      </c>
      <c r="D786" s="69" t="s">
        <v>1283</v>
      </c>
      <c r="E786" s="2"/>
      <c r="F786" s="127">
        <v>3</v>
      </c>
      <c r="G786" s="127">
        <v>101</v>
      </c>
      <c r="H786" s="3">
        <v>4</v>
      </c>
      <c r="I786" s="127">
        <v>5</v>
      </c>
      <c r="J786" s="127">
        <v>1</v>
      </c>
      <c r="K786" s="3"/>
      <c r="L786" s="69" t="s">
        <v>810</v>
      </c>
      <c r="M786" s="2"/>
      <c r="N786" s="2">
        <v>1</v>
      </c>
      <c r="O786" s="2"/>
      <c r="P786" s="3" t="s">
        <v>1615</v>
      </c>
      <c r="Q786" s="95">
        <f t="shared" si="70"/>
        <v>4.4674509803921572</v>
      </c>
      <c r="R786" s="133">
        <f>IF(P786=模板计算相关数据!$AB$24,VLOOKUP(X786,模板计算相关数据!$P$47:$T$50,2,0),VLOOKUP(X786,模板计算相关数据!$P$4:$U$7,3,0))*VLOOKUP(Y786,模板计算相关数据!$P$22:$X$30,8,0)</f>
        <v>4.4674509803921572</v>
      </c>
      <c r="S786" s="62">
        <f t="shared" si="71"/>
        <v>5.4739930589768004</v>
      </c>
      <c r="T786" s="133">
        <f>IF(P786=模板计算相关数据!$AB$24,VLOOKUP(X786,模板计算相关数据!$P$47:$T$50,5,0),VLOOKUP(X786,模板计算相关数据!$P$4:$U$7,6,0))*VLOOKUP(Y786,模板计算相关数据!$P$22:$X$30,9,0)</f>
        <v>5.4739930589768004</v>
      </c>
      <c r="U786" s="98">
        <v>1</v>
      </c>
      <c r="V786" s="95">
        <f t="shared" si="72"/>
        <v>4</v>
      </c>
      <c r="W786" s="29">
        <f>VLOOKUP(U786,模板计算相关数据!A:N,2,0)</f>
        <v>1</v>
      </c>
      <c r="X786" s="3" t="s">
        <v>151</v>
      </c>
      <c r="Y786" s="3" t="s">
        <v>162</v>
      </c>
      <c r="Z786" s="99">
        <v>1</v>
      </c>
      <c r="AA786" s="95">
        <v>1</v>
      </c>
      <c r="AB786" s="95">
        <v>1</v>
      </c>
      <c r="AC786" s="95">
        <v>1</v>
      </c>
      <c r="AD786" s="95">
        <v>0</v>
      </c>
      <c r="AE786" s="95">
        <v>0</v>
      </c>
      <c r="AF786" s="95">
        <v>0</v>
      </c>
      <c r="AG786" s="95">
        <v>0</v>
      </c>
      <c r="AH786" s="95">
        <v>0</v>
      </c>
      <c r="AI786" s="95">
        <v>0</v>
      </c>
      <c r="AJ786" s="3">
        <f>INT(VLOOKUP(U786,模板计算相关数据!A:N,4,0)*VLOOKUP(U786,模板计算相关数据!A:N,14,0)*(1+MAX(0,(VLOOKUP(U786,模板计算相关数据!A:N,7,0)-AQ786))*VLOOKUP(U786,模板计算相关数据!A:N,8,0))*(1-(AL786+AM786)*0.5/((AL786+AM786)*0.5+(VLOOKUP(U786,模板计算相关数据!A:N,2,0)+模板计算相关数据!$AC$27)*模板计算相关数据!$AC$28))*Q786*Z786)</f>
        <v>328</v>
      </c>
      <c r="AK786" s="3">
        <f>INT(VLOOKUP(U786,模板计算相关数据!A:N,3,0)/模板计算相关数据!$W$35/(1+MAX(0,(AO786/10000-VLOOKUP(U786,模板计算相关数据!A:N,9,0)))*AP786/10000)/(1-VLOOKUP(U786,模板计算相关数据!A:N,5,0)/(VLOOKUP(U786,模板计算相关数据!A:N,5,0)+(VLOOKUP(U786,模板计算相关数据!A:N,2,0)+模板计算相关数据!$AC$27)*模板计算相关数据!$AC$28))/S786*AA786)</f>
        <v>101</v>
      </c>
      <c r="AL786" s="3">
        <f>INT(VLOOKUP(U786,模板计算相关数据!A:N,5,0)*VLOOKUP(X786,模板计算相关数据!$P$4:$T$7,4,0)*VLOOKUP(Y786,模板计算相关数据!$P$22:$U$30,4,0)*AB786)</f>
        <v>136</v>
      </c>
      <c r="AM786" s="3">
        <f>INT(VLOOKUP(U786,模板计算相关数据!A:N,6,0)*VLOOKUP(X786,模板计算相关数据!$P$4:$T$7,4,0)*VLOOKUP(Y786,模板计算相关数据!$P$22:$U$30,5,0)*AC786)</f>
        <v>230</v>
      </c>
      <c r="AN786" s="3">
        <f>VLOOKUP(U786,模板计算相关数据!A:N,10,0)*0.5*VLOOKUP(Y786,模板计算相关数据!$P$22:$U$30,6,0)+AD786</f>
        <v>250</v>
      </c>
      <c r="AO786" s="3">
        <f>VLOOKUP(INT(VLOOKUP(U786,模板计算相关数据!A:N,2,0)/30)+1,模板计算相关数据!$O$35:$U$40,3,0)+AE786</f>
        <v>0</v>
      </c>
      <c r="AP786" s="3">
        <f>VLOOKUP(INT(VLOOKUP(U786,模板计算相关数据!A:N,2,0)/30)+1,模板计算相关数据!$O$35:$U$40,4,0)+AF786</f>
        <v>5000</v>
      </c>
      <c r="AQ786" s="3">
        <f>VLOOKUP(INT(VLOOKUP(U786,模板计算相关数据!A:N,2,0)/30)+1,模板计算相关数据!$O$35:$U$40,5,0)+AG786</f>
        <v>0</v>
      </c>
      <c r="AR786" s="3">
        <f>VLOOKUP(INT(VLOOKUP(U786,模板计算相关数据!A:N,2,0)/30)+1,模板计算相关数据!$O$35:$U$40,6,0)+AH786</f>
        <v>0</v>
      </c>
      <c r="AS786" s="3">
        <f>VLOOKUP(INT(VLOOKUP(U786,模板计算相关数据!A:N,2,0)/30)+1,模板计算相关数据!$O$35:$U$40,7,0)+AI786</f>
        <v>0</v>
      </c>
      <c r="AT786" s="3">
        <f>VLOOKUP(INT(VLOOKUP(U786,模板计算相关数据!A:N,2,0)/30)+1,模板计算相关数据!$O$35:$V$40,8,0)</f>
        <v>0</v>
      </c>
      <c r="AU786" s="2"/>
    </row>
    <row r="787" spans="1:47" x14ac:dyDescent="0.2">
      <c r="A787" s="17">
        <v>307301</v>
      </c>
      <c r="B787" s="17"/>
      <c r="C787" s="17" t="s">
        <v>588</v>
      </c>
      <c r="D787" s="25" t="s">
        <v>1286</v>
      </c>
      <c r="E787" s="17"/>
      <c r="F787" s="152">
        <v>3</v>
      </c>
      <c r="G787" s="152">
        <v>101</v>
      </c>
      <c r="H787" s="43">
        <v>6</v>
      </c>
      <c r="I787" s="152">
        <v>5</v>
      </c>
      <c r="J787" s="152">
        <v>1</v>
      </c>
      <c r="K787" s="3"/>
      <c r="L787" s="2" t="s">
        <v>589</v>
      </c>
      <c r="M787" s="2"/>
      <c r="N787" s="2">
        <v>1</v>
      </c>
      <c r="O787" s="2"/>
      <c r="P787" s="3" t="s">
        <v>1615</v>
      </c>
      <c r="Q787" s="95">
        <f t="shared" si="70"/>
        <v>5.7709803921568623</v>
      </c>
      <c r="R787" s="133">
        <f>IF(P787=模板计算相关数据!$AB$24,VLOOKUP(X787,模板计算相关数据!$P$47:$T$50,2,0),VLOOKUP(X787,模板计算相关数据!$P$4:$U$7,3,0))*VLOOKUP(Y787,模板计算相关数据!$P$22:$X$30,8,0)</f>
        <v>5.7709803921568623</v>
      </c>
      <c r="S787" s="62">
        <f t="shared" si="71"/>
        <v>6.4077918749199023</v>
      </c>
      <c r="T787" s="133">
        <f>IF(P787=模板计算相关数据!$AB$24,VLOOKUP(X787,模板计算相关数据!$P$47:$T$50,5,0),VLOOKUP(X787,模板计算相关数据!$P$4:$U$7,6,0))*VLOOKUP(Y787,模板计算相关数据!$P$22:$X$30,9,0)</f>
        <v>6.4077918749199023</v>
      </c>
      <c r="U787" s="98">
        <v>1</v>
      </c>
      <c r="V787" s="95">
        <f t="shared" si="72"/>
        <v>4</v>
      </c>
      <c r="W787" s="29">
        <f>VLOOKUP(U787,模板计算相关数据!A:N,2,0)</f>
        <v>1</v>
      </c>
      <c r="X787" s="3" t="s">
        <v>151</v>
      </c>
      <c r="Y787" s="3" t="s">
        <v>243</v>
      </c>
      <c r="Z787" s="99">
        <v>1</v>
      </c>
      <c r="AA787" s="95">
        <v>1</v>
      </c>
      <c r="AB787" s="95">
        <v>1</v>
      </c>
      <c r="AC787" s="95">
        <v>1</v>
      </c>
      <c r="AD787" s="95">
        <v>0</v>
      </c>
      <c r="AE787" s="95">
        <v>0</v>
      </c>
      <c r="AF787" s="95">
        <v>0</v>
      </c>
      <c r="AG787" s="95">
        <v>0</v>
      </c>
      <c r="AH787" s="95">
        <v>0</v>
      </c>
      <c r="AI787" s="95">
        <v>0</v>
      </c>
      <c r="AJ787" s="3">
        <f>INT(VLOOKUP(U787,模板计算相关数据!A:N,4,0)*VLOOKUP(U787,模板计算相关数据!A:N,14,0)*(1+MAX(0,(VLOOKUP(U787,模板计算相关数据!A:N,7,0)-AQ787))*VLOOKUP(U787,模板计算相关数据!A:N,8,0))*(1-(AL787+AM787)*0.5/((AL787+AM787)*0.5+(VLOOKUP(U787,模板计算相关数据!A:N,2,0)+模板计算相关数据!$AC$27)*模板计算相关数据!$AC$28))*Q787*Z787)</f>
        <v>411</v>
      </c>
      <c r="AK787" s="3">
        <f>INT(VLOOKUP(U787,模板计算相关数据!A:N,3,0)/模板计算相关数据!$W$35/(1+MAX(0,(AO787/10000-VLOOKUP(U787,模板计算相关数据!A:N,9,0)))*AP787/10000)/(1-VLOOKUP(U787,模板计算相关数据!A:N,5,0)/(VLOOKUP(U787,模板计算相关数据!A:N,5,0)+(VLOOKUP(U787,模板计算相关数据!A:N,2,0)+模板计算相关数据!$AC$27)*模板计算相关数据!$AC$28))/S787*AA787)</f>
        <v>86</v>
      </c>
      <c r="AL787" s="3">
        <f>INT(VLOOKUP(U787,模板计算相关数据!A:N,5,0)*VLOOKUP(X787,模板计算相关数据!$P$4:$T$7,4,0)*VLOOKUP(Y787,模板计算相关数据!$P$22:$U$30,4,0)*AB787)</f>
        <v>145</v>
      </c>
      <c r="AM787" s="3">
        <f>INT(VLOOKUP(U787,模板计算相关数据!A:N,6,0)*VLOOKUP(X787,模板计算相关数据!$P$4:$T$7,4,0)*VLOOKUP(Y787,模板计算相关数据!$P$22:$U$30,5,0)*AC787)</f>
        <v>264</v>
      </c>
      <c r="AN787" s="3">
        <f>VLOOKUP(U787,模板计算相关数据!A:N,10,0)*0.5*VLOOKUP(Y787,模板计算相关数据!$P$22:$U$30,6,0)+AD787</f>
        <v>275</v>
      </c>
      <c r="AO787" s="3">
        <f>VLOOKUP(INT(VLOOKUP(U787,模板计算相关数据!A:N,2,0)/30)+1,模板计算相关数据!$O$35:$U$40,3,0)+AE787</f>
        <v>0</v>
      </c>
      <c r="AP787" s="3">
        <f>VLOOKUP(INT(VLOOKUP(U787,模板计算相关数据!A:N,2,0)/30)+1,模板计算相关数据!$O$35:$U$40,4,0)+AF787</f>
        <v>5000</v>
      </c>
      <c r="AQ787" s="3">
        <f>VLOOKUP(INT(VLOOKUP(U787,模板计算相关数据!A:N,2,0)/30)+1,模板计算相关数据!$O$35:$U$40,5,0)+AG787</f>
        <v>0</v>
      </c>
      <c r="AR787" s="3">
        <f>VLOOKUP(INT(VLOOKUP(U787,模板计算相关数据!A:N,2,0)/30)+1,模板计算相关数据!$O$35:$U$40,6,0)+AH787</f>
        <v>0</v>
      </c>
      <c r="AS787" s="3">
        <f>VLOOKUP(INT(VLOOKUP(U787,模板计算相关数据!A:N,2,0)/30)+1,模板计算相关数据!$O$35:$U$40,7,0)+AI787</f>
        <v>0</v>
      </c>
      <c r="AT787" s="3">
        <f>VLOOKUP(INT(VLOOKUP(U787,模板计算相关数据!A:N,2,0)/30)+1,模板计算相关数据!$O$35:$V$40,8,0)</f>
        <v>0</v>
      </c>
      <c r="AU787" s="2"/>
    </row>
    <row r="788" spans="1:47" x14ac:dyDescent="0.2">
      <c r="A788" s="2">
        <v>307302</v>
      </c>
      <c r="B788" s="2"/>
      <c r="C788" s="2" t="s">
        <v>590</v>
      </c>
      <c r="D788" s="69" t="s">
        <v>1287</v>
      </c>
      <c r="E788" s="2"/>
      <c r="F788" s="127">
        <v>3</v>
      </c>
      <c r="G788" s="127">
        <v>101</v>
      </c>
      <c r="H788" s="3">
        <v>6</v>
      </c>
      <c r="I788" s="127">
        <v>5</v>
      </c>
      <c r="J788" s="127">
        <v>1</v>
      </c>
      <c r="K788" s="3"/>
      <c r="L788" s="2" t="s">
        <v>591</v>
      </c>
      <c r="M788" s="2"/>
      <c r="N788" s="2">
        <v>1</v>
      </c>
      <c r="O788" s="2"/>
      <c r="P788" s="3" t="s">
        <v>1615</v>
      </c>
      <c r="Q788" s="95">
        <f t="shared" si="70"/>
        <v>5.7709803921568623</v>
      </c>
      <c r="R788" s="133">
        <f>IF(P788=模板计算相关数据!$AB$24,VLOOKUP(X788,模板计算相关数据!$P$47:$T$50,2,0),VLOOKUP(X788,模板计算相关数据!$P$4:$U$7,3,0))*VLOOKUP(Y788,模板计算相关数据!$P$22:$X$30,8,0)</f>
        <v>5.7709803921568623</v>
      </c>
      <c r="S788" s="62">
        <f t="shared" si="71"/>
        <v>6.4077918749199023</v>
      </c>
      <c r="T788" s="133">
        <f>IF(P788=模板计算相关数据!$AB$24,VLOOKUP(X788,模板计算相关数据!$P$47:$T$50,5,0),VLOOKUP(X788,模板计算相关数据!$P$4:$U$7,6,0))*VLOOKUP(Y788,模板计算相关数据!$P$22:$X$30,9,0)</f>
        <v>6.4077918749199023</v>
      </c>
      <c r="U788" s="98">
        <v>1</v>
      </c>
      <c r="V788" s="95">
        <f t="shared" si="72"/>
        <v>4</v>
      </c>
      <c r="W788" s="29">
        <f>VLOOKUP(U788,模板计算相关数据!A:N,2,0)</f>
        <v>1</v>
      </c>
      <c r="X788" s="3" t="s">
        <v>151</v>
      </c>
      <c r="Y788" s="3" t="s">
        <v>243</v>
      </c>
      <c r="Z788" s="99">
        <v>1</v>
      </c>
      <c r="AA788" s="95">
        <v>1</v>
      </c>
      <c r="AB788" s="95">
        <v>1</v>
      </c>
      <c r="AC788" s="95">
        <v>1</v>
      </c>
      <c r="AD788" s="95">
        <v>0</v>
      </c>
      <c r="AE788" s="95">
        <v>0</v>
      </c>
      <c r="AF788" s="95">
        <v>0</v>
      </c>
      <c r="AG788" s="95">
        <v>0</v>
      </c>
      <c r="AH788" s="95">
        <v>0</v>
      </c>
      <c r="AI788" s="95">
        <v>0</v>
      </c>
      <c r="AJ788" s="3">
        <f>INT(VLOOKUP(U788,模板计算相关数据!A:N,4,0)*VLOOKUP(U788,模板计算相关数据!A:N,14,0)*(1+MAX(0,(VLOOKUP(U788,模板计算相关数据!A:N,7,0)-AQ788))*VLOOKUP(U788,模板计算相关数据!A:N,8,0))*(1-(AL788+AM788)*0.5/((AL788+AM788)*0.5+(VLOOKUP(U788,模板计算相关数据!A:N,2,0)+模板计算相关数据!$AC$27)*模板计算相关数据!$AC$28))*Q788*Z788)</f>
        <v>411</v>
      </c>
      <c r="AK788" s="3">
        <f>INT(VLOOKUP(U788,模板计算相关数据!A:N,3,0)/模板计算相关数据!$W$35/(1+MAX(0,(AO788/10000-VLOOKUP(U788,模板计算相关数据!A:N,9,0)))*AP788/10000)/(1-VLOOKUP(U788,模板计算相关数据!A:N,5,0)/(VLOOKUP(U788,模板计算相关数据!A:N,5,0)+(VLOOKUP(U788,模板计算相关数据!A:N,2,0)+模板计算相关数据!$AC$27)*模板计算相关数据!$AC$28))/S788*AA788)</f>
        <v>86</v>
      </c>
      <c r="AL788" s="3">
        <f>INT(VLOOKUP(U788,模板计算相关数据!A:N,5,0)*VLOOKUP(X788,模板计算相关数据!$P$4:$T$7,4,0)*VLOOKUP(Y788,模板计算相关数据!$P$22:$U$30,4,0)*AB788)</f>
        <v>145</v>
      </c>
      <c r="AM788" s="3">
        <f>INT(VLOOKUP(U788,模板计算相关数据!A:N,6,0)*VLOOKUP(X788,模板计算相关数据!$P$4:$T$7,4,0)*VLOOKUP(Y788,模板计算相关数据!$P$22:$U$30,5,0)*AC788)</f>
        <v>264</v>
      </c>
      <c r="AN788" s="3">
        <f>VLOOKUP(U788,模板计算相关数据!A:N,10,0)*0.5*VLOOKUP(Y788,模板计算相关数据!$P$22:$U$30,6,0)+AD788</f>
        <v>275</v>
      </c>
      <c r="AO788" s="3">
        <f>VLOOKUP(INT(VLOOKUP(U788,模板计算相关数据!A:N,2,0)/30)+1,模板计算相关数据!$O$35:$U$40,3,0)+AE788</f>
        <v>0</v>
      </c>
      <c r="AP788" s="3">
        <f>VLOOKUP(INT(VLOOKUP(U788,模板计算相关数据!A:N,2,0)/30)+1,模板计算相关数据!$O$35:$U$40,4,0)+AF788</f>
        <v>5000</v>
      </c>
      <c r="AQ788" s="3">
        <f>VLOOKUP(INT(VLOOKUP(U788,模板计算相关数据!A:N,2,0)/30)+1,模板计算相关数据!$O$35:$U$40,5,0)+AG788</f>
        <v>0</v>
      </c>
      <c r="AR788" s="3">
        <f>VLOOKUP(INT(VLOOKUP(U788,模板计算相关数据!A:N,2,0)/30)+1,模板计算相关数据!$O$35:$U$40,6,0)+AH788</f>
        <v>0</v>
      </c>
      <c r="AS788" s="3">
        <f>VLOOKUP(INT(VLOOKUP(U788,模板计算相关数据!A:N,2,0)/30)+1,模板计算相关数据!$O$35:$U$40,7,0)+AI788</f>
        <v>0</v>
      </c>
      <c r="AT788" s="3">
        <f>VLOOKUP(INT(VLOOKUP(U788,模板计算相关数据!A:N,2,0)/30)+1,模板计算相关数据!$O$35:$V$40,8,0)</f>
        <v>0</v>
      </c>
      <c r="AU788" s="2"/>
    </row>
    <row r="789" spans="1:47" x14ac:dyDescent="0.2">
      <c r="A789" s="2">
        <v>307303</v>
      </c>
      <c r="B789" s="2"/>
      <c r="C789" s="2" t="s">
        <v>590</v>
      </c>
      <c r="D789" s="69" t="s">
        <v>1288</v>
      </c>
      <c r="E789" s="2"/>
      <c r="F789" s="127">
        <v>3</v>
      </c>
      <c r="G789" s="127">
        <v>101</v>
      </c>
      <c r="H789" s="3">
        <v>6</v>
      </c>
      <c r="I789" s="127">
        <v>5</v>
      </c>
      <c r="J789" s="127">
        <v>1</v>
      </c>
      <c r="K789" s="3"/>
      <c r="L789" s="2" t="s">
        <v>592</v>
      </c>
      <c r="M789" s="2"/>
      <c r="N789" s="2">
        <v>1</v>
      </c>
      <c r="O789" s="2"/>
      <c r="P789" s="3" t="s">
        <v>1615</v>
      </c>
      <c r="Q789" s="95">
        <f t="shared" si="70"/>
        <v>5.7709803921568623</v>
      </c>
      <c r="R789" s="133">
        <f>IF(P789=模板计算相关数据!$AB$24,VLOOKUP(X789,模板计算相关数据!$P$47:$T$50,2,0),VLOOKUP(X789,模板计算相关数据!$P$4:$U$7,3,0))*VLOOKUP(Y789,模板计算相关数据!$P$22:$X$30,8,0)</f>
        <v>5.7709803921568623</v>
      </c>
      <c r="S789" s="62">
        <f t="shared" si="71"/>
        <v>6.4077918749199023</v>
      </c>
      <c r="T789" s="133">
        <f>IF(P789=模板计算相关数据!$AB$24,VLOOKUP(X789,模板计算相关数据!$P$47:$T$50,5,0),VLOOKUP(X789,模板计算相关数据!$P$4:$U$7,6,0))*VLOOKUP(Y789,模板计算相关数据!$P$22:$X$30,9,0)</f>
        <v>6.4077918749199023</v>
      </c>
      <c r="U789" s="98">
        <v>1</v>
      </c>
      <c r="V789" s="95">
        <f t="shared" si="72"/>
        <v>4</v>
      </c>
      <c r="W789" s="29">
        <f>VLOOKUP(U789,模板计算相关数据!A:N,2,0)</f>
        <v>1</v>
      </c>
      <c r="X789" s="3" t="s">
        <v>151</v>
      </c>
      <c r="Y789" s="3" t="s">
        <v>243</v>
      </c>
      <c r="Z789" s="99">
        <v>1</v>
      </c>
      <c r="AA789" s="95">
        <v>1</v>
      </c>
      <c r="AB789" s="95">
        <v>1</v>
      </c>
      <c r="AC789" s="95">
        <v>1</v>
      </c>
      <c r="AD789" s="95">
        <v>0</v>
      </c>
      <c r="AE789" s="95">
        <v>0</v>
      </c>
      <c r="AF789" s="95">
        <v>0</v>
      </c>
      <c r="AG789" s="95">
        <v>0</v>
      </c>
      <c r="AH789" s="95">
        <v>0</v>
      </c>
      <c r="AI789" s="95">
        <v>0</v>
      </c>
      <c r="AJ789" s="3">
        <f>INT(VLOOKUP(U789,模板计算相关数据!A:N,4,0)*VLOOKUP(U789,模板计算相关数据!A:N,14,0)*(1+MAX(0,(VLOOKUP(U789,模板计算相关数据!A:N,7,0)-AQ789))*VLOOKUP(U789,模板计算相关数据!A:N,8,0))*(1-(AL789+AM789)*0.5/((AL789+AM789)*0.5+(VLOOKUP(U789,模板计算相关数据!A:N,2,0)+模板计算相关数据!$AC$27)*模板计算相关数据!$AC$28))*Q789*Z789)</f>
        <v>411</v>
      </c>
      <c r="AK789" s="3">
        <f>INT(VLOOKUP(U789,模板计算相关数据!A:N,3,0)/模板计算相关数据!$W$35/(1+MAX(0,(AO789/10000-VLOOKUP(U789,模板计算相关数据!A:N,9,0)))*AP789/10000)/(1-VLOOKUP(U789,模板计算相关数据!A:N,5,0)/(VLOOKUP(U789,模板计算相关数据!A:N,5,0)+(VLOOKUP(U789,模板计算相关数据!A:N,2,0)+模板计算相关数据!$AC$27)*模板计算相关数据!$AC$28))/S789*AA789)</f>
        <v>86</v>
      </c>
      <c r="AL789" s="3">
        <f>INT(VLOOKUP(U789,模板计算相关数据!A:N,5,0)*VLOOKUP(X789,模板计算相关数据!$P$4:$T$7,4,0)*VLOOKUP(Y789,模板计算相关数据!$P$22:$U$30,4,0)*AB789)</f>
        <v>145</v>
      </c>
      <c r="AM789" s="3">
        <f>INT(VLOOKUP(U789,模板计算相关数据!A:N,6,0)*VLOOKUP(X789,模板计算相关数据!$P$4:$T$7,4,0)*VLOOKUP(Y789,模板计算相关数据!$P$22:$U$30,5,0)*AC789)</f>
        <v>264</v>
      </c>
      <c r="AN789" s="3">
        <f>VLOOKUP(U789,模板计算相关数据!A:N,10,0)*0.5*VLOOKUP(Y789,模板计算相关数据!$P$22:$U$30,6,0)+AD789</f>
        <v>275</v>
      </c>
      <c r="AO789" s="3">
        <f>VLOOKUP(INT(VLOOKUP(U789,模板计算相关数据!A:N,2,0)/30)+1,模板计算相关数据!$O$35:$U$40,3,0)+AE789</f>
        <v>0</v>
      </c>
      <c r="AP789" s="3">
        <f>VLOOKUP(INT(VLOOKUP(U789,模板计算相关数据!A:N,2,0)/30)+1,模板计算相关数据!$O$35:$U$40,4,0)+AF789</f>
        <v>5000</v>
      </c>
      <c r="AQ789" s="3">
        <f>VLOOKUP(INT(VLOOKUP(U789,模板计算相关数据!A:N,2,0)/30)+1,模板计算相关数据!$O$35:$U$40,5,0)+AG789</f>
        <v>0</v>
      </c>
      <c r="AR789" s="3">
        <f>VLOOKUP(INT(VLOOKUP(U789,模板计算相关数据!A:N,2,0)/30)+1,模板计算相关数据!$O$35:$U$40,6,0)+AH789</f>
        <v>0</v>
      </c>
      <c r="AS789" s="3">
        <f>VLOOKUP(INT(VLOOKUP(U789,模板计算相关数据!A:N,2,0)/30)+1,模板计算相关数据!$O$35:$U$40,7,0)+AI789</f>
        <v>0</v>
      </c>
      <c r="AT789" s="3">
        <f>VLOOKUP(INT(VLOOKUP(U789,模板计算相关数据!A:N,2,0)/30)+1,模板计算相关数据!$O$35:$V$40,8,0)</f>
        <v>0</v>
      </c>
      <c r="AU789" s="2"/>
    </row>
    <row r="790" spans="1:47" x14ac:dyDescent="0.2">
      <c r="A790" s="2">
        <v>307304</v>
      </c>
      <c r="B790" s="2"/>
      <c r="C790" s="2" t="s">
        <v>590</v>
      </c>
      <c r="D790" s="69" t="s">
        <v>1289</v>
      </c>
      <c r="E790" s="2"/>
      <c r="F790" s="127">
        <v>3</v>
      </c>
      <c r="G790" s="127">
        <v>101</v>
      </c>
      <c r="H790" s="3">
        <v>6</v>
      </c>
      <c r="I790" s="127">
        <v>5</v>
      </c>
      <c r="J790" s="127">
        <v>1</v>
      </c>
      <c r="K790" s="3"/>
      <c r="L790" s="2" t="s">
        <v>593</v>
      </c>
      <c r="M790" s="2"/>
      <c r="N790" s="2">
        <v>1</v>
      </c>
      <c r="O790" s="2"/>
      <c r="P790" s="3" t="s">
        <v>1615</v>
      </c>
      <c r="Q790" s="95">
        <f t="shared" si="70"/>
        <v>5.7709803921568623</v>
      </c>
      <c r="R790" s="133">
        <f>IF(P790=模板计算相关数据!$AB$24,VLOOKUP(X790,模板计算相关数据!$P$47:$T$50,2,0),VLOOKUP(X790,模板计算相关数据!$P$4:$U$7,3,0))*VLOOKUP(Y790,模板计算相关数据!$P$22:$X$30,8,0)</f>
        <v>5.7709803921568623</v>
      </c>
      <c r="S790" s="62">
        <f t="shared" si="71"/>
        <v>6.4077918749199023</v>
      </c>
      <c r="T790" s="133">
        <f>IF(P790=模板计算相关数据!$AB$24,VLOOKUP(X790,模板计算相关数据!$P$47:$T$50,5,0),VLOOKUP(X790,模板计算相关数据!$P$4:$U$7,6,0))*VLOOKUP(Y790,模板计算相关数据!$P$22:$X$30,9,0)</f>
        <v>6.4077918749199023</v>
      </c>
      <c r="U790" s="98">
        <v>1</v>
      </c>
      <c r="V790" s="95">
        <f t="shared" si="72"/>
        <v>4</v>
      </c>
      <c r="W790" s="29">
        <f>VLOOKUP(U790,模板计算相关数据!A:N,2,0)</f>
        <v>1</v>
      </c>
      <c r="X790" s="3" t="s">
        <v>151</v>
      </c>
      <c r="Y790" s="3" t="s">
        <v>243</v>
      </c>
      <c r="Z790" s="99">
        <v>1</v>
      </c>
      <c r="AA790" s="95">
        <v>1</v>
      </c>
      <c r="AB790" s="95">
        <v>1</v>
      </c>
      <c r="AC790" s="95">
        <v>1</v>
      </c>
      <c r="AD790" s="95">
        <v>0</v>
      </c>
      <c r="AE790" s="95">
        <v>0</v>
      </c>
      <c r="AF790" s="95">
        <v>0</v>
      </c>
      <c r="AG790" s="95">
        <v>0</v>
      </c>
      <c r="AH790" s="95">
        <v>0</v>
      </c>
      <c r="AI790" s="95">
        <v>0</v>
      </c>
      <c r="AJ790" s="3">
        <f>INT(VLOOKUP(U790,模板计算相关数据!A:N,4,0)*VLOOKUP(U790,模板计算相关数据!A:N,14,0)*(1+MAX(0,(VLOOKUP(U790,模板计算相关数据!A:N,7,0)-AQ790))*VLOOKUP(U790,模板计算相关数据!A:N,8,0))*(1-(AL790+AM790)*0.5/((AL790+AM790)*0.5+(VLOOKUP(U790,模板计算相关数据!A:N,2,0)+模板计算相关数据!$AC$27)*模板计算相关数据!$AC$28))*Q790*Z790)</f>
        <v>411</v>
      </c>
      <c r="AK790" s="3">
        <f>INT(VLOOKUP(U790,模板计算相关数据!A:N,3,0)/模板计算相关数据!$W$35/(1+MAX(0,(AO790/10000-VLOOKUP(U790,模板计算相关数据!A:N,9,0)))*AP790/10000)/(1-VLOOKUP(U790,模板计算相关数据!A:N,5,0)/(VLOOKUP(U790,模板计算相关数据!A:N,5,0)+(VLOOKUP(U790,模板计算相关数据!A:N,2,0)+模板计算相关数据!$AC$27)*模板计算相关数据!$AC$28))/S790*AA790)</f>
        <v>86</v>
      </c>
      <c r="AL790" s="3">
        <f>INT(VLOOKUP(U790,模板计算相关数据!A:N,5,0)*VLOOKUP(X790,模板计算相关数据!$P$4:$T$7,4,0)*VLOOKUP(Y790,模板计算相关数据!$P$22:$U$30,4,0)*AB790)</f>
        <v>145</v>
      </c>
      <c r="AM790" s="3">
        <f>INT(VLOOKUP(U790,模板计算相关数据!A:N,6,0)*VLOOKUP(X790,模板计算相关数据!$P$4:$T$7,4,0)*VLOOKUP(Y790,模板计算相关数据!$P$22:$U$30,5,0)*AC790)</f>
        <v>264</v>
      </c>
      <c r="AN790" s="3">
        <f>VLOOKUP(U790,模板计算相关数据!A:N,10,0)*0.5*VLOOKUP(Y790,模板计算相关数据!$P$22:$U$30,6,0)+AD790</f>
        <v>275</v>
      </c>
      <c r="AO790" s="3">
        <f>VLOOKUP(INT(VLOOKUP(U790,模板计算相关数据!A:N,2,0)/30)+1,模板计算相关数据!$O$35:$U$40,3,0)+AE790</f>
        <v>0</v>
      </c>
      <c r="AP790" s="3">
        <f>VLOOKUP(INT(VLOOKUP(U790,模板计算相关数据!A:N,2,0)/30)+1,模板计算相关数据!$O$35:$U$40,4,0)+AF790</f>
        <v>5000</v>
      </c>
      <c r="AQ790" s="3">
        <f>VLOOKUP(INT(VLOOKUP(U790,模板计算相关数据!A:N,2,0)/30)+1,模板计算相关数据!$O$35:$U$40,5,0)+AG790</f>
        <v>0</v>
      </c>
      <c r="AR790" s="3">
        <f>VLOOKUP(INT(VLOOKUP(U790,模板计算相关数据!A:N,2,0)/30)+1,模板计算相关数据!$O$35:$U$40,6,0)+AH790</f>
        <v>0</v>
      </c>
      <c r="AS790" s="3">
        <f>VLOOKUP(INT(VLOOKUP(U790,模板计算相关数据!A:N,2,0)/30)+1,模板计算相关数据!$O$35:$U$40,7,0)+AI790</f>
        <v>0</v>
      </c>
      <c r="AT790" s="3">
        <f>VLOOKUP(INT(VLOOKUP(U790,模板计算相关数据!A:N,2,0)/30)+1,模板计算相关数据!$O$35:$V$40,8,0)</f>
        <v>0</v>
      </c>
      <c r="AU790" s="2"/>
    </row>
    <row r="791" spans="1:47" x14ac:dyDescent="0.2">
      <c r="A791" s="2">
        <v>307305</v>
      </c>
      <c r="B791" s="2"/>
      <c r="C791" s="2" t="s">
        <v>590</v>
      </c>
      <c r="D791" s="69" t="s">
        <v>1290</v>
      </c>
      <c r="E791" s="2"/>
      <c r="F791" s="127">
        <v>3</v>
      </c>
      <c r="G791" s="127">
        <v>101</v>
      </c>
      <c r="H791" s="3">
        <v>6</v>
      </c>
      <c r="I791" s="127">
        <v>5</v>
      </c>
      <c r="J791" s="127">
        <v>1</v>
      </c>
      <c r="K791" s="3"/>
      <c r="L791" s="2" t="s">
        <v>594</v>
      </c>
      <c r="M791" s="2"/>
      <c r="N791" s="2">
        <v>1</v>
      </c>
      <c r="O791" s="2"/>
      <c r="P791" s="3" t="s">
        <v>1615</v>
      </c>
      <c r="Q791" s="95">
        <f t="shared" ref="Q791:Q854" si="73">R791</f>
        <v>5.7709803921568623</v>
      </c>
      <c r="R791" s="133">
        <f>IF(P791=模板计算相关数据!$AB$24,VLOOKUP(X791,模板计算相关数据!$P$47:$T$50,2,0),VLOOKUP(X791,模板计算相关数据!$P$4:$U$7,3,0))*VLOOKUP(Y791,模板计算相关数据!$P$22:$X$30,8,0)</f>
        <v>5.7709803921568623</v>
      </c>
      <c r="S791" s="62">
        <f t="shared" ref="S791:S854" si="74">T791</f>
        <v>6.4077918749199023</v>
      </c>
      <c r="T791" s="133">
        <f>IF(P791=模板计算相关数据!$AB$24,VLOOKUP(X791,模板计算相关数据!$P$47:$T$50,5,0),VLOOKUP(X791,模板计算相关数据!$P$4:$U$7,6,0))*VLOOKUP(Y791,模板计算相关数据!$P$22:$X$30,9,0)</f>
        <v>6.4077918749199023</v>
      </c>
      <c r="U791" s="98">
        <v>1</v>
      </c>
      <c r="V791" s="95">
        <f t="shared" si="72"/>
        <v>4</v>
      </c>
      <c r="W791" s="29">
        <f>VLOOKUP(U791,模板计算相关数据!A:N,2,0)</f>
        <v>1</v>
      </c>
      <c r="X791" s="3" t="s">
        <v>151</v>
      </c>
      <c r="Y791" s="3" t="s">
        <v>243</v>
      </c>
      <c r="Z791" s="99">
        <v>1</v>
      </c>
      <c r="AA791" s="95">
        <v>1</v>
      </c>
      <c r="AB791" s="95">
        <v>1</v>
      </c>
      <c r="AC791" s="95">
        <v>1</v>
      </c>
      <c r="AD791" s="95">
        <v>0</v>
      </c>
      <c r="AE791" s="95">
        <v>0</v>
      </c>
      <c r="AF791" s="95">
        <v>0</v>
      </c>
      <c r="AG791" s="95">
        <v>0</v>
      </c>
      <c r="AH791" s="95">
        <v>0</v>
      </c>
      <c r="AI791" s="95">
        <v>0</v>
      </c>
      <c r="AJ791" s="3">
        <f>INT(VLOOKUP(U791,模板计算相关数据!A:N,4,0)*VLOOKUP(U791,模板计算相关数据!A:N,14,0)*(1+MAX(0,(VLOOKUP(U791,模板计算相关数据!A:N,7,0)-AQ791))*VLOOKUP(U791,模板计算相关数据!A:N,8,0))*(1-(AL791+AM791)*0.5/((AL791+AM791)*0.5+(VLOOKUP(U791,模板计算相关数据!A:N,2,0)+模板计算相关数据!$AC$27)*模板计算相关数据!$AC$28))*Q791*Z791)</f>
        <v>411</v>
      </c>
      <c r="AK791" s="3">
        <f>INT(VLOOKUP(U791,模板计算相关数据!A:N,3,0)/模板计算相关数据!$W$35/(1+MAX(0,(AO791/10000-VLOOKUP(U791,模板计算相关数据!A:N,9,0)))*AP791/10000)/(1-VLOOKUP(U791,模板计算相关数据!A:N,5,0)/(VLOOKUP(U791,模板计算相关数据!A:N,5,0)+(VLOOKUP(U791,模板计算相关数据!A:N,2,0)+模板计算相关数据!$AC$27)*模板计算相关数据!$AC$28))/S791*AA791)</f>
        <v>86</v>
      </c>
      <c r="AL791" s="3">
        <f>INT(VLOOKUP(U791,模板计算相关数据!A:N,5,0)*VLOOKUP(X791,模板计算相关数据!$P$4:$T$7,4,0)*VLOOKUP(Y791,模板计算相关数据!$P$22:$U$30,4,0)*AB791)</f>
        <v>145</v>
      </c>
      <c r="AM791" s="3">
        <f>INT(VLOOKUP(U791,模板计算相关数据!A:N,6,0)*VLOOKUP(X791,模板计算相关数据!$P$4:$T$7,4,0)*VLOOKUP(Y791,模板计算相关数据!$P$22:$U$30,5,0)*AC791)</f>
        <v>264</v>
      </c>
      <c r="AN791" s="3">
        <f>VLOOKUP(U791,模板计算相关数据!A:N,10,0)*0.5*VLOOKUP(Y791,模板计算相关数据!$P$22:$U$30,6,0)+AD791</f>
        <v>275</v>
      </c>
      <c r="AO791" s="3">
        <f>VLOOKUP(INT(VLOOKUP(U791,模板计算相关数据!A:N,2,0)/30)+1,模板计算相关数据!$O$35:$U$40,3,0)+AE791</f>
        <v>0</v>
      </c>
      <c r="AP791" s="3">
        <f>VLOOKUP(INT(VLOOKUP(U791,模板计算相关数据!A:N,2,0)/30)+1,模板计算相关数据!$O$35:$U$40,4,0)+AF791</f>
        <v>5000</v>
      </c>
      <c r="AQ791" s="3">
        <f>VLOOKUP(INT(VLOOKUP(U791,模板计算相关数据!A:N,2,0)/30)+1,模板计算相关数据!$O$35:$U$40,5,0)+AG791</f>
        <v>0</v>
      </c>
      <c r="AR791" s="3">
        <f>VLOOKUP(INT(VLOOKUP(U791,模板计算相关数据!A:N,2,0)/30)+1,模板计算相关数据!$O$35:$U$40,6,0)+AH791</f>
        <v>0</v>
      </c>
      <c r="AS791" s="3">
        <f>VLOOKUP(INT(VLOOKUP(U791,模板计算相关数据!A:N,2,0)/30)+1,模板计算相关数据!$O$35:$U$40,7,0)+AI791</f>
        <v>0</v>
      </c>
      <c r="AT791" s="3">
        <f>VLOOKUP(INT(VLOOKUP(U791,模板计算相关数据!A:N,2,0)/30)+1,模板计算相关数据!$O$35:$V$40,8,0)</f>
        <v>0</v>
      </c>
      <c r="AU791" s="2"/>
    </row>
    <row r="792" spans="1:47" x14ac:dyDescent="0.2">
      <c r="A792" s="2">
        <v>307306</v>
      </c>
      <c r="B792" s="2"/>
      <c r="C792" s="69" t="s">
        <v>815</v>
      </c>
      <c r="D792" s="69" t="s">
        <v>1291</v>
      </c>
      <c r="E792" s="2"/>
      <c r="F792" s="127">
        <v>3</v>
      </c>
      <c r="G792" s="127">
        <v>101</v>
      </c>
      <c r="H792" s="3">
        <v>5</v>
      </c>
      <c r="I792" s="127">
        <v>5</v>
      </c>
      <c r="J792" s="127">
        <v>1</v>
      </c>
      <c r="K792" s="3"/>
      <c r="L792" s="2" t="s">
        <v>595</v>
      </c>
      <c r="M792" s="2"/>
      <c r="N792" s="2">
        <v>1</v>
      </c>
      <c r="O792" s="2"/>
      <c r="P792" s="3" t="s">
        <v>1615</v>
      </c>
      <c r="Q792" s="95">
        <f t="shared" si="73"/>
        <v>5.7709803921568623</v>
      </c>
      <c r="R792" s="133">
        <f>IF(P792=模板计算相关数据!$AB$24,VLOOKUP(X792,模板计算相关数据!$P$47:$T$50,2,0),VLOOKUP(X792,模板计算相关数据!$P$4:$U$7,3,0))*VLOOKUP(Y792,模板计算相关数据!$P$22:$X$30,8,0)</f>
        <v>5.7709803921568623</v>
      </c>
      <c r="S792" s="62">
        <f t="shared" si="74"/>
        <v>6.4077918749199023</v>
      </c>
      <c r="T792" s="133">
        <f>IF(P792=模板计算相关数据!$AB$24,VLOOKUP(X792,模板计算相关数据!$P$47:$T$50,5,0),VLOOKUP(X792,模板计算相关数据!$P$4:$U$7,6,0))*VLOOKUP(Y792,模板计算相关数据!$P$22:$X$30,9,0)</f>
        <v>6.4077918749199023</v>
      </c>
      <c r="U792" s="98">
        <v>1</v>
      </c>
      <c r="V792" s="95">
        <f t="shared" si="72"/>
        <v>4</v>
      </c>
      <c r="W792" s="29">
        <f>VLOOKUP(U792,模板计算相关数据!A:N,2,0)</f>
        <v>1</v>
      </c>
      <c r="X792" s="3" t="s">
        <v>151</v>
      </c>
      <c r="Y792" s="3" t="s">
        <v>243</v>
      </c>
      <c r="Z792" s="99">
        <v>1</v>
      </c>
      <c r="AA792" s="95">
        <v>1</v>
      </c>
      <c r="AB792" s="95">
        <v>1</v>
      </c>
      <c r="AC792" s="95">
        <v>1</v>
      </c>
      <c r="AD792" s="95">
        <v>0</v>
      </c>
      <c r="AE792" s="95">
        <v>0</v>
      </c>
      <c r="AF792" s="95">
        <v>0</v>
      </c>
      <c r="AG792" s="95">
        <v>0</v>
      </c>
      <c r="AH792" s="95">
        <v>0</v>
      </c>
      <c r="AI792" s="95">
        <v>0</v>
      </c>
      <c r="AJ792" s="3">
        <f>INT(VLOOKUP(U792,模板计算相关数据!A:N,4,0)*VLOOKUP(U792,模板计算相关数据!A:N,14,0)*(1+MAX(0,(VLOOKUP(U792,模板计算相关数据!A:N,7,0)-AQ792))*VLOOKUP(U792,模板计算相关数据!A:N,8,0))*(1-(AL792+AM792)*0.5/((AL792+AM792)*0.5+(VLOOKUP(U792,模板计算相关数据!A:N,2,0)+模板计算相关数据!$AC$27)*模板计算相关数据!$AC$28))*Q792*Z792)</f>
        <v>411</v>
      </c>
      <c r="AK792" s="3">
        <f>INT(VLOOKUP(U792,模板计算相关数据!A:N,3,0)/模板计算相关数据!$W$35/(1+MAX(0,(AO792/10000-VLOOKUP(U792,模板计算相关数据!A:N,9,0)))*AP792/10000)/(1-VLOOKUP(U792,模板计算相关数据!A:N,5,0)/(VLOOKUP(U792,模板计算相关数据!A:N,5,0)+(VLOOKUP(U792,模板计算相关数据!A:N,2,0)+模板计算相关数据!$AC$27)*模板计算相关数据!$AC$28))/S792*AA792)</f>
        <v>86</v>
      </c>
      <c r="AL792" s="3">
        <f>INT(VLOOKUP(U792,模板计算相关数据!A:N,5,0)*VLOOKUP(X792,模板计算相关数据!$P$4:$T$7,4,0)*VLOOKUP(Y792,模板计算相关数据!$P$22:$U$30,4,0)*AB792)</f>
        <v>145</v>
      </c>
      <c r="AM792" s="3">
        <f>INT(VLOOKUP(U792,模板计算相关数据!A:N,6,0)*VLOOKUP(X792,模板计算相关数据!$P$4:$T$7,4,0)*VLOOKUP(Y792,模板计算相关数据!$P$22:$U$30,5,0)*AC792)</f>
        <v>264</v>
      </c>
      <c r="AN792" s="3">
        <f>VLOOKUP(U792,模板计算相关数据!A:N,10,0)*0.5*VLOOKUP(Y792,模板计算相关数据!$P$22:$U$30,6,0)+AD792</f>
        <v>275</v>
      </c>
      <c r="AO792" s="3">
        <f>VLOOKUP(INT(VLOOKUP(U792,模板计算相关数据!A:N,2,0)/30)+1,模板计算相关数据!$O$35:$U$40,3,0)+AE792</f>
        <v>0</v>
      </c>
      <c r="AP792" s="3">
        <f>VLOOKUP(INT(VLOOKUP(U792,模板计算相关数据!A:N,2,0)/30)+1,模板计算相关数据!$O$35:$U$40,4,0)+AF792</f>
        <v>5000</v>
      </c>
      <c r="AQ792" s="3">
        <f>VLOOKUP(INT(VLOOKUP(U792,模板计算相关数据!A:N,2,0)/30)+1,模板计算相关数据!$O$35:$U$40,5,0)+AG792</f>
        <v>0</v>
      </c>
      <c r="AR792" s="3">
        <f>VLOOKUP(INT(VLOOKUP(U792,模板计算相关数据!A:N,2,0)/30)+1,模板计算相关数据!$O$35:$U$40,6,0)+AH792</f>
        <v>0</v>
      </c>
      <c r="AS792" s="3">
        <f>VLOOKUP(INT(VLOOKUP(U792,模板计算相关数据!A:N,2,0)/30)+1,模板计算相关数据!$O$35:$U$40,7,0)+AI792</f>
        <v>0</v>
      </c>
      <c r="AT792" s="3">
        <f>VLOOKUP(INT(VLOOKUP(U792,模板计算相关数据!A:N,2,0)/30)+1,模板计算相关数据!$O$35:$V$40,8,0)</f>
        <v>0</v>
      </c>
      <c r="AU792" s="2"/>
    </row>
    <row r="793" spans="1:47" x14ac:dyDescent="0.2">
      <c r="A793" s="2">
        <v>307307</v>
      </c>
      <c r="B793" s="2"/>
      <c r="C793" s="69" t="s">
        <v>815</v>
      </c>
      <c r="D793" s="69" t="s">
        <v>1292</v>
      </c>
      <c r="E793" s="2"/>
      <c r="F793" s="127">
        <v>3</v>
      </c>
      <c r="G793" s="127">
        <v>101</v>
      </c>
      <c r="H793" s="3">
        <v>5</v>
      </c>
      <c r="I793" s="127">
        <v>5</v>
      </c>
      <c r="J793" s="127">
        <v>1</v>
      </c>
      <c r="K793" s="3"/>
      <c r="L793" s="2" t="s">
        <v>596</v>
      </c>
      <c r="M793" s="2"/>
      <c r="N793" s="2">
        <v>1</v>
      </c>
      <c r="O793" s="2"/>
      <c r="P793" s="3" t="s">
        <v>1615</v>
      </c>
      <c r="Q793" s="95">
        <f t="shared" si="73"/>
        <v>5.7709803921568623</v>
      </c>
      <c r="R793" s="133">
        <f>IF(P793=模板计算相关数据!$AB$24,VLOOKUP(X793,模板计算相关数据!$P$47:$T$50,2,0),VLOOKUP(X793,模板计算相关数据!$P$4:$U$7,3,0))*VLOOKUP(Y793,模板计算相关数据!$P$22:$X$30,8,0)</f>
        <v>5.7709803921568623</v>
      </c>
      <c r="S793" s="62">
        <f t="shared" si="74"/>
        <v>6.4077918749199023</v>
      </c>
      <c r="T793" s="133">
        <f>IF(P793=模板计算相关数据!$AB$24,VLOOKUP(X793,模板计算相关数据!$P$47:$T$50,5,0),VLOOKUP(X793,模板计算相关数据!$P$4:$U$7,6,0))*VLOOKUP(Y793,模板计算相关数据!$P$22:$X$30,9,0)</f>
        <v>6.4077918749199023</v>
      </c>
      <c r="U793" s="98">
        <v>1</v>
      </c>
      <c r="V793" s="95">
        <f t="shared" si="72"/>
        <v>4</v>
      </c>
      <c r="W793" s="29">
        <f>VLOOKUP(U793,模板计算相关数据!A:N,2,0)</f>
        <v>1</v>
      </c>
      <c r="X793" s="3" t="s">
        <v>151</v>
      </c>
      <c r="Y793" s="3" t="s">
        <v>243</v>
      </c>
      <c r="Z793" s="99">
        <v>1</v>
      </c>
      <c r="AA793" s="95">
        <v>1</v>
      </c>
      <c r="AB793" s="95">
        <v>1</v>
      </c>
      <c r="AC793" s="95">
        <v>1</v>
      </c>
      <c r="AD793" s="95">
        <v>0</v>
      </c>
      <c r="AE793" s="95">
        <v>0</v>
      </c>
      <c r="AF793" s="95">
        <v>0</v>
      </c>
      <c r="AG793" s="95">
        <v>0</v>
      </c>
      <c r="AH793" s="95">
        <v>0</v>
      </c>
      <c r="AI793" s="95">
        <v>0</v>
      </c>
      <c r="AJ793" s="3">
        <f>INT(VLOOKUP(U793,模板计算相关数据!A:N,4,0)*VLOOKUP(U793,模板计算相关数据!A:N,14,0)*(1+MAX(0,(VLOOKUP(U793,模板计算相关数据!A:N,7,0)-AQ793))*VLOOKUP(U793,模板计算相关数据!A:N,8,0))*(1-(AL793+AM793)*0.5/((AL793+AM793)*0.5+(VLOOKUP(U793,模板计算相关数据!A:N,2,0)+模板计算相关数据!$AC$27)*模板计算相关数据!$AC$28))*Q793*Z793)</f>
        <v>411</v>
      </c>
      <c r="AK793" s="3">
        <f>INT(VLOOKUP(U793,模板计算相关数据!A:N,3,0)/模板计算相关数据!$W$35/(1+MAX(0,(AO793/10000-VLOOKUP(U793,模板计算相关数据!A:N,9,0)))*AP793/10000)/(1-VLOOKUP(U793,模板计算相关数据!A:N,5,0)/(VLOOKUP(U793,模板计算相关数据!A:N,5,0)+(VLOOKUP(U793,模板计算相关数据!A:N,2,0)+模板计算相关数据!$AC$27)*模板计算相关数据!$AC$28))/S793*AA793)</f>
        <v>86</v>
      </c>
      <c r="AL793" s="3">
        <f>INT(VLOOKUP(U793,模板计算相关数据!A:N,5,0)*VLOOKUP(X793,模板计算相关数据!$P$4:$T$7,4,0)*VLOOKUP(Y793,模板计算相关数据!$P$22:$U$30,4,0)*AB793)</f>
        <v>145</v>
      </c>
      <c r="AM793" s="3">
        <f>INT(VLOOKUP(U793,模板计算相关数据!A:N,6,0)*VLOOKUP(X793,模板计算相关数据!$P$4:$T$7,4,0)*VLOOKUP(Y793,模板计算相关数据!$P$22:$U$30,5,0)*AC793)</f>
        <v>264</v>
      </c>
      <c r="AN793" s="3">
        <f>VLOOKUP(U793,模板计算相关数据!A:N,10,0)*0.5*VLOOKUP(Y793,模板计算相关数据!$P$22:$U$30,6,0)+AD793</f>
        <v>275</v>
      </c>
      <c r="AO793" s="3">
        <f>VLOOKUP(INT(VLOOKUP(U793,模板计算相关数据!A:N,2,0)/30)+1,模板计算相关数据!$O$35:$U$40,3,0)+AE793</f>
        <v>0</v>
      </c>
      <c r="AP793" s="3">
        <f>VLOOKUP(INT(VLOOKUP(U793,模板计算相关数据!A:N,2,0)/30)+1,模板计算相关数据!$O$35:$U$40,4,0)+AF793</f>
        <v>5000</v>
      </c>
      <c r="AQ793" s="3">
        <f>VLOOKUP(INT(VLOOKUP(U793,模板计算相关数据!A:N,2,0)/30)+1,模板计算相关数据!$O$35:$U$40,5,0)+AG793</f>
        <v>0</v>
      </c>
      <c r="AR793" s="3">
        <f>VLOOKUP(INT(VLOOKUP(U793,模板计算相关数据!A:N,2,0)/30)+1,模板计算相关数据!$O$35:$U$40,6,0)+AH793</f>
        <v>0</v>
      </c>
      <c r="AS793" s="3">
        <f>VLOOKUP(INT(VLOOKUP(U793,模板计算相关数据!A:N,2,0)/30)+1,模板计算相关数据!$O$35:$U$40,7,0)+AI793</f>
        <v>0</v>
      </c>
      <c r="AT793" s="3">
        <f>VLOOKUP(INT(VLOOKUP(U793,模板计算相关数据!A:N,2,0)/30)+1,模板计算相关数据!$O$35:$V$40,8,0)</f>
        <v>0</v>
      </c>
      <c r="AU793" s="2"/>
    </row>
    <row r="794" spans="1:47" x14ac:dyDescent="0.2">
      <c r="A794" s="2">
        <v>307308</v>
      </c>
      <c r="B794" s="2"/>
      <c r="C794" s="69" t="s">
        <v>815</v>
      </c>
      <c r="D794" s="69" t="s">
        <v>1293</v>
      </c>
      <c r="E794" s="2"/>
      <c r="F794" s="127">
        <v>3</v>
      </c>
      <c r="G794" s="127">
        <v>101</v>
      </c>
      <c r="H794" s="3">
        <v>5</v>
      </c>
      <c r="I794" s="127">
        <v>5</v>
      </c>
      <c r="J794" s="127">
        <v>1</v>
      </c>
      <c r="K794" s="3"/>
      <c r="L794" s="69" t="s">
        <v>811</v>
      </c>
      <c r="M794" s="2"/>
      <c r="N794" s="2">
        <v>1</v>
      </c>
      <c r="O794" s="2"/>
      <c r="P794" s="3" t="s">
        <v>1615</v>
      </c>
      <c r="Q794" s="95">
        <f t="shared" si="73"/>
        <v>5.7709803921568623</v>
      </c>
      <c r="R794" s="133">
        <f>IF(P794=模板计算相关数据!$AB$24,VLOOKUP(X794,模板计算相关数据!$P$47:$T$50,2,0),VLOOKUP(X794,模板计算相关数据!$P$4:$U$7,3,0))*VLOOKUP(Y794,模板计算相关数据!$P$22:$X$30,8,0)</f>
        <v>5.7709803921568623</v>
      </c>
      <c r="S794" s="62">
        <f t="shared" si="74"/>
        <v>6.4077918749199023</v>
      </c>
      <c r="T794" s="133">
        <f>IF(P794=模板计算相关数据!$AB$24,VLOOKUP(X794,模板计算相关数据!$P$47:$T$50,5,0),VLOOKUP(X794,模板计算相关数据!$P$4:$U$7,6,0))*VLOOKUP(Y794,模板计算相关数据!$P$22:$X$30,9,0)</f>
        <v>6.4077918749199023</v>
      </c>
      <c r="U794" s="98">
        <v>1</v>
      </c>
      <c r="V794" s="95">
        <f t="shared" si="72"/>
        <v>4</v>
      </c>
      <c r="W794" s="29">
        <f>VLOOKUP(U794,模板计算相关数据!A:N,2,0)</f>
        <v>1</v>
      </c>
      <c r="X794" s="3" t="s">
        <v>151</v>
      </c>
      <c r="Y794" s="3" t="s">
        <v>243</v>
      </c>
      <c r="Z794" s="99">
        <v>1</v>
      </c>
      <c r="AA794" s="95">
        <v>1</v>
      </c>
      <c r="AB794" s="95">
        <v>1</v>
      </c>
      <c r="AC794" s="95">
        <v>1</v>
      </c>
      <c r="AD794" s="95">
        <v>0</v>
      </c>
      <c r="AE794" s="95">
        <v>0</v>
      </c>
      <c r="AF794" s="95">
        <v>0</v>
      </c>
      <c r="AG794" s="95">
        <v>0</v>
      </c>
      <c r="AH794" s="95">
        <v>0</v>
      </c>
      <c r="AI794" s="95">
        <v>0</v>
      </c>
      <c r="AJ794" s="3">
        <f>INT(VLOOKUP(U794,模板计算相关数据!A:N,4,0)*VLOOKUP(U794,模板计算相关数据!A:N,14,0)*(1+MAX(0,(VLOOKUP(U794,模板计算相关数据!A:N,7,0)-AQ794))*VLOOKUP(U794,模板计算相关数据!A:N,8,0))*(1-(AL794+AM794)*0.5/((AL794+AM794)*0.5+(VLOOKUP(U794,模板计算相关数据!A:N,2,0)+模板计算相关数据!$AC$27)*模板计算相关数据!$AC$28))*Q794*Z794)</f>
        <v>411</v>
      </c>
      <c r="AK794" s="3">
        <f>INT(VLOOKUP(U794,模板计算相关数据!A:N,3,0)/模板计算相关数据!$W$35/(1+MAX(0,(AO794/10000-VLOOKUP(U794,模板计算相关数据!A:N,9,0)))*AP794/10000)/(1-VLOOKUP(U794,模板计算相关数据!A:N,5,0)/(VLOOKUP(U794,模板计算相关数据!A:N,5,0)+(VLOOKUP(U794,模板计算相关数据!A:N,2,0)+模板计算相关数据!$AC$27)*模板计算相关数据!$AC$28))/S794*AA794)</f>
        <v>86</v>
      </c>
      <c r="AL794" s="3">
        <f>INT(VLOOKUP(U794,模板计算相关数据!A:N,5,0)*VLOOKUP(X794,模板计算相关数据!$P$4:$T$7,4,0)*VLOOKUP(Y794,模板计算相关数据!$P$22:$U$30,4,0)*AB794)</f>
        <v>145</v>
      </c>
      <c r="AM794" s="3">
        <f>INT(VLOOKUP(U794,模板计算相关数据!A:N,6,0)*VLOOKUP(X794,模板计算相关数据!$P$4:$T$7,4,0)*VLOOKUP(Y794,模板计算相关数据!$P$22:$U$30,5,0)*AC794)</f>
        <v>264</v>
      </c>
      <c r="AN794" s="3">
        <f>VLOOKUP(U794,模板计算相关数据!A:N,10,0)*0.5*VLOOKUP(Y794,模板计算相关数据!$P$22:$U$30,6,0)+AD794</f>
        <v>275</v>
      </c>
      <c r="AO794" s="3">
        <f>VLOOKUP(INT(VLOOKUP(U794,模板计算相关数据!A:N,2,0)/30)+1,模板计算相关数据!$O$35:$U$40,3,0)+AE794</f>
        <v>0</v>
      </c>
      <c r="AP794" s="3">
        <f>VLOOKUP(INT(VLOOKUP(U794,模板计算相关数据!A:N,2,0)/30)+1,模板计算相关数据!$O$35:$U$40,4,0)+AF794</f>
        <v>5000</v>
      </c>
      <c r="AQ794" s="3">
        <f>VLOOKUP(INT(VLOOKUP(U794,模板计算相关数据!A:N,2,0)/30)+1,模板计算相关数据!$O$35:$U$40,5,0)+AG794</f>
        <v>0</v>
      </c>
      <c r="AR794" s="3">
        <f>VLOOKUP(INT(VLOOKUP(U794,模板计算相关数据!A:N,2,0)/30)+1,模板计算相关数据!$O$35:$U$40,6,0)+AH794</f>
        <v>0</v>
      </c>
      <c r="AS794" s="3">
        <f>VLOOKUP(INT(VLOOKUP(U794,模板计算相关数据!A:N,2,0)/30)+1,模板计算相关数据!$O$35:$U$40,7,0)+AI794</f>
        <v>0</v>
      </c>
      <c r="AT794" s="3">
        <f>VLOOKUP(INT(VLOOKUP(U794,模板计算相关数据!A:N,2,0)/30)+1,模板计算相关数据!$O$35:$V$40,8,0)</f>
        <v>0</v>
      </c>
      <c r="AU794" s="2"/>
    </row>
    <row r="795" spans="1:47" x14ac:dyDescent="0.2">
      <c r="A795" s="2">
        <v>307309</v>
      </c>
      <c r="B795" s="2"/>
      <c r="C795" s="69" t="s">
        <v>815</v>
      </c>
      <c r="D795" s="69" t="s">
        <v>1294</v>
      </c>
      <c r="E795" s="2"/>
      <c r="F795" s="127">
        <v>3</v>
      </c>
      <c r="G795" s="127">
        <v>101</v>
      </c>
      <c r="H795" s="3">
        <v>5</v>
      </c>
      <c r="I795" s="127">
        <v>5</v>
      </c>
      <c r="J795" s="127">
        <v>1</v>
      </c>
      <c r="K795" s="3"/>
      <c r="L795" s="69" t="s">
        <v>812</v>
      </c>
      <c r="M795" s="2"/>
      <c r="N795" s="2">
        <v>1</v>
      </c>
      <c r="O795" s="2"/>
      <c r="P795" s="3" t="s">
        <v>1615</v>
      </c>
      <c r="Q795" s="95">
        <f t="shared" si="73"/>
        <v>5.7709803921568623</v>
      </c>
      <c r="R795" s="133">
        <f>IF(P795=模板计算相关数据!$AB$24,VLOOKUP(X795,模板计算相关数据!$P$47:$T$50,2,0),VLOOKUP(X795,模板计算相关数据!$P$4:$U$7,3,0))*VLOOKUP(Y795,模板计算相关数据!$P$22:$X$30,8,0)</f>
        <v>5.7709803921568623</v>
      </c>
      <c r="S795" s="62">
        <f t="shared" si="74"/>
        <v>6.4077918749199023</v>
      </c>
      <c r="T795" s="133">
        <f>IF(P795=模板计算相关数据!$AB$24,VLOOKUP(X795,模板计算相关数据!$P$47:$T$50,5,0),VLOOKUP(X795,模板计算相关数据!$P$4:$U$7,6,0))*VLOOKUP(Y795,模板计算相关数据!$P$22:$X$30,9,0)</f>
        <v>6.4077918749199023</v>
      </c>
      <c r="U795" s="98">
        <v>1</v>
      </c>
      <c r="V795" s="95">
        <f t="shared" si="72"/>
        <v>4</v>
      </c>
      <c r="W795" s="29">
        <f>VLOOKUP(U795,模板计算相关数据!A:N,2,0)</f>
        <v>1</v>
      </c>
      <c r="X795" s="3" t="s">
        <v>151</v>
      </c>
      <c r="Y795" s="3" t="s">
        <v>243</v>
      </c>
      <c r="Z795" s="99">
        <v>1</v>
      </c>
      <c r="AA795" s="95">
        <v>1</v>
      </c>
      <c r="AB795" s="95">
        <v>1</v>
      </c>
      <c r="AC795" s="95">
        <v>1</v>
      </c>
      <c r="AD795" s="95">
        <v>0</v>
      </c>
      <c r="AE795" s="95">
        <v>0</v>
      </c>
      <c r="AF795" s="95">
        <v>0</v>
      </c>
      <c r="AG795" s="95">
        <v>0</v>
      </c>
      <c r="AH795" s="95">
        <v>0</v>
      </c>
      <c r="AI795" s="95">
        <v>0</v>
      </c>
      <c r="AJ795" s="3">
        <f>INT(VLOOKUP(U795,模板计算相关数据!A:N,4,0)*VLOOKUP(U795,模板计算相关数据!A:N,14,0)*(1+MAX(0,(VLOOKUP(U795,模板计算相关数据!A:N,7,0)-AQ795))*VLOOKUP(U795,模板计算相关数据!A:N,8,0))*(1-(AL795+AM795)*0.5/((AL795+AM795)*0.5+(VLOOKUP(U795,模板计算相关数据!A:N,2,0)+模板计算相关数据!$AC$27)*模板计算相关数据!$AC$28))*Q795*Z795)</f>
        <v>411</v>
      </c>
      <c r="AK795" s="3">
        <f>INT(VLOOKUP(U795,模板计算相关数据!A:N,3,0)/模板计算相关数据!$W$35/(1+MAX(0,(AO795/10000-VLOOKUP(U795,模板计算相关数据!A:N,9,0)))*AP795/10000)/(1-VLOOKUP(U795,模板计算相关数据!A:N,5,0)/(VLOOKUP(U795,模板计算相关数据!A:N,5,0)+(VLOOKUP(U795,模板计算相关数据!A:N,2,0)+模板计算相关数据!$AC$27)*模板计算相关数据!$AC$28))/S795*AA795)</f>
        <v>86</v>
      </c>
      <c r="AL795" s="3">
        <f>INT(VLOOKUP(U795,模板计算相关数据!A:N,5,0)*VLOOKUP(X795,模板计算相关数据!$P$4:$T$7,4,0)*VLOOKUP(Y795,模板计算相关数据!$P$22:$U$30,4,0)*AB795)</f>
        <v>145</v>
      </c>
      <c r="AM795" s="3">
        <f>INT(VLOOKUP(U795,模板计算相关数据!A:N,6,0)*VLOOKUP(X795,模板计算相关数据!$P$4:$T$7,4,0)*VLOOKUP(Y795,模板计算相关数据!$P$22:$U$30,5,0)*AC795)</f>
        <v>264</v>
      </c>
      <c r="AN795" s="3">
        <f>VLOOKUP(U795,模板计算相关数据!A:N,10,0)*0.5*VLOOKUP(Y795,模板计算相关数据!$P$22:$U$30,6,0)+AD795</f>
        <v>275</v>
      </c>
      <c r="AO795" s="3">
        <f>VLOOKUP(INT(VLOOKUP(U795,模板计算相关数据!A:N,2,0)/30)+1,模板计算相关数据!$O$35:$U$40,3,0)+AE795</f>
        <v>0</v>
      </c>
      <c r="AP795" s="3">
        <f>VLOOKUP(INT(VLOOKUP(U795,模板计算相关数据!A:N,2,0)/30)+1,模板计算相关数据!$O$35:$U$40,4,0)+AF795</f>
        <v>5000</v>
      </c>
      <c r="AQ795" s="3">
        <f>VLOOKUP(INT(VLOOKUP(U795,模板计算相关数据!A:N,2,0)/30)+1,模板计算相关数据!$O$35:$U$40,5,0)+AG795</f>
        <v>0</v>
      </c>
      <c r="AR795" s="3">
        <f>VLOOKUP(INT(VLOOKUP(U795,模板计算相关数据!A:N,2,0)/30)+1,模板计算相关数据!$O$35:$U$40,6,0)+AH795</f>
        <v>0</v>
      </c>
      <c r="AS795" s="3">
        <f>VLOOKUP(INT(VLOOKUP(U795,模板计算相关数据!A:N,2,0)/30)+1,模板计算相关数据!$O$35:$U$40,7,0)+AI795</f>
        <v>0</v>
      </c>
      <c r="AT795" s="3">
        <f>VLOOKUP(INT(VLOOKUP(U795,模板计算相关数据!A:N,2,0)/30)+1,模板计算相关数据!$O$35:$V$40,8,0)</f>
        <v>0</v>
      </c>
      <c r="AU795" s="2"/>
    </row>
    <row r="796" spans="1:47" x14ac:dyDescent="0.2">
      <c r="A796" s="2">
        <v>307310</v>
      </c>
      <c r="B796" s="2"/>
      <c r="C796" s="69" t="s">
        <v>815</v>
      </c>
      <c r="D796" s="69" t="s">
        <v>1295</v>
      </c>
      <c r="E796" s="2"/>
      <c r="F796" s="127">
        <v>3</v>
      </c>
      <c r="G796" s="127">
        <v>101</v>
      </c>
      <c r="H796" s="3">
        <v>5</v>
      </c>
      <c r="I796" s="127">
        <v>5</v>
      </c>
      <c r="J796" s="127">
        <v>1</v>
      </c>
      <c r="K796" s="3"/>
      <c r="L796" s="69" t="s">
        <v>813</v>
      </c>
      <c r="M796" s="2"/>
      <c r="N796" s="2">
        <v>1</v>
      </c>
      <c r="O796" s="2"/>
      <c r="P796" s="3" t="s">
        <v>1615</v>
      </c>
      <c r="Q796" s="95">
        <f t="shared" si="73"/>
        <v>5.7709803921568623</v>
      </c>
      <c r="R796" s="133">
        <f>IF(P796=模板计算相关数据!$AB$24,VLOOKUP(X796,模板计算相关数据!$P$47:$T$50,2,0),VLOOKUP(X796,模板计算相关数据!$P$4:$U$7,3,0))*VLOOKUP(Y796,模板计算相关数据!$P$22:$X$30,8,0)</f>
        <v>5.7709803921568623</v>
      </c>
      <c r="S796" s="62">
        <f t="shared" si="74"/>
        <v>6.4077918749199023</v>
      </c>
      <c r="T796" s="133">
        <f>IF(P796=模板计算相关数据!$AB$24,VLOOKUP(X796,模板计算相关数据!$P$47:$T$50,5,0),VLOOKUP(X796,模板计算相关数据!$P$4:$U$7,6,0))*VLOOKUP(Y796,模板计算相关数据!$P$22:$X$30,9,0)</f>
        <v>6.4077918749199023</v>
      </c>
      <c r="U796" s="98">
        <v>1</v>
      </c>
      <c r="V796" s="95">
        <f t="shared" si="72"/>
        <v>4</v>
      </c>
      <c r="W796" s="29">
        <f>VLOOKUP(U796,模板计算相关数据!A:N,2,0)</f>
        <v>1</v>
      </c>
      <c r="X796" s="3" t="s">
        <v>151</v>
      </c>
      <c r="Y796" s="3" t="s">
        <v>243</v>
      </c>
      <c r="Z796" s="99">
        <v>1</v>
      </c>
      <c r="AA796" s="95">
        <v>1</v>
      </c>
      <c r="AB796" s="95">
        <v>1</v>
      </c>
      <c r="AC796" s="95">
        <v>1</v>
      </c>
      <c r="AD796" s="95">
        <v>0</v>
      </c>
      <c r="AE796" s="95">
        <v>0</v>
      </c>
      <c r="AF796" s="95">
        <v>0</v>
      </c>
      <c r="AG796" s="95">
        <v>0</v>
      </c>
      <c r="AH796" s="95">
        <v>0</v>
      </c>
      <c r="AI796" s="95">
        <v>0</v>
      </c>
      <c r="AJ796" s="3">
        <f>INT(VLOOKUP(U796,模板计算相关数据!A:N,4,0)*VLOOKUP(U796,模板计算相关数据!A:N,14,0)*(1+MAX(0,(VLOOKUP(U796,模板计算相关数据!A:N,7,0)-AQ796))*VLOOKUP(U796,模板计算相关数据!A:N,8,0))*(1-(AL796+AM796)*0.5/((AL796+AM796)*0.5+(VLOOKUP(U796,模板计算相关数据!A:N,2,0)+模板计算相关数据!$AC$27)*模板计算相关数据!$AC$28))*Q796*Z796)</f>
        <v>411</v>
      </c>
      <c r="AK796" s="3">
        <f>INT(VLOOKUP(U796,模板计算相关数据!A:N,3,0)/模板计算相关数据!$W$35/(1+MAX(0,(AO796/10000-VLOOKUP(U796,模板计算相关数据!A:N,9,0)))*AP796/10000)/(1-VLOOKUP(U796,模板计算相关数据!A:N,5,0)/(VLOOKUP(U796,模板计算相关数据!A:N,5,0)+(VLOOKUP(U796,模板计算相关数据!A:N,2,0)+模板计算相关数据!$AC$27)*模板计算相关数据!$AC$28))/S796*AA796)</f>
        <v>86</v>
      </c>
      <c r="AL796" s="3">
        <f>INT(VLOOKUP(U796,模板计算相关数据!A:N,5,0)*VLOOKUP(X796,模板计算相关数据!$P$4:$T$7,4,0)*VLOOKUP(Y796,模板计算相关数据!$P$22:$U$30,4,0)*AB796)</f>
        <v>145</v>
      </c>
      <c r="AM796" s="3">
        <f>INT(VLOOKUP(U796,模板计算相关数据!A:N,6,0)*VLOOKUP(X796,模板计算相关数据!$P$4:$T$7,4,0)*VLOOKUP(Y796,模板计算相关数据!$P$22:$U$30,5,0)*AC796)</f>
        <v>264</v>
      </c>
      <c r="AN796" s="3">
        <f>VLOOKUP(U796,模板计算相关数据!A:N,10,0)*0.5*VLOOKUP(Y796,模板计算相关数据!$P$22:$U$30,6,0)+AD796</f>
        <v>275</v>
      </c>
      <c r="AO796" s="3">
        <f>VLOOKUP(INT(VLOOKUP(U796,模板计算相关数据!A:N,2,0)/30)+1,模板计算相关数据!$O$35:$U$40,3,0)+AE796</f>
        <v>0</v>
      </c>
      <c r="AP796" s="3">
        <f>VLOOKUP(INT(VLOOKUP(U796,模板计算相关数据!A:N,2,0)/30)+1,模板计算相关数据!$O$35:$U$40,4,0)+AF796</f>
        <v>5000</v>
      </c>
      <c r="AQ796" s="3">
        <f>VLOOKUP(INT(VLOOKUP(U796,模板计算相关数据!A:N,2,0)/30)+1,模板计算相关数据!$O$35:$U$40,5,0)+AG796</f>
        <v>0</v>
      </c>
      <c r="AR796" s="3">
        <f>VLOOKUP(INT(VLOOKUP(U796,模板计算相关数据!A:N,2,0)/30)+1,模板计算相关数据!$O$35:$U$40,6,0)+AH796</f>
        <v>0</v>
      </c>
      <c r="AS796" s="3">
        <f>VLOOKUP(INT(VLOOKUP(U796,模板计算相关数据!A:N,2,0)/30)+1,模板计算相关数据!$O$35:$U$40,7,0)+AI796</f>
        <v>0</v>
      </c>
      <c r="AT796" s="3">
        <f>VLOOKUP(INT(VLOOKUP(U796,模板计算相关数据!A:N,2,0)/30)+1,模板计算相关数据!$O$35:$V$40,8,0)</f>
        <v>0</v>
      </c>
      <c r="AU796" s="2"/>
    </row>
    <row r="797" spans="1:47" x14ac:dyDescent="0.2">
      <c r="A797" s="2">
        <v>307311</v>
      </c>
      <c r="B797" s="2"/>
      <c r="C797" s="69" t="s">
        <v>814</v>
      </c>
      <c r="D797" s="69" t="s">
        <v>1291</v>
      </c>
      <c r="E797" s="2"/>
      <c r="F797" s="127">
        <v>3</v>
      </c>
      <c r="G797" s="127">
        <v>101</v>
      </c>
      <c r="H797" s="3">
        <v>3</v>
      </c>
      <c r="I797" s="127">
        <v>5</v>
      </c>
      <c r="J797" s="127">
        <v>1</v>
      </c>
      <c r="K797" s="3"/>
      <c r="L797" s="69" t="s">
        <v>816</v>
      </c>
      <c r="M797" s="2"/>
      <c r="N797" s="2">
        <v>1</v>
      </c>
      <c r="O797" s="2"/>
      <c r="P797" s="3" t="s">
        <v>1615</v>
      </c>
      <c r="Q797" s="95">
        <f t="shared" si="73"/>
        <v>5.6000000000000014</v>
      </c>
      <c r="R797" s="133">
        <f>IF(P797=模板计算相关数据!$AB$24,VLOOKUP(X797,模板计算相关数据!$P$47:$T$50,2,0),VLOOKUP(X797,模板计算相关数据!$P$4:$U$7,3,0))*VLOOKUP(Y797,模板计算相关数据!$P$22:$X$30,8,0)</f>
        <v>5.6000000000000014</v>
      </c>
      <c r="S797" s="62">
        <f t="shared" si="74"/>
        <v>6.6693344004268367</v>
      </c>
      <c r="T797" s="133">
        <f>IF(P797=模板计算相关数据!$AB$24,VLOOKUP(X797,模板计算相关数据!$P$47:$T$50,5,0),VLOOKUP(X797,模板计算相关数据!$P$4:$U$7,6,0))*VLOOKUP(Y797,模板计算相关数据!$P$22:$X$30,9,0)</f>
        <v>6.6693344004268367</v>
      </c>
      <c r="U797" s="98">
        <v>1</v>
      </c>
      <c r="V797" s="95">
        <f t="shared" si="72"/>
        <v>4</v>
      </c>
      <c r="W797" s="29">
        <f>VLOOKUP(U797,模板计算相关数据!A:N,2,0)</f>
        <v>1</v>
      </c>
      <c r="X797" s="3" t="s">
        <v>151</v>
      </c>
      <c r="Y797" s="3" t="s">
        <v>255</v>
      </c>
      <c r="Z797" s="99">
        <v>1</v>
      </c>
      <c r="AA797" s="95">
        <v>1</v>
      </c>
      <c r="AB797" s="95">
        <v>1</v>
      </c>
      <c r="AC797" s="95">
        <v>1</v>
      </c>
      <c r="AD797" s="95">
        <v>0</v>
      </c>
      <c r="AE797" s="95">
        <v>0</v>
      </c>
      <c r="AF797" s="95">
        <v>0</v>
      </c>
      <c r="AG797" s="95">
        <v>0</v>
      </c>
      <c r="AH797" s="95">
        <v>0</v>
      </c>
      <c r="AI797" s="95">
        <v>0</v>
      </c>
      <c r="AJ797" s="3">
        <f>INT(VLOOKUP(U797,模板计算相关数据!A:N,4,0)*VLOOKUP(U797,模板计算相关数据!A:N,14,0)*(1+MAX(0,(VLOOKUP(U797,模板计算相关数据!A:N,7,0)-AQ797))*VLOOKUP(U797,模板计算相关数据!A:N,8,0))*(1-(AL797+AM797)*0.5/((AL797+AM797)*0.5+(VLOOKUP(U797,模板计算相关数据!A:N,2,0)+模板计算相关数据!$AC$27)*模板计算相关数据!$AC$28))*Q797*Z797)</f>
        <v>394</v>
      </c>
      <c r="AK797" s="3">
        <f>INT(VLOOKUP(U797,模板计算相关数据!A:N,3,0)/模板计算相关数据!$W$35/(1+MAX(0,(AO797/10000-VLOOKUP(U797,模板计算相关数据!A:N,9,0)))*AP797/10000)/(1-VLOOKUP(U797,模板计算相关数据!A:N,5,0)/(VLOOKUP(U797,模板计算相关数据!A:N,5,0)+(VLOOKUP(U797,模板计算相关数据!A:N,2,0)+模板计算相关数据!$AC$27)*模板计算相关数据!$AC$28))/S797*AA797)</f>
        <v>83</v>
      </c>
      <c r="AL797" s="3">
        <f>INT(VLOOKUP(U797,模板计算相关数据!A:N,5,0)*VLOOKUP(X797,模板计算相关数据!$P$4:$T$7,4,0)*VLOOKUP(Y797,模板计算相关数据!$P$22:$U$30,4,0)*AB797)</f>
        <v>149</v>
      </c>
      <c r="AM797" s="3">
        <f>INT(VLOOKUP(U797,模板计算相关数据!A:N,6,0)*VLOOKUP(X797,模板计算相关数据!$P$4:$T$7,4,0)*VLOOKUP(Y797,模板计算相关数据!$P$22:$U$30,5,0)*AC797)</f>
        <v>277</v>
      </c>
      <c r="AN797" s="3">
        <f>VLOOKUP(U797,模板计算相关数据!A:N,10,0)*0.5*VLOOKUP(Y797,模板计算相关数据!$P$22:$U$30,6,0)+AD797</f>
        <v>225</v>
      </c>
      <c r="AO797" s="3">
        <f>VLOOKUP(INT(VLOOKUP(U797,模板计算相关数据!A:N,2,0)/30)+1,模板计算相关数据!$O$35:$U$40,3,0)+AE797</f>
        <v>0</v>
      </c>
      <c r="AP797" s="3">
        <f>VLOOKUP(INT(VLOOKUP(U797,模板计算相关数据!A:N,2,0)/30)+1,模板计算相关数据!$O$35:$U$40,4,0)+AF797</f>
        <v>5000</v>
      </c>
      <c r="AQ797" s="3">
        <f>VLOOKUP(INT(VLOOKUP(U797,模板计算相关数据!A:N,2,0)/30)+1,模板计算相关数据!$O$35:$U$40,5,0)+AG797</f>
        <v>0</v>
      </c>
      <c r="AR797" s="3">
        <f>VLOOKUP(INT(VLOOKUP(U797,模板计算相关数据!A:N,2,0)/30)+1,模板计算相关数据!$O$35:$U$40,6,0)+AH797</f>
        <v>0</v>
      </c>
      <c r="AS797" s="3">
        <f>VLOOKUP(INT(VLOOKUP(U797,模板计算相关数据!A:N,2,0)/30)+1,模板计算相关数据!$O$35:$U$40,7,0)+AI797</f>
        <v>0</v>
      </c>
      <c r="AT797" s="3">
        <f>VLOOKUP(INT(VLOOKUP(U797,模板计算相关数据!A:N,2,0)/30)+1,模板计算相关数据!$O$35:$V$40,8,0)</f>
        <v>0</v>
      </c>
      <c r="AU797" s="2"/>
    </row>
    <row r="798" spans="1:47" x14ac:dyDescent="0.2">
      <c r="A798" s="2">
        <v>307312</v>
      </c>
      <c r="B798" s="2"/>
      <c r="C798" s="69" t="s">
        <v>814</v>
      </c>
      <c r="D798" s="69" t="s">
        <v>1292</v>
      </c>
      <c r="E798" s="2"/>
      <c r="F798" s="127">
        <v>3</v>
      </c>
      <c r="G798" s="127">
        <v>101</v>
      </c>
      <c r="H798" s="3">
        <v>3</v>
      </c>
      <c r="I798" s="127">
        <v>5</v>
      </c>
      <c r="J798" s="127">
        <v>1</v>
      </c>
      <c r="K798" s="3"/>
      <c r="L798" s="69" t="s">
        <v>817</v>
      </c>
      <c r="M798" s="2"/>
      <c r="N798" s="2">
        <v>1</v>
      </c>
      <c r="O798" s="2"/>
      <c r="P798" s="3" t="s">
        <v>1615</v>
      </c>
      <c r="Q798" s="95">
        <f t="shared" si="73"/>
        <v>5.6000000000000014</v>
      </c>
      <c r="R798" s="133">
        <f>IF(P798=模板计算相关数据!$AB$24,VLOOKUP(X798,模板计算相关数据!$P$47:$T$50,2,0),VLOOKUP(X798,模板计算相关数据!$P$4:$U$7,3,0))*VLOOKUP(Y798,模板计算相关数据!$P$22:$X$30,8,0)</f>
        <v>5.6000000000000014</v>
      </c>
      <c r="S798" s="62">
        <f t="shared" si="74"/>
        <v>6.6693344004268367</v>
      </c>
      <c r="T798" s="133">
        <f>IF(P798=模板计算相关数据!$AB$24,VLOOKUP(X798,模板计算相关数据!$P$47:$T$50,5,0),VLOOKUP(X798,模板计算相关数据!$P$4:$U$7,6,0))*VLOOKUP(Y798,模板计算相关数据!$P$22:$X$30,9,0)</f>
        <v>6.6693344004268367</v>
      </c>
      <c r="U798" s="98">
        <v>1</v>
      </c>
      <c r="V798" s="95">
        <f t="shared" si="72"/>
        <v>4</v>
      </c>
      <c r="W798" s="29">
        <f>VLOOKUP(U798,模板计算相关数据!A:N,2,0)</f>
        <v>1</v>
      </c>
      <c r="X798" s="3" t="s">
        <v>151</v>
      </c>
      <c r="Y798" s="3" t="s">
        <v>255</v>
      </c>
      <c r="Z798" s="99">
        <v>1</v>
      </c>
      <c r="AA798" s="95">
        <v>1</v>
      </c>
      <c r="AB798" s="95">
        <v>1</v>
      </c>
      <c r="AC798" s="95">
        <v>1</v>
      </c>
      <c r="AD798" s="95">
        <v>0</v>
      </c>
      <c r="AE798" s="95">
        <v>0</v>
      </c>
      <c r="AF798" s="95">
        <v>0</v>
      </c>
      <c r="AG798" s="95">
        <v>0</v>
      </c>
      <c r="AH798" s="95">
        <v>0</v>
      </c>
      <c r="AI798" s="95">
        <v>0</v>
      </c>
      <c r="AJ798" s="3">
        <f>INT(VLOOKUP(U798,模板计算相关数据!A:N,4,0)*VLOOKUP(U798,模板计算相关数据!A:N,14,0)*(1+MAX(0,(VLOOKUP(U798,模板计算相关数据!A:N,7,0)-AQ798))*VLOOKUP(U798,模板计算相关数据!A:N,8,0))*(1-(AL798+AM798)*0.5/((AL798+AM798)*0.5+(VLOOKUP(U798,模板计算相关数据!A:N,2,0)+模板计算相关数据!$AC$27)*模板计算相关数据!$AC$28))*Q798*Z798)</f>
        <v>394</v>
      </c>
      <c r="AK798" s="3">
        <f>INT(VLOOKUP(U798,模板计算相关数据!A:N,3,0)/模板计算相关数据!$W$35/(1+MAX(0,(AO798/10000-VLOOKUP(U798,模板计算相关数据!A:N,9,0)))*AP798/10000)/(1-VLOOKUP(U798,模板计算相关数据!A:N,5,0)/(VLOOKUP(U798,模板计算相关数据!A:N,5,0)+(VLOOKUP(U798,模板计算相关数据!A:N,2,0)+模板计算相关数据!$AC$27)*模板计算相关数据!$AC$28))/S798*AA798)</f>
        <v>83</v>
      </c>
      <c r="AL798" s="3">
        <f>INT(VLOOKUP(U798,模板计算相关数据!A:N,5,0)*VLOOKUP(X798,模板计算相关数据!$P$4:$T$7,4,0)*VLOOKUP(Y798,模板计算相关数据!$P$22:$U$30,4,0)*AB798)</f>
        <v>149</v>
      </c>
      <c r="AM798" s="3">
        <f>INT(VLOOKUP(U798,模板计算相关数据!A:N,6,0)*VLOOKUP(X798,模板计算相关数据!$P$4:$T$7,4,0)*VLOOKUP(Y798,模板计算相关数据!$P$22:$U$30,5,0)*AC798)</f>
        <v>277</v>
      </c>
      <c r="AN798" s="3">
        <f>VLOOKUP(U798,模板计算相关数据!A:N,10,0)*0.5*VLOOKUP(Y798,模板计算相关数据!$P$22:$U$30,6,0)+AD798</f>
        <v>225</v>
      </c>
      <c r="AO798" s="3">
        <f>VLOOKUP(INT(VLOOKUP(U798,模板计算相关数据!A:N,2,0)/30)+1,模板计算相关数据!$O$35:$U$40,3,0)+AE798</f>
        <v>0</v>
      </c>
      <c r="AP798" s="3">
        <f>VLOOKUP(INT(VLOOKUP(U798,模板计算相关数据!A:N,2,0)/30)+1,模板计算相关数据!$O$35:$U$40,4,0)+AF798</f>
        <v>5000</v>
      </c>
      <c r="AQ798" s="3">
        <f>VLOOKUP(INT(VLOOKUP(U798,模板计算相关数据!A:N,2,0)/30)+1,模板计算相关数据!$O$35:$U$40,5,0)+AG798</f>
        <v>0</v>
      </c>
      <c r="AR798" s="3">
        <f>VLOOKUP(INT(VLOOKUP(U798,模板计算相关数据!A:N,2,0)/30)+1,模板计算相关数据!$O$35:$U$40,6,0)+AH798</f>
        <v>0</v>
      </c>
      <c r="AS798" s="3">
        <f>VLOOKUP(INT(VLOOKUP(U798,模板计算相关数据!A:N,2,0)/30)+1,模板计算相关数据!$O$35:$U$40,7,0)+AI798</f>
        <v>0</v>
      </c>
      <c r="AT798" s="3">
        <f>VLOOKUP(INT(VLOOKUP(U798,模板计算相关数据!A:N,2,0)/30)+1,模板计算相关数据!$O$35:$V$40,8,0)</f>
        <v>0</v>
      </c>
      <c r="AU798" s="2"/>
    </row>
    <row r="799" spans="1:47" x14ac:dyDescent="0.2">
      <c r="A799" s="2">
        <v>307313</v>
      </c>
      <c r="B799" s="2"/>
      <c r="C799" s="69" t="s">
        <v>814</v>
      </c>
      <c r="D799" s="69" t="s">
        <v>1293</v>
      </c>
      <c r="E799" s="2"/>
      <c r="F799" s="127">
        <v>3</v>
      </c>
      <c r="G799" s="127">
        <v>101</v>
      </c>
      <c r="H799" s="3">
        <v>3</v>
      </c>
      <c r="I799" s="127">
        <v>5</v>
      </c>
      <c r="J799" s="127">
        <v>1</v>
      </c>
      <c r="K799" s="3"/>
      <c r="L799" s="69" t="s">
        <v>818</v>
      </c>
      <c r="M799" s="2"/>
      <c r="N799" s="2">
        <v>1</v>
      </c>
      <c r="O799" s="2"/>
      <c r="P799" s="3" t="s">
        <v>1615</v>
      </c>
      <c r="Q799" s="95">
        <f t="shared" si="73"/>
        <v>5.6000000000000014</v>
      </c>
      <c r="R799" s="133">
        <f>IF(P799=模板计算相关数据!$AB$24,VLOOKUP(X799,模板计算相关数据!$P$47:$T$50,2,0),VLOOKUP(X799,模板计算相关数据!$P$4:$U$7,3,0))*VLOOKUP(Y799,模板计算相关数据!$P$22:$X$30,8,0)</f>
        <v>5.6000000000000014</v>
      </c>
      <c r="S799" s="62">
        <f t="shared" si="74"/>
        <v>6.6693344004268367</v>
      </c>
      <c r="T799" s="133">
        <f>IF(P799=模板计算相关数据!$AB$24,VLOOKUP(X799,模板计算相关数据!$P$47:$T$50,5,0),VLOOKUP(X799,模板计算相关数据!$P$4:$U$7,6,0))*VLOOKUP(Y799,模板计算相关数据!$P$22:$X$30,9,0)</f>
        <v>6.6693344004268367</v>
      </c>
      <c r="U799" s="98">
        <v>1</v>
      </c>
      <c r="V799" s="95">
        <f t="shared" si="72"/>
        <v>4</v>
      </c>
      <c r="W799" s="29">
        <f>VLOOKUP(U799,模板计算相关数据!A:N,2,0)</f>
        <v>1</v>
      </c>
      <c r="X799" s="3" t="s">
        <v>151</v>
      </c>
      <c r="Y799" s="3" t="s">
        <v>255</v>
      </c>
      <c r="Z799" s="99">
        <v>1</v>
      </c>
      <c r="AA799" s="95">
        <v>1</v>
      </c>
      <c r="AB799" s="95">
        <v>1</v>
      </c>
      <c r="AC799" s="95">
        <v>1</v>
      </c>
      <c r="AD799" s="95">
        <v>0</v>
      </c>
      <c r="AE799" s="95">
        <v>0</v>
      </c>
      <c r="AF799" s="95">
        <v>0</v>
      </c>
      <c r="AG799" s="95">
        <v>0</v>
      </c>
      <c r="AH799" s="95">
        <v>0</v>
      </c>
      <c r="AI799" s="95">
        <v>0</v>
      </c>
      <c r="AJ799" s="3">
        <f>INT(VLOOKUP(U799,模板计算相关数据!A:N,4,0)*VLOOKUP(U799,模板计算相关数据!A:N,14,0)*(1+MAX(0,(VLOOKUP(U799,模板计算相关数据!A:N,7,0)-AQ799))*VLOOKUP(U799,模板计算相关数据!A:N,8,0))*(1-(AL799+AM799)*0.5/((AL799+AM799)*0.5+(VLOOKUP(U799,模板计算相关数据!A:N,2,0)+模板计算相关数据!$AC$27)*模板计算相关数据!$AC$28))*Q799*Z799)</f>
        <v>394</v>
      </c>
      <c r="AK799" s="3">
        <f>INT(VLOOKUP(U799,模板计算相关数据!A:N,3,0)/模板计算相关数据!$W$35/(1+MAX(0,(AO799/10000-VLOOKUP(U799,模板计算相关数据!A:N,9,0)))*AP799/10000)/(1-VLOOKUP(U799,模板计算相关数据!A:N,5,0)/(VLOOKUP(U799,模板计算相关数据!A:N,5,0)+(VLOOKUP(U799,模板计算相关数据!A:N,2,0)+模板计算相关数据!$AC$27)*模板计算相关数据!$AC$28))/S799*AA799)</f>
        <v>83</v>
      </c>
      <c r="AL799" s="3">
        <f>INT(VLOOKUP(U799,模板计算相关数据!A:N,5,0)*VLOOKUP(X799,模板计算相关数据!$P$4:$T$7,4,0)*VLOOKUP(Y799,模板计算相关数据!$P$22:$U$30,4,0)*AB799)</f>
        <v>149</v>
      </c>
      <c r="AM799" s="3">
        <f>INT(VLOOKUP(U799,模板计算相关数据!A:N,6,0)*VLOOKUP(X799,模板计算相关数据!$P$4:$T$7,4,0)*VLOOKUP(Y799,模板计算相关数据!$P$22:$U$30,5,0)*AC799)</f>
        <v>277</v>
      </c>
      <c r="AN799" s="3">
        <f>VLOOKUP(U799,模板计算相关数据!A:N,10,0)*0.5*VLOOKUP(Y799,模板计算相关数据!$P$22:$U$30,6,0)+AD799</f>
        <v>225</v>
      </c>
      <c r="AO799" s="3">
        <f>VLOOKUP(INT(VLOOKUP(U799,模板计算相关数据!A:N,2,0)/30)+1,模板计算相关数据!$O$35:$U$40,3,0)+AE799</f>
        <v>0</v>
      </c>
      <c r="AP799" s="3">
        <f>VLOOKUP(INT(VLOOKUP(U799,模板计算相关数据!A:N,2,0)/30)+1,模板计算相关数据!$O$35:$U$40,4,0)+AF799</f>
        <v>5000</v>
      </c>
      <c r="AQ799" s="3">
        <f>VLOOKUP(INT(VLOOKUP(U799,模板计算相关数据!A:N,2,0)/30)+1,模板计算相关数据!$O$35:$U$40,5,0)+AG799</f>
        <v>0</v>
      </c>
      <c r="AR799" s="3">
        <f>VLOOKUP(INT(VLOOKUP(U799,模板计算相关数据!A:N,2,0)/30)+1,模板计算相关数据!$O$35:$U$40,6,0)+AH799</f>
        <v>0</v>
      </c>
      <c r="AS799" s="3">
        <f>VLOOKUP(INT(VLOOKUP(U799,模板计算相关数据!A:N,2,0)/30)+1,模板计算相关数据!$O$35:$U$40,7,0)+AI799</f>
        <v>0</v>
      </c>
      <c r="AT799" s="3">
        <f>VLOOKUP(INT(VLOOKUP(U799,模板计算相关数据!A:N,2,0)/30)+1,模板计算相关数据!$O$35:$V$40,8,0)</f>
        <v>0</v>
      </c>
      <c r="AU799" s="2"/>
    </row>
    <row r="800" spans="1:47" x14ac:dyDescent="0.2">
      <c r="A800" s="2">
        <v>307314</v>
      </c>
      <c r="B800" s="2"/>
      <c r="C800" s="69" t="s">
        <v>814</v>
      </c>
      <c r="D800" s="69" t="s">
        <v>1294</v>
      </c>
      <c r="E800" s="2"/>
      <c r="F800" s="127">
        <v>3</v>
      </c>
      <c r="G800" s="127">
        <v>101</v>
      </c>
      <c r="H800" s="3">
        <v>3</v>
      </c>
      <c r="I800" s="127">
        <v>5</v>
      </c>
      <c r="J800" s="127">
        <v>1</v>
      </c>
      <c r="K800" s="3"/>
      <c r="L800" s="69" t="s">
        <v>819</v>
      </c>
      <c r="M800" s="2"/>
      <c r="N800" s="2">
        <v>1</v>
      </c>
      <c r="O800" s="2"/>
      <c r="P800" s="3" t="s">
        <v>1615</v>
      </c>
      <c r="Q800" s="95">
        <f t="shared" si="73"/>
        <v>5.6000000000000014</v>
      </c>
      <c r="R800" s="133">
        <f>IF(P800=模板计算相关数据!$AB$24,VLOOKUP(X800,模板计算相关数据!$P$47:$T$50,2,0),VLOOKUP(X800,模板计算相关数据!$P$4:$U$7,3,0))*VLOOKUP(Y800,模板计算相关数据!$P$22:$X$30,8,0)</f>
        <v>5.6000000000000014</v>
      </c>
      <c r="S800" s="62">
        <f t="shared" si="74"/>
        <v>6.6693344004268367</v>
      </c>
      <c r="T800" s="133">
        <f>IF(P800=模板计算相关数据!$AB$24,VLOOKUP(X800,模板计算相关数据!$P$47:$T$50,5,0),VLOOKUP(X800,模板计算相关数据!$P$4:$U$7,6,0))*VLOOKUP(Y800,模板计算相关数据!$P$22:$X$30,9,0)</f>
        <v>6.6693344004268367</v>
      </c>
      <c r="U800" s="98">
        <v>1</v>
      </c>
      <c r="V800" s="95">
        <f t="shared" si="72"/>
        <v>4</v>
      </c>
      <c r="W800" s="29">
        <f>VLOOKUP(U800,模板计算相关数据!A:N,2,0)</f>
        <v>1</v>
      </c>
      <c r="X800" s="3" t="s">
        <v>151</v>
      </c>
      <c r="Y800" s="3" t="s">
        <v>255</v>
      </c>
      <c r="Z800" s="99">
        <v>1</v>
      </c>
      <c r="AA800" s="95">
        <v>1</v>
      </c>
      <c r="AB800" s="95">
        <v>1</v>
      </c>
      <c r="AC800" s="95">
        <v>1</v>
      </c>
      <c r="AD800" s="95">
        <v>0</v>
      </c>
      <c r="AE800" s="95">
        <v>0</v>
      </c>
      <c r="AF800" s="95">
        <v>0</v>
      </c>
      <c r="AG800" s="95">
        <v>0</v>
      </c>
      <c r="AH800" s="95">
        <v>0</v>
      </c>
      <c r="AI800" s="95">
        <v>0</v>
      </c>
      <c r="AJ800" s="3">
        <f>INT(VLOOKUP(U800,模板计算相关数据!A:N,4,0)*VLOOKUP(U800,模板计算相关数据!A:N,14,0)*(1+MAX(0,(VLOOKUP(U800,模板计算相关数据!A:N,7,0)-AQ800))*VLOOKUP(U800,模板计算相关数据!A:N,8,0))*(1-(AL800+AM800)*0.5/((AL800+AM800)*0.5+(VLOOKUP(U800,模板计算相关数据!A:N,2,0)+模板计算相关数据!$AC$27)*模板计算相关数据!$AC$28))*Q800*Z800)</f>
        <v>394</v>
      </c>
      <c r="AK800" s="3">
        <f>INT(VLOOKUP(U800,模板计算相关数据!A:N,3,0)/模板计算相关数据!$W$35/(1+MAX(0,(AO800/10000-VLOOKUP(U800,模板计算相关数据!A:N,9,0)))*AP800/10000)/(1-VLOOKUP(U800,模板计算相关数据!A:N,5,0)/(VLOOKUP(U800,模板计算相关数据!A:N,5,0)+(VLOOKUP(U800,模板计算相关数据!A:N,2,0)+模板计算相关数据!$AC$27)*模板计算相关数据!$AC$28))/S800*AA800)</f>
        <v>83</v>
      </c>
      <c r="AL800" s="3">
        <f>INT(VLOOKUP(U800,模板计算相关数据!A:N,5,0)*VLOOKUP(X800,模板计算相关数据!$P$4:$T$7,4,0)*VLOOKUP(Y800,模板计算相关数据!$P$22:$U$30,4,0)*AB800)</f>
        <v>149</v>
      </c>
      <c r="AM800" s="3">
        <f>INT(VLOOKUP(U800,模板计算相关数据!A:N,6,0)*VLOOKUP(X800,模板计算相关数据!$P$4:$T$7,4,0)*VLOOKUP(Y800,模板计算相关数据!$P$22:$U$30,5,0)*AC800)</f>
        <v>277</v>
      </c>
      <c r="AN800" s="3">
        <f>VLOOKUP(U800,模板计算相关数据!A:N,10,0)*0.5*VLOOKUP(Y800,模板计算相关数据!$P$22:$U$30,6,0)+AD800</f>
        <v>225</v>
      </c>
      <c r="AO800" s="3">
        <f>VLOOKUP(INT(VLOOKUP(U800,模板计算相关数据!A:N,2,0)/30)+1,模板计算相关数据!$O$35:$U$40,3,0)+AE800</f>
        <v>0</v>
      </c>
      <c r="AP800" s="3">
        <f>VLOOKUP(INT(VLOOKUP(U800,模板计算相关数据!A:N,2,0)/30)+1,模板计算相关数据!$O$35:$U$40,4,0)+AF800</f>
        <v>5000</v>
      </c>
      <c r="AQ800" s="3">
        <f>VLOOKUP(INT(VLOOKUP(U800,模板计算相关数据!A:N,2,0)/30)+1,模板计算相关数据!$O$35:$U$40,5,0)+AG800</f>
        <v>0</v>
      </c>
      <c r="AR800" s="3">
        <f>VLOOKUP(INT(VLOOKUP(U800,模板计算相关数据!A:N,2,0)/30)+1,模板计算相关数据!$O$35:$U$40,6,0)+AH800</f>
        <v>0</v>
      </c>
      <c r="AS800" s="3">
        <f>VLOOKUP(INT(VLOOKUP(U800,模板计算相关数据!A:N,2,0)/30)+1,模板计算相关数据!$O$35:$U$40,7,0)+AI800</f>
        <v>0</v>
      </c>
      <c r="AT800" s="3">
        <f>VLOOKUP(INT(VLOOKUP(U800,模板计算相关数据!A:N,2,0)/30)+1,模板计算相关数据!$O$35:$V$40,8,0)</f>
        <v>0</v>
      </c>
      <c r="AU800" s="2"/>
    </row>
    <row r="801" spans="1:47" x14ac:dyDescent="0.2">
      <c r="A801" s="2">
        <v>307315</v>
      </c>
      <c r="B801" s="2"/>
      <c r="C801" s="69" t="s">
        <v>814</v>
      </c>
      <c r="D801" s="69" t="s">
        <v>1295</v>
      </c>
      <c r="E801" s="2"/>
      <c r="F801" s="127">
        <v>3</v>
      </c>
      <c r="G801" s="127">
        <v>101</v>
      </c>
      <c r="H801" s="3">
        <v>3</v>
      </c>
      <c r="I801" s="127">
        <v>5</v>
      </c>
      <c r="J801" s="127">
        <v>1</v>
      </c>
      <c r="K801" s="3"/>
      <c r="L801" s="69" t="s">
        <v>820</v>
      </c>
      <c r="M801" s="2"/>
      <c r="N801" s="2">
        <v>1</v>
      </c>
      <c r="O801" s="2"/>
      <c r="P801" s="3" t="s">
        <v>1615</v>
      </c>
      <c r="Q801" s="95">
        <f t="shared" si="73"/>
        <v>5.6000000000000014</v>
      </c>
      <c r="R801" s="133">
        <f>IF(P801=模板计算相关数据!$AB$24,VLOOKUP(X801,模板计算相关数据!$P$47:$T$50,2,0),VLOOKUP(X801,模板计算相关数据!$P$4:$U$7,3,0))*VLOOKUP(Y801,模板计算相关数据!$P$22:$X$30,8,0)</f>
        <v>5.6000000000000014</v>
      </c>
      <c r="S801" s="62">
        <f t="shared" si="74"/>
        <v>6.6693344004268367</v>
      </c>
      <c r="T801" s="133">
        <f>IF(P801=模板计算相关数据!$AB$24,VLOOKUP(X801,模板计算相关数据!$P$47:$T$50,5,0),VLOOKUP(X801,模板计算相关数据!$P$4:$U$7,6,0))*VLOOKUP(Y801,模板计算相关数据!$P$22:$X$30,9,0)</f>
        <v>6.6693344004268367</v>
      </c>
      <c r="U801" s="98">
        <v>1</v>
      </c>
      <c r="V801" s="95">
        <f t="shared" si="72"/>
        <v>4</v>
      </c>
      <c r="W801" s="29">
        <f>VLOOKUP(U801,模板计算相关数据!A:N,2,0)</f>
        <v>1</v>
      </c>
      <c r="X801" s="3" t="s">
        <v>151</v>
      </c>
      <c r="Y801" s="3" t="s">
        <v>255</v>
      </c>
      <c r="Z801" s="99">
        <v>1</v>
      </c>
      <c r="AA801" s="95">
        <v>1</v>
      </c>
      <c r="AB801" s="95">
        <v>1</v>
      </c>
      <c r="AC801" s="95">
        <v>1</v>
      </c>
      <c r="AD801" s="95">
        <v>0</v>
      </c>
      <c r="AE801" s="95">
        <v>0</v>
      </c>
      <c r="AF801" s="95">
        <v>0</v>
      </c>
      <c r="AG801" s="95">
        <v>0</v>
      </c>
      <c r="AH801" s="95">
        <v>0</v>
      </c>
      <c r="AI801" s="95">
        <v>0</v>
      </c>
      <c r="AJ801" s="3">
        <f>INT(VLOOKUP(U801,模板计算相关数据!A:N,4,0)*VLOOKUP(U801,模板计算相关数据!A:N,14,0)*(1+MAX(0,(VLOOKUP(U801,模板计算相关数据!A:N,7,0)-AQ801))*VLOOKUP(U801,模板计算相关数据!A:N,8,0))*(1-(AL801+AM801)*0.5/((AL801+AM801)*0.5+(VLOOKUP(U801,模板计算相关数据!A:N,2,0)+模板计算相关数据!$AC$27)*模板计算相关数据!$AC$28))*Q801*Z801)</f>
        <v>394</v>
      </c>
      <c r="AK801" s="3">
        <f>INT(VLOOKUP(U801,模板计算相关数据!A:N,3,0)/模板计算相关数据!$W$35/(1+MAX(0,(AO801/10000-VLOOKUP(U801,模板计算相关数据!A:N,9,0)))*AP801/10000)/(1-VLOOKUP(U801,模板计算相关数据!A:N,5,0)/(VLOOKUP(U801,模板计算相关数据!A:N,5,0)+(VLOOKUP(U801,模板计算相关数据!A:N,2,0)+模板计算相关数据!$AC$27)*模板计算相关数据!$AC$28))/S801*AA801)</f>
        <v>83</v>
      </c>
      <c r="AL801" s="3">
        <f>INT(VLOOKUP(U801,模板计算相关数据!A:N,5,0)*VLOOKUP(X801,模板计算相关数据!$P$4:$T$7,4,0)*VLOOKUP(Y801,模板计算相关数据!$P$22:$U$30,4,0)*AB801)</f>
        <v>149</v>
      </c>
      <c r="AM801" s="3">
        <f>INT(VLOOKUP(U801,模板计算相关数据!A:N,6,0)*VLOOKUP(X801,模板计算相关数据!$P$4:$T$7,4,0)*VLOOKUP(Y801,模板计算相关数据!$P$22:$U$30,5,0)*AC801)</f>
        <v>277</v>
      </c>
      <c r="AN801" s="3">
        <f>VLOOKUP(U801,模板计算相关数据!A:N,10,0)*0.5*VLOOKUP(Y801,模板计算相关数据!$P$22:$U$30,6,0)+AD801</f>
        <v>225</v>
      </c>
      <c r="AO801" s="3">
        <f>VLOOKUP(INT(VLOOKUP(U801,模板计算相关数据!A:N,2,0)/30)+1,模板计算相关数据!$O$35:$U$40,3,0)+AE801</f>
        <v>0</v>
      </c>
      <c r="AP801" s="3">
        <f>VLOOKUP(INT(VLOOKUP(U801,模板计算相关数据!A:N,2,0)/30)+1,模板计算相关数据!$O$35:$U$40,4,0)+AF801</f>
        <v>5000</v>
      </c>
      <c r="AQ801" s="3">
        <f>VLOOKUP(INT(VLOOKUP(U801,模板计算相关数据!A:N,2,0)/30)+1,模板计算相关数据!$O$35:$U$40,5,0)+AG801</f>
        <v>0</v>
      </c>
      <c r="AR801" s="3">
        <f>VLOOKUP(INT(VLOOKUP(U801,模板计算相关数据!A:N,2,0)/30)+1,模板计算相关数据!$O$35:$U$40,6,0)+AH801</f>
        <v>0</v>
      </c>
      <c r="AS801" s="3">
        <f>VLOOKUP(INT(VLOOKUP(U801,模板计算相关数据!A:N,2,0)/30)+1,模板计算相关数据!$O$35:$U$40,7,0)+AI801</f>
        <v>0</v>
      </c>
      <c r="AT801" s="3">
        <f>VLOOKUP(INT(VLOOKUP(U801,模板计算相关数据!A:N,2,0)/30)+1,模板计算相关数据!$O$35:$V$40,8,0)</f>
        <v>0</v>
      </c>
      <c r="AU801" s="2"/>
    </row>
    <row r="802" spans="1:47" x14ac:dyDescent="0.2">
      <c r="A802" s="17">
        <v>307316</v>
      </c>
      <c r="B802" s="17"/>
      <c r="C802" s="25" t="s">
        <v>821</v>
      </c>
      <c r="D802" s="25" t="s">
        <v>1296</v>
      </c>
      <c r="E802" s="17"/>
      <c r="F802" s="152">
        <v>3</v>
      </c>
      <c r="G802" s="152">
        <v>101</v>
      </c>
      <c r="H802" s="43">
        <v>5</v>
      </c>
      <c r="I802" s="152">
        <v>5</v>
      </c>
      <c r="J802" s="152">
        <v>1</v>
      </c>
      <c r="K802" s="3"/>
      <c r="L802" s="2" t="s">
        <v>597</v>
      </c>
      <c r="M802" s="2"/>
      <c r="N802" s="2">
        <v>1</v>
      </c>
      <c r="O802" s="2"/>
      <c r="P802" s="3" t="s">
        <v>1615</v>
      </c>
      <c r="Q802" s="95">
        <f t="shared" si="73"/>
        <v>5.7709803921568623</v>
      </c>
      <c r="R802" s="133">
        <f>IF(P802=模板计算相关数据!$AB$24,VLOOKUP(X802,模板计算相关数据!$P$47:$T$50,2,0),VLOOKUP(X802,模板计算相关数据!$P$4:$U$7,3,0))*VLOOKUP(Y802,模板计算相关数据!$P$22:$X$30,8,0)</f>
        <v>5.7709803921568623</v>
      </c>
      <c r="S802" s="62">
        <f t="shared" si="74"/>
        <v>6.4077918749199023</v>
      </c>
      <c r="T802" s="133">
        <f>IF(P802=模板计算相关数据!$AB$24,VLOOKUP(X802,模板计算相关数据!$P$47:$T$50,5,0),VLOOKUP(X802,模板计算相关数据!$P$4:$U$7,6,0))*VLOOKUP(Y802,模板计算相关数据!$P$22:$X$30,9,0)</f>
        <v>6.4077918749199023</v>
      </c>
      <c r="U802" s="98">
        <v>1</v>
      </c>
      <c r="V802" s="95">
        <f t="shared" si="72"/>
        <v>4</v>
      </c>
      <c r="W802" s="29">
        <f>VLOOKUP(U802,模板计算相关数据!A:N,2,0)</f>
        <v>1</v>
      </c>
      <c r="X802" s="3" t="s">
        <v>151</v>
      </c>
      <c r="Y802" s="3" t="s">
        <v>243</v>
      </c>
      <c r="Z802" s="99">
        <v>1</v>
      </c>
      <c r="AA802" s="95">
        <v>1</v>
      </c>
      <c r="AB802" s="95">
        <v>1</v>
      </c>
      <c r="AC802" s="95">
        <v>1</v>
      </c>
      <c r="AD802" s="95">
        <v>0</v>
      </c>
      <c r="AE802" s="95">
        <v>0</v>
      </c>
      <c r="AF802" s="95">
        <v>0</v>
      </c>
      <c r="AG802" s="95">
        <v>0</v>
      </c>
      <c r="AH802" s="95">
        <v>0</v>
      </c>
      <c r="AI802" s="95">
        <v>0</v>
      </c>
      <c r="AJ802" s="3">
        <f>INT(VLOOKUP(U802,模板计算相关数据!A:N,4,0)*VLOOKUP(U802,模板计算相关数据!A:N,14,0)*(1+MAX(0,(VLOOKUP(U802,模板计算相关数据!A:N,7,0)-AQ802))*VLOOKUP(U802,模板计算相关数据!A:N,8,0))*(1-(AL802+AM802)*0.5/((AL802+AM802)*0.5+(VLOOKUP(U802,模板计算相关数据!A:N,2,0)+模板计算相关数据!$AC$27)*模板计算相关数据!$AC$28))*Q802*Z802)</f>
        <v>411</v>
      </c>
      <c r="AK802" s="3">
        <f>INT(VLOOKUP(U802,模板计算相关数据!A:N,3,0)/模板计算相关数据!$W$35/(1+MAX(0,(AO802/10000-VLOOKUP(U802,模板计算相关数据!A:N,9,0)))*AP802/10000)/(1-VLOOKUP(U802,模板计算相关数据!A:N,5,0)/(VLOOKUP(U802,模板计算相关数据!A:N,5,0)+(VLOOKUP(U802,模板计算相关数据!A:N,2,0)+模板计算相关数据!$AC$27)*模板计算相关数据!$AC$28))/S802*AA802)</f>
        <v>86</v>
      </c>
      <c r="AL802" s="3">
        <f>INT(VLOOKUP(U802,模板计算相关数据!A:N,5,0)*VLOOKUP(X802,模板计算相关数据!$P$4:$T$7,4,0)*VLOOKUP(Y802,模板计算相关数据!$P$22:$U$30,4,0)*AB802)</f>
        <v>145</v>
      </c>
      <c r="AM802" s="3">
        <f>INT(VLOOKUP(U802,模板计算相关数据!A:N,6,0)*VLOOKUP(X802,模板计算相关数据!$P$4:$T$7,4,0)*VLOOKUP(Y802,模板计算相关数据!$P$22:$U$30,5,0)*AC802)</f>
        <v>264</v>
      </c>
      <c r="AN802" s="3">
        <f>VLOOKUP(U802,模板计算相关数据!A:N,10,0)*0.5*VLOOKUP(Y802,模板计算相关数据!$P$22:$U$30,6,0)+AD802</f>
        <v>275</v>
      </c>
      <c r="AO802" s="3">
        <f>VLOOKUP(INT(VLOOKUP(U802,模板计算相关数据!A:N,2,0)/30)+1,模板计算相关数据!$O$35:$U$40,3,0)+AE802</f>
        <v>0</v>
      </c>
      <c r="AP802" s="3">
        <f>VLOOKUP(INT(VLOOKUP(U802,模板计算相关数据!A:N,2,0)/30)+1,模板计算相关数据!$O$35:$U$40,4,0)+AF802</f>
        <v>5000</v>
      </c>
      <c r="AQ802" s="3">
        <f>VLOOKUP(INT(VLOOKUP(U802,模板计算相关数据!A:N,2,0)/30)+1,模板计算相关数据!$O$35:$U$40,5,0)+AG802</f>
        <v>0</v>
      </c>
      <c r="AR802" s="3">
        <f>VLOOKUP(INT(VLOOKUP(U802,模板计算相关数据!A:N,2,0)/30)+1,模板计算相关数据!$O$35:$U$40,6,0)+AH802</f>
        <v>0</v>
      </c>
      <c r="AS802" s="3">
        <f>VLOOKUP(INT(VLOOKUP(U802,模板计算相关数据!A:N,2,0)/30)+1,模板计算相关数据!$O$35:$U$40,7,0)+AI802</f>
        <v>0</v>
      </c>
      <c r="AT802" s="3">
        <f>VLOOKUP(INT(VLOOKUP(U802,模板计算相关数据!A:N,2,0)/30)+1,模板计算相关数据!$O$35:$V$40,8,0)</f>
        <v>0</v>
      </c>
      <c r="AU802" s="2"/>
    </row>
    <row r="803" spans="1:47" x14ac:dyDescent="0.2">
      <c r="A803" s="2">
        <v>307317</v>
      </c>
      <c r="B803" s="2"/>
      <c r="C803" s="2" t="s">
        <v>79</v>
      </c>
      <c r="D803" s="69" t="s">
        <v>1297</v>
      </c>
      <c r="E803" s="2"/>
      <c r="F803" s="127">
        <v>3</v>
      </c>
      <c r="G803" s="127">
        <v>101</v>
      </c>
      <c r="H803" s="3">
        <v>5</v>
      </c>
      <c r="I803" s="127">
        <v>5</v>
      </c>
      <c r="J803" s="127">
        <v>1</v>
      </c>
      <c r="K803" s="3"/>
      <c r="L803" s="2" t="s">
        <v>598</v>
      </c>
      <c r="M803" s="2"/>
      <c r="N803" s="2">
        <v>1</v>
      </c>
      <c r="O803" s="2"/>
      <c r="P803" s="3" t="s">
        <v>1615</v>
      </c>
      <c r="Q803" s="95">
        <f t="shared" si="73"/>
        <v>5.7709803921568623</v>
      </c>
      <c r="R803" s="133">
        <f>IF(P803=模板计算相关数据!$AB$24,VLOOKUP(X803,模板计算相关数据!$P$47:$T$50,2,0),VLOOKUP(X803,模板计算相关数据!$P$4:$U$7,3,0))*VLOOKUP(Y803,模板计算相关数据!$P$22:$X$30,8,0)</f>
        <v>5.7709803921568623</v>
      </c>
      <c r="S803" s="62">
        <f t="shared" si="74"/>
        <v>6.4077918749199023</v>
      </c>
      <c r="T803" s="133">
        <f>IF(P803=模板计算相关数据!$AB$24,VLOOKUP(X803,模板计算相关数据!$P$47:$T$50,5,0),VLOOKUP(X803,模板计算相关数据!$P$4:$U$7,6,0))*VLOOKUP(Y803,模板计算相关数据!$P$22:$X$30,9,0)</f>
        <v>6.4077918749199023</v>
      </c>
      <c r="U803" s="98">
        <v>1</v>
      </c>
      <c r="V803" s="95">
        <f t="shared" si="72"/>
        <v>4</v>
      </c>
      <c r="W803" s="29">
        <f>VLOOKUP(U803,模板计算相关数据!A:N,2,0)</f>
        <v>1</v>
      </c>
      <c r="X803" s="3" t="s">
        <v>151</v>
      </c>
      <c r="Y803" s="3" t="s">
        <v>243</v>
      </c>
      <c r="Z803" s="99">
        <v>1</v>
      </c>
      <c r="AA803" s="95">
        <v>1</v>
      </c>
      <c r="AB803" s="95">
        <v>1</v>
      </c>
      <c r="AC803" s="95">
        <v>1</v>
      </c>
      <c r="AD803" s="95">
        <v>0</v>
      </c>
      <c r="AE803" s="95">
        <v>0</v>
      </c>
      <c r="AF803" s="95">
        <v>0</v>
      </c>
      <c r="AG803" s="95">
        <v>0</v>
      </c>
      <c r="AH803" s="95">
        <v>0</v>
      </c>
      <c r="AI803" s="95">
        <v>0</v>
      </c>
      <c r="AJ803" s="3">
        <f>INT(VLOOKUP(U803,模板计算相关数据!A:N,4,0)*VLOOKUP(U803,模板计算相关数据!A:N,14,0)*(1+MAX(0,(VLOOKUP(U803,模板计算相关数据!A:N,7,0)-AQ803))*VLOOKUP(U803,模板计算相关数据!A:N,8,0))*(1-(AL803+AM803)*0.5/((AL803+AM803)*0.5+(VLOOKUP(U803,模板计算相关数据!A:N,2,0)+模板计算相关数据!$AC$27)*模板计算相关数据!$AC$28))*Q803*Z803)</f>
        <v>411</v>
      </c>
      <c r="AK803" s="3">
        <f>INT(VLOOKUP(U803,模板计算相关数据!A:N,3,0)/模板计算相关数据!$W$35/(1+MAX(0,(AO803/10000-VLOOKUP(U803,模板计算相关数据!A:N,9,0)))*AP803/10000)/(1-VLOOKUP(U803,模板计算相关数据!A:N,5,0)/(VLOOKUP(U803,模板计算相关数据!A:N,5,0)+(VLOOKUP(U803,模板计算相关数据!A:N,2,0)+模板计算相关数据!$AC$27)*模板计算相关数据!$AC$28))/S803*AA803)</f>
        <v>86</v>
      </c>
      <c r="AL803" s="3">
        <f>INT(VLOOKUP(U803,模板计算相关数据!A:N,5,0)*VLOOKUP(X803,模板计算相关数据!$P$4:$T$7,4,0)*VLOOKUP(Y803,模板计算相关数据!$P$22:$U$30,4,0)*AB803)</f>
        <v>145</v>
      </c>
      <c r="AM803" s="3">
        <f>INT(VLOOKUP(U803,模板计算相关数据!A:N,6,0)*VLOOKUP(X803,模板计算相关数据!$P$4:$T$7,4,0)*VLOOKUP(Y803,模板计算相关数据!$P$22:$U$30,5,0)*AC803)</f>
        <v>264</v>
      </c>
      <c r="AN803" s="3">
        <f>VLOOKUP(U803,模板计算相关数据!A:N,10,0)*0.5*VLOOKUP(Y803,模板计算相关数据!$P$22:$U$30,6,0)+AD803</f>
        <v>275</v>
      </c>
      <c r="AO803" s="3">
        <f>VLOOKUP(INT(VLOOKUP(U803,模板计算相关数据!A:N,2,0)/30)+1,模板计算相关数据!$O$35:$U$40,3,0)+AE803</f>
        <v>0</v>
      </c>
      <c r="AP803" s="3">
        <f>VLOOKUP(INT(VLOOKUP(U803,模板计算相关数据!A:N,2,0)/30)+1,模板计算相关数据!$O$35:$U$40,4,0)+AF803</f>
        <v>5000</v>
      </c>
      <c r="AQ803" s="3">
        <f>VLOOKUP(INT(VLOOKUP(U803,模板计算相关数据!A:N,2,0)/30)+1,模板计算相关数据!$O$35:$U$40,5,0)+AG803</f>
        <v>0</v>
      </c>
      <c r="AR803" s="3">
        <f>VLOOKUP(INT(VLOOKUP(U803,模板计算相关数据!A:N,2,0)/30)+1,模板计算相关数据!$O$35:$U$40,6,0)+AH803</f>
        <v>0</v>
      </c>
      <c r="AS803" s="3">
        <f>VLOOKUP(INT(VLOOKUP(U803,模板计算相关数据!A:N,2,0)/30)+1,模板计算相关数据!$O$35:$U$40,7,0)+AI803</f>
        <v>0</v>
      </c>
      <c r="AT803" s="3">
        <f>VLOOKUP(INT(VLOOKUP(U803,模板计算相关数据!A:N,2,0)/30)+1,模板计算相关数据!$O$35:$V$40,8,0)</f>
        <v>0</v>
      </c>
      <c r="AU803" s="2"/>
    </row>
    <row r="804" spans="1:47" x14ac:dyDescent="0.2">
      <c r="A804" s="2">
        <v>307318</v>
      </c>
      <c r="B804" s="2"/>
      <c r="C804" s="2" t="s">
        <v>79</v>
      </c>
      <c r="D804" s="69" t="s">
        <v>1298</v>
      </c>
      <c r="E804" s="2"/>
      <c r="F804" s="127">
        <v>3</v>
      </c>
      <c r="G804" s="127">
        <v>101</v>
      </c>
      <c r="H804" s="3">
        <v>5</v>
      </c>
      <c r="I804" s="127">
        <v>5</v>
      </c>
      <c r="J804" s="127">
        <v>1</v>
      </c>
      <c r="K804" s="3"/>
      <c r="L804" s="2" t="s">
        <v>599</v>
      </c>
      <c r="M804" s="2"/>
      <c r="N804" s="2">
        <v>1</v>
      </c>
      <c r="O804" s="2"/>
      <c r="P804" s="3" t="s">
        <v>1615</v>
      </c>
      <c r="Q804" s="95">
        <f t="shared" si="73"/>
        <v>5.7709803921568623</v>
      </c>
      <c r="R804" s="133">
        <f>IF(P804=模板计算相关数据!$AB$24,VLOOKUP(X804,模板计算相关数据!$P$47:$T$50,2,0),VLOOKUP(X804,模板计算相关数据!$P$4:$U$7,3,0))*VLOOKUP(Y804,模板计算相关数据!$P$22:$X$30,8,0)</f>
        <v>5.7709803921568623</v>
      </c>
      <c r="S804" s="62">
        <f t="shared" si="74"/>
        <v>6.4077918749199023</v>
      </c>
      <c r="T804" s="133">
        <f>IF(P804=模板计算相关数据!$AB$24,VLOOKUP(X804,模板计算相关数据!$P$47:$T$50,5,0),VLOOKUP(X804,模板计算相关数据!$P$4:$U$7,6,0))*VLOOKUP(Y804,模板计算相关数据!$P$22:$X$30,9,0)</f>
        <v>6.4077918749199023</v>
      </c>
      <c r="U804" s="98">
        <v>1</v>
      </c>
      <c r="V804" s="95">
        <f t="shared" si="72"/>
        <v>4</v>
      </c>
      <c r="W804" s="29">
        <f>VLOOKUP(U804,模板计算相关数据!A:N,2,0)</f>
        <v>1</v>
      </c>
      <c r="X804" s="3" t="s">
        <v>151</v>
      </c>
      <c r="Y804" s="3" t="s">
        <v>243</v>
      </c>
      <c r="Z804" s="99">
        <v>1</v>
      </c>
      <c r="AA804" s="95">
        <v>1</v>
      </c>
      <c r="AB804" s="95">
        <v>1</v>
      </c>
      <c r="AC804" s="95">
        <v>1</v>
      </c>
      <c r="AD804" s="95">
        <v>0</v>
      </c>
      <c r="AE804" s="95">
        <v>0</v>
      </c>
      <c r="AF804" s="95">
        <v>0</v>
      </c>
      <c r="AG804" s="95">
        <v>0</v>
      </c>
      <c r="AH804" s="95">
        <v>0</v>
      </c>
      <c r="AI804" s="95">
        <v>0</v>
      </c>
      <c r="AJ804" s="3">
        <f>INT(VLOOKUP(U804,模板计算相关数据!A:N,4,0)*VLOOKUP(U804,模板计算相关数据!A:N,14,0)*(1+MAX(0,(VLOOKUP(U804,模板计算相关数据!A:N,7,0)-AQ804))*VLOOKUP(U804,模板计算相关数据!A:N,8,0))*(1-(AL804+AM804)*0.5/((AL804+AM804)*0.5+(VLOOKUP(U804,模板计算相关数据!A:N,2,0)+模板计算相关数据!$AC$27)*模板计算相关数据!$AC$28))*Q804*Z804)</f>
        <v>411</v>
      </c>
      <c r="AK804" s="3">
        <f>INT(VLOOKUP(U804,模板计算相关数据!A:N,3,0)/模板计算相关数据!$W$35/(1+MAX(0,(AO804/10000-VLOOKUP(U804,模板计算相关数据!A:N,9,0)))*AP804/10000)/(1-VLOOKUP(U804,模板计算相关数据!A:N,5,0)/(VLOOKUP(U804,模板计算相关数据!A:N,5,0)+(VLOOKUP(U804,模板计算相关数据!A:N,2,0)+模板计算相关数据!$AC$27)*模板计算相关数据!$AC$28))/S804*AA804)</f>
        <v>86</v>
      </c>
      <c r="AL804" s="3">
        <f>INT(VLOOKUP(U804,模板计算相关数据!A:N,5,0)*VLOOKUP(X804,模板计算相关数据!$P$4:$T$7,4,0)*VLOOKUP(Y804,模板计算相关数据!$P$22:$U$30,4,0)*AB804)</f>
        <v>145</v>
      </c>
      <c r="AM804" s="3">
        <f>INT(VLOOKUP(U804,模板计算相关数据!A:N,6,0)*VLOOKUP(X804,模板计算相关数据!$P$4:$T$7,4,0)*VLOOKUP(Y804,模板计算相关数据!$P$22:$U$30,5,0)*AC804)</f>
        <v>264</v>
      </c>
      <c r="AN804" s="3">
        <f>VLOOKUP(U804,模板计算相关数据!A:N,10,0)*0.5*VLOOKUP(Y804,模板计算相关数据!$P$22:$U$30,6,0)+AD804</f>
        <v>275</v>
      </c>
      <c r="AO804" s="3">
        <f>VLOOKUP(INT(VLOOKUP(U804,模板计算相关数据!A:N,2,0)/30)+1,模板计算相关数据!$O$35:$U$40,3,0)+AE804</f>
        <v>0</v>
      </c>
      <c r="AP804" s="3">
        <f>VLOOKUP(INT(VLOOKUP(U804,模板计算相关数据!A:N,2,0)/30)+1,模板计算相关数据!$O$35:$U$40,4,0)+AF804</f>
        <v>5000</v>
      </c>
      <c r="AQ804" s="3">
        <f>VLOOKUP(INT(VLOOKUP(U804,模板计算相关数据!A:N,2,0)/30)+1,模板计算相关数据!$O$35:$U$40,5,0)+AG804</f>
        <v>0</v>
      </c>
      <c r="AR804" s="3">
        <f>VLOOKUP(INT(VLOOKUP(U804,模板计算相关数据!A:N,2,0)/30)+1,模板计算相关数据!$O$35:$U$40,6,0)+AH804</f>
        <v>0</v>
      </c>
      <c r="AS804" s="3">
        <f>VLOOKUP(INT(VLOOKUP(U804,模板计算相关数据!A:N,2,0)/30)+1,模板计算相关数据!$O$35:$U$40,7,0)+AI804</f>
        <v>0</v>
      </c>
      <c r="AT804" s="3">
        <f>VLOOKUP(INT(VLOOKUP(U804,模板计算相关数据!A:N,2,0)/30)+1,模板计算相关数据!$O$35:$V$40,8,0)</f>
        <v>0</v>
      </c>
      <c r="AU804" s="2"/>
    </row>
    <row r="805" spans="1:47" x14ac:dyDescent="0.2">
      <c r="A805" s="2">
        <v>307319</v>
      </c>
      <c r="B805" s="2"/>
      <c r="C805" s="2" t="s">
        <v>79</v>
      </c>
      <c r="D805" s="69" t="s">
        <v>1299</v>
      </c>
      <c r="E805" s="2"/>
      <c r="F805" s="127">
        <v>3</v>
      </c>
      <c r="G805" s="127">
        <v>101</v>
      </c>
      <c r="H805" s="3">
        <v>5</v>
      </c>
      <c r="I805" s="127">
        <v>5</v>
      </c>
      <c r="J805" s="127">
        <v>1</v>
      </c>
      <c r="K805" s="3"/>
      <c r="L805" s="2" t="s">
        <v>600</v>
      </c>
      <c r="M805" s="2"/>
      <c r="N805" s="2">
        <v>1</v>
      </c>
      <c r="O805" s="2"/>
      <c r="P805" s="3" t="s">
        <v>1615</v>
      </c>
      <c r="Q805" s="95">
        <f t="shared" si="73"/>
        <v>5.7709803921568623</v>
      </c>
      <c r="R805" s="133">
        <f>IF(P805=模板计算相关数据!$AB$24,VLOOKUP(X805,模板计算相关数据!$P$47:$T$50,2,0),VLOOKUP(X805,模板计算相关数据!$P$4:$U$7,3,0))*VLOOKUP(Y805,模板计算相关数据!$P$22:$X$30,8,0)</f>
        <v>5.7709803921568623</v>
      </c>
      <c r="S805" s="62">
        <f t="shared" si="74"/>
        <v>6.4077918749199023</v>
      </c>
      <c r="T805" s="133">
        <f>IF(P805=模板计算相关数据!$AB$24,VLOOKUP(X805,模板计算相关数据!$P$47:$T$50,5,0),VLOOKUP(X805,模板计算相关数据!$P$4:$U$7,6,0))*VLOOKUP(Y805,模板计算相关数据!$P$22:$X$30,9,0)</f>
        <v>6.4077918749199023</v>
      </c>
      <c r="U805" s="98">
        <v>1</v>
      </c>
      <c r="V805" s="95">
        <f t="shared" si="72"/>
        <v>4</v>
      </c>
      <c r="W805" s="29">
        <f>VLOOKUP(U805,模板计算相关数据!A:N,2,0)</f>
        <v>1</v>
      </c>
      <c r="X805" s="3" t="s">
        <v>151</v>
      </c>
      <c r="Y805" s="3" t="s">
        <v>243</v>
      </c>
      <c r="Z805" s="99">
        <v>1</v>
      </c>
      <c r="AA805" s="95">
        <v>1</v>
      </c>
      <c r="AB805" s="95">
        <v>1</v>
      </c>
      <c r="AC805" s="95">
        <v>1</v>
      </c>
      <c r="AD805" s="95">
        <v>0</v>
      </c>
      <c r="AE805" s="95">
        <v>0</v>
      </c>
      <c r="AF805" s="95">
        <v>0</v>
      </c>
      <c r="AG805" s="95">
        <v>0</v>
      </c>
      <c r="AH805" s="95">
        <v>0</v>
      </c>
      <c r="AI805" s="95">
        <v>0</v>
      </c>
      <c r="AJ805" s="3">
        <f>INT(VLOOKUP(U805,模板计算相关数据!A:N,4,0)*VLOOKUP(U805,模板计算相关数据!A:N,14,0)*(1+MAX(0,(VLOOKUP(U805,模板计算相关数据!A:N,7,0)-AQ805))*VLOOKUP(U805,模板计算相关数据!A:N,8,0))*(1-(AL805+AM805)*0.5/((AL805+AM805)*0.5+(VLOOKUP(U805,模板计算相关数据!A:N,2,0)+模板计算相关数据!$AC$27)*模板计算相关数据!$AC$28))*Q805*Z805)</f>
        <v>411</v>
      </c>
      <c r="AK805" s="3">
        <f>INT(VLOOKUP(U805,模板计算相关数据!A:N,3,0)/模板计算相关数据!$W$35/(1+MAX(0,(AO805/10000-VLOOKUP(U805,模板计算相关数据!A:N,9,0)))*AP805/10000)/(1-VLOOKUP(U805,模板计算相关数据!A:N,5,0)/(VLOOKUP(U805,模板计算相关数据!A:N,5,0)+(VLOOKUP(U805,模板计算相关数据!A:N,2,0)+模板计算相关数据!$AC$27)*模板计算相关数据!$AC$28))/S805*AA805)</f>
        <v>86</v>
      </c>
      <c r="AL805" s="3">
        <f>INT(VLOOKUP(U805,模板计算相关数据!A:N,5,0)*VLOOKUP(X805,模板计算相关数据!$P$4:$T$7,4,0)*VLOOKUP(Y805,模板计算相关数据!$P$22:$U$30,4,0)*AB805)</f>
        <v>145</v>
      </c>
      <c r="AM805" s="3">
        <f>INT(VLOOKUP(U805,模板计算相关数据!A:N,6,0)*VLOOKUP(X805,模板计算相关数据!$P$4:$T$7,4,0)*VLOOKUP(Y805,模板计算相关数据!$P$22:$U$30,5,0)*AC805)</f>
        <v>264</v>
      </c>
      <c r="AN805" s="3">
        <f>VLOOKUP(U805,模板计算相关数据!A:N,10,0)*0.5*VLOOKUP(Y805,模板计算相关数据!$P$22:$U$30,6,0)+AD805</f>
        <v>275</v>
      </c>
      <c r="AO805" s="3">
        <f>VLOOKUP(INT(VLOOKUP(U805,模板计算相关数据!A:N,2,0)/30)+1,模板计算相关数据!$O$35:$U$40,3,0)+AE805</f>
        <v>0</v>
      </c>
      <c r="AP805" s="3">
        <f>VLOOKUP(INT(VLOOKUP(U805,模板计算相关数据!A:N,2,0)/30)+1,模板计算相关数据!$O$35:$U$40,4,0)+AF805</f>
        <v>5000</v>
      </c>
      <c r="AQ805" s="3">
        <f>VLOOKUP(INT(VLOOKUP(U805,模板计算相关数据!A:N,2,0)/30)+1,模板计算相关数据!$O$35:$U$40,5,0)+AG805</f>
        <v>0</v>
      </c>
      <c r="AR805" s="3">
        <f>VLOOKUP(INT(VLOOKUP(U805,模板计算相关数据!A:N,2,0)/30)+1,模板计算相关数据!$O$35:$U$40,6,0)+AH805</f>
        <v>0</v>
      </c>
      <c r="AS805" s="3">
        <f>VLOOKUP(INT(VLOOKUP(U805,模板计算相关数据!A:N,2,0)/30)+1,模板计算相关数据!$O$35:$U$40,7,0)+AI805</f>
        <v>0</v>
      </c>
      <c r="AT805" s="3">
        <f>VLOOKUP(INT(VLOOKUP(U805,模板计算相关数据!A:N,2,0)/30)+1,模板计算相关数据!$O$35:$V$40,8,0)</f>
        <v>0</v>
      </c>
      <c r="AU805" s="2"/>
    </row>
    <row r="806" spans="1:47" x14ac:dyDescent="0.2">
      <c r="A806" s="2">
        <v>307320</v>
      </c>
      <c r="B806" s="2"/>
      <c r="C806" s="2" t="s">
        <v>79</v>
      </c>
      <c r="D806" s="69" t="s">
        <v>1300</v>
      </c>
      <c r="E806" s="2"/>
      <c r="F806" s="127">
        <v>3</v>
      </c>
      <c r="G806" s="127">
        <v>101</v>
      </c>
      <c r="H806" s="3">
        <v>5</v>
      </c>
      <c r="I806" s="127">
        <v>5</v>
      </c>
      <c r="J806" s="127">
        <v>1</v>
      </c>
      <c r="K806" s="3"/>
      <c r="L806" s="2" t="s">
        <v>601</v>
      </c>
      <c r="M806" s="2"/>
      <c r="N806" s="2">
        <v>1</v>
      </c>
      <c r="O806" s="2"/>
      <c r="P806" s="3" t="s">
        <v>1615</v>
      </c>
      <c r="Q806" s="95">
        <f t="shared" si="73"/>
        <v>5.7709803921568623</v>
      </c>
      <c r="R806" s="133">
        <f>IF(P806=模板计算相关数据!$AB$24,VLOOKUP(X806,模板计算相关数据!$P$47:$T$50,2,0),VLOOKUP(X806,模板计算相关数据!$P$4:$U$7,3,0))*VLOOKUP(Y806,模板计算相关数据!$P$22:$X$30,8,0)</f>
        <v>5.7709803921568623</v>
      </c>
      <c r="S806" s="62">
        <f t="shared" si="74"/>
        <v>6.4077918749199023</v>
      </c>
      <c r="T806" s="133">
        <f>IF(P806=模板计算相关数据!$AB$24,VLOOKUP(X806,模板计算相关数据!$P$47:$T$50,5,0),VLOOKUP(X806,模板计算相关数据!$P$4:$U$7,6,0))*VLOOKUP(Y806,模板计算相关数据!$P$22:$X$30,9,0)</f>
        <v>6.4077918749199023</v>
      </c>
      <c r="U806" s="98">
        <v>1</v>
      </c>
      <c r="V806" s="95">
        <f t="shared" si="72"/>
        <v>4</v>
      </c>
      <c r="W806" s="29">
        <f>VLOOKUP(U806,模板计算相关数据!A:N,2,0)</f>
        <v>1</v>
      </c>
      <c r="X806" s="3" t="s">
        <v>151</v>
      </c>
      <c r="Y806" s="3" t="s">
        <v>243</v>
      </c>
      <c r="Z806" s="99">
        <v>1</v>
      </c>
      <c r="AA806" s="95">
        <v>1</v>
      </c>
      <c r="AB806" s="95">
        <v>1</v>
      </c>
      <c r="AC806" s="95">
        <v>1</v>
      </c>
      <c r="AD806" s="95">
        <v>0</v>
      </c>
      <c r="AE806" s="95">
        <v>0</v>
      </c>
      <c r="AF806" s="95">
        <v>0</v>
      </c>
      <c r="AG806" s="95">
        <v>0</v>
      </c>
      <c r="AH806" s="95">
        <v>0</v>
      </c>
      <c r="AI806" s="95">
        <v>0</v>
      </c>
      <c r="AJ806" s="3">
        <f>INT(VLOOKUP(U806,模板计算相关数据!A:N,4,0)*VLOOKUP(U806,模板计算相关数据!A:N,14,0)*(1+MAX(0,(VLOOKUP(U806,模板计算相关数据!A:N,7,0)-AQ806))*VLOOKUP(U806,模板计算相关数据!A:N,8,0))*(1-(AL806+AM806)*0.5/((AL806+AM806)*0.5+(VLOOKUP(U806,模板计算相关数据!A:N,2,0)+模板计算相关数据!$AC$27)*模板计算相关数据!$AC$28))*Q806*Z806)</f>
        <v>411</v>
      </c>
      <c r="AK806" s="3">
        <f>INT(VLOOKUP(U806,模板计算相关数据!A:N,3,0)/模板计算相关数据!$W$35/(1+MAX(0,(AO806/10000-VLOOKUP(U806,模板计算相关数据!A:N,9,0)))*AP806/10000)/(1-VLOOKUP(U806,模板计算相关数据!A:N,5,0)/(VLOOKUP(U806,模板计算相关数据!A:N,5,0)+(VLOOKUP(U806,模板计算相关数据!A:N,2,0)+模板计算相关数据!$AC$27)*模板计算相关数据!$AC$28))/S806*AA806)</f>
        <v>86</v>
      </c>
      <c r="AL806" s="3">
        <f>INT(VLOOKUP(U806,模板计算相关数据!A:N,5,0)*VLOOKUP(X806,模板计算相关数据!$P$4:$T$7,4,0)*VLOOKUP(Y806,模板计算相关数据!$P$22:$U$30,4,0)*AB806)</f>
        <v>145</v>
      </c>
      <c r="AM806" s="3">
        <f>INT(VLOOKUP(U806,模板计算相关数据!A:N,6,0)*VLOOKUP(X806,模板计算相关数据!$P$4:$T$7,4,0)*VLOOKUP(Y806,模板计算相关数据!$P$22:$U$30,5,0)*AC806)</f>
        <v>264</v>
      </c>
      <c r="AN806" s="3">
        <f>VLOOKUP(U806,模板计算相关数据!A:N,10,0)*0.5*VLOOKUP(Y806,模板计算相关数据!$P$22:$U$30,6,0)+AD806</f>
        <v>275</v>
      </c>
      <c r="AO806" s="3">
        <f>VLOOKUP(INT(VLOOKUP(U806,模板计算相关数据!A:N,2,0)/30)+1,模板计算相关数据!$O$35:$U$40,3,0)+AE806</f>
        <v>0</v>
      </c>
      <c r="AP806" s="3">
        <f>VLOOKUP(INT(VLOOKUP(U806,模板计算相关数据!A:N,2,0)/30)+1,模板计算相关数据!$O$35:$U$40,4,0)+AF806</f>
        <v>5000</v>
      </c>
      <c r="AQ806" s="3">
        <f>VLOOKUP(INT(VLOOKUP(U806,模板计算相关数据!A:N,2,0)/30)+1,模板计算相关数据!$O$35:$U$40,5,0)+AG806</f>
        <v>0</v>
      </c>
      <c r="AR806" s="3">
        <f>VLOOKUP(INT(VLOOKUP(U806,模板计算相关数据!A:N,2,0)/30)+1,模板计算相关数据!$O$35:$U$40,6,0)+AH806</f>
        <v>0</v>
      </c>
      <c r="AS806" s="3">
        <f>VLOOKUP(INT(VLOOKUP(U806,模板计算相关数据!A:N,2,0)/30)+1,模板计算相关数据!$O$35:$U$40,7,0)+AI806</f>
        <v>0</v>
      </c>
      <c r="AT806" s="3">
        <f>VLOOKUP(INT(VLOOKUP(U806,模板计算相关数据!A:N,2,0)/30)+1,模板计算相关数据!$O$35:$V$40,8,0)</f>
        <v>0</v>
      </c>
      <c r="AU806" s="2"/>
    </row>
    <row r="807" spans="1:47" x14ac:dyDescent="0.2">
      <c r="A807" s="2">
        <v>307321</v>
      </c>
      <c r="B807" s="2"/>
      <c r="C807" s="2" t="s">
        <v>162</v>
      </c>
      <c r="D807" s="2" t="s">
        <v>1301</v>
      </c>
      <c r="E807" s="2"/>
      <c r="F807" s="127">
        <v>3</v>
      </c>
      <c r="G807" s="127">
        <v>101</v>
      </c>
      <c r="H807" s="3">
        <v>4</v>
      </c>
      <c r="I807" s="127">
        <v>5</v>
      </c>
      <c r="J807" s="127">
        <v>1</v>
      </c>
      <c r="K807" s="3"/>
      <c r="L807" s="2" t="s">
        <v>602</v>
      </c>
      <c r="M807" s="2"/>
      <c r="N807" s="2">
        <v>1</v>
      </c>
      <c r="O807" s="2"/>
      <c r="P807" s="3" t="s">
        <v>1615</v>
      </c>
      <c r="Q807" s="95">
        <f t="shared" si="73"/>
        <v>4.4674509803921572</v>
      </c>
      <c r="R807" s="133">
        <f>IF(P807=模板计算相关数据!$AB$24,VLOOKUP(X807,模板计算相关数据!$P$47:$T$50,2,0),VLOOKUP(X807,模板计算相关数据!$P$4:$U$7,3,0))*VLOOKUP(Y807,模板计算相关数据!$P$22:$X$30,8,0)</f>
        <v>4.4674509803921572</v>
      </c>
      <c r="S807" s="62">
        <f t="shared" si="74"/>
        <v>5.4739930589768004</v>
      </c>
      <c r="T807" s="133">
        <f>IF(P807=模板计算相关数据!$AB$24,VLOOKUP(X807,模板计算相关数据!$P$47:$T$50,5,0),VLOOKUP(X807,模板计算相关数据!$P$4:$U$7,6,0))*VLOOKUP(Y807,模板计算相关数据!$P$22:$X$30,9,0)</f>
        <v>5.4739930589768004</v>
      </c>
      <c r="U807" s="98">
        <v>1</v>
      </c>
      <c r="V807" s="95">
        <f t="shared" si="72"/>
        <v>4</v>
      </c>
      <c r="W807" s="29">
        <f>VLOOKUP(U807,模板计算相关数据!A:N,2,0)</f>
        <v>1</v>
      </c>
      <c r="X807" s="3" t="s">
        <v>151</v>
      </c>
      <c r="Y807" s="3" t="s">
        <v>162</v>
      </c>
      <c r="Z807" s="99">
        <v>1</v>
      </c>
      <c r="AA807" s="95">
        <v>1</v>
      </c>
      <c r="AB807" s="95">
        <v>1</v>
      </c>
      <c r="AC807" s="95">
        <v>1</v>
      </c>
      <c r="AD807" s="95">
        <v>0</v>
      </c>
      <c r="AE807" s="95">
        <v>0</v>
      </c>
      <c r="AF807" s="95">
        <v>0</v>
      </c>
      <c r="AG807" s="95">
        <v>0</v>
      </c>
      <c r="AH807" s="95">
        <v>0</v>
      </c>
      <c r="AI807" s="95">
        <v>0</v>
      </c>
      <c r="AJ807" s="3">
        <f>INT(VLOOKUP(U807,模板计算相关数据!A:N,4,0)*VLOOKUP(U807,模板计算相关数据!A:N,14,0)*(1+MAX(0,(VLOOKUP(U807,模板计算相关数据!A:N,7,0)-AQ807))*VLOOKUP(U807,模板计算相关数据!A:N,8,0))*(1-(AL807+AM807)*0.5/((AL807+AM807)*0.5+(VLOOKUP(U807,模板计算相关数据!A:N,2,0)+模板计算相关数据!$AC$27)*模板计算相关数据!$AC$28))*Q807*Z807)</f>
        <v>328</v>
      </c>
      <c r="AK807" s="3">
        <f>INT(VLOOKUP(U807,模板计算相关数据!A:N,3,0)/模板计算相关数据!$W$35/(1+MAX(0,(AO807/10000-VLOOKUP(U807,模板计算相关数据!A:N,9,0)))*AP807/10000)/(1-VLOOKUP(U807,模板计算相关数据!A:N,5,0)/(VLOOKUP(U807,模板计算相关数据!A:N,5,0)+(VLOOKUP(U807,模板计算相关数据!A:N,2,0)+模板计算相关数据!$AC$27)*模板计算相关数据!$AC$28))/S807*AA807)</f>
        <v>101</v>
      </c>
      <c r="AL807" s="3">
        <f>INT(VLOOKUP(U807,模板计算相关数据!A:N,5,0)*VLOOKUP(X807,模板计算相关数据!$P$4:$T$7,4,0)*VLOOKUP(Y807,模板计算相关数据!$P$22:$U$30,4,0)*AB807)</f>
        <v>136</v>
      </c>
      <c r="AM807" s="3">
        <f>INT(VLOOKUP(U807,模板计算相关数据!A:N,6,0)*VLOOKUP(X807,模板计算相关数据!$P$4:$T$7,4,0)*VLOOKUP(Y807,模板计算相关数据!$P$22:$U$30,5,0)*AC807)</f>
        <v>230</v>
      </c>
      <c r="AN807" s="3">
        <f>VLOOKUP(U807,模板计算相关数据!A:N,10,0)*0.5*VLOOKUP(Y807,模板计算相关数据!$P$22:$U$30,6,0)+AD807</f>
        <v>250</v>
      </c>
      <c r="AO807" s="3">
        <f>VLOOKUP(INT(VLOOKUP(U807,模板计算相关数据!A:N,2,0)/30)+1,模板计算相关数据!$O$35:$U$40,3,0)+AE807</f>
        <v>0</v>
      </c>
      <c r="AP807" s="3">
        <f>VLOOKUP(INT(VLOOKUP(U807,模板计算相关数据!A:N,2,0)/30)+1,模板计算相关数据!$O$35:$U$40,4,0)+AF807</f>
        <v>5000</v>
      </c>
      <c r="AQ807" s="3">
        <f>VLOOKUP(INT(VLOOKUP(U807,模板计算相关数据!A:N,2,0)/30)+1,模板计算相关数据!$O$35:$U$40,5,0)+AG807</f>
        <v>0</v>
      </c>
      <c r="AR807" s="3">
        <f>VLOOKUP(INT(VLOOKUP(U807,模板计算相关数据!A:N,2,0)/30)+1,模板计算相关数据!$O$35:$U$40,6,0)+AH807</f>
        <v>0</v>
      </c>
      <c r="AS807" s="3">
        <f>VLOOKUP(INT(VLOOKUP(U807,模板计算相关数据!A:N,2,0)/30)+1,模板计算相关数据!$O$35:$U$40,7,0)+AI807</f>
        <v>0</v>
      </c>
      <c r="AT807" s="3">
        <f>VLOOKUP(INT(VLOOKUP(U807,模板计算相关数据!A:N,2,0)/30)+1,模板计算相关数据!$O$35:$V$40,8,0)</f>
        <v>0</v>
      </c>
      <c r="AU807" s="2"/>
    </row>
    <row r="808" spans="1:47" x14ac:dyDescent="0.2">
      <c r="A808" s="2">
        <v>307322</v>
      </c>
      <c r="B808" s="2"/>
      <c r="C808" s="2" t="s">
        <v>162</v>
      </c>
      <c r="D808" s="2" t="s">
        <v>1302</v>
      </c>
      <c r="E808" s="2"/>
      <c r="F808" s="127">
        <v>3</v>
      </c>
      <c r="G808" s="127">
        <v>101</v>
      </c>
      <c r="H808" s="3">
        <v>4</v>
      </c>
      <c r="I808" s="127">
        <v>5</v>
      </c>
      <c r="J808" s="127">
        <v>1</v>
      </c>
      <c r="K808" s="3"/>
      <c r="L808" s="2" t="s">
        <v>603</v>
      </c>
      <c r="M808" s="2"/>
      <c r="N808" s="2">
        <v>1</v>
      </c>
      <c r="O808" s="2"/>
      <c r="P808" s="3" t="s">
        <v>1615</v>
      </c>
      <c r="Q808" s="95">
        <f t="shared" si="73"/>
        <v>4.4674509803921572</v>
      </c>
      <c r="R808" s="133">
        <f>IF(P808=模板计算相关数据!$AB$24,VLOOKUP(X808,模板计算相关数据!$P$47:$T$50,2,0),VLOOKUP(X808,模板计算相关数据!$P$4:$U$7,3,0))*VLOOKUP(Y808,模板计算相关数据!$P$22:$X$30,8,0)</f>
        <v>4.4674509803921572</v>
      </c>
      <c r="S808" s="62">
        <f t="shared" si="74"/>
        <v>5.4739930589768004</v>
      </c>
      <c r="T808" s="133">
        <f>IF(P808=模板计算相关数据!$AB$24,VLOOKUP(X808,模板计算相关数据!$P$47:$T$50,5,0),VLOOKUP(X808,模板计算相关数据!$P$4:$U$7,6,0))*VLOOKUP(Y808,模板计算相关数据!$P$22:$X$30,9,0)</f>
        <v>5.4739930589768004</v>
      </c>
      <c r="U808" s="98">
        <v>1</v>
      </c>
      <c r="V808" s="95">
        <f t="shared" si="72"/>
        <v>4</v>
      </c>
      <c r="W808" s="29">
        <f>VLOOKUP(U808,模板计算相关数据!A:N,2,0)</f>
        <v>1</v>
      </c>
      <c r="X808" s="3" t="s">
        <v>151</v>
      </c>
      <c r="Y808" s="3" t="s">
        <v>162</v>
      </c>
      <c r="Z808" s="99">
        <v>1</v>
      </c>
      <c r="AA808" s="95">
        <v>1</v>
      </c>
      <c r="AB808" s="95">
        <v>1</v>
      </c>
      <c r="AC808" s="95">
        <v>1</v>
      </c>
      <c r="AD808" s="95">
        <v>0</v>
      </c>
      <c r="AE808" s="95">
        <v>0</v>
      </c>
      <c r="AF808" s="95">
        <v>0</v>
      </c>
      <c r="AG808" s="95">
        <v>0</v>
      </c>
      <c r="AH808" s="95">
        <v>0</v>
      </c>
      <c r="AI808" s="95">
        <v>0</v>
      </c>
      <c r="AJ808" s="3">
        <f>INT(VLOOKUP(U808,模板计算相关数据!A:N,4,0)*VLOOKUP(U808,模板计算相关数据!A:N,14,0)*(1+MAX(0,(VLOOKUP(U808,模板计算相关数据!A:N,7,0)-AQ808))*VLOOKUP(U808,模板计算相关数据!A:N,8,0))*(1-(AL808+AM808)*0.5/((AL808+AM808)*0.5+(VLOOKUP(U808,模板计算相关数据!A:N,2,0)+模板计算相关数据!$AC$27)*模板计算相关数据!$AC$28))*Q808*Z808)</f>
        <v>328</v>
      </c>
      <c r="AK808" s="3">
        <f>INT(VLOOKUP(U808,模板计算相关数据!A:N,3,0)/模板计算相关数据!$W$35/(1+MAX(0,(AO808/10000-VLOOKUP(U808,模板计算相关数据!A:N,9,0)))*AP808/10000)/(1-VLOOKUP(U808,模板计算相关数据!A:N,5,0)/(VLOOKUP(U808,模板计算相关数据!A:N,5,0)+(VLOOKUP(U808,模板计算相关数据!A:N,2,0)+模板计算相关数据!$AC$27)*模板计算相关数据!$AC$28))/S808*AA808)</f>
        <v>101</v>
      </c>
      <c r="AL808" s="3">
        <f>INT(VLOOKUP(U808,模板计算相关数据!A:N,5,0)*VLOOKUP(X808,模板计算相关数据!$P$4:$T$7,4,0)*VLOOKUP(Y808,模板计算相关数据!$P$22:$U$30,4,0)*AB808)</f>
        <v>136</v>
      </c>
      <c r="AM808" s="3">
        <f>INT(VLOOKUP(U808,模板计算相关数据!A:N,6,0)*VLOOKUP(X808,模板计算相关数据!$P$4:$T$7,4,0)*VLOOKUP(Y808,模板计算相关数据!$P$22:$U$30,5,0)*AC808)</f>
        <v>230</v>
      </c>
      <c r="AN808" s="3">
        <f>VLOOKUP(U808,模板计算相关数据!A:N,10,0)*0.5*VLOOKUP(Y808,模板计算相关数据!$P$22:$U$30,6,0)+AD808</f>
        <v>250</v>
      </c>
      <c r="AO808" s="3">
        <f>VLOOKUP(INT(VLOOKUP(U808,模板计算相关数据!A:N,2,0)/30)+1,模板计算相关数据!$O$35:$U$40,3,0)+AE808</f>
        <v>0</v>
      </c>
      <c r="AP808" s="3">
        <f>VLOOKUP(INT(VLOOKUP(U808,模板计算相关数据!A:N,2,0)/30)+1,模板计算相关数据!$O$35:$U$40,4,0)+AF808</f>
        <v>5000</v>
      </c>
      <c r="AQ808" s="3">
        <f>VLOOKUP(INT(VLOOKUP(U808,模板计算相关数据!A:N,2,0)/30)+1,模板计算相关数据!$O$35:$U$40,5,0)+AG808</f>
        <v>0</v>
      </c>
      <c r="AR808" s="3">
        <f>VLOOKUP(INT(VLOOKUP(U808,模板计算相关数据!A:N,2,0)/30)+1,模板计算相关数据!$O$35:$U$40,6,0)+AH808</f>
        <v>0</v>
      </c>
      <c r="AS808" s="3">
        <f>VLOOKUP(INT(VLOOKUP(U808,模板计算相关数据!A:N,2,0)/30)+1,模板计算相关数据!$O$35:$U$40,7,0)+AI808</f>
        <v>0</v>
      </c>
      <c r="AT808" s="3">
        <f>VLOOKUP(INT(VLOOKUP(U808,模板计算相关数据!A:N,2,0)/30)+1,模板计算相关数据!$O$35:$V$40,8,0)</f>
        <v>0</v>
      </c>
      <c r="AU808" s="2"/>
    </row>
    <row r="809" spans="1:47" x14ac:dyDescent="0.2">
      <c r="A809" s="2">
        <v>307323</v>
      </c>
      <c r="B809" s="2"/>
      <c r="C809" s="2" t="s">
        <v>162</v>
      </c>
      <c r="D809" s="2" t="s">
        <v>1303</v>
      </c>
      <c r="E809" s="2"/>
      <c r="F809" s="127">
        <v>3</v>
      </c>
      <c r="G809" s="127">
        <v>101</v>
      </c>
      <c r="H809" s="3">
        <v>4</v>
      </c>
      <c r="I809" s="127">
        <v>5</v>
      </c>
      <c r="J809" s="127">
        <v>1</v>
      </c>
      <c r="K809" s="3"/>
      <c r="L809" s="2" t="s">
        <v>604</v>
      </c>
      <c r="M809" s="2"/>
      <c r="N809" s="2">
        <v>1</v>
      </c>
      <c r="O809" s="2"/>
      <c r="P809" s="3" t="s">
        <v>1615</v>
      </c>
      <c r="Q809" s="95">
        <f t="shared" si="73"/>
        <v>4.4674509803921572</v>
      </c>
      <c r="R809" s="133">
        <f>IF(P809=模板计算相关数据!$AB$24,VLOOKUP(X809,模板计算相关数据!$P$47:$T$50,2,0),VLOOKUP(X809,模板计算相关数据!$P$4:$U$7,3,0))*VLOOKUP(Y809,模板计算相关数据!$P$22:$X$30,8,0)</f>
        <v>4.4674509803921572</v>
      </c>
      <c r="S809" s="62">
        <f t="shared" si="74"/>
        <v>5.4739930589768004</v>
      </c>
      <c r="T809" s="133">
        <f>IF(P809=模板计算相关数据!$AB$24,VLOOKUP(X809,模板计算相关数据!$P$47:$T$50,5,0),VLOOKUP(X809,模板计算相关数据!$P$4:$U$7,6,0))*VLOOKUP(Y809,模板计算相关数据!$P$22:$X$30,9,0)</f>
        <v>5.4739930589768004</v>
      </c>
      <c r="U809" s="98">
        <v>1</v>
      </c>
      <c r="V809" s="95">
        <f t="shared" si="72"/>
        <v>4</v>
      </c>
      <c r="W809" s="29">
        <f>VLOOKUP(U809,模板计算相关数据!A:N,2,0)</f>
        <v>1</v>
      </c>
      <c r="X809" s="3" t="s">
        <v>151</v>
      </c>
      <c r="Y809" s="3" t="s">
        <v>162</v>
      </c>
      <c r="Z809" s="99">
        <v>1</v>
      </c>
      <c r="AA809" s="95">
        <v>1</v>
      </c>
      <c r="AB809" s="95">
        <v>1</v>
      </c>
      <c r="AC809" s="95">
        <v>1</v>
      </c>
      <c r="AD809" s="95">
        <v>0</v>
      </c>
      <c r="AE809" s="95">
        <v>0</v>
      </c>
      <c r="AF809" s="95">
        <v>0</v>
      </c>
      <c r="AG809" s="95">
        <v>0</v>
      </c>
      <c r="AH809" s="95">
        <v>0</v>
      </c>
      <c r="AI809" s="95">
        <v>0</v>
      </c>
      <c r="AJ809" s="3">
        <f>INT(VLOOKUP(U809,模板计算相关数据!A:N,4,0)*VLOOKUP(U809,模板计算相关数据!A:N,14,0)*(1+MAX(0,(VLOOKUP(U809,模板计算相关数据!A:N,7,0)-AQ809))*VLOOKUP(U809,模板计算相关数据!A:N,8,0))*(1-(AL809+AM809)*0.5/((AL809+AM809)*0.5+(VLOOKUP(U809,模板计算相关数据!A:N,2,0)+模板计算相关数据!$AC$27)*模板计算相关数据!$AC$28))*Q809*Z809)</f>
        <v>328</v>
      </c>
      <c r="AK809" s="3">
        <f>INT(VLOOKUP(U809,模板计算相关数据!A:N,3,0)/模板计算相关数据!$W$35/(1+MAX(0,(AO809/10000-VLOOKUP(U809,模板计算相关数据!A:N,9,0)))*AP809/10000)/(1-VLOOKUP(U809,模板计算相关数据!A:N,5,0)/(VLOOKUP(U809,模板计算相关数据!A:N,5,0)+(VLOOKUP(U809,模板计算相关数据!A:N,2,0)+模板计算相关数据!$AC$27)*模板计算相关数据!$AC$28))/S809*AA809)</f>
        <v>101</v>
      </c>
      <c r="AL809" s="3">
        <f>INT(VLOOKUP(U809,模板计算相关数据!A:N,5,0)*VLOOKUP(X809,模板计算相关数据!$P$4:$T$7,4,0)*VLOOKUP(Y809,模板计算相关数据!$P$22:$U$30,4,0)*AB809)</f>
        <v>136</v>
      </c>
      <c r="AM809" s="3">
        <f>INT(VLOOKUP(U809,模板计算相关数据!A:N,6,0)*VLOOKUP(X809,模板计算相关数据!$P$4:$T$7,4,0)*VLOOKUP(Y809,模板计算相关数据!$P$22:$U$30,5,0)*AC809)</f>
        <v>230</v>
      </c>
      <c r="AN809" s="3">
        <f>VLOOKUP(U809,模板计算相关数据!A:N,10,0)*0.5*VLOOKUP(Y809,模板计算相关数据!$P$22:$U$30,6,0)+AD809</f>
        <v>250</v>
      </c>
      <c r="AO809" s="3">
        <f>VLOOKUP(INT(VLOOKUP(U809,模板计算相关数据!A:N,2,0)/30)+1,模板计算相关数据!$O$35:$U$40,3,0)+AE809</f>
        <v>0</v>
      </c>
      <c r="AP809" s="3">
        <f>VLOOKUP(INT(VLOOKUP(U809,模板计算相关数据!A:N,2,0)/30)+1,模板计算相关数据!$O$35:$U$40,4,0)+AF809</f>
        <v>5000</v>
      </c>
      <c r="AQ809" s="3">
        <f>VLOOKUP(INT(VLOOKUP(U809,模板计算相关数据!A:N,2,0)/30)+1,模板计算相关数据!$O$35:$U$40,5,0)+AG809</f>
        <v>0</v>
      </c>
      <c r="AR809" s="3">
        <f>VLOOKUP(INT(VLOOKUP(U809,模板计算相关数据!A:N,2,0)/30)+1,模板计算相关数据!$O$35:$U$40,6,0)+AH809</f>
        <v>0</v>
      </c>
      <c r="AS809" s="3">
        <f>VLOOKUP(INT(VLOOKUP(U809,模板计算相关数据!A:N,2,0)/30)+1,模板计算相关数据!$O$35:$U$40,7,0)+AI809</f>
        <v>0</v>
      </c>
      <c r="AT809" s="3">
        <f>VLOOKUP(INT(VLOOKUP(U809,模板计算相关数据!A:N,2,0)/30)+1,模板计算相关数据!$O$35:$V$40,8,0)</f>
        <v>0</v>
      </c>
      <c r="AU809" s="2"/>
    </row>
    <row r="810" spans="1:47" x14ac:dyDescent="0.2">
      <c r="A810" s="2">
        <v>307324</v>
      </c>
      <c r="B810" s="2"/>
      <c r="C810" s="2" t="s">
        <v>162</v>
      </c>
      <c r="D810" s="2" t="s">
        <v>1304</v>
      </c>
      <c r="E810" s="2"/>
      <c r="F810" s="127">
        <v>3</v>
      </c>
      <c r="G810" s="127">
        <v>101</v>
      </c>
      <c r="H810" s="3">
        <v>4</v>
      </c>
      <c r="I810" s="127">
        <v>5</v>
      </c>
      <c r="J810" s="127">
        <v>1</v>
      </c>
      <c r="K810" s="3"/>
      <c r="L810" s="2" t="s">
        <v>605</v>
      </c>
      <c r="M810" s="2"/>
      <c r="N810" s="2">
        <v>1</v>
      </c>
      <c r="O810" s="2"/>
      <c r="P810" s="3" t="s">
        <v>1615</v>
      </c>
      <c r="Q810" s="95">
        <f t="shared" si="73"/>
        <v>4.4674509803921572</v>
      </c>
      <c r="R810" s="133">
        <f>IF(P810=模板计算相关数据!$AB$24,VLOOKUP(X810,模板计算相关数据!$P$47:$T$50,2,0),VLOOKUP(X810,模板计算相关数据!$P$4:$U$7,3,0))*VLOOKUP(Y810,模板计算相关数据!$P$22:$X$30,8,0)</f>
        <v>4.4674509803921572</v>
      </c>
      <c r="S810" s="62">
        <f t="shared" si="74"/>
        <v>5.4739930589768004</v>
      </c>
      <c r="T810" s="133">
        <f>IF(P810=模板计算相关数据!$AB$24,VLOOKUP(X810,模板计算相关数据!$P$47:$T$50,5,0),VLOOKUP(X810,模板计算相关数据!$P$4:$U$7,6,0))*VLOOKUP(Y810,模板计算相关数据!$P$22:$X$30,9,0)</f>
        <v>5.4739930589768004</v>
      </c>
      <c r="U810" s="98">
        <v>1</v>
      </c>
      <c r="V810" s="95">
        <f t="shared" si="72"/>
        <v>4</v>
      </c>
      <c r="W810" s="29">
        <f>VLOOKUP(U810,模板计算相关数据!A:N,2,0)</f>
        <v>1</v>
      </c>
      <c r="X810" s="3" t="s">
        <v>151</v>
      </c>
      <c r="Y810" s="3" t="s">
        <v>162</v>
      </c>
      <c r="Z810" s="99">
        <v>1</v>
      </c>
      <c r="AA810" s="95">
        <v>1</v>
      </c>
      <c r="AB810" s="95">
        <v>1</v>
      </c>
      <c r="AC810" s="95">
        <v>1</v>
      </c>
      <c r="AD810" s="95">
        <v>0</v>
      </c>
      <c r="AE810" s="95">
        <v>0</v>
      </c>
      <c r="AF810" s="95">
        <v>0</v>
      </c>
      <c r="AG810" s="95">
        <v>0</v>
      </c>
      <c r="AH810" s="95">
        <v>0</v>
      </c>
      <c r="AI810" s="95">
        <v>0</v>
      </c>
      <c r="AJ810" s="3">
        <f>INT(VLOOKUP(U810,模板计算相关数据!A:N,4,0)*VLOOKUP(U810,模板计算相关数据!A:N,14,0)*(1+MAX(0,(VLOOKUP(U810,模板计算相关数据!A:N,7,0)-AQ810))*VLOOKUP(U810,模板计算相关数据!A:N,8,0))*(1-(AL810+AM810)*0.5/((AL810+AM810)*0.5+(VLOOKUP(U810,模板计算相关数据!A:N,2,0)+模板计算相关数据!$AC$27)*模板计算相关数据!$AC$28))*Q810*Z810)</f>
        <v>328</v>
      </c>
      <c r="AK810" s="3">
        <f>INT(VLOOKUP(U810,模板计算相关数据!A:N,3,0)/模板计算相关数据!$W$35/(1+MAX(0,(AO810/10000-VLOOKUP(U810,模板计算相关数据!A:N,9,0)))*AP810/10000)/(1-VLOOKUP(U810,模板计算相关数据!A:N,5,0)/(VLOOKUP(U810,模板计算相关数据!A:N,5,0)+(VLOOKUP(U810,模板计算相关数据!A:N,2,0)+模板计算相关数据!$AC$27)*模板计算相关数据!$AC$28))/S810*AA810)</f>
        <v>101</v>
      </c>
      <c r="AL810" s="3">
        <f>INT(VLOOKUP(U810,模板计算相关数据!A:N,5,0)*VLOOKUP(X810,模板计算相关数据!$P$4:$T$7,4,0)*VLOOKUP(Y810,模板计算相关数据!$P$22:$U$30,4,0)*AB810)</f>
        <v>136</v>
      </c>
      <c r="AM810" s="3">
        <f>INT(VLOOKUP(U810,模板计算相关数据!A:N,6,0)*VLOOKUP(X810,模板计算相关数据!$P$4:$T$7,4,0)*VLOOKUP(Y810,模板计算相关数据!$P$22:$U$30,5,0)*AC810)</f>
        <v>230</v>
      </c>
      <c r="AN810" s="3">
        <f>VLOOKUP(U810,模板计算相关数据!A:N,10,0)*0.5*VLOOKUP(Y810,模板计算相关数据!$P$22:$U$30,6,0)+AD810</f>
        <v>250</v>
      </c>
      <c r="AO810" s="3">
        <f>VLOOKUP(INT(VLOOKUP(U810,模板计算相关数据!A:N,2,0)/30)+1,模板计算相关数据!$O$35:$U$40,3,0)+AE810</f>
        <v>0</v>
      </c>
      <c r="AP810" s="3">
        <f>VLOOKUP(INT(VLOOKUP(U810,模板计算相关数据!A:N,2,0)/30)+1,模板计算相关数据!$O$35:$U$40,4,0)+AF810</f>
        <v>5000</v>
      </c>
      <c r="AQ810" s="3">
        <f>VLOOKUP(INT(VLOOKUP(U810,模板计算相关数据!A:N,2,0)/30)+1,模板计算相关数据!$O$35:$U$40,5,0)+AG810</f>
        <v>0</v>
      </c>
      <c r="AR810" s="3">
        <f>VLOOKUP(INT(VLOOKUP(U810,模板计算相关数据!A:N,2,0)/30)+1,模板计算相关数据!$O$35:$U$40,6,0)+AH810</f>
        <v>0</v>
      </c>
      <c r="AS810" s="3">
        <f>VLOOKUP(INT(VLOOKUP(U810,模板计算相关数据!A:N,2,0)/30)+1,模板计算相关数据!$O$35:$U$40,7,0)+AI810</f>
        <v>0</v>
      </c>
      <c r="AT810" s="3">
        <f>VLOOKUP(INT(VLOOKUP(U810,模板计算相关数据!A:N,2,0)/30)+1,模板计算相关数据!$O$35:$V$40,8,0)</f>
        <v>0</v>
      </c>
      <c r="AU810" s="2"/>
    </row>
    <row r="811" spans="1:47" x14ac:dyDescent="0.2">
      <c r="A811" s="2">
        <v>307325</v>
      </c>
      <c r="B811" s="2"/>
      <c r="C811" s="2" t="s">
        <v>162</v>
      </c>
      <c r="D811" s="2" t="s">
        <v>1305</v>
      </c>
      <c r="E811" s="2"/>
      <c r="F811" s="127">
        <v>3</v>
      </c>
      <c r="G811" s="127">
        <v>101</v>
      </c>
      <c r="H811" s="3">
        <v>4</v>
      </c>
      <c r="I811" s="127">
        <v>5</v>
      </c>
      <c r="J811" s="127">
        <v>1</v>
      </c>
      <c r="K811" s="3"/>
      <c r="L811" s="2" t="s">
        <v>606</v>
      </c>
      <c r="M811" s="2"/>
      <c r="N811" s="2">
        <v>1</v>
      </c>
      <c r="O811" s="2"/>
      <c r="P811" s="3" t="s">
        <v>1615</v>
      </c>
      <c r="Q811" s="95">
        <f t="shared" si="73"/>
        <v>4.4674509803921572</v>
      </c>
      <c r="R811" s="133">
        <f>IF(P811=模板计算相关数据!$AB$24,VLOOKUP(X811,模板计算相关数据!$P$47:$T$50,2,0),VLOOKUP(X811,模板计算相关数据!$P$4:$U$7,3,0))*VLOOKUP(Y811,模板计算相关数据!$P$22:$X$30,8,0)</f>
        <v>4.4674509803921572</v>
      </c>
      <c r="S811" s="62">
        <f t="shared" si="74"/>
        <v>5.4739930589768004</v>
      </c>
      <c r="T811" s="133">
        <f>IF(P811=模板计算相关数据!$AB$24,VLOOKUP(X811,模板计算相关数据!$P$47:$T$50,5,0),VLOOKUP(X811,模板计算相关数据!$P$4:$U$7,6,0))*VLOOKUP(Y811,模板计算相关数据!$P$22:$X$30,9,0)</f>
        <v>5.4739930589768004</v>
      </c>
      <c r="U811" s="98">
        <v>1</v>
      </c>
      <c r="V811" s="95">
        <f t="shared" si="72"/>
        <v>4</v>
      </c>
      <c r="W811" s="29">
        <f>VLOOKUP(U811,模板计算相关数据!A:N,2,0)</f>
        <v>1</v>
      </c>
      <c r="X811" s="3" t="s">
        <v>151</v>
      </c>
      <c r="Y811" s="3" t="s">
        <v>162</v>
      </c>
      <c r="Z811" s="99">
        <v>1</v>
      </c>
      <c r="AA811" s="95">
        <v>1</v>
      </c>
      <c r="AB811" s="95">
        <v>1</v>
      </c>
      <c r="AC811" s="95">
        <v>1</v>
      </c>
      <c r="AD811" s="95">
        <v>0</v>
      </c>
      <c r="AE811" s="95">
        <v>0</v>
      </c>
      <c r="AF811" s="95">
        <v>0</v>
      </c>
      <c r="AG811" s="95">
        <v>0</v>
      </c>
      <c r="AH811" s="95">
        <v>0</v>
      </c>
      <c r="AI811" s="95">
        <v>0</v>
      </c>
      <c r="AJ811" s="3">
        <f>INT(VLOOKUP(U811,模板计算相关数据!A:N,4,0)*VLOOKUP(U811,模板计算相关数据!A:N,14,0)*(1+MAX(0,(VLOOKUP(U811,模板计算相关数据!A:N,7,0)-AQ811))*VLOOKUP(U811,模板计算相关数据!A:N,8,0))*(1-(AL811+AM811)*0.5/((AL811+AM811)*0.5+(VLOOKUP(U811,模板计算相关数据!A:N,2,0)+模板计算相关数据!$AC$27)*模板计算相关数据!$AC$28))*Q811*Z811)</f>
        <v>328</v>
      </c>
      <c r="AK811" s="3">
        <f>INT(VLOOKUP(U811,模板计算相关数据!A:N,3,0)/模板计算相关数据!$W$35/(1+MAX(0,(AO811/10000-VLOOKUP(U811,模板计算相关数据!A:N,9,0)))*AP811/10000)/(1-VLOOKUP(U811,模板计算相关数据!A:N,5,0)/(VLOOKUP(U811,模板计算相关数据!A:N,5,0)+(VLOOKUP(U811,模板计算相关数据!A:N,2,0)+模板计算相关数据!$AC$27)*模板计算相关数据!$AC$28))/S811*AA811)</f>
        <v>101</v>
      </c>
      <c r="AL811" s="3">
        <f>INT(VLOOKUP(U811,模板计算相关数据!A:N,5,0)*VLOOKUP(X811,模板计算相关数据!$P$4:$T$7,4,0)*VLOOKUP(Y811,模板计算相关数据!$P$22:$U$30,4,0)*AB811)</f>
        <v>136</v>
      </c>
      <c r="AM811" s="3">
        <f>INT(VLOOKUP(U811,模板计算相关数据!A:N,6,0)*VLOOKUP(X811,模板计算相关数据!$P$4:$T$7,4,0)*VLOOKUP(Y811,模板计算相关数据!$P$22:$U$30,5,0)*AC811)</f>
        <v>230</v>
      </c>
      <c r="AN811" s="3">
        <f>VLOOKUP(U811,模板计算相关数据!A:N,10,0)*0.5*VLOOKUP(Y811,模板计算相关数据!$P$22:$U$30,6,0)+AD811</f>
        <v>250</v>
      </c>
      <c r="AO811" s="3">
        <f>VLOOKUP(INT(VLOOKUP(U811,模板计算相关数据!A:N,2,0)/30)+1,模板计算相关数据!$O$35:$U$40,3,0)+AE811</f>
        <v>0</v>
      </c>
      <c r="AP811" s="3">
        <f>VLOOKUP(INT(VLOOKUP(U811,模板计算相关数据!A:N,2,0)/30)+1,模板计算相关数据!$O$35:$U$40,4,0)+AF811</f>
        <v>5000</v>
      </c>
      <c r="AQ811" s="3">
        <f>VLOOKUP(INT(VLOOKUP(U811,模板计算相关数据!A:N,2,0)/30)+1,模板计算相关数据!$O$35:$U$40,5,0)+AG811</f>
        <v>0</v>
      </c>
      <c r="AR811" s="3">
        <f>VLOOKUP(INT(VLOOKUP(U811,模板计算相关数据!A:N,2,0)/30)+1,模板计算相关数据!$O$35:$U$40,6,0)+AH811</f>
        <v>0</v>
      </c>
      <c r="AS811" s="3">
        <f>VLOOKUP(INT(VLOOKUP(U811,模板计算相关数据!A:N,2,0)/30)+1,模板计算相关数据!$O$35:$U$40,7,0)+AI811</f>
        <v>0</v>
      </c>
      <c r="AT811" s="3">
        <f>VLOOKUP(INT(VLOOKUP(U811,模板计算相关数据!A:N,2,0)/30)+1,模板计算相关数据!$O$35:$V$40,8,0)</f>
        <v>0</v>
      </c>
      <c r="AU811" s="2"/>
    </row>
    <row r="812" spans="1:47" x14ac:dyDescent="0.2">
      <c r="A812" s="2">
        <v>307326</v>
      </c>
      <c r="B812" s="2"/>
      <c r="C812" s="69" t="s">
        <v>822</v>
      </c>
      <c r="D812" s="69" t="s">
        <v>1301</v>
      </c>
      <c r="E812" s="2"/>
      <c r="F812" s="127">
        <v>3</v>
      </c>
      <c r="G812" s="127">
        <v>101</v>
      </c>
      <c r="H812" s="3">
        <v>3</v>
      </c>
      <c r="I812" s="127">
        <v>5</v>
      </c>
      <c r="J812" s="127">
        <v>1</v>
      </c>
      <c r="K812" s="3"/>
      <c r="L812" s="69" t="s">
        <v>823</v>
      </c>
      <c r="M812" s="2"/>
      <c r="N812" s="2">
        <v>1</v>
      </c>
      <c r="O812" s="2"/>
      <c r="P812" s="3" t="s">
        <v>1615</v>
      </c>
      <c r="Q812" s="95">
        <f t="shared" si="73"/>
        <v>5.6000000000000014</v>
      </c>
      <c r="R812" s="133">
        <f>IF(P812=模板计算相关数据!$AB$24,VLOOKUP(X812,模板计算相关数据!$P$47:$T$50,2,0),VLOOKUP(X812,模板计算相关数据!$P$4:$U$7,3,0))*VLOOKUP(Y812,模板计算相关数据!$P$22:$X$30,8,0)</f>
        <v>5.6000000000000014</v>
      </c>
      <c r="S812" s="62">
        <f t="shared" si="74"/>
        <v>6.6693344004268367</v>
      </c>
      <c r="T812" s="133">
        <f>IF(P812=模板计算相关数据!$AB$24,VLOOKUP(X812,模板计算相关数据!$P$47:$T$50,5,0),VLOOKUP(X812,模板计算相关数据!$P$4:$U$7,6,0))*VLOOKUP(Y812,模板计算相关数据!$P$22:$X$30,9,0)</f>
        <v>6.6693344004268367</v>
      </c>
      <c r="U812" s="98">
        <v>1</v>
      </c>
      <c r="V812" s="95">
        <f t="shared" si="72"/>
        <v>4</v>
      </c>
      <c r="W812" s="29">
        <f>VLOOKUP(U812,模板计算相关数据!A:N,2,0)</f>
        <v>1</v>
      </c>
      <c r="X812" s="3" t="s">
        <v>151</v>
      </c>
      <c r="Y812" s="3" t="s">
        <v>255</v>
      </c>
      <c r="Z812" s="99">
        <v>1</v>
      </c>
      <c r="AA812" s="95">
        <v>1</v>
      </c>
      <c r="AB812" s="95">
        <v>1</v>
      </c>
      <c r="AC812" s="95">
        <v>1</v>
      </c>
      <c r="AD812" s="95">
        <v>0</v>
      </c>
      <c r="AE812" s="95">
        <v>0</v>
      </c>
      <c r="AF812" s="95">
        <v>0</v>
      </c>
      <c r="AG812" s="95">
        <v>0</v>
      </c>
      <c r="AH812" s="95">
        <v>0</v>
      </c>
      <c r="AI812" s="95">
        <v>0</v>
      </c>
      <c r="AJ812" s="3">
        <f>INT(VLOOKUP(U812,模板计算相关数据!A:N,4,0)*VLOOKUP(U812,模板计算相关数据!A:N,14,0)*(1+MAX(0,(VLOOKUP(U812,模板计算相关数据!A:N,7,0)-AQ812))*VLOOKUP(U812,模板计算相关数据!A:N,8,0))*(1-(AL812+AM812)*0.5/((AL812+AM812)*0.5+(VLOOKUP(U812,模板计算相关数据!A:N,2,0)+模板计算相关数据!$AC$27)*模板计算相关数据!$AC$28))*Q812*Z812)</f>
        <v>394</v>
      </c>
      <c r="AK812" s="3">
        <f>INT(VLOOKUP(U812,模板计算相关数据!A:N,3,0)/模板计算相关数据!$W$35/(1+MAX(0,(AO812/10000-VLOOKUP(U812,模板计算相关数据!A:N,9,0)))*AP812/10000)/(1-VLOOKUP(U812,模板计算相关数据!A:N,5,0)/(VLOOKUP(U812,模板计算相关数据!A:N,5,0)+(VLOOKUP(U812,模板计算相关数据!A:N,2,0)+模板计算相关数据!$AC$27)*模板计算相关数据!$AC$28))/S812*AA812)</f>
        <v>83</v>
      </c>
      <c r="AL812" s="3">
        <f>INT(VLOOKUP(U812,模板计算相关数据!A:N,5,0)*VLOOKUP(X812,模板计算相关数据!$P$4:$T$7,4,0)*VLOOKUP(Y812,模板计算相关数据!$P$22:$U$30,4,0)*AB812)</f>
        <v>149</v>
      </c>
      <c r="AM812" s="3">
        <f>INT(VLOOKUP(U812,模板计算相关数据!A:N,6,0)*VLOOKUP(X812,模板计算相关数据!$P$4:$T$7,4,0)*VLOOKUP(Y812,模板计算相关数据!$P$22:$U$30,5,0)*AC812)</f>
        <v>277</v>
      </c>
      <c r="AN812" s="3">
        <f>VLOOKUP(U812,模板计算相关数据!A:N,10,0)*0.5*VLOOKUP(Y812,模板计算相关数据!$P$22:$U$30,6,0)+AD812</f>
        <v>225</v>
      </c>
      <c r="AO812" s="3">
        <f>VLOOKUP(INT(VLOOKUP(U812,模板计算相关数据!A:N,2,0)/30)+1,模板计算相关数据!$O$35:$U$40,3,0)+AE812</f>
        <v>0</v>
      </c>
      <c r="AP812" s="3">
        <f>VLOOKUP(INT(VLOOKUP(U812,模板计算相关数据!A:N,2,0)/30)+1,模板计算相关数据!$O$35:$U$40,4,0)+AF812</f>
        <v>5000</v>
      </c>
      <c r="AQ812" s="3">
        <f>VLOOKUP(INT(VLOOKUP(U812,模板计算相关数据!A:N,2,0)/30)+1,模板计算相关数据!$O$35:$U$40,5,0)+AG812</f>
        <v>0</v>
      </c>
      <c r="AR812" s="3">
        <f>VLOOKUP(INT(VLOOKUP(U812,模板计算相关数据!A:N,2,0)/30)+1,模板计算相关数据!$O$35:$U$40,6,0)+AH812</f>
        <v>0</v>
      </c>
      <c r="AS812" s="3">
        <f>VLOOKUP(INT(VLOOKUP(U812,模板计算相关数据!A:N,2,0)/30)+1,模板计算相关数据!$O$35:$U$40,7,0)+AI812</f>
        <v>0</v>
      </c>
      <c r="AT812" s="3">
        <f>VLOOKUP(INT(VLOOKUP(U812,模板计算相关数据!A:N,2,0)/30)+1,模板计算相关数据!$O$35:$V$40,8,0)</f>
        <v>0</v>
      </c>
      <c r="AU812" s="2"/>
    </row>
    <row r="813" spans="1:47" x14ac:dyDescent="0.2">
      <c r="A813" s="2">
        <v>307327</v>
      </c>
      <c r="B813" s="2"/>
      <c r="C813" s="69" t="s">
        <v>822</v>
      </c>
      <c r="D813" s="69" t="s">
        <v>1302</v>
      </c>
      <c r="E813" s="2"/>
      <c r="F813" s="127">
        <v>3</v>
      </c>
      <c r="G813" s="127">
        <v>101</v>
      </c>
      <c r="H813" s="3">
        <v>3</v>
      </c>
      <c r="I813" s="127">
        <v>5</v>
      </c>
      <c r="J813" s="127">
        <v>1</v>
      </c>
      <c r="K813" s="3"/>
      <c r="L813" s="69" t="s">
        <v>824</v>
      </c>
      <c r="M813" s="2"/>
      <c r="N813" s="2">
        <v>1</v>
      </c>
      <c r="O813" s="2"/>
      <c r="P813" s="3" t="s">
        <v>1615</v>
      </c>
      <c r="Q813" s="95">
        <f t="shared" si="73"/>
        <v>5.6000000000000014</v>
      </c>
      <c r="R813" s="133">
        <f>IF(P813=模板计算相关数据!$AB$24,VLOOKUP(X813,模板计算相关数据!$P$47:$T$50,2,0),VLOOKUP(X813,模板计算相关数据!$P$4:$U$7,3,0))*VLOOKUP(Y813,模板计算相关数据!$P$22:$X$30,8,0)</f>
        <v>5.6000000000000014</v>
      </c>
      <c r="S813" s="62">
        <f t="shared" si="74"/>
        <v>6.6693344004268367</v>
      </c>
      <c r="T813" s="133">
        <f>IF(P813=模板计算相关数据!$AB$24,VLOOKUP(X813,模板计算相关数据!$P$47:$T$50,5,0),VLOOKUP(X813,模板计算相关数据!$P$4:$U$7,6,0))*VLOOKUP(Y813,模板计算相关数据!$P$22:$X$30,9,0)</f>
        <v>6.6693344004268367</v>
      </c>
      <c r="U813" s="98">
        <v>1</v>
      </c>
      <c r="V813" s="95">
        <f t="shared" si="72"/>
        <v>4</v>
      </c>
      <c r="W813" s="29">
        <f>VLOOKUP(U813,模板计算相关数据!A:N,2,0)</f>
        <v>1</v>
      </c>
      <c r="X813" s="3" t="s">
        <v>151</v>
      </c>
      <c r="Y813" s="3" t="s">
        <v>255</v>
      </c>
      <c r="Z813" s="99">
        <v>1</v>
      </c>
      <c r="AA813" s="95">
        <v>1</v>
      </c>
      <c r="AB813" s="95">
        <v>1</v>
      </c>
      <c r="AC813" s="95">
        <v>1</v>
      </c>
      <c r="AD813" s="95">
        <v>0</v>
      </c>
      <c r="AE813" s="95">
        <v>0</v>
      </c>
      <c r="AF813" s="95">
        <v>0</v>
      </c>
      <c r="AG813" s="95">
        <v>0</v>
      </c>
      <c r="AH813" s="95">
        <v>0</v>
      </c>
      <c r="AI813" s="95">
        <v>0</v>
      </c>
      <c r="AJ813" s="3">
        <f>INT(VLOOKUP(U813,模板计算相关数据!A:N,4,0)*VLOOKUP(U813,模板计算相关数据!A:N,14,0)*(1+MAX(0,(VLOOKUP(U813,模板计算相关数据!A:N,7,0)-AQ813))*VLOOKUP(U813,模板计算相关数据!A:N,8,0))*(1-(AL813+AM813)*0.5/((AL813+AM813)*0.5+(VLOOKUP(U813,模板计算相关数据!A:N,2,0)+模板计算相关数据!$AC$27)*模板计算相关数据!$AC$28))*Q813*Z813)</f>
        <v>394</v>
      </c>
      <c r="AK813" s="3">
        <f>INT(VLOOKUP(U813,模板计算相关数据!A:N,3,0)/模板计算相关数据!$W$35/(1+MAX(0,(AO813/10000-VLOOKUP(U813,模板计算相关数据!A:N,9,0)))*AP813/10000)/(1-VLOOKUP(U813,模板计算相关数据!A:N,5,0)/(VLOOKUP(U813,模板计算相关数据!A:N,5,0)+(VLOOKUP(U813,模板计算相关数据!A:N,2,0)+模板计算相关数据!$AC$27)*模板计算相关数据!$AC$28))/S813*AA813)</f>
        <v>83</v>
      </c>
      <c r="AL813" s="3">
        <f>INT(VLOOKUP(U813,模板计算相关数据!A:N,5,0)*VLOOKUP(X813,模板计算相关数据!$P$4:$T$7,4,0)*VLOOKUP(Y813,模板计算相关数据!$P$22:$U$30,4,0)*AB813)</f>
        <v>149</v>
      </c>
      <c r="AM813" s="3">
        <f>INT(VLOOKUP(U813,模板计算相关数据!A:N,6,0)*VLOOKUP(X813,模板计算相关数据!$P$4:$T$7,4,0)*VLOOKUP(Y813,模板计算相关数据!$P$22:$U$30,5,0)*AC813)</f>
        <v>277</v>
      </c>
      <c r="AN813" s="3">
        <f>VLOOKUP(U813,模板计算相关数据!A:N,10,0)*0.5*VLOOKUP(Y813,模板计算相关数据!$P$22:$U$30,6,0)+AD813</f>
        <v>225</v>
      </c>
      <c r="AO813" s="3">
        <f>VLOOKUP(INT(VLOOKUP(U813,模板计算相关数据!A:N,2,0)/30)+1,模板计算相关数据!$O$35:$U$40,3,0)+AE813</f>
        <v>0</v>
      </c>
      <c r="AP813" s="3">
        <f>VLOOKUP(INT(VLOOKUP(U813,模板计算相关数据!A:N,2,0)/30)+1,模板计算相关数据!$O$35:$U$40,4,0)+AF813</f>
        <v>5000</v>
      </c>
      <c r="AQ813" s="3">
        <f>VLOOKUP(INT(VLOOKUP(U813,模板计算相关数据!A:N,2,0)/30)+1,模板计算相关数据!$O$35:$U$40,5,0)+AG813</f>
        <v>0</v>
      </c>
      <c r="AR813" s="3">
        <f>VLOOKUP(INT(VLOOKUP(U813,模板计算相关数据!A:N,2,0)/30)+1,模板计算相关数据!$O$35:$U$40,6,0)+AH813</f>
        <v>0</v>
      </c>
      <c r="AS813" s="3">
        <f>VLOOKUP(INT(VLOOKUP(U813,模板计算相关数据!A:N,2,0)/30)+1,模板计算相关数据!$O$35:$U$40,7,0)+AI813</f>
        <v>0</v>
      </c>
      <c r="AT813" s="3">
        <f>VLOOKUP(INT(VLOOKUP(U813,模板计算相关数据!A:N,2,0)/30)+1,模板计算相关数据!$O$35:$V$40,8,0)</f>
        <v>0</v>
      </c>
      <c r="AU813" s="2"/>
    </row>
    <row r="814" spans="1:47" x14ac:dyDescent="0.2">
      <c r="A814" s="2">
        <v>307328</v>
      </c>
      <c r="B814" s="2"/>
      <c r="C814" s="69" t="s">
        <v>822</v>
      </c>
      <c r="D814" s="69" t="s">
        <v>1303</v>
      </c>
      <c r="E814" s="2"/>
      <c r="F814" s="127">
        <v>3</v>
      </c>
      <c r="G814" s="127">
        <v>101</v>
      </c>
      <c r="H814" s="3">
        <v>3</v>
      </c>
      <c r="I814" s="127">
        <v>5</v>
      </c>
      <c r="J814" s="127">
        <v>1</v>
      </c>
      <c r="K814" s="3"/>
      <c r="L814" s="69" t="s">
        <v>825</v>
      </c>
      <c r="M814" s="2"/>
      <c r="N814" s="2">
        <v>1</v>
      </c>
      <c r="O814" s="2"/>
      <c r="P814" s="3" t="s">
        <v>1615</v>
      </c>
      <c r="Q814" s="95">
        <f t="shared" si="73"/>
        <v>5.6000000000000014</v>
      </c>
      <c r="R814" s="133">
        <f>IF(P814=模板计算相关数据!$AB$24,VLOOKUP(X814,模板计算相关数据!$P$47:$T$50,2,0),VLOOKUP(X814,模板计算相关数据!$P$4:$U$7,3,0))*VLOOKUP(Y814,模板计算相关数据!$P$22:$X$30,8,0)</f>
        <v>5.6000000000000014</v>
      </c>
      <c r="S814" s="62">
        <f t="shared" si="74"/>
        <v>6.6693344004268367</v>
      </c>
      <c r="T814" s="133">
        <f>IF(P814=模板计算相关数据!$AB$24,VLOOKUP(X814,模板计算相关数据!$P$47:$T$50,5,0),VLOOKUP(X814,模板计算相关数据!$P$4:$U$7,6,0))*VLOOKUP(Y814,模板计算相关数据!$P$22:$X$30,9,0)</f>
        <v>6.6693344004268367</v>
      </c>
      <c r="U814" s="98">
        <v>1</v>
      </c>
      <c r="V814" s="95">
        <f t="shared" si="72"/>
        <v>4</v>
      </c>
      <c r="W814" s="29">
        <f>VLOOKUP(U814,模板计算相关数据!A:N,2,0)</f>
        <v>1</v>
      </c>
      <c r="X814" s="3" t="s">
        <v>151</v>
      </c>
      <c r="Y814" s="3" t="s">
        <v>255</v>
      </c>
      <c r="Z814" s="99">
        <v>1</v>
      </c>
      <c r="AA814" s="95">
        <v>1</v>
      </c>
      <c r="AB814" s="95">
        <v>1</v>
      </c>
      <c r="AC814" s="95">
        <v>1</v>
      </c>
      <c r="AD814" s="95">
        <v>0</v>
      </c>
      <c r="AE814" s="95">
        <v>0</v>
      </c>
      <c r="AF814" s="95">
        <v>0</v>
      </c>
      <c r="AG814" s="95">
        <v>0</v>
      </c>
      <c r="AH814" s="95">
        <v>0</v>
      </c>
      <c r="AI814" s="95">
        <v>0</v>
      </c>
      <c r="AJ814" s="3">
        <f>INT(VLOOKUP(U814,模板计算相关数据!A:N,4,0)*VLOOKUP(U814,模板计算相关数据!A:N,14,0)*(1+MAX(0,(VLOOKUP(U814,模板计算相关数据!A:N,7,0)-AQ814))*VLOOKUP(U814,模板计算相关数据!A:N,8,0))*(1-(AL814+AM814)*0.5/((AL814+AM814)*0.5+(VLOOKUP(U814,模板计算相关数据!A:N,2,0)+模板计算相关数据!$AC$27)*模板计算相关数据!$AC$28))*Q814*Z814)</f>
        <v>394</v>
      </c>
      <c r="AK814" s="3">
        <f>INT(VLOOKUP(U814,模板计算相关数据!A:N,3,0)/模板计算相关数据!$W$35/(1+MAX(0,(AO814/10000-VLOOKUP(U814,模板计算相关数据!A:N,9,0)))*AP814/10000)/(1-VLOOKUP(U814,模板计算相关数据!A:N,5,0)/(VLOOKUP(U814,模板计算相关数据!A:N,5,0)+(VLOOKUP(U814,模板计算相关数据!A:N,2,0)+模板计算相关数据!$AC$27)*模板计算相关数据!$AC$28))/S814*AA814)</f>
        <v>83</v>
      </c>
      <c r="AL814" s="3">
        <f>INT(VLOOKUP(U814,模板计算相关数据!A:N,5,0)*VLOOKUP(X814,模板计算相关数据!$P$4:$T$7,4,0)*VLOOKUP(Y814,模板计算相关数据!$P$22:$U$30,4,0)*AB814)</f>
        <v>149</v>
      </c>
      <c r="AM814" s="3">
        <f>INT(VLOOKUP(U814,模板计算相关数据!A:N,6,0)*VLOOKUP(X814,模板计算相关数据!$P$4:$T$7,4,0)*VLOOKUP(Y814,模板计算相关数据!$P$22:$U$30,5,0)*AC814)</f>
        <v>277</v>
      </c>
      <c r="AN814" s="3">
        <f>VLOOKUP(U814,模板计算相关数据!A:N,10,0)*0.5*VLOOKUP(Y814,模板计算相关数据!$P$22:$U$30,6,0)+AD814</f>
        <v>225</v>
      </c>
      <c r="AO814" s="3">
        <f>VLOOKUP(INT(VLOOKUP(U814,模板计算相关数据!A:N,2,0)/30)+1,模板计算相关数据!$O$35:$U$40,3,0)+AE814</f>
        <v>0</v>
      </c>
      <c r="AP814" s="3">
        <f>VLOOKUP(INT(VLOOKUP(U814,模板计算相关数据!A:N,2,0)/30)+1,模板计算相关数据!$O$35:$U$40,4,0)+AF814</f>
        <v>5000</v>
      </c>
      <c r="AQ814" s="3">
        <f>VLOOKUP(INT(VLOOKUP(U814,模板计算相关数据!A:N,2,0)/30)+1,模板计算相关数据!$O$35:$U$40,5,0)+AG814</f>
        <v>0</v>
      </c>
      <c r="AR814" s="3">
        <f>VLOOKUP(INT(VLOOKUP(U814,模板计算相关数据!A:N,2,0)/30)+1,模板计算相关数据!$O$35:$U$40,6,0)+AH814</f>
        <v>0</v>
      </c>
      <c r="AS814" s="3">
        <f>VLOOKUP(INT(VLOOKUP(U814,模板计算相关数据!A:N,2,0)/30)+1,模板计算相关数据!$O$35:$U$40,7,0)+AI814</f>
        <v>0</v>
      </c>
      <c r="AT814" s="3">
        <f>VLOOKUP(INT(VLOOKUP(U814,模板计算相关数据!A:N,2,0)/30)+1,模板计算相关数据!$O$35:$V$40,8,0)</f>
        <v>0</v>
      </c>
      <c r="AU814" s="2"/>
    </row>
    <row r="815" spans="1:47" x14ac:dyDescent="0.2">
      <c r="A815" s="2">
        <v>307329</v>
      </c>
      <c r="B815" s="2"/>
      <c r="C815" s="69" t="s">
        <v>822</v>
      </c>
      <c r="D815" s="69" t="s">
        <v>1304</v>
      </c>
      <c r="E815" s="2"/>
      <c r="F815" s="127">
        <v>3</v>
      </c>
      <c r="G815" s="127">
        <v>101</v>
      </c>
      <c r="H815" s="3">
        <v>3</v>
      </c>
      <c r="I815" s="127">
        <v>5</v>
      </c>
      <c r="J815" s="127">
        <v>1</v>
      </c>
      <c r="K815" s="3"/>
      <c r="L815" s="69" t="s">
        <v>826</v>
      </c>
      <c r="M815" s="2"/>
      <c r="N815" s="2">
        <v>1</v>
      </c>
      <c r="O815" s="2"/>
      <c r="P815" s="3" t="s">
        <v>1615</v>
      </c>
      <c r="Q815" s="95">
        <f t="shared" si="73"/>
        <v>5.6000000000000014</v>
      </c>
      <c r="R815" s="133">
        <f>IF(P815=模板计算相关数据!$AB$24,VLOOKUP(X815,模板计算相关数据!$P$47:$T$50,2,0),VLOOKUP(X815,模板计算相关数据!$P$4:$U$7,3,0))*VLOOKUP(Y815,模板计算相关数据!$P$22:$X$30,8,0)</f>
        <v>5.6000000000000014</v>
      </c>
      <c r="S815" s="62">
        <f t="shared" si="74"/>
        <v>6.6693344004268367</v>
      </c>
      <c r="T815" s="133">
        <f>IF(P815=模板计算相关数据!$AB$24,VLOOKUP(X815,模板计算相关数据!$P$47:$T$50,5,0),VLOOKUP(X815,模板计算相关数据!$P$4:$U$7,6,0))*VLOOKUP(Y815,模板计算相关数据!$P$22:$X$30,9,0)</f>
        <v>6.6693344004268367</v>
      </c>
      <c r="U815" s="98">
        <v>1</v>
      </c>
      <c r="V815" s="95">
        <f t="shared" si="72"/>
        <v>4</v>
      </c>
      <c r="W815" s="29">
        <f>VLOOKUP(U815,模板计算相关数据!A:N,2,0)</f>
        <v>1</v>
      </c>
      <c r="X815" s="3" t="s">
        <v>151</v>
      </c>
      <c r="Y815" s="3" t="s">
        <v>255</v>
      </c>
      <c r="Z815" s="99">
        <v>1</v>
      </c>
      <c r="AA815" s="95">
        <v>1</v>
      </c>
      <c r="AB815" s="95">
        <v>1</v>
      </c>
      <c r="AC815" s="95">
        <v>1</v>
      </c>
      <c r="AD815" s="95">
        <v>0</v>
      </c>
      <c r="AE815" s="95">
        <v>0</v>
      </c>
      <c r="AF815" s="95">
        <v>0</v>
      </c>
      <c r="AG815" s="95">
        <v>0</v>
      </c>
      <c r="AH815" s="95">
        <v>0</v>
      </c>
      <c r="AI815" s="95">
        <v>0</v>
      </c>
      <c r="AJ815" s="3">
        <f>INT(VLOOKUP(U815,模板计算相关数据!A:N,4,0)*VLOOKUP(U815,模板计算相关数据!A:N,14,0)*(1+MAX(0,(VLOOKUP(U815,模板计算相关数据!A:N,7,0)-AQ815))*VLOOKUP(U815,模板计算相关数据!A:N,8,0))*(1-(AL815+AM815)*0.5/((AL815+AM815)*0.5+(VLOOKUP(U815,模板计算相关数据!A:N,2,0)+模板计算相关数据!$AC$27)*模板计算相关数据!$AC$28))*Q815*Z815)</f>
        <v>394</v>
      </c>
      <c r="AK815" s="3">
        <f>INT(VLOOKUP(U815,模板计算相关数据!A:N,3,0)/模板计算相关数据!$W$35/(1+MAX(0,(AO815/10000-VLOOKUP(U815,模板计算相关数据!A:N,9,0)))*AP815/10000)/(1-VLOOKUP(U815,模板计算相关数据!A:N,5,0)/(VLOOKUP(U815,模板计算相关数据!A:N,5,0)+(VLOOKUP(U815,模板计算相关数据!A:N,2,0)+模板计算相关数据!$AC$27)*模板计算相关数据!$AC$28))/S815*AA815)</f>
        <v>83</v>
      </c>
      <c r="AL815" s="3">
        <f>INT(VLOOKUP(U815,模板计算相关数据!A:N,5,0)*VLOOKUP(X815,模板计算相关数据!$P$4:$T$7,4,0)*VLOOKUP(Y815,模板计算相关数据!$P$22:$U$30,4,0)*AB815)</f>
        <v>149</v>
      </c>
      <c r="AM815" s="3">
        <f>INT(VLOOKUP(U815,模板计算相关数据!A:N,6,0)*VLOOKUP(X815,模板计算相关数据!$P$4:$T$7,4,0)*VLOOKUP(Y815,模板计算相关数据!$P$22:$U$30,5,0)*AC815)</f>
        <v>277</v>
      </c>
      <c r="AN815" s="3">
        <f>VLOOKUP(U815,模板计算相关数据!A:N,10,0)*0.5*VLOOKUP(Y815,模板计算相关数据!$P$22:$U$30,6,0)+AD815</f>
        <v>225</v>
      </c>
      <c r="AO815" s="3">
        <f>VLOOKUP(INT(VLOOKUP(U815,模板计算相关数据!A:N,2,0)/30)+1,模板计算相关数据!$O$35:$U$40,3,0)+AE815</f>
        <v>0</v>
      </c>
      <c r="AP815" s="3">
        <f>VLOOKUP(INT(VLOOKUP(U815,模板计算相关数据!A:N,2,0)/30)+1,模板计算相关数据!$O$35:$U$40,4,0)+AF815</f>
        <v>5000</v>
      </c>
      <c r="AQ815" s="3">
        <f>VLOOKUP(INT(VLOOKUP(U815,模板计算相关数据!A:N,2,0)/30)+1,模板计算相关数据!$O$35:$U$40,5,0)+AG815</f>
        <v>0</v>
      </c>
      <c r="AR815" s="3">
        <f>VLOOKUP(INT(VLOOKUP(U815,模板计算相关数据!A:N,2,0)/30)+1,模板计算相关数据!$O$35:$U$40,6,0)+AH815</f>
        <v>0</v>
      </c>
      <c r="AS815" s="3">
        <f>VLOOKUP(INT(VLOOKUP(U815,模板计算相关数据!A:N,2,0)/30)+1,模板计算相关数据!$O$35:$U$40,7,0)+AI815</f>
        <v>0</v>
      </c>
      <c r="AT815" s="3">
        <f>VLOOKUP(INT(VLOOKUP(U815,模板计算相关数据!A:N,2,0)/30)+1,模板计算相关数据!$O$35:$V$40,8,0)</f>
        <v>0</v>
      </c>
      <c r="AU815" s="2"/>
    </row>
    <row r="816" spans="1:47" x14ac:dyDescent="0.2">
      <c r="A816" s="2">
        <v>307330</v>
      </c>
      <c r="B816" s="2"/>
      <c r="C816" s="69" t="s">
        <v>822</v>
      </c>
      <c r="D816" s="69" t="s">
        <v>1305</v>
      </c>
      <c r="E816" s="2"/>
      <c r="F816" s="127">
        <v>3</v>
      </c>
      <c r="G816" s="127">
        <v>101</v>
      </c>
      <c r="H816" s="3">
        <v>3</v>
      </c>
      <c r="I816" s="127">
        <v>5</v>
      </c>
      <c r="J816" s="127">
        <v>1</v>
      </c>
      <c r="K816" s="3"/>
      <c r="L816" s="69" t="s">
        <v>827</v>
      </c>
      <c r="M816" s="2"/>
      <c r="N816" s="2">
        <v>1</v>
      </c>
      <c r="O816" s="2"/>
      <c r="P816" s="3" t="s">
        <v>1615</v>
      </c>
      <c r="Q816" s="95">
        <f t="shared" si="73"/>
        <v>5.6000000000000014</v>
      </c>
      <c r="R816" s="133">
        <f>IF(P816=模板计算相关数据!$AB$24,VLOOKUP(X816,模板计算相关数据!$P$47:$T$50,2,0),VLOOKUP(X816,模板计算相关数据!$P$4:$U$7,3,0))*VLOOKUP(Y816,模板计算相关数据!$P$22:$X$30,8,0)</f>
        <v>5.6000000000000014</v>
      </c>
      <c r="S816" s="62">
        <f t="shared" si="74"/>
        <v>6.6693344004268367</v>
      </c>
      <c r="T816" s="133">
        <f>IF(P816=模板计算相关数据!$AB$24,VLOOKUP(X816,模板计算相关数据!$P$47:$T$50,5,0),VLOOKUP(X816,模板计算相关数据!$P$4:$U$7,6,0))*VLOOKUP(Y816,模板计算相关数据!$P$22:$X$30,9,0)</f>
        <v>6.6693344004268367</v>
      </c>
      <c r="U816" s="98">
        <v>1</v>
      </c>
      <c r="V816" s="95">
        <f t="shared" ref="V816:V879" si="75">W816+3</f>
        <v>4</v>
      </c>
      <c r="W816" s="29">
        <f>VLOOKUP(U816,模板计算相关数据!A:N,2,0)</f>
        <v>1</v>
      </c>
      <c r="X816" s="3" t="s">
        <v>151</v>
      </c>
      <c r="Y816" s="3" t="s">
        <v>255</v>
      </c>
      <c r="Z816" s="99">
        <v>1</v>
      </c>
      <c r="AA816" s="95">
        <v>1</v>
      </c>
      <c r="AB816" s="95">
        <v>1</v>
      </c>
      <c r="AC816" s="95">
        <v>1</v>
      </c>
      <c r="AD816" s="95">
        <v>0</v>
      </c>
      <c r="AE816" s="95">
        <v>0</v>
      </c>
      <c r="AF816" s="95">
        <v>0</v>
      </c>
      <c r="AG816" s="95">
        <v>0</v>
      </c>
      <c r="AH816" s="95">
        <v>0</v>
      </c>
      <c r="AI816" s="95">
        <v>0</v>
      </c>
      <c r="AJ816" s="3">
        <f>INT(VLOOKUP(U816,模板计算相关数据!A:N,4,0)*VLOOKUP(U816,模板计算相关数据!A:N,14,0)*(1+MAX(0,(VLOOKUP(U816,模板计算相关数据!A:N,7,0)-AQ816))*VLOOKUP(U816,模板计算相关数据!A:N,8,0))*(1-(AL816+AM816)*0.5/((AL816+AM816)*0.5+(VLOOKUP(U816,模板计算相关数据!A:N,2,0)+模板计算相关数据!$AC$27)*模板计算相关数据!$AC$28))*Q816*Z816)</f>
        <v>394</v>
      </c>
      <c r="AK816" s="3">
        <f>INT(VLOOKUP(U816,模板计算相关数据!A:N,3,0)/模板计算相关数据!$W$35/(1+MAX(0,(AO816/10000-VLOOKUP(U816,模板计算相关数据!A:N,9,0)))*AP816/10000)/(1-VLOOKUP(U816,模板计算相关数据!A:N,5,0)/(VLOOKUP(U816,模板计算相关数据!A:N,5,0)+(VLOOKUP(U816,模板计算相关数据!A:N,2,0)+模板计算相关数据!$AC$27)*模板计算相关数据!$AC$28))/S816*AA816)</f>
        <v>83</v>
      </c>
      <c r="AL816" s="3">
        <f>INT(VLOOKUP(U816,模板计算相关数据!A:N,5,0)*VLOOKUP(X816,模板计算相关数据!$P$4:$T$7,4,0)*VLOOKUP(Y816,模板计算相关数据!$P$22:$U$30,4,0)*AB816)</f>
        <v>149</v>
      </c>
      <c r="AM816" s="3">
        <f>INT(VLOOKUP(U816,模板计算相关数据!A:N,6,0)*VLOOKUP(X816,模板计算相关数据!$P$4:$T$7,4,0)*VLOOKUP(Y816,模板计算相关数据!$P$22:$U$30,5,0)*AC816)</f>
        <v>277</v>
      </c>
      <c r="AN816" s="3">
        <f>VLOOKUP(U816,模板计算相关数据!A:N,10,0)*0.5*VLOOKUP(Y816,模板计算相关数据!$P$22:$U$30,6,0)+AD816</f>
        <v>225</v>
      </c>
      <c r="AO816" s="3">
        <f>VLOOKUP(INT(VLOOKUP(U816,模板计算相关数据!A:N,2,0)/30)+1,模板计算相关数据!$O$35:$U$40,3,0)+AE816</f>
        <v>0</v>
      </c>
      <c r="AP816" s="3">
        <f>VLOOKUP(INT(VLOOKUP(U816,模板计算相关数据!A:N,2,0)/30)+1,模板计算相关数据!$O$35:$U$40,4,0)+AF816</f>
        <v>5000</v>
      </c>
      <c r="AQ816" s="3">
        <f>VLOOKUP(INT(VLOOKUP(U816,模板计算相关数据!A:N,2,0)/30)+1,模板计算相关数据!$O$35:$U$40,5,0)+AG816</f>
        <v>0</v>
      </c>
      <c r="AR816" s="3">
        <f>VLOOKUP(INT(VLOOKUP(U816,模板计算相关数据!A:N,2,0)/30)+1,模板计算相关数据!$O$35:$U$40,6,0)+AH816</f>
        <v>0</v>
      </c>
      <c r="AS816" s="3">
        <f>VLOOKUP(INT(VLOOKUP(U816,模板计算相关数据!A:N,2,0)/30)+1,模板计算相关数据!$O$35:$U$40,7,0)+AI816</f>
        <v>0</v>
      </c>
      <c r="AT816" s="3">
        <f>VLOOKUP(INT(VLOOKUP(U816,模板计算相关数据!A:N,2,0)/30)+1,模板计算相关数据!$O$35:$V$40,8,0)</f>
        <v>0</v>
      </c>
      <c r="AU816" s="2"/>
    </row>
    <row r="817" spans="1:47" x14ac:dyDescent="0.2">
      <c r="A817" s="17">
        <v>307331</v>
      </c>
      <c r="B817" s="17"/>
      <c r="C817" s="17" t="s">
        <v>607</v>
      </c>
      <c r="D817" s="25" t="s">
        <v>1306</v>
      </c>
      <c r="E817" s="17"/>
      <c r="F817" s="152">
        <v>3</v>
      </c>
      <c r="G817" s="152">
        <v>101</v>
      </c>
      <c r="H817" s="43">
        <v>6</v>
      </c>
      <c r="I817" s="152">
        <v>5</v>
      </c>
      <c r="J817" s="152">
        <v>1</v>
      </c>
      <c r="K817" s="3"/>
      <c r="L817" s="2" t="s">
        <v>608</v>
      </c>
      <c r="M817" s="2"/>
      <c r="N817" s="2">
        <v>1</v>
      </c>
      <c r="O817" s="2"/>
      <c r="P817" s="3" t="s">
        <v>1615</v>
      </c>
      <c r="Q817" s="95">
        <f t="shared" si="73"/>
        <v>5.7709803921568623</v>
      </c>
      <c r="R817" s="133">
        <f>IF(P817=模板计算相关数据!$AB$24,VLOOKUP(X817,模板计算相关数据!$P$47:$T$50,2,0),VLOOKUP(X817,模板计算相关数据!$P$4:$U$7,3,0))*VLOOKUP(Y817,模板计算相关数据!$P$22:$X$30,8,0)</f>
        <v>5.7709803921568623</v>
      </c>
      <c r="S817" s="62">
        <f t="shared" si="74"/>
        <v>6.4077918749199023</v>
      </c>
      <c r="T817" s="133">
        <f>IF(P817=模板计算相关数据!$AB$24,VLOOKUP(X817,模板计算相关数据!$P$47:$T$50,5,0),VLOOKUP(X817,模板计算相关数据!$P$4:$U$7,6,0))*VLOOKUP(Y817,模板计算相关数据!$P$22:$X$30,9,0)</f>
        <v>6.4077918749199023</v>
      </c>
      <c r="U817" s="98">
        <v>1</v>
      </c>
      <c r="V817" s="95">
        <f t="shared" si="75"/>
        <v>4</v>
      </c>
      <c r="W817" s="29">
        <f>VLOOKUP(U817,模板计算相关数据!A:N,2,0)</f>
        <v>1</v>
      </c>
      <c r="X817" s="3" t="s">
        <v>151</v>
      </c>
      <c r="Y817" s="3" t="s">
        <v>243</v>
      </c>
      <c r="Z817" s="99">
        <v>1</v>
      </c>
      <c r="AA817" s="95">
        <v>1</v>
      </c>
      <c r="AB817" s="95">
        <v>1</v>
      </c>
      <c r="AC817" s="95">
        <v>1</v>
      </c>
      <c r="AD817" s="95">
        <v>0</v>
      </c>
      <c r="AE817" s="95">
        <v>0</v>
      </c>
      <c r="AF817" s="95">
        <v>0</v>
      </c>
      <c r="AG817" s="95">
        <v>0</v>
      </c>
      <c r="AH817" s="95">
        <v>0</v>
      </c>
      <c r="AI817" s="95">
        <v>0</v>
      </c>
      <c r="AJ817" s="3">
        <f>INT(VLOOKUP(U817,模板计算相关数据!A:N,4,0)*VLOOKUP(U817,模板计算相关数据!A:N,14,0)*(1+MAX(0,(VLOOKUP(U817,模板计算相关数据!A:N,7,0)-AQ817))*VLOOKUP(U817,模板计算相关数据!A:N,8,0))*(1-(AL817+AM817)*0.5/((AL817+AM817)*0.5+(VLOOKUP(U817,模板计算相关数据!A:N,2,0)+模板计算相关数据!$AC$27)*模板计算相关数据!$AC$28))*Q817*Z817)</f>
        <v>411</v>
      </c>
      <c r="AK817" s="3">
        <f>INT(VLOOKUP(U817,模板计算相关数据!A:N,3,0)/模板计算相关数据!$W$35/(1+MAX(0,(AO817/10000-VLOOKUP(U817,模板计算相关数据!A:N,9,0)))*AP817/10000)/(1-VLOOKUP(U817,模板计算相关数据!A:N,5,0)/(VLOOKUP(U817,模板计算相关数据!A:N,5,0)+(VLOOKUP(U817,模板计算相关数据!A:N,2,0)+模板计算相关数据!$AC$27)*模板计算相关数据!$AC$28))/S817*AA817)</f>
        <v>86</v>
      </c>
      <c r="AL817" s="3">
        <f>INT(VLOOKUP(U817,模板计算相关数据!A:N,5,0)*VLOOKUP(X817,模板计算相关数据!$P$4:$T$7,4,0)*VLOOKUP(Y817,模板计算相关数据!$P$22:$U$30,4,0)*AB817)</f>
        <v>145</v>
      </c>
      <c r="AM817" s="3">
        <f>INT(VLOOKUP(U817,模板计算相关数据!A:N,6,0)*VLOOKUP(X817,模板计算相关数据!$P$4:$T$7,4,0)*VLOOKUP(Y817,模板计算相关数据!$P$22:$U$30,5,0)*AC817)</f>
        <v>264</v>
      </c>
      <c r="AN817" s="3">
        <f>VLOOKUP(U817,模板计算相关数据!A:N,10,0)*0.5*VLOOKUP(Y817,模板计算相关数据!$P$22:$U$30,6,0)+AD817</f>
        <v>275</v>
      </c>
      <c r="AO817" s="3">
        <f>VLOOKUP(INT(VLOOKUP(U817,模板计算相关数据!A:N,2,0)/30)+1,模板计算相关数据!$O$35:$U$40,3,0)+AE817</f>
        <v>0</v>
      </c>
      <c r="AP817" s="3">
        <f>VLOOKUP(INT(VLOOKUP(U817,模板计算相关数据!A:N,2,0)/30)+1,模板计算相关数据!$O$35:$U$40,4,0)+AF817</f>
        <v>5000</v>
      </c>
      <c r="AQ817" s="3">
        <f>VLOOKUP(INT(VLOOKUP(U817,模板计算相关数据!A:N,2,0)/30)+1,模板计算相关数据!$O$35:$U$40,5,0)+AG817</f>
        <v>0</v>
      </c>
      <c r="AR817" s="3">
        <f>VLOOKUP(INT(VLOOKUP(U817,模板计算相关数据!A:N,2,0)/30)+1,模板计算相关数据!$O$35:$U$40,6,0)+AH817</f>
        <v>0</v>
      </c>
      <c r="AS817" s="3">
        <f>VLOOKUP(INT(VLOOKUP(U817,模板计算相关数据!A:N,2,0)/30)+1,模板计算相关数据!$O$35:$U$40,7,0)+AI817</f>
        <v>0</v>
      </c>
      <c r="AT817" s="3">
        <f>VLOOKUP(INT(VLOOKUP(U817,模板计算相关数据!A:N,2,0)/30)+1,模板计算相关数据!$O$35:$V$40,8,0)</f>
        <v>0</v>
      </c>
      <c r="AU817" s="2"/>
    </row>
    <row r="818" spans="1:47" x14ac:dyDescent="0.2">
      <c r="A818" s="2">
        <v>307332</v>
      </c>
      <c r="B818" s="2"/>
      <c r="C818" s="2" t="s">
        <v>590</v>
      </c>
      <c r="D818" s="69" t="s">
        <v>1307</v>
      </c>
      <c r="E818" s="2"/>
      <c r="F818" s="127">
        <v>3</v>
      </c>
      <c r="G818" s="127">
        <v>101</v>
      </c>
      <c r="H818" s="3">
        <v>6</v>
      </c>
      <c r="I818" s="127">
        <v>5</v>
      </c>
      <c r="J818" s="127">
        <v>1</v>
      </c>
      <c r="K818" s="3"/>
      <c r="L818" s="2" t="s">
        <v>609</v>
      </c>
      <c r="M818" s="2"/>
      <c r="N818" s="2">
        <v>1</v>
      </c>
      <c r="O818" s="2"/>
      <c r="P818" s="3" t="s">
        <v>1615</v>
      </c>
      <c r="Q818" s="95">
        <f t="shared" si="73"/>
        <v>5.7709803921568623</v>
      </c>
      <c r="R818" s="133">
        <f>IF(P818=模板计算相关数据!$AB$24,VLOOKUP(X818,模板计算相关数据!$P$47:$T$50,2,0),VLOOKUP(X818,模板计算相关数据!$P$4:$U$7,3,0))*VLOOKUP(Y818,模板计算相关数据!$P$22:$X$30,8,0)</f>
        <v>5.7709803921568623</v>
      </c>
      <c r="S818" s="62">
        <f t="shared" si="74"/>
        <v>6.4077918749199023</v>
      </c>
      <c r="T818" s="133">
        <f>IF(P818=模板计算相关数据!$AB$24,VLOOKUP(X818,模板计算相关数据!$P$47:$T$50,5,0),VLOOKUP(X818,模板计算相关数据!$P$4:$U$7,6,0))*VLOOKUP(Y818,模板计算相关数据!$P$22:$X$30,9,0)</f>
        <v>6.4077918749199023</v>
      </c>
      <c r="U818" s="98">
        <v>1</v>
      </c>
      <c r="V818" s="95">
        <f t="shared" si="75"/>
        <v>4</v>
      </c>
      <c r="W818" s="29">
        <f>VLOOKUP(U818,模板计算相关数据!A:N,2,0)</f>
        <v>1</v>
      </c>
      <c r="X818" s="3" t="s">
        <v>151</v>
      </c>
      <c r="Y818" s="3" t="s">
        <v>243</v>
      </c>
      <c r="Z818" s="99">
        <v>1</v>
      </c>
      <c r="AA818" s="95">
        <v>1</v>
      </c>
      <c r="AB818" s="95">
        <v>1</v>
      </c>
      <c r="AC818" s="95">
        <v>1</v>
      </c>
      <c r="AD818" s="95">
        <v>0</v>
      </c>
      <c r="AE818" s="95">
        <v>0</v>
      </c>
      <c r="AF818" s="95">
        <v>0</v>
      </c>
      <c r="AG818" s="95">
        <v>0</v>
      </c>
      <c r="AH818" s="95">
        <v>0</v>
      </c>
      <c r="AI818" s="95">
        <v>0</v>
      </c>
      <c r="AJ818" s="3">
        <f>INT(VLOOKUP(U818,模板计算相关数据!A:N,4,0)*VLOOKUP(U818,模板计算相关数据!A:N,14,0)*(1+MAX(0,(VLOOKUP(U818,模板计算相关数据!A:N,7,0)-AQ818))*VLOOKUP(U818,模板计算相关数据!A:N,8,0))*(1-(AL818+AM818)*0.5/((AL818+AM818)*0.5+(VLOOKUP(U818,模板计算相关数据!A:N,2,0)+模板计算相关数据!$AC$27)*模板计算相关数据!$AC$28))*Q818*Z818)</f>
        <v>411</v>
      </c>
      <c r="AK818" s="3">
        <f>INT(VLOOKUP(U818,模板计算相关数据!A:N,3,0)/模板计算相关数据!$W$35/(1+MAX(0,(AO818/10000-VLOOKUP(U818,模板计算相关数据!A:N,9,0)))*AP818/10000)/(1-VLOOKUP(U818,模板计算相关数据!A:N,5,0)/(VLOOKUP(U818,模板计算相关数据!A:N,5,0)+(VLOOKUP(U818,模板计算相关数据!A:N,2,0)+模板计算相关数据!$AC$27)*模板计算相关数据!$AC$28))/S818*AA818)</f>
        <v>86</v>
      </c>
      <c r="AL818" s="3">
        <f>INT(VLOOKUP(U818,模板计算相关数据!A:N,5,0)*VLOOKUP(X818,模板计算相关数据!$P$4:$T$7,4,0)*VLOOKUP(Y818,模板计算相关数据!$P$22:$U$30,4,0)*AB818)</f>
        <v>145</v>
      </c>
      <c r="AM818" s="3">
        <f>INT(VLOOKUP(U818,模板计算相关数据!A:N,6,0)*VLOOKUP(X818,模板计算相关数据!$P$4:$T$7,4,0)*VLOOKUP(Y818,模板计算相关数据!$P$22:$U$30,5,0)*AC818)</f>
        <v>264</v>
      </c>
      <c r="AN818" s="3">
        <f>VLOOKUP(U818,模板计算相关数据!A:N,10,0)*0.5*VLOOKUP(Y818,模板计算相关数据!$P$22:$U$30,6,0)+AD818</f>
        <v>275</v>
      </c>
      <c r="AO818" s="3">
        <f>VLOOKUP(INT(VLOOKUP(U818,模板计算相关数据!A:N,2,0)/30)+1,模板计算相关数据!$O$35:$U$40,3,0)+AE818</f>
        <v>0</v>
      </c>
      <c r="AP818" s="3">
        <f>VLOOKUP(INT(VLOOKUP(U818,模板计算相关数据!A:N,2,0)/30)+1,模板计算相关数据!$O$35:$U$40,4,0)+AF818</f>
        <v>5000</v>
      </c>
      <c r="AQ818" s="3">
        <f>VLOOKUP(INT(VLOOKUP(U818,模板计算相关数据!A:N,2,0)/30)+1,模板计算相关数据!$O$35:$U$40,5,0)+AG818</f>
        <v>0</v>
      </c>
      <c r="AR818" s="3">
        <f>VLOOKUP(INT(VLOOKUP(U818,模板计算相关数据!A:N,2,0)/30)+1,模板计算相关数据!$O$35:$U$40,6,0)+AH818</f>
        <v>0</v>
      </c>
      <c r="AS818" s="3">
        <f>VLOOKUP(INT(VLOOKUP(U818,模板计算相关数据!A:N,2,0)/30)+1,模板计算相关数据!$O$35:$U$40,7,0)+AI818</f>
        <v>0</v>
      </c>
      <c r="AT818" s="3">
        <f>VLOOKUP(INT(VLOOKUP(U818,模板计算相关数据!A:N,2,0)/30)+1,模板计算相关数据!$O$35:$V$40,8,0)</f>
        <v>0</v>
      </c>
      <c r="AU818" s="2"/>
    </row>
    <row r="819" spans="1:47" x14ac:dyDescent="0.2">
      <c r="A819" s="2">
        <v>307333</v>
      </c>
      <c r="B819" s="2"/>
      <c r="C819" s="2" t="s">
        <v>590</v>
      </c>
      <c r="D819" s="69" t="s">
        <v>1308</v>
      </c>
      <c r="E819" s="2"/>
      <c r="F819" s="127">
        <v>3</v>
      </c>
      <c r="G819" s="127">
        <v>101</v>
      </c>
      <c r="H819" s="3">
        <v>6</v>
      </c>
      <c r="I819" s="127">
        <v>5</v>
      </c>
      <c r="J819" s="127">
        <v>1</v>
      </c>
      <c r="K819" s="3"/>
      <c r="L819" s="2" t="s">
        <v>610</v>
      </c>
      <c r="M819" s="2"/>
      <c r="N819" s="2">
        <v>1</v>
      </c>
      <c r="O819" s="2"/>
      <c r="P819" s="3" t="s">
        <v>1615</v>
      </c>
      <c r="Q819" s="95">
        <f t="shared" si="73"/>
        <v>5.7709803921568623</v>
      </c>
      <c r="R819" s="133">
        <f>IF(P819=模板计算相关数据!$AB$24,VLOOKUP(X819,模板计算相关数据!$P$47:$T$50,2,0),VLOOKUP(X819,模板计算相关数据!$P$4:$U$7,3,0))*VLOOKUP(Y819,模板计算相关数据!$P$22:$X$30,8,0)</f>
        <v>5.7709803921568623</v>
      </c>
      <c r="S819" s="62">
        <f t="shared" si="74"/>
        <v>6.4077918749199023</v>
      </c>
      <c r="T819" s="133">
        <f>IF(P819=模板计算相关数据!$AB$24,VLOOKUP(X819,模板计算相关数据!$P$47:$T$50,5,0),VLOOKUP(X819,模板计算相关数据!$P$4:$U$7,6,0))*VLOOKUP(Y819,模板计算相关数据!$P$22:$X$30,9,0)</f>
        <v>6.4077918749199023</v>
      </c>
      <c r="U819" s="98">
        <v>1</v>
      </c>
      <c r="V819" s="95">
        <f t="shared" si="75"/>
        <v>4</v>
      </c>
      <c r="W819" s="29">
        <f>VLOOKUP(U819,模板计算相关数据!A:N,2,0)</f>
        <v>1</v>
      </c>
      <c r="X819" s="3" t="s">
        <v>151</v>
      </c>
      <c r="Y819" s="3" t="s">
        <v>243</v>
      </c>
      <c r="Z819" s="99">
        <v>1</v>
      </c>
      <c r="AA819" s="95">
        <v>1</v>
      </c>
      <c r="AB819" s="95">
        <v>1</v>
      </c>
      <c r="AC819" s="95">
        <v>1</v>
      </c>
      <c r="AD819" s="95">
        <v>0</v>
      </c>
      <c r="AE819" s="95">
        <v>0</v>
      </c>
      <c r="AF819" s="95">
        <v>0</v>
      </c>
      <c r="AG819" s="95">
        <v>0</v>
      </c>
      <c r="AH819" s="95">
        <v>0</v>
      </c>
      <c r="AI819" s="95">
        <v>0</v>
      </c>
      <c r="AJ819" s="3">
        <f>INT(VLOOKUP(U819,模板计算相关数据!A:N,4,0)*VLOOKUP(U819,模板计算相关数据!A:N,14,0)*(1+MAX(0,(VLOOKUP(U819,模板计算相关数据!A:N,7,0)-AQ819))*VLOOKUP(U819,模板计算相关数据!A:N,8,0))*(1-(AL819+AM819)*0.5/((AL819+AM819)*0.5+(VLOOKUP(U819,模板计算相关数据!A:N,2,0)+模板计算相关数据!$AC$27)*模板计算相关数据!$AC$28))*Q819*Z819)</f>
        <v>411</v>
      </c>
      <c r="AK819" s="3">
        <f>INT(VLOOKUP(U819,模板计算相关数据!A:N,3,0)/模板计算相关数据!$W$35/(1+MAX(0,(AO819/10000-VLOOKUP(U819,模板计算相关数据!A:N,9,0)))*AP819/10000)/(1-VLOOKUP(U819,模板计算相关数据!A:N,5,0)/(VLOOKUP(U819,模板计算相关数据!A:N,5,0)+(VLOOKUP(U819,模板计算相关数据!A:N,2,0)+模板计算相关数据!$AC$27)*模板计算相关数据!$AC$28))/S819*AA819)</f>
        <v>86</v>
      </c>
      <c r="AL819" s="3">
        <f>INT(VLOOKUP(U819,模板计算相关数据!A:N,5,0)*VLOOKUP(X819,模板计算相关数据!$P$4:$T$7,4,0)*VLOOKUP(Y819,模板计算相关数据!$P$22:$U$30,4,0)*AB819)</f>
        <v>145</v>
      </c>
      <c r="AM819" s="3">
        <f>INT(VLOOKUP(U819,模板计算相关数据!A:N,6,0)*VLOOKUP(X819,模板计算相关数据!$P$4:$T$7,4,0)*VLOOKUP(Y819,模板计算相关数据!$P$22:$U$30,5,0)*AC819)</f>
        <v>264</v>
      </c>
      <c r="AN819" s="3">
        <f>VLOOKUP(U819,模板计算相关数据!A:N,10,0)*0.5*VLOOKUP(Y819,模板计算相关数据!$P$22:$U$30,6,0)+AD819</f>
        <v>275</v>
      </c>
      <c r="AO819" s="3">
        <f>VLOOKUP(INT(VLOOKUP(U819,模板计算相关数据!A:N,2,0)/30)+1,模板计算相关数据!$O$35:$U$40,3,0)+AE819</f>
        <v>0</v>
      </c>
      <c r="AP819" s="3">
        <f>VLOOKUP(INT(VLOOKUP(U819,模板计算相关数据!A:N,2,0)/30)+1,模板计算相关数据!$O$35:$U$40,4,0)+AF819</f>
        <v>5000</v>
      </c>
      <c r="AQ819" s="3">
        <f>VLOOKUP(INT(VLOOKUP(U819,模板计算相关数据!A:N,2,0)/30)+1,模板计算相关数据!$O$35:$U$40,5,0)+AG819</f>
        <v>0</v>
      </c>
      <c r="AR819" s="3">
        <f>VLOOKUP(INT(VLOOKUP(U819,模板计算相关数据!A:N,2,0)/30)+1,模板计算相关数据!$O$35:$U$40,6,0)+AH819</f>
        <v>0</v>
      </c>
      <c r="AS819" s="3">
        <f>VLOOKUP(INT(VLOOKUP(U819,模板计算相关数据!A:N,2,0)/30)+1,模板计算相关数据!$O$35:$U$40,7,0)+AI819</f>
        <v>0</v>
      </c>
      <c r="AT819" s="3">
        <f>VLOOKUP(INT(VLOOKUP(U819,模板计算相关数据!A:N,2,0)/30)+1,模板计算相关数据!$O$35:$V$40,8,0)</f>
        <v>0</v>
      </c>
      <c r="AU819" s="2"/>
    </row>
    <row r="820" spans="1:47" x14ac:dyDescent="0.2">
      <c r="A820" s="2">
        <v>307334</v>
      </c>
      <c r="B820" s="2"/>
      <c r="C820" s="2" t="s">
        <v>590</v>
      </c>
      <c r="D820" s="69" t="s">
        <v>1309</v>
      </c>
      <c r="E820" s="2"/>
      <c r="F820" s="127">
        <v>3</v>
      </c>
      <c r="G820" s="127">
        <v>101</v>
      </c>
      <c r="H820" s="3">
        <v>6</v>
      </c>
      <c r="I820" s="127">
        <v>5</v>
      </c>
      <c r="J820" s="127">
        <v>1</v>
      </c>
      <c r="K820" s="3"/>
      <c r="L820" s="2" t="s">
        <v>611</v>
      </c>
      <c r="M820" s="2"/>
      <c r="N820" s="2">
        <v>1</v>
      </c>
      <c r="O820" s="2"/>
      <c r="P820" s="3" t="s">
        <v>1615</v>
      </c>
      <c r="Q820" s="95">
        <f t="shared" si="73"/>
        <v>5.7709803921568623</v>
      </c>
      <c r="R820" s="133">
        <f>IF(P820=模板计算相关数据!$AB$24,VLOOKUP(X820,模板计算相关数据!$P$47:$T$50,2,0),VLOOKUP(X820,模板计算相关数据!$P$4:$U$7,3,0))*VLOOKUP(Y820,模板计算相关数据!$P$22:$X$30,8,0)</f>
        <v>5.7709803921568623</v>
      </c>
      <c r="S820" s="62">
        <f t="shared" si="74"/>
        <v>6.4077918749199023</v>
      </c>
      <c r="T820" s="133">
        <f>IF(P820=模板计算相关数据!$AB$24,VLOOKUP(X820,模板计算相关数据!$P$47:$T$50,5,0),VLOOKUP(X820,模板计算相关数据!$P$4:$U$7,6,0))*VLOOKUP(Y820,模板计算相关数据!$P$22:$X$30,9,0)</f>
        <v>6.4077918749199023</v>
      </c>
      <c r="U820" s="98">
        <v>1</v>
      </c>
      <c r="V820" s="95">
        <f t="shared" si="75"/>
        <v>4</v>
      </c>
      <c r="W820" s="29">
        <f>VLOOKUP(U820,模板计算相关数据!A:N,2,0)</f>
        <v>1</v>
      </c>
      <c r="X820" s="3" t="s">
        <v>151</v>
      </c>
      <c r="Y820" s="3" t="s">
        <v>243</v>
      </c>
      <c r="Z820" s="99">
        <v>1</v>
      </c>
      <c r="AA820" s="95">
        <v>1</v>
      </c>
      <c r="AB820" s="95">
        <v>1</v>
      </c>
      <c r="AC820" s="95">
        <v>1</v>
      </c>
      <c r="AD820" s="95">
        <v>0</v>
      </c>
      <c r="AE820" s="95">
        <v>0</v>
      </c>
      <c r="AF820" s="95">
        <v>0</v>
      </c>
      <c r="AG820" s="95">
        <v>0</v>
      </c>
      <c r="AH820" s="95">
        <v>0</v>
      </c>
      <c r="AI820" s="95">
        <v>0</v>
      </c>
      <c r="AJ820" s="3">
        <f>INT(VLOOKUP(U820,模板计算相关数据!A:N,4,0)*VLOOKUP(U820,模板计算相关数据!A:N,14,0)*(1+MAX(0,(VLOOKUP(U820,模板计算相关数据!A:N,7,0)-AQ820))*VLOOKUP(U820,模板计算相关数据!A:N,8,0))*(1-(AL820+AM820)*0.5/((AL820+AM820)*0.5+(VLOOKUP(U820,模板计算相关数据!A:N,2,0)+模板计算相关数据!$AC$27)*模板计算相关数据!$AC$28))*Q820*Z820)</f>
        <v>411</v>
      </c>
      <c r="AK820" s="3">
        <f>INT(VLOOKUP(U820,模板计算相关数据!A:N,3,0)/模板计算相关数据!$W$35/(1+MAX(0,(AO820/10000-VLOOKUP(U820,模板计算相关数据!A:N,9,0)))*AP820/10000)/(1-VLOOKUP(U820,模板计算相关数据!A:N,5,0)/(VLOOKUP(U820,模板计算相关数据!A:N,5,0)+(VLOOKUP(U820,模板计算相关数据!A:N,2,0)+模板计算相关数据!$AC$27)*模板计算相关数据!$AC$28))/S820*AA820)</f>
        <v>86</v>
      </c>
      <c r="AL820" s="3">
        <f>INT(VLOOKUP(U820,模板计算相关数据!A:N,5,0)*VLOOKUP(X820,模板计算相关数据!$P$4:$T$7,4,0)*VLOOKUP(Y820,模板计算相关数据!$P$22:$U$30,4,0)*AB820)</f>
        <v>145</v>
      </c>
      <c r="AM820" s="3">
        <f>INT(VLOOKUP(U820,模板计算相关数据!A:N,6,0)*VLOOKUP(X820,模板计算相关数据!$P$4:$T$7,4,0)*VLOOKUP(Y820,模板计算相关数据!$P$22:$U$30,5,0)*AC820)</f>
        <v>264</v>
      </c>
      <c r="AN820" s="3">
        <f>VLOOKUP(U820,模板计算相关数据!A:N,10,0)*0.5*VLOOKUP(Y820,模板计算相关数据!$P$22:$U$30,6,0)+AD820</f>
        <v>275</v>
      </c>
      <c r="AO820" s="3">
        <f>VLOOKUP(INT(VLOOKUP(U820,模板计算相关数据!A:N,2,0)/30)+1,模板计算相关数据!$O$35:$U$40,3,0)+AE820</f>
        <v>0</v>
      </c>
      <c r="AP820" s="3">
        <f>VLOOKUP(INT(VLOOKUP(U820,模板计算相关数据!A:N,2,0)/30)+1,模板计算相关数据!$O$35:$U$40,4,0)+AF820</f>
        <v>5000</v>
      </c>
      <c r="AQ820" s="3">
        <f>VLOOKUP(INT(VLOOKUP(U820,模板计算相关数据!A:N,2,0)/30)+1,模板计算相关数据!$O$35:$U$40,5,0)+AG820</f>
        <v>0</v>
      </c>
      <c r="AR820" s="3">
        <f>VLOOKUP(INT(VLOOKUP(U820,模板计算相关数据!A:N,2,0)/30)+1,模板计算相关数据!$O$35:$U$40,6,0)+AH820</f>
        <v>0</v>
      </c>
      <c r="AS820" s="3">
        <f>VLOOKUP(INT(VLOOKUP(U820,模板计算相关数据!A:N,2,0)/30)+1,模板计算相关数据!$O$35:$U$40,7,0)+AI820</f>
        <v>0</v>
      </c>
      <c r="AT820" s="3">
        <f>VLOOKUP(INT(VLOOKUP(U820,模板计算相关数据!A:N,2,0)/30)+1,模板计算相关数据!$O$35:$V$40,8,0)</f>
        <v>0</v>
      </c>
      <c r="AU820" s="2"/>
    </row>
    <row r="821" spans="1:47" x14ac:dyDescent="0.2">
      <c r="A821" s="2">
        <v>307335</v>
      </c>
      <c r="B821" s="2"/>
      <c r="C821" s="2" t="s">
        <v>590</v>
      </c>
      <c r="D821" s="69" t="s">
        <v>1310</v>
      </c>
      <c r="E821" s="2"/>
      <c r="F821" s="127">
        <v>3</v>
      </c>
      <c r="G821" s="127">
        <v>101</v>
      </c>
      <c r="H821" s="3">
        <v>6</v>
      </c>
      <c r="I821" s="127">
        <v>5</v>
      </c>
      <c r="J821" s="127">
        <v>1</v>
      </c>
      <c r="K821" s="3"/>
      <c r="L821" s="2" t="s">
        <v>612</v>
      </c>
      <c r="M821" s="2"/>
      <c r="N821" s="2">
        <v>1</v>
      </c>
      <c r="O821" s="2"/>
      <c r="P821" s="3" t="s">
        <v>1615</v>
      </c>
      <c r="Q821" s="95">
        <f t="shared" si="73"/>
        <v>5.7709803921568623</v>
      </c>
      <c r="R821" s="133">
        <f>IF(P821=模板计算相关数据!$AB$24,VLOOKUP(X821,模板计算相关数据!$P$47:$T$50,2,0),VLOOKUP(X821,模板计算相关数据!$P$4:$U$7,3,0))*VLOOKUP(Y821,模板计算相关数据!$P$22:$X$30,8,0)</f>
        <v>5.7709803921568623</v>
      </c>
      <c r="S821" s="62">
        <f t="shared" si="74"/>
        <v>6.4077918749199023</v>
      </c>
      <c r="T821" s="133">
        <f>IF(P821=模板计算相关数据!$AB$24,VLOOKUP(X821,模板计算相关数据!$P$47:$T$50,5,0),VLOOKUP(X821,模板计算相关数据!$P$4:$U$7,6,0))*VLOOKUP(Y821,模板计算相关数据!$P$22:$X$30,9,0)</f>
        <v>6.4077918749199023</v>
      </c>
      <c r="U821" s="98">
        <v>1</v>
      </c>
      <c r="V821" s="95">
        <f t="shared" si="75"/>
        <v>4</v>
      </c>
      <c r="W821" s="29">
        <f>VLOOKUP(U821,模板计算相关数据!A:N,2,0)</f>
        <v>1</v>
      </c>
      <c r="X821" s="3" t="s">
        <v>151</v>
      </c>
      <c r="Y821" s="3" t="s">
        <v>243</v>
      </c>
      <c r="Z821" s="99">
        <v>1</v>
      </c>
      <c r="AA821" s="95">
        <v>1</v>
      </c>
      <c r="AB821" s="95">
        <v>1</v>
      </c>
      <c r="AC821" s="95">
        <v>1</v>
      </c>
      <c r="AD821" s="95">
        <v>0</v>
      </c>
      <c r="AE821" s="95">
        <v>0</v>
      </c>
      <c r="AF821" s="95">
        <v>0</v>
      </c>
      <c r="AG821" s="95">
        <v>0</v>
      </c>
      <c r="AH821" s="95">
        <v>0</v>
      </c>
      <c r="AI821" s="95">
        <v>0</v>
      </c>
      <c r="AJ821" s="3">
        <f>INT(VLOOKUP(U821,模板计算相关数据!A:N,4,0)*VLOOKUP(U821,模板计算相关数据!A:N,14,0)*(1+MAX(0,(VLOOKUP(U821,模板计算相关数据!A:N,7,0)-AQ821))*VLOOKUP(U821,模板计算相关数据!A:N,8,0))*(1-(AL821+AM821)*0.5/((AL821+AM821)*0.5+(VLOOKUP(U821,模板计算相关数据!A:N,2,0)+模板计算相关数据!$AC$27)*模板计算相关数据!$AC$28))*Q821*Z821)</f>
        <v>411</v>
      </c>
      <c r="AK821" s="3">
        <f>INT(VLOOKUP(U821,模板计算相关数据!A:N,3,0)/模板计算相关数据!$W$35/(1+MAX(0,(AO821/10000-VLOOKUP(U821,模板计算相关数据!A:N,9,0)))*AP821/10000)/(1-VLOOKUP(U821,模板计算相关数据!A:N,5,0)/(VLOOKUP(U821,模板计算相关数据!A:N,5,0)+(VLOOKUP(U821,模板计算相关数据!A:N,2,0)+模板计算相关数据!$AC$27)*模板计算相关数据!$AC$28))/S821*AA821)</f>
        <v>86</v>
      </c>
      <c r="AL821" s="3">
        <f>INT(VLOOKUP(U821,模板计算相关数据!A:N,5,0)*VLOOKUP(X821,模板计算相关数据!$P$4:$T$7,4,0)*VLOOKUP(Y821,模板计算相关数据!$P$22:$U$30,4,0)*AB821)</f>
        <v>145</v>
      </c>
      <c r="AM821" s="3">
        <f>INT(VLOOKUP(U821,模板计算相关数据!A:N,6,0)*VLOOKUP(X821,模板计算相关数据!$P$4:$T$7,4,0)*VLOOKUP(Y821,模板计算相关数据!$P$22:$U$30,5,0)*AC821)</f>
        <v>264</v>
      </c>
      <c r="AN821" s="3">
        <f>VLOOKUP(U821,模板计算相关数据!A:N,10,0)*0.5*VLOOKUP(Y821,模板计算相关数据!$P$22:$U$30,6,0)+AD821</f>
        <v>275</v>
      </c>
      <c r="AO821" s="3">
        <f>VLOOKUP(INT(VLOOKUP(U821,模板计算相关数据!A:N,2,0)/30)+1,模板计算相关数据!$O$35:$U$40,3,0)+AE821</f>
        <v>0</v>
      </c>
      <c r="AP821" s="3">
        <f>VLOOKUP(INT(VLOOKUP(U821,模板计算相关数据!A:N,2,0)/30)+1,模板计算相关数据!$O$35:$U$40,4,0)+AF821</f>
        <v>5000</v>
      </c>
      <c r="AQ821" s="3">
        <f>VLOOKUP(INT(VLOOKUP(U821,模板计算相关数据!A:N,2,0)/30)+1,模板计算相关数据!$O$35:$U$40,5,0)+AG821</f>
        <v>0</v>
      </c>
      <c r="AR821" s="3">
        <f>VLOOKUP(INT(VLOOKUP(U821,模板计算相关数据!A:N,2,0)/30)+1,模板计算相关数据!$O$35:$U$40,6,0)+AH821</f>
        <v>0</v>
      </c>
      <c r="AS821" s="3">
        <f>VLOOKUP(INT(VLOOKUP(U821,模板计算相关数据!A:N,2,0)/30)+1,模板计算相关数据!$O$35:$U$40,7,0)+AI821</f>
        <v>0</v>
      </c>
      <c r="AT821" s="3">
        <f>VLOOKUP(INT(VLOOKUP(U821,模板计算相关数据!A:N,2,0)/30)+1,模板计算相关数据!$O$35:$V$40,8,0)</f>
        <v>0</v>
      </c>
      <c r="AU821" s="2"/>
    </row>
    <row r="822" spans="1:47" x14ac:dyDescent="0.2">
      <c r="A822" s="2">
        <v>307336</v>
      </c>
      <c r="B822" s="2"/>
      <c r="C822" s="2" t="s">
        <v>326</v>
      </c>
      <c r="D822" s="2" t="s">
        <v>1311</v>
      </c>
      <c r="E822" s="2"/>
      <c r="F822" s="127">
        <v>3</v>
      </c>
      <c r="G822" s="127">
        <v>101</v>
      </c>
      <c r="H822" s="3">
        <v>5</v>
      </c>
      <c r="I822" s="127">
        <v>5</v>
      </c>
      <c r="J822" s="127">
        <v>1</v>
      </c>
      <c r="K822" s="3"/>
      <c r="L822" s="2" t="s">
        <v>613</v>
      </c>
      <c r="M822" s="2"/>
      <c r="N822" s="2">
        <v>1</v>
      </c>
      <c r="O822" s="2"/>
      <c r="P822" s="3" t="s">
        <v>1615</v>
      </c>
      <c r="Q822" s="95">
        <f t="shared" si="73"/>
        <v>5.7709803921568623</v>
      </c>
      <c r="R822" s="133">
        <f>IF(P822=模板计算相关数据!$AB$24,VLOOKUP(X822,模板计算相关数据!$P$47:$T$50,2,0),VLOOKUP(X822,模板计算相关数据!$P$4:$U$7,3,0))*VLOOKUP(Y822,模板计算相关数据!$P$22:$X$30,8,0)</f>
        <v>5.7709803921568623</v>
      </c>
      <c r="S822" s="62">
        <f t="shared" si="74"/>
        <v>6.4077918749199023</v>
      </c>
      <c r="T822" s="133">
        <f>IF(P822=模板计算相关数据!$AB$24,VLOOKUP(X822,模板计算相关数据!$P$47:$T$50,5,0),VLOOKUP(X822,模板计算相关数据!$P$4:$U$7,6,0))*VLOOKUP(Y822,模板计算相关数据!$P$22:$X$30,9,0)</f>
        <v>6.4077918749199023</v>
      </c>
      <c r="U822" s="98">
        <v>1</v>
      </c>
      <c r="V822" s="95">
        <f t="shared" si="75"/>
        <v>4</v>
      </c>
      <c r="W822" s="29">
        <f>VLOOKUP(U822,模板计算相关数据!A:N,2,0)</f>
        <v>1</v>
      </c>
      <c r="X822" s="3" t="s">
        <v>151</v>
      </c>
      <c r="Y822" s="3" t="s">
        <v>243</v>
      </c>
      <c r="Z822" s="99">
        <v>1</v>
      </c>
      <c r="AA822" s="95">
        <v>1</v>
      </c>
      <c r="AB822" s="95">
        <v>1</v>
      </c>
      <c r="AC822" s="95">
        <v>1</v>
      </c>
      <c r="AD822" s="95">
        <v>0</v>
      </c>
      <c r="AE822" s="95">
        <v>0</v>
      </c>
      <c r="AF822" s="95">
        <v>0</v>
      </c>
      <c r="AG822" s="95">
        <v>0</v>
      </c>
      <c r="AH822" s="95">
        <v>0</v>
      </c>
      <c r="AI822" s="95">
        <v>0</v>
      </c>
      <c r="AJ822" s="3">
        <f>INT(VLOOKUP(U822,模板计算相关数据!A:N,4,0)*VLOOKUP(U822,模板计算相关数据!A:N,14,0)*(1+MAX(0,(VLOOKUP(U822,模板计算相关数据!A:N,7,0)-AQ822))*VLOOKUP(U822,模板计算相关数据!A:N,8,0))*(1-(AL822+AM822)*0.5/((AL822+AM822)*0.5+(VLOOKUP(U822,模板计算相关数据!A:N,2,0)+模板计算相关数据!$AC$27)*模板计算相关数据!$AC$28))*Q822*Z822)</f>
        <v>411</v>
      </c>
      <c r="AK822" s="3">
        <f>INT(VLOOKUP(U822,模板计算相关数据!A:N,3,0)/模板计算相关数据!$W$35/(1+MAX(0,(AO822/10000-VLOOKUP(U822,模板计算相关数据!A:N,9,0)))*AP822/10000)/(1-VLOOKUP(U822,模板计算相关数据!A:N,5,0)/(VLOOKUP(U822,模板计算相关数据!A:N,5,0)+(VLOOKUP(U822,模板计算相关数据!A:N,2,0)+模板计算相关数据!$AC$27)*模板计算相关数据!$AC$28))/S822*AA822)</f>
        <v>86</v>
      </c>
      <c r="AL822" s="3">
        <f>INT(VLOOKUP(U822,模板计算相关数据!A:N,5,0)*VLOOKUP(X822,模板计算相关数据!$P$4:$T$7,4,0)*VLOOKUP(Y822,模板计算相关数据!$P$22:$U$30,4,0)*AB822)</f>
        <v>145</v>
      </c>
      <c r="AM822" s="3">
        <f>INT(VLOOKUP(U822,模板计算相关数据!A:N,6,0)*VLOOKUP(X822,模板计算相关数据!$P$4:$T$7,4,0)*VLOOKUP(Y822,模板计算相关数据!$P$22:$U$30,5,0)*AC822)</f>
        <v>264</v>
      </c>
      <c r="AN822" s="3">
        <f>VLOOKUP(U822,模板计算相关数据!A:N,10,0)*0.5*VLOOKUP(Y822,模板计算相关数据!$P$22:$U$30,6,0)+AD822</f>
        <v>275</v>
      </c>
      <c r="AO822" s="3">
        <f>VLOOKUP(INT(VLOOKUP(U822,模板计算相关数据!A:N,2,0)/30)+1,模板计算相关数据!$O$35:$U$40,3,0)+AE822</f>
        <v>0</v>
      </c>
      <c r="AP822" s="3">
        <f>VLOOKUP(INT(VLOOKUP(U822,模板计算相关数据!A:N,2,0)/30)+1,模板计算相关数据!$O$35:$U$40,4,0)+AF822</f>
        <v>5000</v>
      </c>
      <c r="AQ822" s="3">
        <f>VLOOKUP(INT(VLOOKUP(U822,模板计算相关数据!A:N,2,0)/30)+1,模板计算相关数据!$O$35:$U$40,5,0)+AG822</f>
        <v>0</v>
      </c>
      <c r="AR822" s="3">
        <f>VLOOKUP(INT(VLOOKUP(U822,模板计算相关数据!A:N,2,0)/30)+1,模板计算相关数据!$O$35:$U$40,6,0)+AH822</f>
        <v>0</v>
      </c>
      <c r="AS822" s="3">
        <f>VLOOKUP(INT(VLOOKUP(U822,模板计算相关数据!A:N,2,0)/30)+1,模板计算相关数据!$O$35:$U$40,7,0)+AI822</f>
        <v>0</v>
      </c>
      <c r="AT822" s="3">
        <f>VLOOKUP(INT(VLOOKUP(U822,模板计算相关数据!A:N,2,0)/30)+1,模板计算相关数据!$O$35:$V$40,8,0)</f>
        <v>0</v>
      </c>
      <c r="AU822" s="2"/>
    </row>
    <row r="823" spans="1:47" x14ac:dyDescent="0.2">
      <c r="A823" s="2">
        <v>307337</v>
      </c>
      <c r="B823" s="2"/>
      <c r="C823" s="2" t="s">
        <v>326</v>
      </c>
      <c r="D823" s="2" t="s">
        <v>1312</v>
      </c>
      <c r="E823" s="2"/>
      <c r="F823" s="127">
        <v>3</v>
      </c>
      <c r="G823" s="127">
        <v>101</v>
      </c>
      <c r="H823" s="3">
        <v>5</v>
      </c>
      <c r="I823" s="127">
        <v>5</v>
      </c>
      <c r="J823" s="127">
        <v>1</v>
      </c>
      <c r="K823" s="3"/>
      <c r="L823" s="2" t="s">
        <v>614</v>
      </c>
      <c r="M823" s="2"/>
      <c r="N823" s="2">
        <v>1</v>
      </c>
      <c r="O823" s="2"/>
      <c r="P823" s="3" t="s">
        <v>1615</v>
      </c>
      <c r="Q823" s="95">
        <f t="shared" si="73"/>
        <v>5.7709803921568623</v>
      </c>
      <c r="R823" s="133">
        <f>IF(P823=模板计算相关数据!$AB$24,VLOOKUP(X823,模板计算相关数据!$P$47:$T$50,2,0),VLOOKUP(X823,模板计算相关数据!$P$4:$U$7,3,0))*VLOOKUP(Y823,模板计算相关数据!$P$22:$X$30,8,0)</f>
        <v>5.7709803921568623</v>
      </c>
      <c r="S823" s="62">
        <f t="shared" si="74"/>
        <v>6.4077918749199023</v>
      </c>
      <c r="T823" s="133">
        <f>IF(P823=模板计算相关数据!$AB$24,VLOOKUP(X823,模板计算相关数据!$P$47:$T$50,5,0),VLOOKUP(X823,模板计算相关数据!$P$4:$U$7,6,0))*VLOOKUP(Y823,模板计算相关数据!$P$22:$X$30,9,0)</f>
        <v>6.4077918749199023</v>
      </c>
      <c r="U823" s="98">
        <v>1</v>
      </c>
      <c r="V823" s="95">
        <f t="shared" si="75"/>
        <v>4</v>
      </c>
      <c r="W823" s="29">
        <f>VLOOKUP(U823,模板计算相关数据!A:N,2,0)</f>
        <v>1</v>
      </c>
      <c r="X823" s="3" t="s">
        <v>151</v>
      </c>
      <c r="Y823" s="3" t="s">
        <v>243</v>
      </c>
      <c r="Z823" s="99">
        <v>1</v>
      </c>
      <c r="AA823" s="95">
        <v>1</v>
      </c>
      <c r="AB823" s="95">
        <v>1</v>
      </c>
      <c r="AC823" s="95">
        <v>1</v>
      </c>
      <c r="AD823" s="95">
        <v>0</v>
      </c>
      <c r="AE823" s="95">
        <v>0</v>
      </c>
      <c r="AF823" s="95">
        <v>0</v>
      </c>
      <c r="AG823" s="95">
        <v>0</v>
      </c>
      <c r="AH823" s="95">
        <v>0</v>
      </c>
      <c r="AI823" s="95">
        <v>0</v>
      </c>
      <c r="AJ823" s="3">
        <f>INT(VLOOKUP(U823,模板计算相关数据!A:N,4,0)*VLOOKUP(U823,模板计算相关数据!A:N,14,0)*(1+MAX(0,(VLOOKUP(U823,模板计算相关数据!A:N,7,0)-AQ823))*VLOOKUP(U823,模板计算相关数据!A:N,8,0))*(1-(AL823+AM823)*0.5/((AL823+AM823)*0.5+(VLOOKUP(U823,模板计算相关数据!A:N,2,0)+模板计算相关数据!$AC$27)*模板计算相关数据!$AC$28))*Q823*Z823)</f>
        <v>411</v>
      </c>
      <c r="AK823" s="3">
        <f>INT(VLOOKUP(U823,模板计算相关数据!A:N,3,0)/模板计算相关数据!$W$35/(1+MAX(0,(AO823/10000-VLOOKUP(U823,模板计算相关数据!A:N,9,0)))*AP823/10000)/(1-VLOOKUP(U823,模板计算相关数据!A:N,5,0)/(VLOOKUP(U823,模板计算相关数据!A:N,5,0)+(VLOOKUP(U823,模板计算相关数据!A:N,2,0)+模板计算相关数据!$AC$27)*模板计算相关数据!$AC$28))/S823*AA823)</f>
        <v>86</v>
      </c>
      <c r="AL823" s="3">
        <f>INT(VLOOKUP(U823,模板计算相关数据!A:N,5,0)*VLOOKUP(X823,模板计算相关数据!$P$4:$T$7,4,0)*VLOOKUP(Y823,模板计算相关数据!$P$22:$U$30,4,0)*AB823)</f>
        <v>145</v>
      </c>
      <c r="AM823" s="3">
        <f>INT(VLOOKUP(U823,模板计算相关数据!A:N,6,0)*VLOOKUP(X823,模板计算相关数据!$P$4:$T$7,4,0)*VLOOKUP(Y823,模板计算相关数据!$P$22:$U$30,5,0)*AC823)</f>
        <v>264</v>
      </c>
      <c r="AN823" s="3">
        <f>VLOOKUP(U823,模板计算相关数据!A:N,10,0)*0.5*VLOOKUP(Y823,模板计算相关数据!$P$22:$U$30,6,0)+AD823</f>
        <v>275</v>
      </c>
      <c r="AO823" s="3">
        <f>VLOOKUP(INT(VLOOKUP(U823,模板计算相关数据!A:N,2,0)/30)+1,模板计算相关数据!$O$35:$U$40,3,0)+AE823</f>
        <v>0</v>
      </c>
      <c r="AP823" s="3">
        <f>VLOOKUP(INT(VLOOKUP(U823,模板计算相关数据!A:N,2,0)/30)+1,模板计算相关数据!$O$35:$U$40,4,0)+AF823</f>
        <v>5000</v>
      </c>
      <c r="AQ823" s="3">
        <f>VLOOKUP(INT(VLOOKUP(U823,模板计算相关数据!A:N,2,0)/30)+1,模板计算相关数据!$O$35:$U$40,5,0)+AG823</f>
        <v>0</v>
      </c>
      <c r="AR823" s="3">
        <f>VLOOKUP(INT(VLOOKUP(U823,模板计算相关数据!A:N,2,0)/30)+1,模板计算相关数据!$O$35:$U$40,6,0)+AH823</f>
        <v>0</v>
      </c>
      <c r="AS823" s="3">
        <f>VLOOKUP(INT(VLOOKUP(U823,模板计算相关数据!A:N,2,0)/30)+1,模板计算相关数据!$O$35:$U$40,7,0)+AI823</f>
        <v>0</v>
      </c>
      <c r="AT823" s="3">
        <f>VLOOKUP(INT(VLOOKUP(U823,模板计算相关数据!A:N,2,0)/30)+1,模板计算相关数据!$O$35:$V$40,8,0)</f>
        <v>0</v>
      </c>
      <c r="AU823" s="2"/>
    </row>
    <row r="824" spans="1:47" x14ac:dyDescent="0.2">
      <c r="A824" s="2">
        <v>307338</v>
      </c>
      <c r="B824" s="2"/>
      <c r="C824" s="2" t="s">
        <v>326</v>
      </c>
      <c r="D824" s="2" t="s">
        <v>1313</v>
      </c>
      <c r="E824" s="2"/>
      <c r="F824" s="127">
        <v>3</v>
      </c>
      <c r="G824" s="127">
        <v>101</v>
      </c>
      <c r="H824" s="3">
        <v>5</v>
      </c>
      <c r="I824" s="127">
        <v>5</v>
      </c>
      <c r="J824" s="127">
        <v>1</v>
      </c>
      <c r="K824" s="3"/>
      <c r="L824" s="2" t="s">
        <v>615</v>
      </c>
      <c r="M824" s="2"/>
      <c r="N824" s="2">
        <v>1</v>
      </c>
      <c r="O824" s="2"/>
      <c r="P824" s="3" t="s">
        <v>1615</v>
      </c>
      <c r="Q824" s="95">
        <f t="shared" si="73"/>
        <v>5.7709803921568623</v>
      </c>
      <c r="R824" s="133">
        <f>IF(P824=模板计算相关数据!$AB$24,VLOOKUP(X824,模板计算相关数据!$P$47:$T$50,2,0),VLOOKUP(X824,模板计算相关数据!$P$4:$U$7,3,0))*VLOOKUP(Y824,模板计算相关数据!$P$22:$X$30,8,0)</f>
        <v>5.7709803921568623</v>
      </c>
      <c r="S824" s="62">
        <f t="shared" si="74"/>
        <v>6.4077918749199023</v>
      </c>
      <c r="T824" s="133">
        <f>IF(P824=模板计算相关数据!$AB$24,VLOOKUP(X824,模板计算相关数据!$P$47:$T$50,5,0),VLOOKUP(X824,模板计算相关数据!$P$4:$U$7,6,0))*VLOOKUP(Y824,模板计算相关数据!$P$22:$X$30,9,0)</f>
        <v>6.4077918749199023</v>
      </c>
      <c r="U824" s="98">
        <v>1</v>
      </c>
      <c r="V824" s="95">
        <f t="shared" si="75"/>
        <v>4</v>
      </c>
      <c r="W824" s="29">
        <f>VLOOKUP(U824,模板计算相关数据!A:N,2,0)</f>
        <v>1</v>
      </c>
      <c r="X824" s="3" t="s">
        <v>151</v>
      </c>
      <c r="Y824" s="3" t="s">
        <v>243</v>
      </c>
      <c r="Z824" s="99">
        <v>1</v>
      </c>
      <c r="AA824" s="95">
        <v>1</v>
      </c>
      <c r="AB824" s="95">
        <v>1</v>
      </c>
      <c r="AC824" s="95">
        <v>1</v>
      </c>
      <c r="AD824" s="95">
        <v>0</v>
      </c>
      <c r="AE824" s="95">
        <v>0</v>
      </c>
      <c r="AF824" s="95">
        <v>0</v>
      </c>
      <c r="AG824" s="95">
        <v>0</v>
      </c>
      <c r="AH824" s="95">
        <v>0</v>
      </c>
      <c r="AI824" s="95">
        <v>0</v>
      </c>
      <c r="AJ824" s="3">
        <f>INT(VLOOKUP(U824,模板计算相关数据!A:N,4,0)*VLOOKUP(U824,模板计算相关数据!A:N,14,0)*(1+MAX(0,(VLOOKUP(U824,模板计算相关数据!A:N,7,0)-AQ824))*VLOOKUP(U824,模板计算相关数据!A:N,8,0))*(1-(AL824+AM824)*0.5/((AL824+AM824)*0.5+(VLOOKUP(U824,模板计算相关数据!A:N,2,0)+模板计算相关数据!$AC$27)*模板计算相关数据!$AC$28))*Q824*Z824)</f>
        <v>411</v>
      </c>
      <c r="AK824" s="3">
        <f>INT(VLOOKUP(U824,模板计算相关数据!A:N,3,0)/模板计算相关数据!$W$35/(1+MAX(0,(AO824/10000-VLOOKUP(U824,模板计算相关数据!A:N,9,0)))*AP824/10000)/(1-VLOOKUP(U824,模板计算相关数据!A:N,5,0)/(VLOOKUP(U824,模板计算相关数据!A:N,5,0)+(VLOOKUP(U824,模板计算相关数据!A:N,2,0)+模板计算相关数据!$AC$27)*模板计算相关数据!$AC$28))/S824*AA824)</f>
        <v>86</v>
      </c>
      <c r="AL824" s="3">
        <f>INT(VLOOKUP(U824,模板计算相关数据!A:N,5,0)*VLOOKUP(X824,模板计算相关数据!$P$4:$T$7,4,0)*VLOOKUP(Y824,模板计算相关数据!$P$22:$U$30,4,0)*AB824)</f>
        <v>145</v>
      </c>
      <c r="AM824" s="3">
        <f>INT(VLOOKUP(U824,模板计算相关数据!A:N,6,0)*VLOOKUP(X824,模板计算相关数据!$P$4:$T$7,4,0)*VLOOKUP(Y824,模板计算相关数据!$P$22:$U$30,5,0)*AC824)</f>
        <v>264</v>
      </c>
      <c r="AN824" s="3">
        <f>VLOOKUP(U824,模板计算相关数据!A:N,10,0)*0.5*VLOOKUP(Y824,模板计算相关数据!$P$22:$U$30,6,0)+AD824</f>
        <v>275</v>
      </c>
      <c r="AO824" s="3">
        <f>VLOOKUP(INT(VLOOKUP(U824,模板计算相关数据!A:N,2,0)/30)+1,模板计算相关数据!$O$35:$U$40,3,0)+AE824</f>
        <v>0</v>
      </c>
      <c r="AP824" s="3">
        <f>VLOOKUP(INT(VLOOKUP(U824,模板计算相关数据!A:N,2,0)/30)+1,模板计算相关数据!$O$35:$U$40,4,0)+AF824</f>
        <v>5000</v>
      </c>
      <c r="AQ824" s="3">
        <f>VLOOKUP(INT(VLOOKUP(U824,模板计算相关数据!A:N,2,0)/30)+1,模板计算相关数据!$O$35:$U$40,5,0)+AG824</f>
        <v>0</v>
      </c>
      <c r="AR824" s="3">
        <f>VLOOKUP(INT(VLOOKUP(U824,模板计算相关数据!A:N,2,0)/30)+1,模板计算相关数据!$O$35:$U$40,6,0)+AH824</f>
        <v>0</v>
      </c>
      <c r="AS824" s="3">
        <f>VLOOKUP(INT(VLOOKUP(U824,模板计算相关数据!A:N,2,0)/30)+1,模板计算相关数据!$O$35:$U$40,7,0)+AI824</f>
        <v>0</v>
      </c>
      <c r="AT824" s="3">
        <f>VLOOKUP(INT(VLOOKUP(U824,模板计算相关数据!A:N,2,0)/30)+1,模板计算相关数据!$O$35:$V$40,8,0)</f>
        <v>0</v>
      </c>
      <c r="AU824" s="2"/>
    </row>
    <row r="825" spans="1:47" x14ac:dyDescent="0.2">
      <c r="A825" s="2">
        <v>307339</v>
      </c>
      <c r="B825" s="2"/>
      <c r="C825" s="2" t="s">
        <v>326</v>
      </c>
      <c r="D825" s="2" t="s">
        <v>1314</v>
      </c>
      <c r="E825" s="2"/>
      <c r="F825" s="127">
        <v>3</v>
      </c>
      <c r="G825" s="127">
        <v>101</v>
      </c>
      <c r="H825" s="3">
        <v>5</v>
      </c>
      <c r="I825" s="127">
        <v>5</v>
      </c>
      <c r="J825" s="127">
        <v>1</v>
      </c>
      <c r="K825" s="3"/>
      <c r="L825" s="2" t="s">
        <v>616</v>
      </c>
      <c r="M825" s="2"/>
      <c r="N825" s="2">
        <v>1</v>
      </c>
      <c r="O825" s="2"/>
      <c r="P825" s="3" t="s">
        <v>1615</v>
      </c>
      <c r="Q825" s="95">
        <f t="shared" si="73"/>
        <v>5.7709803921568623</v>
      </c>
      <c r="R825" s="133">
        <f>IF(P825=模板计算相关数据!$AB$24,VLOOKUP(X825,模板计算相关数据!$P$47:$T$50,2,0),VLOOKUP(X825,模板计算相关数据!$P$4:$U$7,3,0))*VLOOKUP(Y825,模板计算相关数据!$P$22:$X$30,8,0)</f>
        <v>5.7709803921568623</v>
      </c>
      <c r="S825" s="62">
        <f t="shared" si="74"/>
        <v>6.4077918749199023</v>
      </c>
      <c r="T825" s="133">
        <f>IF(P825=模板计算相关数据!$AB$24,VLOOKUP(X825,模板计算相关数据!$P$47:$T$50,5,0),VLOOKUP(X825,模板计算相关数据!$P$4:$U$7,6,0))*VLOOKUP(Y825,模板计算相关数据!$P$22:$X$30,9,0)</f>
        <v>6.4077918749199023</v>
      </c>
      <c r="U825" s="98">
        <v>1</v>
      </c>
      <c r="V825" s="95">
        <f t="shared" si="75"/>
        <v>4</v>
      </c>
      <c r="W825" s="29">
        <f>VLOOKUP(U825,模板计算相关数据!A:N,2,0)</f>
        <v>1</v>
      </c>
      <c r="X825" s="3" t="s">
        <v>151</v>
      </c>
      <c r="Y825" s="3" t="s">
        <v>243</v>
      </c>
      <c r="Z825" s="99">
        <v>1</v>
      </c>
      <c r="AA825" s="95">
        <v>1</v>
      </c>
      <c r="AB825" s="95">
        <v>1</v>
      </c>
      <c r="AC825" s="95">
        <v>1</v>
      </c>
      <c r="AD825" s="95">
        <v>0</v>
      </c>
      <c r="AE825" s="95">
        <v>0</v>
      </c>
      <c r="AF825" s="95">
        <v>0</v>
      </c>
      <c r="AG825" s="95">
        <v>0</v>
      </c>
      <c r="AH825" s="95">
        <v>0</v>
      </c>
      <c r="AI825" s="95">
        <v>0</v>
      </c>
      <c r="AJ825" s="3">
        <f>INT(VLOOKUP(U825,模板计算相关数据!A:N,4,0)*VLOOKUP(U825,模板计算相关数据!A:N,14,0)*(1+MAX(0,(VLOOKUP(U825,模板计算相关数据!A:N,7,0)-AQ825))*VLOOKUP(U825,模板计算相关数据!A:N,8,0))*(1-(AL825+AM825)*0.5/((AL825+AM825)*0.5+(VLOOKUP(U825,模板计算相关数据!A:N,2,0)+模板计算相关数据!$AC$27)*模板计算相关数据!$AC$28))*Q825*Z825)</f>
        <v>411</v>
      </c>
      <c r="AK825" s="3">
        <f>INT(VLOOKUP(U825,模板计算相关数据!A:N,3,0)/模板计算相关数据!$W$35/(1+MAX(0,(AO825/10000-VLOOKUP(U825,模板计算相关数据!A:N,9,0)))*AP825/10000)/(1-VLOOKUP(U825,模板计算相关数据!A:N,5,0)/(VLOOKUP(U825,模板计算相关数据!A:N,5,0)+(VLOOKUP(U825,模板计算相关数据!A:N,2,0)+模板计算相关数据!$AC$27)*模板计算相关数据!$AC$28))/S825*AA825)</f>
        <v>86</v>
      </c>
      <c r="AL825" s="3">
        <f>INT(VLOOKUP(U825,模板计算相关数据!A:N,5,0)*VLOOKUP(X825,模板计算相关数据!$P$4:$T$7,4,0)*VLOOKUP(Y825,模板计算相关数据!$P$22:$U$30,4,0)*AB825)</f>
        <v>145</v>
      </c>
      <c r="AM825" s="3">
        <f>INT(VLOOKUP(U825,模板计算相关数据!A:N,6,0)*VLOOKUP(X825,模板计算相关数据!$P$4:$T$7,4,0)*VLOOKUP(Y825,模板计算相关数据!$P$22:$U$30,5,0)*AC825)</f>
        <v>264</v>
      </c>
      <c r="AN825" s="3">
        <f>VLOOKUP(U825,模板计算相关数据!A:N,10,0)*0.5*VLOOKUP(Y825,模板计算相关数据!$P$22:$U$30,6,0)+AD825</f>
        <v>275</v>
      </c>
      <c r="AO825" s="3">
        <f>VLOOKUP(INT(VLOOKUP(U825,模板计算相关数据!A:N,2,0)/30)+1,模板计算相关数据!$O$35:$U$40,3,0)+AE825</f>
        <v>0</v>
      </c>
      <c r="AP825" s="3">
        <f>VLOOKUP(INT(VLOOKUP(U825,模板计算相关数据!A:N,2,0)/30)+1,模板计算相关数据!$O$35:$U$40,4,0)+AF825</f>
        <v>5000</v>
      </c>
      <c r="AQ825" s="3">
        <f>VLOOKUP(INT(VLOOKUP(U825,模板计算相关数据!A:N,2,0)/30)+1,模板计算相关数据!$O$35:$U$40,5,0)+AG825</f>
        <v>0</v>
      </c>
      <c r="AR825" s="3">
        <f>VLOOKUP(INT(VLOOKUP(U825,模板计算相关数据!A:N,2,0)/30)+1,模板计算相关数据!$O$35:$U$40,6,0)+AH825</f>
        <v>0</v>
      </c>
      <c r="AS825" s="3">
        <f>VLOOKUP(INT(VLOOKUP(U825,模板计算相关数据!A:N,2,0)/30)+1,模板计算相关数据!$O$35:$U$40,7,0)+AI825</f>
        <v>0</v>
      </c>
      <c r="AT825" s="3">
        <f>VLOOKUP(INT(VLOOKUP(U825,模板计算相关数据!A:N,2,0)/30)+1,模板计算相关数据!$O$35:$V$40,8,0)</f>
        <v>0</v>
      </c>
      <c r="AU825" s="2"/>
    </row>
    <row r="826" spans="1:47" x14ac:dyDescent="0.2">
      <c r="A826" s="2">
        <v>307340</v>
      </c>
      <c r="B826" s="2"/>
      <c r="C826" s="2" t="s">
        <v>326</v>
      </c>
      <c r="D826" s="2" t="s">
        <v>1315</v>
      </c>
      <c r="E826" s="2"/>
      <c r="F826" s="127">
        <v>3</v>
      </c>
      <c r="G826" s="127">
        <v>101</v>
      </c>
      <c r="H826" s="3">
        <v>5</v>
      </c>
      <c r="I826" s="127">
        <v>5</v>
      </c>
      <c r="J826" s="127">
        <v>1</v>
      </c>
      <c r="K826" s="3"/>
      <c r="L826" s="2" t="s">
        <v>617</v>
      </c>
      <c r="M826" s="2"/>
      <c r="N826" s="2">
        <v>1</v>
      </c>
      <c r="O826" s="2"/>
      <c r="P826" s="3" t="s">
        <v>1615</v>
      </c>
      <c r="Q826" s="95">
        <f t="shared" si="73"/>
        <v>5.7709803921568623</v>
      </c>
      <c r="R826" s="133">
        <f>IF(P826=模板计算相关数据!$AB$24,VLOOKUP(X826,模板计算相关数据!$P$47:$T$50,2,0),VLOOKUP(X826,模板计算相关数据!$P$4:$U$7,3,0))*VLOOKUP(Y826,模板计算相关数据!$P$22:$X$30,8,0)</f>
        <v>5.7709803921568623</v>
      </c>
      <c r="S826" s="62">
        <f t="shared" si="74"/>
        <v>6.4077918749199023</v>
      </c>
      <c r="T826" s="133">
        <f>IF(P826=模板计算相关数据!$AB$24,VLOOKUP(X826,模板计算相关数据!$P$47:$T$50,5,0),VLOOKUP(X826,模板计算相关数据!$P$4:$U$7,6,0))*VLOOKUP(Y826,模板计算相关数据!$P$22:$X$30,9,0)</f>
        <v>6.4077918749199023</v>
      </c>
      <c r="U826" s="98">
        <v>1</v>
      </c>
      <c r="V826" s="95">
        <f t="shared" si="75"/>
        <v>4</v>
      </c>
      <c r="W826" s="29">
        <f>VLOOKUP(U826,模板计算相关数据!A:N,2,0)</f>
        <v>1</v>
      </c>
      <c r="X826" s="3" t="s">
        <v>151</v>
      </c>
      <c r="Y826" s="3" t="s">
        <v>243</v>
      </c>
      <c r="Z826" s="99">
        <v>1</v>
      </c>
      <c r="AA826" s="95">
        <v>1</v>
      </c>
      <c r="AB826" s="95">
        <v>1</v>
      </c>
      <c r="AC826" s="95">
        <v>1</v>
      </c>
      <c r="AD826" s="95">
        <v>0</v>
      </c>
      <c r="AE826" s="95">
        <v>0</v>
      </c>
      <c r="AF826" s="95">
        <v>0</v>
      </c>
      <c r="AG826" s="95">
        <v>0</v>
      </c>
      <c r="AH826" s="95">
        <v>0</v>
      </c>
      <c r="AI826" s="95">
        <v>0</v>
      </c>
      <c r="AJ826" s="3">
        <f>INT(VLOOKUP(U826,模板计算相关数据!A:N,4,0)*VLOOKUP(U826,模板计算相关数据!A:N,14,0)*(1+MAX(0,(VLOOKUP(U826,模板计算相关数据!A:N,7,0)-AQ826))*VLOOKUP(U826,模板计算相关数据!A:N,8,0))*(1-(AL826+AM826)*0.5/((AL826+AM826)*0.5+(VLOOKUP(U826,模板计算相关数据!A:N,2,0)+模板计算相关数据!$AC$27)*模板计算相关数据!$AC$28))*Q826*Z826)</f>
        <v>411</v>
      </c>
      <c r="AK826" s="3">
        <f>INT(VLOOKUP(U826,模板计算相关数据!A:N,3,0)/模板计算相关数据!$W$35/(1+MAX(0,(AO826/10000-VLOOKUP(U826,模板计算相关数据!A:N,9,0)))*AP826/10000)/(1-VLOOKUP(U826,模板计算相关数据!A:N,5,0)/(VLOOKUP(U826,模板计算相关数据!A:N,5,0)+(VLOOKUP(U826,模板计算相关数据!A:N,2,0)+模板计算相关数据!$AC$27)*模板计算相关数据!$AC$28))/S826*AA826)</f>
        <v>86</v>
      </c>
      <c r="AL826" s="3">
        <f>INT(VLOOKUP(U826,模板计算相关数据!A:N,5,0)*VLOOKUP(X826,模板计算相关数据!$P$4:$T$7,4,0)*VLOOKUP(Y826,模板计算相关数据!$P$22:$U$30,4,0)*AB826)</f>
        <v>145</v>
      </c>
      <c r="AM826" s="3">
        <f>INT(VLOOKUP(U826,模板计算相关数据!A:N,6,0)*VLOOKUP(X826,模板计算相关数据!$P$4:$T$7,4,0)*VLOOKUP(Y826,模板计算相关数据!$P$22:$U$30,5,0)*AC826)</f>
        <v>264</v>
      </c>
      <c r="AN826" s="3">
        <f>VLOOKUP(U826,模板计算相关数据!A:N,10,0)*0.5*VLOOKUP(Y826,模板计算相关数据!$P$22:$U$30,6,0)+AD826</f>
        <v>275</v>
      </c>
      <c r="AO826" s="3">
        <f>VLOOKUP(INT(VLOOKUP(U826,模板计算相关数据!A:N,2,0)/30)+1,模板计算相关数据!$O$35:$U$40,3,0)+AE826</f>
        <v>0</v>
      </c>
      <c r="AP826" s="3">
        <f>VLOOKUP(INT(VLOOKUP(U826,模板计算相关数据!A:N,2,0)/30)+1,模板计算相关数据!$O$35:$U$40,4,0)+AF826</f>
        <v>5000</v>
      </c>
      <c r="AQ826" s="3">
        <f>VLOOKUP(INT(VLOOKUP(U826,模板计算相关数据!A:N,2,0)/30)+1,模板计算相关数据!$O$35:$U$40,5,0)+AG826</f>
        <v>0</v>
      </c>
      <c r="AR826" s="3">
        <f>VLOOKUP(INT(VLOOKUP(U826,模板计算相关数据!A:N,2,0)/30)+1,模板计算相关数据!$O$35:$U$40,6,0)+AH826</f>
        <v>0</v>
      </c>
      <c r="AS826" s="3">
        <f>VLOOKUP(INT(VLOOKUP(U826,模板计算相关数据!A:N,2,0)/30)+1,模板计算相关数据!$O$35:$U$40,7,0)+AI826</f>
        <v>0</v>
      </c>
      <c r="AT826" s="3">
        <f>VLOOKUP(INT(VLOOKUP(U826,模板计算相关数据!A:N,2,0)/30)+1,模板计算相关数据!$O$35:$V$40,8,0)</f>
        <v>0</v>
      </c>
      <c r="AU826" s="2"/>
    </row>
    <row r="827" spans="1:47" x14ac:dyDescent="0.2">
      <c r="A827" s="2">
        <v>307341</v>
      </c>
      <c r="B827" s="2"/>
      <c r="C827" s="2" t="s">
        <v>343</v>
      </c>
      <c r="D827" s="2" t="s">
        <v>1311</v>
      </c>
      <c r="E827" s="2"/>
      <c r="F827" s="127">
        <v>3</v>
      </c>
      <c r="G827" s="127">
        <v>101</v>
      </c>
      <c r="H827" s="3">
        <v>3</v>
      </c>
      <c r="I827" s="127">
        <v>5</v>
      </c>
      <c r="J827" s="127">
        <v>1</v>
      </c>
      <c r="K827" s="3"/>
      <c r="L827" s="2" t="s">
        <v>618</v>
      </c>
      <c r="M827" s="2"/>
      <c r="N827" s="2">
        <v>1</v>
      </c>
      <c r="O827" s="2"/>
      <c r="P827" s="3" t="s">
        <v>1615</v>
      </c>
      <c r="Q827" s="95">
        <f t="shared" si="73"/>
        <v>5.6000000000000014</v>
      </c>
      <c r="R827" s="133">
        <f>IF(P827=模板计算相关数据!$AB$24,VLOOKUP(X827,模板计算相关数据!$P$47:$T$50,2,0),VLOOKUP(X827,模板计算相关数据!$P$4:$U$7,3,0))*VLOOKUP(Y827,模板计算相关数据!$P$22:$X$30,8,0)</f>
        <v>5.6000000000000014</v>
      </c>
      <c r="S827" s="62">
        <f t="shared" si="74"/>
        <v>6.6693344004268367</v>
      </c>
      <c r="T827" s="133">
        <f>IF(P827=模板计算相关数据!$AB$24,VLOOKUP(X827,模板计算相关数据!$P$47:$T$50,5,0),VLOOKUP(X827,模板计算相关数据!$P$4:$U$7,6,0))*VLOOKUP(Y827,模板计算相关数据!$P$22:$X$30,9,0)</f>
        <v>6.6693344004268367</v>
      </c>
      <c r="U827" s="98">
        <v>1</v>
      </c>
      <c r="V827" s="95">
        <f t="shared" si="75"/>
        <v>4</v>
      </c>
      <c r="W827" s="29">
        <f>VLOOKUP(U827,模板计算相关数据!A:N,2,0)</f>
        <v>1</v>
      </c>
      <c r="X827" s="3" t="s">
        <v>151</v>
      </c>
      <c r="Y827" s="3" t="s">
        <v>255</v>
      </c>
      <c r="Z827" s="99">
        <v>1</v>
      </c>
      <c r="AA827" s="95">
        <v>1</v>
      </c>
      <c r="AB827" s="95">
        <v>1</v>
      </c>
      <c r="AC827" s="95">
        <v>1</v>
      </c>
      <c r="AD827" s="95">
        <v>0</v>
      </c>
      <c r="AE827" s="95">
        <v>0</v>
      </c>
      <c r="AF827" s="95">
        <v>0</v>
      </c>
      <c r="AG827" s="95">
        <v>0</v>
      </c>
      <c r="AH827" s="95">
        <v>0</v>
      </c>
      <c r="AI827" s="95">
        <v>0</v>
      </c>
      <c r="AJ827" s="3">
        <f>INT(VLOOKUP(U827,模板计算相关数据!A:N,4,0)*VLOOKUP(U827,模板计算相关数据!A:N,14,0)*(1+MAX(0,(VLOOKUP(U827,模板计算相关数据!A:N,7,0)-AQ827))*VLOOKUP(U827,模板计算相关数据!A:N,8,0))*(1-(AL827+AM827)*0.5/((AL827+AM827)*0.5+(VLOOKUP(U827,模板计算相关数据!A:N,2,0)+模板计算相关数据!$AC$27)*模板计算相关数据!$AC$28))*Q827*Z827)</f>
        <v>394</v>
      </c>
      <c r="AK827" s="3">
        <f>INT(VLOOKUP(U827,模板计算相关数据!A:N,3,0)/模板计算相关数据!$W$35/(1+MAX(0,(AO827/10000-VLOOKUP(U827,模板计算相关数据!A:N,9,0)))*AP827/10000)/(1-VLOOKUP(U827,模板计算相关数据!A:N,5,0)/(VLOOKUP(U827,模板计算相关数据!A:N,5,0)+(VLOOKUP(U827,模板计算相关数据!A:N,2,0)+模板计算相关数据!$AC$27)*模板计算相关数据!$AC$28))/S827*AA827)</f>
        <v>83</v>
      </c>
      <c r="AL827" s="3">
        <f>INT(VLOOKUP(U827,模板计算相关数据!A:N,5,0)*VLOOKUP(X827,模板计算相关数据!$P$4:$T$7,4,0)*VLOOKUP(Y827,模板计算相关数据!$P$22:$U$30,4,0)*AB827)</f>
        <v>149</v>
      </c>
      <c r="AM827" s="3">
        <f>INT(VLOOKUP(U827,模板计算相关数据!A:N,6,0)*VLOOKUP(X827,模板计算相关数据!$P$4:$T$7,4,0)*VLOOKUP(Y827,模板计算相关数据!$P$22:$U$30,5,0)*AC827)</f>
        <v>277</v>
      </c>
      <c r="AN827" s="3">
        <f>VLOOKUP(U827,模板计算相关数据!A:N,10,0)*0.5*VLOOKUP(Y827,模板计算相关数据!$P$22:$U$30,6,0)+AD827</f>
        <v>225</v>
      </c>
      <c r="AO827" s="3">
        <f>VLOOKUP(INT(VLOOKUP(U827,模板计算相关数据!A:N,2,0)/30)+1,模板计算相关数据!$O$35:$U$40,3,0)+AE827</f>
        <v>0</v>
      </c>
      <c r="AP827" s="3">
        <f>VLOOKUP(INT(VLOOKUP(U827,模板计算相关数据!A:N,2,0)/30)+1,模板计算相关数据!$O$35:$U$40,4,0)+AF827</f>
        <v>5000</v>
      </c>
      <c r="AQ827" s="3">
        <f>VLOOKUP(INT(VLOOKUP(U827,模板计算相关数据!A:N,2,0)/30)+1,模板计算相关数据!$O$35:$U$40,5,0)+AG827</f>
        <v>0</v>
      </c>
      <c r="AR827" s="3">
        <f>VLOOKUP(INT(VLOOKUP(U827,模板计算相关数据!A:N,2,0)/30)+1,模板计算相关数据!$O$35:$U$40,6,0)+AH827</f>
        <v>0</v>
      </c>
      <c r="AS827" s="3">
        <f>VLOOKUP(INT(VLOOKUP(U827,模板计算相关数据!A:N,2,0)/30)+1,模板计算相关数据!$O$35:$U$40,7,0)+AI827</f>
        <v>0</v>
      </c>
      <c r="AT827" s="3">
        <f>VLOOKUP(INT(VLOOKUP(U827,模板计算相关数据!A:N,2,0)/30)+1,模板计算相关数据!$O$35:$V$40,8,0)</f>
        <v>0</v>
      </c>
      <c r="AU827" s="2"/>
    </row>
    <row r="828" spans="1:47" x14ac:dyDescent="0.2">
      <c r="A828" s="2">
        <v>307342</v>
      </c>
      <c r="B828" s="2"/>
      <c r="C828" s="2" t="s">
        <v>343</v>
      </c>
      <c r="D828" s="2" t="s">
        <v>1312</v>
      </c>
      <c r="E828" s="2"/>
      <c r="F828" s="127">
        <v>3</v>
      </c>
      <c r="G828" s="127">
        <v>101</v>
      </c>
      <c r="H828" s="3">
        <v>3</v>
      </c>
      <c r="I828" s="127">
        <v>5</v>
      </c>
      <c r="J828" s="127">
        <v>1</v>
      </c>
      <c r="K828" s="3"/>
      <c r="L828" s="2" t="s">
        <v>619</v>
      </c>
      <c r="M828" s="2"/>
      <c r="N828" s="2">
        <v>1</v>
      </c>
      <c r="O828" s="2"/>
      <c r="P828" s="3" t="s">
        <v>1615</v>
      </c>
      <c r="Q828" s="95">
        <f t="shared" si="73"/>
        <v>5.6000000000000014</v>
      </c>
      <c r="R828" s="133">
        <f>IF(P828=模板计算相关数据!$AB$24,VLOOKUP(X828,模板计算相关数据!$P$47:$T$50,2,0),VLOOKUP(X828,模板计算相关数据!$P$4:$U$7,3,0))*VLOOKUP(Y828,模板计算相关数据!$P$22:$X$30,8,0)</f>
        <v>5.6000000000000014</v>
      </c>
      <c r="S828" s="62">
        <f t="shared" si="74"/>
        <v>6.6693344004268367</v>
      </c>
      <c r="T828" s="133">
        <f>IF(P828=模板计算相关数据!$AB$24,VLOOKUP(X828,模板计算相关数据!$P$47:$T$50,5,0),VLOOKUP(X828,模板计算相关数据!$P$4:$U$7,6,0))*VLOOKUP(Y828,模板计算相关数据!$P$22:$X$30,9,0)</f>
        <v>6.6693344004268367</v>
      </c>
      <c r="U828" s="98">
        <v>1</v>
      </c>
      <c r="V828" s="95">
        <f t="shared" si="75"/>
        <v>4</v>
      </c>
      <c r="W828" s="29">
        <f>VLOOKUP(U828,模板计算相关数据!A:N,2,0)</f>
        <v>1</v>
      </c>
      <c r="X828" s="3" t="s">
        <v>151</v>
      </c>
      <c r="Y828" s="3" t="s">
        <v>255</v>
      </c>
      <c r="Z828" s="99">
        <v>1</v>
      </c>
      <c r="AA828" s="95">
        <v>1</v>
      </c>
      <c r="AB828" s="95">
        <v>1</v>
      </c>
      <c r="AC828" s="95">
        <v>1</v>
      </c>
      <c r="AD828" s="95">
        <v>0</v>
      </c>
      <c r="AE828" s="95">
        <v>0</v>
      </c>
      <c r="AF828" s="95">
        <v>0</v>
      </c>
      <c r="AG828" s="95">
        <v>0</v>
      </c>
      <c r="AH828" s="95">
        <v>0</v>
      </c>
      <c r="AI828" s="95">
        <v>0</v>
      </c>
      <c r="AJ828" s="3">
        <f>INT(VLOOKUP(U828,模板计算相关数据!A:N,4,0)*VLOOKUP(U828,模板计算相关数据!A:N,14,0)*(1+MAX(0,(VLOOKUP(U828,模板计算相关数据!A:N,7,0)-AQ828))*VLOOKUP(U828,模板计算相关数据!A:N,8,0))*(1-(AL828+AM828)*0.5/((AL828+AM828)*0.5+(VLOOKUP(U828,模板计算相关数据!A:N,2,0)+模板计算相关数据!$AC$27)*模板计算相关数据!$AC$28))*Q828*Z828)</f>
        <v>394</v>
      </c>
      <c r="AK828" s="3">
        <f>INT(VLOOKUP(U828,模板计算相关数据!A:N,3,0)/模板计算相关数据!$W$35/(1+MAX(0,(AO828/10000-VLOOKUP(U828,模板计算相关数据!A:N,9,0)))*AP828/10000)/(1-VLOOKUP(U828,模板计算相关数据!A:N,5,0)/(VLOOKUP(U828,模板计算相关数据!A:N,5,0)+(VLOOKUP(U828,模板计算相关数据!A:N,2,0)+模板计算相关数据!$AC$27)*模板计算相关数据!$AC$28))/S828*AA828)</f>
        <v>83</v>
      </c>
      <c r="AL828" s="3">
        <f>INT(VLOOKUP(U828,模板计算相关数据!A:N,5,0)*VLOOKUP(X828,模板计算相关数据!$P$4:$T$7,4,0)*VLOOKUP(Y828,模板计算相关数据!$P$22:$U$30,4,0)*AB828)</f>
        <v>149</v>
      </c>
      <c r="AM828" s="3">
        <f>INT(VLOOKUP(U828,模板计算相关数据!A:N,6,0)*VLOOKUP(X828,模板计算相关数据!$P$4:$T$7,4,0)*VLOOKUP(Y828,模板计算相关数据!$P$22:$U$30,5,0)*AC828)</f>
        <v>277</v>
      </c>
      <c r="AN828" s="3">
        <f>VLOOKUP(U828,模板计算相关数据!A:N,10,0)*0.5*VLOOKUP(Y828,模板计算相关数据!$P$22:$U$30,6,0)+AD828</f>
        <v>225</v>
      </c>
      <c r="AO828" s="3">
        <f>VLOOKUP(INT(VLOOKUP(U828,模板计算相关数据!A:N,2,0)/30)+1,模板计算相关数据!$O$35:$U$40,3,0)+AE828</f>
        <v>0</v>
      </c>
      <c r="AP828" s="3">
        <f>VLOOKUP(INT(VLOOKUP(U828,模板计算相关数据!A:N,2,0)/30)+1,模板计算相关数据!$O$35:$U$40,4,0)+AF828</f>
        <v>5000</v>
      </c>
      <c r="AQ828" s="3">
        <f>VLOOKUP(INT(VLOOKUP(U828,模板计算相关数据!A:N,2,0)/30)+1,模板计算相关数据!$O$35:$U$40,5,0)+AG828</f>
        <v>0</v>
      </c>
      <c r="AR828" s="3">
        <f>VLOOKUP(INT(VLOOKUP(U828,模板计算相关数据!A:N,2,0)/30)+1,模板计算相关数据!$O$35:$U$40,6,0)+AH828</f>
        <v>0</v>
      </c>
      <c r="AS828" s="3">
        <f>VLOOKUP(INT(VLOOKUP(U828,模板计算相关数据!A:N,2,0)/30)+1,模板计算相关数据!$O$35:$U$40,7,0)+AI828</f>
        <v>0</v>
      </c>
      <c r="AT828" s="3">
        <f>VLOOKUP(INT(VLOOKUP(U828,模板计算相关数据!A:N,2,0)/30)+1,模板计算相关数据!$O$35:$V$40,8,0)</f>
        <v>0</v>
      </c>
      <c r="AU828" s="2"/>
    </row>
    <row r="829" spans="1:47" x14ac:dyDescent="0.2">
      <c r="A829" s="2">
        <v>307343</v>
      </c>
      <c r="B829" s="2"/>
      <c r="C829" s="2" t="s">
        <v>343</v>
      </c>
      <c r="D829" s="2" t="s">
        <v>1313</v>
      </c>
      <c r="E829" s="2"/>
      <c r="F829" s="127">
        <v>3</v>
      </c>
      <c r="G829" s="127">
        <v>101</v>
      </c>
      <c r="H829" s="3">
        <v>3</v>
      </c>
      <c r="I829" s="127">
        <v>5</v>
      </c>
      <c r="J829" s="127">
        <v>1</v>
      </c>
      <c r="K829" s="3"/>
      <c r="L829" s="2" t="s">
        <v>620</v>
      </c>
      <c r="M829" s="2"/>
      <c r="N829" s="2">
        <v>1</v>
      </c>
      <c r="O829" s="2"/>
      <c r="P829" s="3" t="s">
        <v>1615</v>
      </c>
      <c r="Q829" s="95">
        <f t="shared" si="73"/>
        <v>5.6000000000000014</v>
      </c>
      <c r="R829" s="133">
        <f>IF(P829=模板计算相关数据!$AB$24,VLOOKUP(X829,模板计算相关数据!$P$47:$T$50,2,0),VLOOKUP(X829,模板计算相关数据!$P$4:$U$7,3,0))*VLOOKUP(Y829,模板计算相关数据!$P$22:$X$30,8,0)</f>
        <v>5.6000000000000014</v>
      </c>
      <c r="S829" s="62">
        <f t="shared" si="74"/>
        <v>6.6693344004268367</v>
      </c>
      <c r="T829" s="133">
        <f>IF(P829=模板计算相关数据!$AB$24,VLOOKUP(X829,模板计算相关数据!$P$47:$T$50,5,0),VLOOKUP(X829,模板计算相关数据!$P$4:$U$7,6,0))*VLOOKUP(Y829,模板计算相关数据!$P$22:$X$30,9,0)</f>
        <v>6.6693344004268367</v>
      </c>
      <c r="U829" s="98">
        <v>1</v>
      </c>
      <c r="V829" s="95">
        <f t="shared" si="75"/>
        <v>4</v>
      </c>
      <c r="W829" s="29">
        <f>VLOOKUP(U829,模板计算相关数据!A:N,2,0)</f>
        <v>1</v>
      </c>
      <c r="X829" s="3" t="s">
        <v>151</v>
      </c>
      <c r="Y829" s="3" t="s">
        <v>255</v>
      </c>
      <c r="Z829" s="99">
        <v>1</v>
      </c>
      <c r="AA829" s="95">
        <v>1</v>
      </c>
      <c r="AB829" s="95">
        <v>1</v>
      </c>
      <c r="AC829" s="95">
        <v>1</v>
      </c>
      <c r="AD829" s="95">
        <v>0</v>
      </c>
      <c r="AE829" s="95">
        <v>0</v>
      </c>
      <c r="AF829" s="95">
        <v>0</v>
      </c>
      <c r="AG829" s="95">
        <v>0</v>
      </c>
      <c r="AH829" s="95">
        <v>0</v>
      </c>
      <c r="AI829" s="95">
        <v>0</v>
      </c>
      <c r="AJ829" s="3">
        <f>INT(VLOOKUP(U829,模板计算相关数据!A:N,4,0)*VLOOKUP(U829,模板计算相关数据!A:N,14,0)*(1+MAX(0,(VLOOKUP(U829,模板计算相关数据!A:N,7,0)-AQ829))*VLOOKUP(U829,模板计算相关数据!A:N,8,0))*(1-(AL829+AM829)*0.5/((AL829+AM829)*0.5+(VLOOKUP(U829,模板计算相关数据!A:N,2,0)+模板计算相关数据!$AC$27)*模板计算相关数据!$AC$28))*Q829*Z829)</f>
        <v>394</v>
      </c>
      <c r="AK829" s="3">
        <f>INT(VLOOKUP(U829,模板计算相关数据!A:N,3,0)/模板计算相关数据!$W$35/(1+MAX(0,(AO829/10000-VLOOKUP(U829,模板计算相关数据!A:N,9,0)))*AP829/10000)/(1-VLOOKUP(U829,模板计算相关数据!A:N,5,0)/(VLOOKUP(U829,模板计算相关数据!A:N,5,0)+(VLOOKUP(U829,模板计算相关数据!A:N,2,0)+模板计算相关数据!$AC$27)*模板计算相关数据!$AC$28))/S829*AA829)</f>
        <v>83</v>
      </c>
      <c r="AL829" s="3">
        <f>INT(VLOOKUP(U829,模板计算相关数据!A:N,5,0)*VLOOKUP(X829,模板计算相关数据!$P$4:$T$7,4,0)*VLOOKUP(Y829,模板计算相关数据!$P$22:$U$30,4,0)*AB829)</f>
        <v>149</v>
      </c>
      <c r="AM829" s="3">
        <f>INT(VLOOKUP(U829,模板计算相关数据!A:N,6,0)*VLOOKUP(X829,模板计算相关数据!$P$4:$T$7,4,0)*VLOOKUP(Y829,模板计算相关数据!$P$22:$U$30,5,0)*AC829)</f>
        <v>277</v>
      </c>
      <c r="AN829" s="3">
        <f>VLOOKUP(U829,模板计算相关数据!A:N,10,0)*0.5*VLOOKUP(Y829,模板计算相关数据!$P$22:$U$30,6,0)+AD829</f>
        <v>225</v>
      </c>
      <c r="AO829" s="3">
        <f>VLOOKUP(INT(VLOOKUP(U829,模板计算相关数据!A:N,2,0)/30)+1,模板计算相关数据!$O$35:$U$40,3,0)+AE829</f>
        <v>0</v>
      </c>
      <c r="AP829" s="3">
        <f>VLOOKUP(INT(VLOOKUP(U829,模板计算相关数据!A:N,2,0)/30)+1,模板计算相关数据!$O$35:$U$40,4,0)+AF829</f>
        <v>5000</v>
      </c>
      <c r="AQ829" s="3">
        <f>VLOOKUP(INT(VLOOKUP(U829,模板计算相关数据!A:N,2,0)/30)+1,模板计算相关数据!$O$35:$U$40,5,0)+AG829</f>
        <v>0</v>
      </c>
      <c r="AR829" s="3">
        <f>VLOOKUP(INT(VLOOKUP(U829,模板计算相关数据!A:N,2,0)/30)+1,模板计算相关数据!$O$35:$U$40,6,0)+AH829</f>
        <v>0</v>
      </c>
      <c r="AS829" s="3">
        <f>VLOOKUP(INT(VLOOKUP(U829,模板计算相关数据!A:N,2,0)/30)+1,模板计算相关数据!$O$35:$U$40,7,0)+AI829</f>
        <v>0</v>
      </c>
      <c r="AT829" s="3">
        <f>VLOOKUP(INT(VLOOKUP(U829,模板计算相关数据!A:N,2,0)/30)+1,模板计算相关数据!$O$35:$V$40,8,0)</f>
        <v>0</v>
      </c>
      <c r="AU829" s="2"/>
    </row>
    <row r="830" spans="1:47" x14ac:dyDescent="0.2">
      <c r="A830" s="2">
        <v>307344</v>
      </c>
      <c r="B830" s="2"/>
      <c r="C830" s="2" t="s">
        <v>343</v>
      </c>
      <c r="D830" s="2" t="s">
        <v>1314</v>
      </c>
      <c r="E830" s="2"/>
      <c r="F830" s="127">
        <v>3</v>
      </c>
      <c r="G830" s="127">
        <v>101</v>
      </c>
      <c r="H830" s="3">
        <v>3</v>
      </c>
      <c r="I830" s="127">
        <v>5</v>
      </c>
      <c r="J830" s="127">
        <v>1</v>
      </c>
      <c r="K830" s="3"/>
      <c r="L830" s="2" t="s">
        <v>621</v>
      </c>
      <c r="M830" s="2"/>
      <c r="N830" s="2">
        <v>1</v>
      </c>
      <c r="O830" s="2"/>
      <c r="P830" s="3" t="s">
        <v>1615</v>
      </c>
      <c r="Q830" s="95">
        <f t="shared" si="73"/>
        <v>5.6000000000000014</v>
      </c>
      <c r="R830" s="133">
        <f>IF(P830=模板计算相关数据!$AB$24,VLOOKUP(X830,模板计算相关数据!$P$47:$T$50,2,0),VLOOKUP(X830,模板计算相关数据!$P$4:$U$7,3,0))*VLOOKUP(Y830,模板计算相关数据!$P$22:$X$30,8,0)</f>
        <v>5.6000000000000014</v>
      </c>
      <c r="S830" s="62">
        <f t="shared" si="74"/>
        <v>6.6693344004268367</v>
      </c>
      <c r="T830" s="133">
        <f>IF(P830=模板计算相关数据!$AB$24,VLOOKUP(X830,模板计算相关数据!$P$47:$T$50,5,0),VLOOKUP(X830,模板计算相关数据!$P$4:$U$7,6,0))*VLOOKUP(Y830,模板计算相关数据!$P$22:$X$30,9,0)</f>
        <v>6.6693344004268367</v>
      </c>
      <c r="U830" s="98">
        <v>1</v>
      </c>
      <c r="V830" s="95">
        <f t="shared" si="75"/>
        <v>4</v>
      </c>
      <c r="W830" s="29">
        <f>VLOOKUP(U830,模板计算相关数据!A:N,2,0)</f>
        <v>1</v>
      </c>
      <c r="X830" s="3" t="s">
        <v>151</v>
      </c>
      <c r="Y830" s="3" t="s">
        <v>255</v>
      </c>
      <c r="Z830" s="99">
        <v>1</v>
      </c>
      <c r="AA830" s="95">
        <v>1</v>
      </c>
      <c r="AB830" s="95">
        <v>1</v>
      </c>
      <c r="AC830" s="95">
        <v>1</v>
      </c>
      <c r="AD830" s="95">
        <v>0</v>
      </c>
      <c r="AE830" s="95">
        <v>0</v>
      </c>
      <c r="AF830" s="95">
        <v>0</v>
      </c>
      <c r="AG830" s="95">
        <v>0</v>
      </c>
      <c r="AH830" s="95">
        <v>0</v>
      </c>
      <c r="AI830" s="95">
        <v>0</v>
      </c>
      <c r="AJ830" s="3">
        <f>INT(VLOOKUP(U830,模板计算相关数据!A:N,4,0)*VLOOKUP(U830,模板计算相关数据!A:N,14,0)*(1+MAX(0,(VLOOKUP(U830,模板计算相关数据!A:N,7,0)-AQ830))*VLOOKUP(U830,模板计算相关数据!A:N,8,0))*(1-(AL830+AM830)*0.5/((AL830+AM830)*0.5+(VLOOKUP(U830,模板计算相关数据!A:N,2,0)+模板计算相关数据!$AC$27)*模板计算相关数据!$AC$28))*Q830*Z830)</f>
        <v>394</v>
      </c>
      <c r="AK830" s="3">
        <f>INT(VLOOKUP(U830,模板计算相关数据!A:N,3,0)/模板计算相关数据!$W$35/(1+MAX(0,(AO830/10000-VLOOKUP(U830,模板计算相关数据!A:N,9,0)))*AP830/10000)/(1-VLOOKUP(U830,模板计算相关数据!A:N,5,0)/(VLOOKUP(U830,模板计算相关数据!A:N,5,0)+(VLOOKUP(U830,模板计算相关数据!A:N,2,0)+模板计算相关数据!$AC$27)*模板计算相关数据!$AC$28))/S830*AA830)</f>
        <v>83</v>
      </c>
      <c r="AL830" s="3">
        <f>INT(VLOOKUP(U830,模板计算相关数据!A:N,5,0)*VLOOKUP(X830,模板计算相关数据!$P$4:$T$7,4,0)*VLOOKUP(Y830,模板计算相关数据!$P$22:$U$30,4,0)*AB830)</f>
        <v>149</v>
      </c>
      <c r="AM830" s="3">
        <f>INT(VLOOKUP(U830,模板计算相关数据!A:N,6,0)*VLOOKUP(X830,模板计算相关数据!$P$4:$T$7,4,0)*VLOOKUP(Y830,模板计算相关数据!$P$22:$U$30,5,0)*AC830)</f>
        <v>277</v>
      </c>
      <c r="AN830" s="3">
        <f>VLOOKUP(U830,模板计算相关数据!A:N,10,0)*0.5*VLOOKUP(Y830,模板计算相关数据!$P$22:$U$30,6,0)+AD830</f>
        <v>225</v>
      </c>
      <c r="AO830" s="3">
        <f>VLOOKUP(INT(VLOOKUP(U830,模板计算相关数据!A:N,2,0)/30)+1,模板计算相关数据!$O$35:$U$40,3,0)+AE830</f>
        <v>0</v>
      </c>
      <c r="AP830" s="3">
        <f>VLOOKUP(INT(VLOOKUP(U830,模板计算相关数据!A:N,2,0)/30)+1,模板计算相关数据!$O$35:$U$40,4,0)+AF830</f>
        <v>5000</v>
      </c>
      <c r="AQ830" s="3">
        <f>VLOOKUP(INT(VLOOKUP(U830,模板计算相关数据!A:N,2,0)/30)+1,模板计算相关数据!$O$35:$U$40,5,0)+AG830</f>
        <v>0</v>
      </c>
      <c r="AR830" s="3">
        <f>VLOOKUP(INT(VLOOKUP(U830,模板计算相关数据!A:N,2,0)/30)+1,模板计算相关数据!$O$35:$U$40,6,0)+AH830</f>
        <v>0</v>
      </c>
      <c r="AS830" s="3">
        <f>VLOOKUP(INT(VLOOKUP(U830,模板计算相关数据!A:N,2,0)/30)+1,模板计算相关数据!$O$35:$U$40,7,0)+AI830</f>
        <v>0</v>
      </c>
      <c r="AT830" s="3">
        <f>VLOOKUP(INT(VLOOKUP(U830,模板计算相关数据!A:N,2,0)/30)+1,模板计算相关数据!$O$35:$V$40,8,0)</f>
        <v>0</v>
      </c>
      <c r="AU830" s="2"/>
    </row>
    <row r="831" spans="1:47" x14ac:dyDescent="0.2">
      <c r="A831" s="2">
        <v>307345</v>
      </c>
      <c r="B831" s="2"/>
      <c r="C831" s="2" t="s">
        <v>343</v>
      </c>
      <c r="D831" s="2" t="s">
        <v>1315</v>
      </c>
      <c r="E831" s="2"/>
      <c r="F831" s="127">
        <v>3</v>
      </c>
      <c r="G831" s="127">
        <v>101</v>
      </c>
      <c r="H831" s="3">
        <v>3</v>
      </c>
      <c r="I831" s="127">
        <v>5</v>
      </c>
      <c r="J831" s="127">
        <v>1</v>
      </c>
      <c r="K831" s="3"/>
      <c r="L831" s="2" t="s">
        <v>622</v>
      </c>
      <c r="M831" s="2"/>
      <c r="N831" s="2">
        <v>1</v>
      </c>
      <c r="O831" s="2"/>
      <c r="P831" s="3" t="s">
        <v>1615</v>
      </c>
      <c r="Q831" s="95">
        <f t="shared" si="73"/>
        <v>5.6000000000000014</v>
      </c>
      <c r="R831" s="133">
        <f>IF(P831=模板计算相关数据!$AB$24,VLOOKUP(X831,模板计算相关数据!$P$47:$T$50,2,0),VLOOKUP(X831,模板计算相关数据!$P$4:$U$7,3,0))*VLOOKUP(Y831,模板计算相关数据!$P$22:$X$30,8,0)</f>
        <v>5.6000000000000014</v>
      </c>
      <c r="S831" s="62">
        <f t="shared" si="74"/>
        <v>6.6693344004268367</v>
      </c>
      <c r="T831" s="133">
        <f>IF(P831=模板计算相关数据!$AB$24,VLOOKUP(X831,模板计算相关数据!$P$47:$T$50,5,0),VLOOKUP(X831,模板计算相关数据!$P$4:$U$7,6,0))*VLOOKUP(Y831,模板计算相关数据!$P$22:$X$30,9,0)</f>
        <v>6.6693344004268367</v>
      </c>
      <c r="U831" s="98">
        <v>1</v>
      </c>
      <c r="V831" s="95">
        <f t="shared" si="75"/>
        <v>4</v>
      </c>
      <c r="W831" s="29">
        <f>VLOOKUP(U831,模板计算相关数据!A:N,2,0)</f>
        <v>1</v>
      </c>
      <c r="X831" s="3" t="s">
        <v>151</v>
      </c>
      <c r="Y831" s="3" t="s">
        <v>255</v>
      </c>
      <c r="Z831" s="99">
        <v>1</v>
      </c>
      <c r="AA831" s="95">
        <v>1</v>
      </c>
      <c r="AB831" s="95">
        <v>1</v>
      </c>
      <c r="AC831" s="95">
        <v>1</v>
      </c>
      <c r="AD831" s="95">
        <v>0</v>
      </c>
      <c r="AE831" s="95">
        <v>0</v>
      </c>
      <c r="AF831" s="95">
        <v>0</v>
      </c>
      <c r="AG831" s="95">
        <v>0</v>
      </c>
      <c r="AH831" s="95">
        <v>0</v>
      </c>
      <c r="AI831" s="95">
        <v>0</v>
      </c>
      <c r="AJ831" s="3">
        <f>INT(VLOOKUP(U831,模板计算相关数据!A:N,4,0)*VLOOKUP(U831,模板计算相关数据!A:N,14,0)*(1+MAX(0,(VLOOKUP(U831,模板计算相关数据!A:N,7,0)-AQ831))*VLOOKUP(U831,模板计算相关数据!A:N,8,0))*(1-(AL831+AM831)*0.5/((AL831+AM831)*0.5+(VLOOKUP(U831,模板计算相关数据!A:N,2,0)+模板计算相关数据!$AC$27)*模板计算相关数据!$AC$28))*Q831*Z831)</f>
        <v>394</v>
      </c>
      <c r="AK831" s="3">
        <f>INT(VLOOKUP(U831,模板计算相关数据!A:N,3,0)/模板计算相关数据!$W$35/(1+MAX(0,(AO831/10000-VLOOKUP(U831,模板计算相关数据!A:N,9,0)))*AP831/10000)/(1-VLOOKUP(U831,模板计算相关数据!A:N,5,0)/(VLOOKUP(U831,模板计算相关数据!A:N,5,0)+(VLOOKUP(U831,模板计算相关数据!A:N,2,0)+模板计算相关数据!$AC$27)*模板计算相关数据!$AC$28))/S831*AA831)</f>
        <v>83</v>
      </c>
      <c r="AL831" s="3">
        <f>INT(VLOOKUP(U831,模板计算相关数据!A:N,5,0)*VLOOKUP(X831,模板计算相关数据!$P$4:$T$7,4,0)*VLOOKUP(Y831,模板计算相关数据!$P$22:$U$30,4,0)*AB831)</f>
        <v>149</v>
      </c>
      <c r="AM831" s="3">
        <f>INT(VLOOKUP(U831,模板计算相关数据!A:N,6,0)*VLOOKUP(X831,模板计算相关数据!$P$4:$T$7,4,0)*VLOOKUP(Y831,模板计算相关数据!$P$22:$U$30,5,0)*AC831)</f>
        <v>277</v>
      </c>
      <c r="AN831" s="3">
        <f>VLOOKUP(U831,模板计算相关数据!A:N,10,0)*0.5*VLOOKUP(Y831,模板计算相关数据!$P$22:$U$30,6,0)+AD831</f>
        <v>225</v>
      </c>
      <c r="AO831" s="3">
        <f>VLOOKUP(INT(VLOOKUP(U831,模板计算相关数据!A:N,2,0)/30)+1,模板计算相关数据!$O$35:$U$40,3,0)+AE831</f>
        <v>0</v>
      </c>
      <c r="AP831" s="3">
        <f>VLOOKUP(INT(VLOOKUP(U831,模板计算相关数据!A:N,2,0)/30)+1,模板计算相关数据!$O$35:$U$40,4,0)+AF831</f>
        <v>5000</v>
      </c>
      <c r="AQ831" s="3">
        <f>VLOOKUP(INT(VLOOKUP(U831,模板计算相关数据!A:N,2,0)/30)+1,模板计算相关数据!$O$35:$U$40,5,0)+AG831</f>
        <v>0</v>
      </c>
      <c r="AR831" s="3">
        <f>VLOOKUP(INT(VLOOKUP(U831,模板计算相关数据!A:N,2,0)/30)+1,模板计算相关数据!$O$35:$U$40,6,0)+AH831</f>
        <v>0</v>
      </c>
      <c r="AS831" s="3">
        <f>VLOOKUP(INT(VLOOKUP(U831,模板计算相关数据!A:N,2,0)/30)+1,模板计算相关数据!$O$35:$U$40,7,0)+AI831</f>
        <v>0</v>
      </c>
      <c r="AT831" s="3">
        <f>VLOOKUP(INT(VLOOKUP(U831,模板计算相关数据!A:N,2,0)/30)+1,模板计算相关数据!$O$35:$V$40,8,0)</f>
        <v>0</v>
      </c>
      <c r="AU831" s="2"/>
    </row>
    <row r="832" spans="1:47" x14ac:dyDescent="0.2">
      <c r="A832" s="17">
        <v>307346</v>
      </c>
      <c r="B832" s="17"/>
      <c r="C832" s="17" t="s">
        <v>623</v>
      </c>
      <c r="D832" s="25" t="s">
        <v>1316</v>
      </c>
      <c r="E832" s="17"/>
      <c r="F832" s="152">
        <v>3</v>
      </c>
      <c r="G832" s="152">
        <v>101</v>
      </c>
      <c r="H832" s="43">
        <v>1</v>
      </c>
      <c r="I832" s="152">
        <v>5</v>
      </c>
      <c r="J832" s="152">
        <v>1</v>
      </c>
      <c r="K832" s="3"/>
      <c r="L832" s="2" t="s">
        <v>624</v>
      </c>
      <c r="M832" s="2"/>
      <c r="N832" s="2">
        <v>1</v>
      </c>
      <c r="O832" s="2"/>
      <c r="P832" s="3" t="s">
        <v>1615</v>
      </c>
      <c r="Q832" s="95">
        <f t="shared" si="73"/>
        <v>4.417254901960785</v>
      </c>
      <c r="R832" s="133">
        <f>IF(P832=模板计算相关数据!$AB$24,VLOOKUP(X832,模板计算相关数据!$P$47:$T$50,2,0),VLOOKUP(X832,模板计算相关数据!$P$4:$U$7,3,0))*VLOOKUP(Y832,模板计算相关数据!$P$22:$X$30,8,0)</f>
        <v>4.417254901960785</v>
      </c>
      <c r="S832" s="62">
        <f t="shared" si="74"/>
        <v>5.4285280003474252</v>
      </c>
      <c r="T832" s="133">
        <f>IF(P832=模板计算相关数据!$AB$24,VLOOKUP(X832,模板计算相关数据!$P$47:$T$50,5,0),VLOOKUP(X832,模板计算相关数据!$P$4:$U$7,6,0))*VLOOKUP(Y832,模板计算相关数据!$P$22:$X$30,9,0)</f>
        <v>5.4285280003474252</v>
      </c>
      <c r="U832" s="98">
        <v>1</v>
      </c>
      <c r="V832" s="95">
        <f t="shared" si="75"/>
        <v>4</v>
      </c>
      <c r="W832" s="29">
        <f>VLOOKUP(U832,模板计算相关数据!A:N,2,0)</f>
        <v>1</v>
      </c>
      <c r="X832" s="3" t="s">
        <v>151</v>
      </c>
      <c r="Y832" s="3" t="s">
        <v>152</v>
      </c>
      <c r="Z832" s="99">
        <v>1</v>
      </c>
      <c r="AA832" s="95">
        <v>1</v>
      </c>
      <c r="AB832" s="95">
        <v>1</v>
      </c>
      <c r="AC832" s="95">
        <v>1</v>
      </c>
      <c r="AD832" s="95">
        <v>0</v>
      </c>
      <c r="AE832" s="95">
        <v>0</v>
      </c>
      <c r="AF832" s="95">
        <v>0</v>
      </c>
      <c r="AG832" s="95">
        <v>0</v>
      </c>
      <c r="AH832" s="95">
        <v>0</v>
      </c>
      <c r="AI832" s="95">
        <v>0</v>
      </c>
      <c r="AJ832" s="3">
        <f>INT(VLOOKUP(U832,模板计算相关数据!A:N,4,0)*VLOOKUP(U832,模板计算相关数据!A:N,14,0)*(1+MAX(0,(VLOOKUP(U832,模板计算相关数据!A:N,7,0)-AQ832))*VLOOKUP(U832,模板计算相关数据!A:N,8,0))*(1-(AL832+AM832)*0.5/((AL832+AM832)*0.5+(VLOOKUP(U832,模板计算相关数据!A:N,2,0)+模板计算相关数据!$AC$27)*模板计算相关数据!$AC$28))*Q832*Z832)</f>
        <v>325</v>
      </c>
      <c r="AK832" s="3">
        <f>INT(VLOOKUP(U832,模板计算相关数据!A:N,3,0)/模板计算相关数据!$W$35/(1+MAX(0,(AO832/10000-VLOOKUP(U832,模板计算相关数据!A:N,9,0)))*AP832/10000)/(1-VLOOKUP(U832,模板计算相关数据!A:N,5,0)/(VLOOKUP(U832,模板计算相关数据!A:N,5,0)+(VLOOKUP(U832,模板计算相关数据!A:N,2,0)+模板计算相关数据!$AC$27)*模板计算相关数据!$AC$28))/S832*AA832)</f>
        <v>102</v>
      </c>
      <c r="AL832" s="3">
        <f>INT(VLOOKUP(U832,模板计算相关数据!A:N,5,0)*VLOOKUP(X832,模板计算相关数据!$P$4:$T$7,4,0)*VLOOKUP(Y832,模板计算相关数据!$P$22:$U$30,4,0)*AB832)</f>
        <v>230</v>
      </c>
      <c r="AM832" s="3">
        <f>INT(VLOOKUP(U832,模板计算相关数据!A:N,6,0)*VLOOKUP(X832,模板计算相关数据!$P$4:$T$7,4,0)*VLOOKUP(Y832,模板计算相关数据!$P$22:$U$30,5,0)*AC832)</f>
        <v>136</v>
      </c>
      <c r="AN832" s="3">
        <f>VLOOKUP(U832,模板计算相关数据!A:N,10,0)*0.5*VLOOKUP(Y832,模板计算相关数据!$P$22:$U$30,6,0)+AD832</f>
        <v>250</v>
      </c>
      <c r="AO832" s="3">
        <f>VLOOKUP(INT(VLOOKUP(U832,模板计算相关数据!A:N,2,0)/30)+1,模板计算相关数据!$O$35:$U$40,3,0)+AE832</f>
        <v>0</v>
      </c>
      <c r="AP832" s="3">
        <f>VLOOKUP(INT(VLOOKUP(U832,模板计算相关数据!A:N,2,0)/30)+1,模板计算相关数据!$O$35:$U$40,4,0)+AF832</f>
        <v>5000</v>
      </c>
      <c r="AQ832" s="3">
        <f>VLOOKUP(INT(VLOOKUP(U832,模板计算相关数据!A:N,2,0)/30)+1,模板计算相关数据!$O$35:$U$40,5,0)+AG832</f>
        <v>0</v>
      </c>
      <c r="AR832" s="3">
        <f>VLOOKUP(INT(VLOOKUP(U832,模板计算相关数据!A:N,2,0)/30)+1,模板计算相关数据!$O$35:$U$40,6,0)+AH832</f>
        <v>0</v>
      </c>
      <c r="AS832" s="3">
        <f>VLOOKUP(INT(VLOOKUP(U832,模板计算相关数据!A:N,2,0)/30)+1,模板计算相关数据!$O$35:$U$40,7,0)+AI832</f>
        <v>0</v>
      </c>
      <c r="AT832" s="3">
        <f>VLOOKUP(INT(VLOOKUP(U832,模板计算相关数据!A:N,2,0)/30)+1,模板计算相关数据!$O$35:$V$40,8,0)</f>
        <v>0</v>
      </c>
      <c r="AU832" s="2"/>
    </row>
    <row r="833" spans="1:47" x14ac:dyDescent="0.2">
      <c r="A833" s="2">
        <v>307347</v>
      </c>
      <c r="B833" s="2"/>
      <c r="C833" s="2" t="s">
        <v>152</v>
      </c>
      <c r="D833" s="69" t="s">
        <v>1317</v>
      </c>
      <c r="E833" s="2"/>
      <c r="F833" s="127">
        <v>3</v>
      </c>
      <c r="G833" s="127">
        <v>101</v>
      </c>
      <c r="H833" s="3">
        <v>1</v>
      </c>
      <c r="I833" s="127">
        <v>5</v>
      </c>
      <c r="J833" s="127">
        <v>1</v>
      </c>
      <c r="K833" s="3"/>
      <c r="L833" s="2" t="s">
        <v>625</v>
      </c>
      <c r="M833" s="2"/>
      <c r="N833" s="2">
        <v>1</v>
      </c>
      <c r="O833" s="2"/>
      <c r="P833" s="3" t="s">
        <v>1615</v>
      </c>
      <c r="Q833" s="95">
        <f t="shared" si="73"/>
        <v>4.417254901960785</v>
      </c>
      <c r="R833" s="133">
        <f>IF(P833=模板计算相关数据!$AB$24,VLOOKUP(X833,模板计算相关数据!$P$47:$T$50,2,0),VLOOKUP(X833,模板计算相关数据!$P$4:$U$7,3,0))*VLOOKUP(Y833,模板计算相关数据!$P$22:$X$30,8,0)</f>
        <v>4.417254901960785</v>
      </c>
      <c r="S833" s="62">
        <f t="shared" si="74"/>
        <v>5.4285280003474252</v>
      </c>
      <c r="T833" s="133">
        <f>IF(P833=模板计算相关数据!$AB$24,VLOOKUP(X833,模板计算相关数据!$P$47:$T$50,5,0),VLOOKUP(X833,模板计算相关数据!$P$4:$U$7,6,0))*VLOOKUP(Y833,模板计算相关数据!$P$22:$X$30,9,0)</f>
        <v>5.4285280003474252</v>
      </c>
      <c r="U833" s="98">
        <v>1</v>
      </c>
      <c r="V833" s="95">
        <f t="shared" si="75"/>
        <v>4</v>
      </c>
      <c r="W833" s="29">
        <f>VLOOKUP(U833,模板计算相关数据!A:N,2,0)</f>
        <v>1</v>
      </c>
      <c r="X833" s="3" t="s">
        <v>151</v>
      </c>
      <c r="Y833" s="3" t="s">
        <v>152</v>
      </c>
      <c r="Z833" s="99">
        <v>1</v>
      </c>
      <c r="AA833" s="95">
        <v>1</v>
      </c>
      <c r="AB833" s="95">
        <v>1</v>
      </c>
      <c r="AC833" s="95">
        <v>1</v>
      </c>
      <c r="AD833" s="95">
        <v>0</v>
      </c>
      <c r="AE833" s="95">
        <v>0</v>
      </c>
      <c r="AF833" s="95">
        <v>0</v>
      </c>
      <c r="AG833" s="95">
        <v>0</v>
      </c>
      <c r="AH833" s="95">
        <v>0</v>
      </c>
      <c r="AI833" s="95">
        <v>0</v>
      </c>
      <c r="AJ833" s="3">
        <f>INT(VLOOKUP(U833,模板计算相关数据!A:N,4,0)*VLOOKUP(U833,模板计算相关数据!A:N,14,0)*(1+MAX(0,(VLOOKUP(U833,模板计算相关数据!A:N,7,0)-AQ833))*VLOOKUP(U833,模板计算相关数据!A:N,8,0))*(1-(AL833+AM833)*0.5/((AL833+AM833)*0.5+(VLOOKUP(U833,模板计算相关数据!A:N,2,0)+模板计算相关数据!$AC$27)*模板计算相关数据!$AC$28))*Q833*Z833)</f>
        <v>325</v>
      </c>
      <c r="AK833" s="3">
        <f>INT(VLOOKUP(U833,模板计算相关数据!A:N,3,0)/模板计算相关数据!$W$35/(1+MAX(0,(AO833/10000-VLOOKUP(U833,模板计算相关数据!A:N,9,0)))*AP833/10000)/(1-VLOOKUP(U833,模板计算相关数据!A:N,5,0)/(VLOOKUP(U833,模板计算相关数据!A:N,5,0)+(VLOOKUP(U833,模板计算相关数据!A:N,2,0)+模板计算相关数据!$AC$27)*模板计算相关数据!$AC$28))/S833*AA833)</f>
        <v>102</v>
      </c>
      <c r="AL833" s="3">
        <f>INT(VLOOKUP(U833,模板计算相关数据!A:N,5,0)*VLOOKUP(X833,模板计算相关数据!$P$4:$T$7,4,0)*VLOOKUP(Y833,模板计算相关数据!$P$22:$U$30,4,0)*AB833)</f>
        <v>230</v>
      </c>
      <c r="AM833" s="3">
        <f>INT(VLOOKUP(U833,模板计算相关数据!A:N,6,0)*VLOOKUP(X833,模板计算相关数据!$P$4:$T$7,4,0)*VLOOKUP(Y833,模板计算相关数据!$P$22:$U$30,5,0)*AC833)</f>
        <v>136</v>
      </c>
      <c r="AN833" s="3">
        <f>VLOOKUP(U833,模板计算相关数据!A:N,10,0)*0.5*VLOOKUP(Y833,模板计算相关数据!$P$22:$U$30,6,0)+AD833</f>
        <v>250</v>
      </c>
      <c r="AO833" s="3">
        <f>VLOOKUP(INT(VLOOKUP(U833,模板计算相关数据!A:N,2,0)/30)+1,模板计算相关数据!$O$35:$U$40,3,0)+AE833</f>
        <v>0</v>
      </c>
      <c r="AP833" s="3">
        <f>VLOOKUP(INT(VLOOKUP(U833,模板计算相关数据!A:N,2,0)/30)+1,模板计算相关数据!$O$35:$U$40,4,0)+AF833</f>
        <v>5000</v>
      </c>
      <c r="AQ833" s="3">
        <f>VLOOKUP(INT(VLOOKUP(U833,模板计算相关数据!A:N,2,0)/30)+1,模板计算相关数据!$O$35:$U$40,5,0)+AG833</f>
        <v>0</v>
      </c>
      <c r="AR833" s="3">
        <f>VLOOKUP(INT(VLOOKUP(U833,模板计算相关数据!A:N,2,0)/30)+1,模板计算相关数据!$O$35:$U$40,6,0)+AH833</f>
        <v>0</v>
      </c>
      <c r="AS833" s="3">
        <f>VLOOKUP(INT(VLOOKUP(U833,模板计算相关数据!A:N,2,0)/30)+1,模板计算相关数据!$O$35:$U$40,7,0)+AI833</f>
        <v>0</v>
      </c>
      <c r="AT833" s="3">
        <f>VLOOKUP(INT(VLOOKUP(U833,模板计算相关数据!A:N,2,0)/30)+1,模板计算相关数据!$O$35:$V$40,8,0)</f>
        <v>0</v>
      </c>
      <c r="AU833" s="2"/>
    </row>
    <row r="834" spans="1:47" x14ac:dyDescent="0.2">
      <c r="A834" s="2">
        <v>307348</v>
      </c>
      <c r="B834" s="2"/>
      <c r="C834" s="2" t="s">
        <v>152</v>
      </c>
      <c r="D834" s="69" t="s">
        <v>1318</v>
      </c>
      <c r="E834" s="2"/>
      <c r="F834" s="127">
        <v>3</v>
      </c>
      <c r="G834" s="127">
        <v>101</v>
      </c>
      <c r="H834" s="3">
        <v>1</v>
      </c>
      <c r="I834" s="127">
        <v>5</v>
      </c>
      <c r="J834" s="127">
        <v>1</v>
      </c>
      <c r="K834" s="3"/>
      <c r="L834" s="2" t="s">
        <v>626</v>
      </c>
      <c r="M834" s="2"/>
      <c r="N834" s="2">
        <v>1</v>
      </c>
      <c r="O834" s="2"/>
      <c r="P834" s="3" t="s">
        <v>1615</v>
      </c>
      <c r="Q834" s="95">
        <f t="shared" si="73"/>
        <v>4.417254901960785</v>
      </c>
      <c r="R834" s="133">
        <f>IF(P834=模板计算相关数据!$AB$24,VLOOKUP(X834,模板计算相关数据!$P$47:$T$50,2,0),VLOOKUP(X834,模板计算相关数据!$P$4:$U$7,3,0))*VLOOKUP(Y834,模板计算相关数据!$P$22:$X$30,8,0)</f>
        <v>4.417254901960785</v>
      </c>
      <c r="S834" s="62">
        <f t="shared" si="74"/>
        <v>5.4285280003474252</v>
      </c>
      <c r="T834" s="133">
        <f>IF(P834=模板计算相关数据!$AB$24,VLOOKUP(X834,模板计算相关数据!$P$47:$T$50,5,0),VLOOKUP(X834,模板计算相关数据!$P$4:$U$7,6,0))*VLOOKUP(Y834,模板计算相关数据!$P$22:$X$30,9,0)</f>
        <v>5.4285280003474252</v>
      </c>
      <c r="U834" s="98">
        <v>1</v>
      </c>
      <c r="V834" s="95">
        <f t="shared" si="75"/>
        <v>4</v>
      </c>
      <c r="W834" s="29">
        <f>VLOOKUP(U834,模板计算相关数据!A:N,2,0)</f>
        <v>1</v>
      </c>
      <c r="X834" s="3" t="s">
        <v>151</v>
      </c>
      <c r="Y834" s="3" t="s">
        <v>152</v>
      </c>
      <c r="Z834" s="99">
        <v>1</v>
      </c>
      <c r="AA834" s="95">
        <v>1</v>
      </c>
      <c r="AB834" s="95">
        <v>1</v>
      </c>
      <c r="AC834" s="95">
        <v>1</v>
      </c>
      <c r="AD834" s="95">
        <v>0</v>
      </c>
      <c r="AE834" s="95">
        <v>0</v>
      </c>
      <c r="AF834" s="95">
        <v>0</v>
      </c>
      <c r="AG834" s="95">
        <v>0</v>
      </c>
      <c r="AH834" s="95">
        <v>0</v>
      </c>
      <c r="AI834" s="95">
        <v>0</v>
      </c>
      <c r="AJ834" s="3">
        <f>INT(VLOOKUP(U834,模板计算相关数据!A:N,4,0)*VLOOKUP(U834,模板计算相关数据!A:N,14,0)*(1+MAX(0,(VLOOKUP(U834,模板计算相关数据!A:N,7,0)-AQ834))*VLOOKUP(U834,模板计算相关数据!A:N,8,0))*(1-(AL834+AM834)*0.5/((AL834+AM834)*0.5+(VLOOKUP(U834,模板计算相关数据!A:N,2,0)+模板计算相关数据!$AC$27)*模板计算相关数据!$AC$28))*Q834*Z834)</f>
        <v>325</v>
      </c>
      <c r="AK834" s="3">
        <f>INT(VLOOKUP(U834,模板计算相关数据!A:N,3,0)/模板计算相关数据!$W$35/(1+MAX(0,(AO834/10000-VLOOKUP(U834,模板计算相关数据!A:N,9,0)))*AP834/10000)/(1-VLOOKUP(U834,模板计算相关数据!A:N,5,0)/(VLOOKUP(U834,模板计算相关数据!A:N,5,0)+(VLOOKUP(U834,模板计算相关数据!A:N,2,0)+模板计算相关数据!$AC$27)*模板计算相关数据!$AC$28))/S834*AA834)</f>
        <v>102</v>
      </c>
      <c r="AL834" s="3">
        <f>INT(VLOOKUP(U834,模板计算相关数据!A:N,5,0)*VLOOKUP(X834,模板计算相关数据!$P$4:$T$7,4,0)*VLOOKUP(Y834,模板计算相关数据!$P$22:$U$30,4,0)*AB834)</f>
        <v>230</v>
      </c>
      <c r="AM834" s="3">
        <f>INT(VLOOKUP(U834,模板计算相关数据!A:N,6,0)*VLOOKUP(X834,模板计算相关数据!$P$4:$T$7,4,0)*VLOOKUP(Y834,模板计算相关数据!$P$22:$U$30,5,0)*AC834)</f>
        <v>136</v>
      </c>
      <c r="AN834" s="3">
        <f>VLOOKUP(U834,模板计算相关数据!A:N,10,0)*0.5*VLOOKUP(Y834,模板计算相关数据!$P$22:$U$30,6,0)+AD834</f>
        <v>250</v>
      </c>
      <c r="AO834" s="3">
        <f>VLOOKUP(INT(VLOOKUP(U834,模板计算相关数据!A:N,2,0)/30)+1,模板计算相关数据!$O$35:$U$40,3,0)+AE834</f>
        <v>0</v>
      </c>
      <c r="AP834" s="3">
        <f>VLOOKUP(INT(VLOOKUP(U834,模板计算相关数据!A:N,2,0)/30)+1,模板计算相关数据!$O$35:$U$40,4,0)+AF834</f>
        <v>5000</v>
      </c>
      <c r="AQ834" s="3">
        <f>VLOOKUP(INT(VLOOKUP(U834,模板计算相关数据!A:N,2,0)/30)+1,模板计算相关数据!$O$35:$U$40,5,0)+AG834</f>
        <v>0</v>
      </c>
      <c r="AR834" s="3">
        <f>VLOOKUP(INT(VLOOKUP(U834,模板计算相关数据!A:N,2,0)/30)+1,模板计算相关数据!$O$35:$U$40,6,0)+AH834</f>
        <v>0</v>
      </c>
      <c r="AS834" s="3">
        <f>VLOOKUP(INT(VLOOKUP(U834,模板计算相关数据!A:N,2,0)/30)+1,模板计算相关数据!$O$35:$U$40,7,0)+AI834</f>
        <v>0</v>
      </c>
      <c r="AT834" s="3">
        <f>VLOOKUP(INT(VLOOKUP(U834,模板计算相关数据!A:N,2,0)/30)+1,模板计算相关数据!$O$35:$V$40,8,0)</f>
        <v>0</v>
      </c>
      <c r="AU834" s="2"/>
    </row>
    <row r="835" spans="1:47" x14ac:dyDescent="0.2">
      <c r="A835" s="2">
        <v>307349</v>
      </c>
      <c r="B835" s="2"/>
      <c r="C835" s="2" t="s">
        <v>162</v>
      </c>
      <c r="D835" s="69" t="s">
        <v>1319</v>
      </c>
      <c r="E835" s="2"/>
      <c r="F835" s="127">
        <v>3</v>
      </c>
      <c r="G835" s="127">
        <v>101</v>
      </c>
      <c r="H835" s="3">
        <v>4</v>
      </c>
      <c r="I835" s="127">
        <v>5</v>
      </c>
      <c r="J835" s="127">
        <v>1</v>
      </c>
      <c r="K835" s="3"/>
      <c r="L835" s="2" t="s">
        <v>627</v>
      </c>
      <c r="M835" s="2"/>
      <c r="N835" s="2">
        <v>1</v>
      </c>
      <c r="O835" s="2"/>
      <c r="P835" s="3" t="s">
        <v>1615</v>
      </c>
      <c r="Q835" s="95">
        <f t="shared" si="73"/>
        <v>4.4674509803921572</v>
      </c>
      <c r="R835" s="133">
        <f>IF(P835=模板计算相关数据!$AB$24,VLOOKUP(X835,模板计算相关数据!$P$47:$T$50,2,0),VLOOKUP(X835,模板计算相关数据!$P$4:$U$7,3,0))*VLOOKUP(Y835,模板计算相关数据!$P$22:$X$30,8,0)</f>
        <v>4.4674509803921572</v>
      </c>
      <c r="S835" s="62">
        <f t="shared" si="74"/>
        <v>5.4739930589768004</v>
      </c>
      <c r="T835" s="133">
        <f>IF(P835=模板计算相关数据!$AB$24,VLOOKUP(X835,模板计算相关数据!$P$47:$T$50,5,0),VLOOKUP(X835,模板计算相关数据!$P$4:$U$7,6,0))*VLOOKUP(Y835,模板计算相关数据!$P$22:$X$30,9,0)</f>
        <v>5.4739930589768004</v>
      </c>
      <c r="U835" s="98">
        <v>1</v>
      </c>
      <c r="V835" s="95">
        <f t="shared" si="75"/>
        <v>4</v>
      </c>
      <c r="W835" s="29">
        <f>VLOOKUP(U835,模板计算相关数据!A:N,2,0)</f>
        <v>1</v>
      </c>
      <c r="X835" s="3" t="s">
        <v>151</v>
      </c>
      <c r="Y835" s="3" t="s">
        <v>162</v>
      </c>
      <c r="Z835" s="99">
        <v>1</v>
      </c>
      <c r="AA835" s="95">
        <v>1</v>
      </c>
      <c r="AB835" s="95">
        <v>1</v>
      </c>
      <c r="AC835" s="95">
        <v>1</v>
      </c>
      <c r="AD835" s="95">
        <v>0</v>
      </c>
      <c r="AE835" s="95">
        <v>0</v>
      </c>
      <c r="AF835" s="95">
        <v>0</v>
      </c>
      <c r="AG835" s="95">
        <v>0</v>
      </c>
      <c r="AH835" s="95">
        <v>0</v>
      </c>
      <c r="AI835" s="95">
        <v>0</v>
      </c>
      <c r="AJ835" s="3">
        <f>INT(VLOOKUP(U835,模板计算相关数据!A:N,4,0)*VLOOKUP(U835,模板计算相关数据!A:N,14,0)*(1+MAX(0,(VLOOKUP(U835,模板计算相关数据!A:N,7,0)-AQ835))*VLOOKUP(U835,模板计算相关数据!A:N,8,0))*(1-(AL835+AM835)*0.5/((AL835+AM835)*0.5+(VLOOKUP(U835,模板计算相关数据!A:N,2,0)+模板计算相关数据!$AC$27)*模板计算相关数据!$AC$28))*Q835*Z835)</f>
        <v>328</v>
      </c>
      <c r="AK835" s="3">
        <f>INT(VLOOKUP(U835,模板计算相关数据!A:N,3,0)/模板计算相关数据!$W$35/(1+MAX(0,(AO835/10000-VLOOKUP(U835,模板计算相关数据!A:N,9,0)))*AP835/10000)/(1-VLOOKUP(U835,模板计算相关数据!A:N,5,0)/(VLOOKUP(U835,模板计算相关数据!A:N,5,0)+(VLOOKUP(U835,模板计算相关数据!A:N,2,0)+模板计算相关数据!$AC$27)*模板计算相关数据!$AC$28))/S835*AA835)</f>
        <v>101</v>
      </c>
      <c r="AL835" s="3">
        <f>INT(VLOOKUP(U835,模板计算相关数据!A:N,5,0)*VLOOKUP(X835,模板计算相关数据!$P$4:$T$7,4,0)*VLOOKUP(Y835,模板计算相关数据!$P$22:$U$30,4,0)*AB835)</f>
        <v>136</v>
      </c>
      <c r="AM835" s="3">
        <f>INT(VLOOKUP(U835,模板计算相关数据!A:N,6,0)*VLOOKUP(X835,模板计算相关数据!$P$4:$T$7,4,0)*VLOOKUP(Y835,模板计算相关数据!$P$22:$U$30,5,0)*AC835)</f>
        <v>230</v>
      </c>
      <c r="AN835" s="3">
        <f>VLOOKUP(U835,模板计算相关数据!A:N,10,0)*0.5*VLOOKUP(Y835,模板计算相关数据!$P$22:$U$30,6,0)+AD835</f>
        <v>250</v>
      </c>
      <c r="AO835" s="3">
        <f>VLOOKUP(INT(VLOOKUP(U835,模板计算相关数据!A:N,2,0)/30)+1,模板计算相关数据!$O$35:$U$40,3,0)+AE835</f>
        <v>0</v>
      </c>
      <c r="AP835" s="3">
        <f>VLOOKUP(INT(VLOOKUP(U835,模板计算相关数据!A:N,2,0)/30)+1,模板计算相关数据!$O$35:$U$40,4,0)+AF835</f>
        <v>5000</v>
      </c>
      <c r="AQ835" s="3">
        <f>VLOOKUP(INT(VLOOKUP(U835,模板计算相关数据!A:N,2,0)/30)+1,模板计算相关数据!$O$35:$U$40,5,0)+AG835</f>
        <v>0</v>
      </c>
      <c r="AR835" s="3">
        <f>VLOOKUP(INT(VLOOKUP(U835,模板计算相关数据!A:N,2,0)/30)+1,模板计算相关数据!$O$35:$U$40,6,0)+AH835</f>
        <v>0</v>
      </c>
      <c r="AS835" s="3">
        <f>VLOOKUP(INT(VLOOKUP(U835,模板计算相关数据!A:N,2,0)/30)+1,模板计算相关数据!$O$35:$U$40,7,0)+AI835</f>
        <v>0</v>
      </c>
      <c r="AT835" s="3">
        <f>VLOOKUP(INT(VLOOKUP(U835,模板计算相关数据!A:N,2,0)/30)+1,模板计算相关数据!$O$35:$V$40,8,0)</f>
        <v>0</v>
      </c>
      <c r="AU835" s="2"/>
    </row>
    <row r="836" spans="1:47" x14ac:dyDescent="0.2">
      <c r="A836" s="2">
        <v>307350</v>
      </c>
      <c r="B836" s="2"/>
      <c r="C836" s="2" t="s">
        <v>162</v>
      </c>
      <c r="D836" s="69" t="s">
        <v>1320</v>
      </c>
      <c r="E836" s="2"/>
      <c r="F836" s="127">
        <v>3</v>
      </c>
      <c r="G836" s="127">
        <v>101</v>
      </c>
      <c r="H836" s="3">
        <v>4</v>
      </c>
      <c r="I836" s="127">
        <v>5</v>
      </c>
      <c r="J836" s="127">
        <v>1</v>
      </c>
      <c r="K836" s="3"/>
      <c r="L836" s="2" t="s">
        <v>628</v>
      </c>
      <c r="M836" s="2"/>
      <c r="N836" s="2">
        <v>1</v>
      </c>
      <c r="O836" s="2"/>
      <c r="P836" s="3" t="s">
        <v>1615</v>
      </c>
      <c r="Q836" s="95">
        <f t="shared" si="73"/>
        <v>4.4674509803921572</v>
      </c>
      <c r="R836" s="133">
        <f>IF(P836=模板计算相关数据!$AB$24,VLOOKUP(X836,模板计算相关数据!$P$47:$T$50,2,0),VLOOKUP(X836,模板计算相关数据!$P$4:$U$7,3,0))*VLOOKUP(Y836,模板计算相关数据!$P$22:$X$30,8,0)</f>
        <v>4.4674509803921572</v>
      </c>
      <c r="S836" s="62">
        <f t="shared" si="74"/>
        <v>5.4739930589768004</v>
      </c>
      <c r="T836" s="133">
        <f>IF(P836=模板计算相关数据!$AB$24,VLOOKUP(X836,模板计算相关数据!$P$47:$T$50,5,0),VLOOKUP(X836,模板计算相关数据!$P$4:$U$7,6,0))*VLOOKUP(Y836,模板计算相关数据!$P$22:$X$30,9,0)</f>
        <v>5.4739930589768004</v>
      </c>
      <c r="U836" s="98">
        <v>1</v>
      </c>
      <c r="V836" s="95">
        <f t="shared" si="75"/>
        <v>4</v>
      </c>
      <c r="W836" s="29">
        <f>VLOOKUP(U836,模板计算相关数据!A:N,2,0)</f>
        <v>1</v>
      </c>
      <c r="X836" s="3" t="s">
        <v>151</v>
      </c>
      <c r="Y836" s="3" t="s">
        <v>162</v>
      </c>
      <c r="Z836" s="99">
        <v>1</v>
      </c>
      <c r="AA836" s="95">
        <v>1</v>
      </c>
      <c r="AB836" s="95">
        <v>1</v>
      </c>
      <c r="AC836" s="95">
        <v>1</v>
      </c>
      <c r="AD836" s="95">
        <v>0</v>
      </c>
      <c r="AE836" s="95">
        <v>0</v>
      </c>
      <c r="AF836" s="95">
        <v>0</v>
      </c>
      <c r="AG836" s="95">
        <v>0</v>
      </c>
      <c r="AH836" s="95">
        <v>0</v>
      </c>
      <c r="AI836" s="95">
        <v>0</v>
      </c>
      <c r="AJ836" s="3">
        <f>INT(VLOOKUP(U836,模板计算相关数据!A:N,4,0)*VLOOKUP(U836,模板计算相关数据!A:N,14,0)*(1+MAX(0,(VLOOKUP(U836,模板计算相关数据!A:N,7,0)-AQ836))*VLOOKUP(U836,模板计算相关数据!A:N,8,0))*(1-(AL836+AM836)*0.5/((AL836+AM836)*0.5+(VLOOKUP(U836,模板计算相关数据!A:N,2,0)+模板计算相关数据!$AC$27)*模板计算相关数据!$AC$28))*Q836*Z836)</f>
        <v>328</v>
      </c>
      <c r="AK836" s="3">
        <f>INT(VLOOKUP(U836,模板计算相关数据!A:N,3,0)/模板计算相关数据!$W$35/(1+MAX(0,(AO836/10000-VLOOKUP(U836,模板计算相关数据!A:N,9,0)))*AP836/10000)/(1-VLOOKUP(U836,模板计算相关数据!A:N,5,0)/(VLOOKUP(U836,模板计算相关数据!A:N,5,0)+(VLOOKUP(U836,模板计算相关数据!A:N,2,0)+模板计算相关数据!$AC$27)*模板计算相关数据!$AC$28))/S836*AA836)</f>
        <v>101</v>
      </c>
      <c r="AL836" s="3">
        <f>INT(VLOOKUP(U836,模板计算相关数据!A:N,5,0)*VLOOKUP(X836,模板计算相关数据!$P$4:$T$7,4,0)*VLOOKUP(Y836,模板计算相关数据!$P$22:$U$30,4,0)*AB836)</f>
        <v>136</v>
      </c>
      <c r="AM836" s="3">
        <f>INT(VLOOKUP(U836,模板计算相关数据!A:N,6,0)*VLOOKUP(X836,模板计算相关数据!$P$4:$T$7,4,0)*VLOOKUP(Y836,模板计算相关数据!$P$22:$U$30,5,0)*AC836)</f>
        <v>230</v>
      </c>
      <c r="AN836" s="3">
        <f>VLOOKUP(U836,模板计算相关数据!A:N,10,0)*0.5*VLOOKUP(Y836,模板计算相关数据!$P$22:$U$30,6,0)+AD836</f>
        <v>250</v>
      </c>
      <c r="AO836" s="3">
        <f>VLOOKUP(INT(VLOOKUP(U836,模板计算相关数据!A:N,2,0)/30)+1,模板计算相关数据!$O$35:$U$40,3,0)+AE836</f>
        <v>0</v>
      </c>
      <c r="AP836" s="3">
        <f>VLOOKUP(INT(VLOOKUP(U836,模板计算相关数据!A:N,2,0)/30)+1,模板计算相关数据!$O$35:$U$40,4,0)+AF836</f>
        <v>5000</v>
      </c>
      <c r="AQ836" s="3">
        <f>VLOOKUP(INT(VLOOKUP(U836,模板计算相关数据!A:N,2,0)/30)+1,模板计算相关数据!$O$35:$U$40,5,0)+AG836</f>
        <v>0</v>
      </c>
      <c r="AR836" s="3">
        <f>VLOOKUP(INT(VLOOKUP(U836,模板计算相关数据!A:N,2,0)/30)+1,模板计算相关数据!$O$35:$U$40,6,0)+AH836</f>
        <v>0</v>
      </c>
      <c r="AS836" s="3">
        <f>VLOOKUP(INT(VLOOKUP(U836,模板计算相关数据!A:N,2,0)/30)+1,模板计算相关数据!$O$35:$U$40,7,0)+AI836</f>
        <v>0</v>
      </c>
      <c r="AT836" s="3">
        <f>VLOOKUP(INT(VLOOKUP(U836,模板计算相关数据!A:N,2,0)/30)+1,模板计算相关数据!$O$35:$V$40,8,0)</f>
        <v>0</v>
      </c>
      <c r="AU836" s="2"/>
    </row>
    <row r="837" spans="1:47" x14ac:dyDescent="0.2">
      <c r="A837" s="2">
        <v>307351</v>
      </c>
      <c r="B837" s="2"/>
      <c r="C837" s="2" t="s">
        <v>162</v>
      </c>
      <c r="D837" s="2" t="s">
        <v>1318</v>
      </c>
      <c r="E837" s="2"/>
      <c r="F837" s="127">
        <v>3</v>
      </c>
      <c r="G837" s="127">
        <v>101</v>
      </c>
      <c r="H837" s="3">
        <v>4</v>
      </c>
      <c r="I837" s="127">
        <v>5</v>
      </c>
      <c r="J837" s="127">
        <v>1</v>
      </c>
      <c r="K837" s="3"/>
      <c r="L837" s="2" t="s">
        <v>629</v>
      </c>
      <c r="M837" s="2"/>
      <c r="N837" s="2">
        <v>1</v>
      </c>
      <c r="O837" s="2"/>
      <c r="P837" s="3" t="s">
        <v>1615</v>
      </c>
      <c r="Q837" s="95">
        <f t="shared" si="73"/>
        <v>4.4674509803921572</v>
      </c>
      <c r="R837" s="133">
        <f>IF(P837=模板计算相关数据!$AB$24,VLOOKUP(X837,模板计算相关数据!$P$47:$T$50,2,0),VLOOKUP(X837,模板计算相关数据!$P$4:$U$7,3,0))*VLOOKUP(Y837,模板计算相关数据!$P$22:$X$30,8,0)</f>
        <v>4.4674509803921572</v>
      </c>
      <c r="S837" s="62">
        <f t="shared" si="74"/>
        <v>5.4739930589768004</v>
      </c>
      <c r="T837" s="133">
        <f>IF(P837=模板计算相关数据!$AB$24,VLOOKUP(X837,模板计算相关数据!$P$47:$T$50,5,0),VLOOKUP(X837,模板计算相关数据!$P$4:$U$7,6,0))*VLOOKUP(Y837,模板计算相关数据!$P$22:$X$30,9,0)</f>
        <v>5.4739930589768004</v>
      </c>
      <c r="U837" s="98">
        <v>1</v>
      </c>
      <c r="V837" s="95">
        <f t="shared" si="75"/>
        <v>4</v>
      </c>
      <c r="W837" s="29">
        <f>VLOOKUP(U837,模板计算相关数据!A:N,2,0)</f>
        <v>1</v>
      </c>
      <c r="X837" s="3" t="s">
        <v>151</v>
      </c>
      <c r="Y837" s="3" t="s">
        <v>162</v>
      </c>
      <c r="Z837" s="99">
        <v>1</v>
      </c>
      <c r="AA837" s="95">
        <v>1</v>
      </c>
      <c r="AB837" s="95">
        <v>1</v>
      </c>
      <c r="AC837" s="95">
        <v>1</v>
      </c>
      <c r="AD837" s="95">
        <v>0</v>
      </c>
      <c r="AE837" s="95">
        <v>0</v>
      </c>
      <c r="AF837" s="95">
        <v>0</v>
      </c>
      <c r="AG837" s="95">
        <v>0</v>
      </c>
      <c r="AH837" s="95">
        <v>0</v>
      </c>
      <c r="AI837" s="95">
        <v>0</v>
      </c>
      <c r="AJ837" s="3">
        <f>INT(VLOOKUP(U837,模板计算相关数据!A:N,4,0)*VLOOKUP(U837,模板计算相关数据!A:N,14,0)*(1+MAX(0,(VLOOKUP(U837,模板计算相关数据!A:N,7,0)-AQ837))*VLOOKUP(U837,模板计算相关数据!A:N,8,0))*(1-(AL837+AM837)*0.5/((AL837+AM837)*0.5+(VLOOKUP(U837,模板计算相关数据!A:N,2,0)+模板计算相关数据!$AC$27)*模板计算相关数据!$AC$28))*Q837*Z837)</f>
        <v>328</v>
      </c>
      <c r="AK837" s="3">
        <f>INT(VLOOKUP(U837,模板计算相关数据!A:N,3,0)/模板计算相关数据!$W$35/(1+MAX(0,(AO837/10000-VLOOKUP(U837,模板计算相关数据!A:N,9,0)))*AP837/10000)/(1-VLOOKUP(U837,模板计算相关数据!A:N,5,0)/(VLOOKUP(U837,模板计算相关数据!A:N,5,0)+(VLOOKUP(U837,模板计算相关数据!A:N,2,0)+模板计算相关数据!$AC$27)*模板计算相关数据!$AC$28))/S837*AA837)</f>
        <v>101</v>
      </c>
      <c r="AL837" s="3">
        <f>INT(VLOOKUP(U837,模板计算相关数据!A:N,5,0)*VLOOKUP(X837,模板计算相关数据!$P$4:$T$7,4,0)*VLOOKUP(Y837,模板计算相关数据!$P$22:$U$30,4,0)*AB837)</f>
        <v>136</v>
      </c>
      <c r="AM837" s="3">
        <f>INT(VLOOKUP(U837,模板计算相关数据!A:N,6,0)*VLOOKUP(X837,模板计算相关数据!$P$4:$T$7,4,0)*VLOOKUP(Y837,模板计算相关数据!$P$22:$U$30,5,0)*AC837)</f>
        <v>230</v>
      </c>
      <c r="AN837" s="3">
        <f>VLOOKUP(U837,模板计算相关数据!A:N,10,0)*0.5*VLOOKUP(Y837,模板计算相关数据!$P$22:$U$30,6,0)+AD837</f>
        <v>250</v>
      </c>
      <c r="AO837" s="3">
        <f>VLOOKUP(INT(VLOOKUP(U837,模板计算相关数据!A:N,2,0)/30)+1,模板计算相关数据!$O$35:$U$40,3,0)+AE837</f>
        <v>0</v>
      </c>
      <c r="AP837" s="3">
        <f>VLOOKUP(INT(VLOOKUP(U837,模板计算相关数据!A:N,2,0)/30)+1,模板计算相关数据!$O$35:$U$40,4,0)+AF837</f>
        <v>5000</v>
      </c>
      <c r="AQ837" s="3">
        <f>VLOOKUP(INT(VLOOKUP(U837,模板计算相关数据!A:N,2,0)/30)+1,模板计算相关数据!$O$35:$U$40,5,0)+AG837</f>
        <v>0</v>
      </c>
      <c r="AR837" s="3">
        <f>VLOOKUP(INT(VLOOKUP(U837,模板计算相关数据!A:N,2,0)/30)+1,模板计算相关数据!$O$35:$U$40,6,0)+AH837</f>
        <v>0</v>
      </c>
      <c r="AS837" s="3">
        <f>VLOOKUP(INT(VLOOKUP(U837,模板计算相关数据!A:N,2,0)/30)+1,模板计算相关数据!$O$35:$U$40,7,0)+AI837</f>
        <v>0</v>
      </c>
      <c r="AT837" s="3">
        <f>VLOOKUP(INT(VLOOKUP(U837,模板计算相关数据!A:N,2,0)/30)+1,模板计算相关数据!$O$35:$V$40,8,0)</f>
        <v>0</v>
      </c>
      <c r="AU837" s="2"/>
    </row>
    <row r="838" spans="1:47" x14ac:dyDescent="0.2">
      <c r="A838" s="2">
        <v>307352</v>
      </c>
      <c r="B838" s="2"/>
      <c r="C838" s="2" t="s">
        <v>389</v>
      </c>
      <c r="D838" s="2" t="s">
        <v>1319</v>
      </c>
      <c r="E838" s="2"/>
      <c r="F838" s="127">
        <v>3</v>
      </c>
      <c r="G838" s="127">
        <v>101</v>
      </c>
      <c r="H838" s="3">
        <v>2</v>
      </c>
      <c r="I838" s="127">
        <v>5</v>
      </c>
      <c r="J838" s="127">
        <v>1</v>
      </c>
      <c r="K838" s="3"/>
      <c r="L838" s="2" t="s">
        <v>630</v>
      </c>
      <c r="M838" s="2"/>
      <c r="N838" s="2">
        <v>1</v>
      </c>
      <c r="O838" s="2"/>
      <c r="P838" s="3" t="s">
        <v>1615</v>
      </c>
      <c r="Q838" s="95">
        <f t="shared" si="73"/>
        <v>6.9411764705882364</v>
      </c>
      <c r="R838" s="133">
        <f>IF(P838=模板计算相关数据!$AB$24,VLOOKUP(X838,模板计算相关数据!$P$47:$T$50,2,0),VLOOKUP(X838,模板计算相关数据!$P$4:$U$7,3,0))*VLOOKUP(Y838,模板计算相关数据!$P$22:$X$30,8,0)</f>
        <v>6.9411764705882364</v>
      </c>
      <c r="S838" s="62">
        <f t="shared" si="74"/>
        <v>8.2943498888557112</v>
      </c>
      <c r="T838" s="133">
        <f>IF(P838=模板计算相关数据!$AB$24,VLOOKUP(X838,模板计算相关数据!$P$47:$T$50,5,0),VLOOKUP(X838,模板计算相关数据!$P$4:$U$7,6,0))*VLOOKUP(Y838,模板计算相关数据!$P$22:$X$30,9,0)</f>
        <v>8.2943498888557112</v>
      </c>
      <c r="U838" s="98">
        <v>1</v>
      </c>
      <c r="V838" s="95">
        <f t="shared" si="75"/>
        <v>4</v>
      </c>
      <c r="W838" s="29">
        <f>VLOOKUP(U838,模板计算相关数据!A:N,2,0)</f>
        <v>1</v>
      </c>
      <c r="X838" s="3" t="s">
        <v>151</v>
      </c>
      <c r="Y838" s="3" t="s">
        <v>155</v>
      </c>
      <c r="Z838" s="99">
        <v>1</v>
      </c>
      <c r="AA838" s="95">
        <v>1</v>
      </c>
      <c r="AB838" s="95">
        <v>1</v>
      </c>
      <c r="AC838" s="95">
        <v>1</v>
      </c>
      <c r="AD838" s="95">
        <v>0</v>
      </c>
      <c r="AE838" s="95">
        <v>0</v>
      </c>
      <c r="AF838" s="95">
        <v>0</v>
      </c>
      <c r="AG838" s="95">
        <v>0</v>
      </c>
      <c r="AH838" s="95">
        <v>0</v>
      </c>
      <c r="AI838" s="95">
        <v>0</v>
      </c>
      <c r="AJ838" s="3">
        <f>INT(VLOOKUP(U838,模板计算相关数据!A:N,4,0)*VLOOKUP(U838,模板计算相关数据!A:N,14,0)*(1+MAX(0,(VLOOKUP(U838,模板计算相关数据!A:N,7,0)-AQ838))*VLOOKUP(U838,模板计算相关数据!A:N,8,0))*(1-(AL838+AM838)*0.5/((AL838+AM838)*0.5+(VLOOKUP(U838,模板计算相关数据!A:N,2,0)+模板计算相关数据!$AC$27)*模板计算相关数据!$AC$28))*Q838*Z838)</f>
        <v>487</v>
      </c>
      <c r="AK838" s="3">
        <f>INT(VLOOKUP(U838,模板计算相关数据!A:N,3,0)/模板计算相关数据!$W$35/(1+MAX(0,(AO838/10000-VLOOKUP(U838,模板计算相关数据!A:N,9,0)))*AP838/10000)/(1-VLOOKUP(U838,模板计算相关数据!A:N,5,0)/(VLOOKUP(U838,模板计算相关数据!A:N,5,0)+(VLOOKUP(U838,模板计算相关数据!A:N,2,0)+模板计算相关数据!$AC$27)*模板计算相关数据!$AC$28))/S838*AA838)</f>
        <v>67</v>
      </c>
      <c r="AL838" s="3">
        <f>INT(VLOOKUP(U838,模板计算相关数据!A:N,5,0)*VLOOKUP(X838,模板计算相关数据!$P$4:$T$7,4,0)*VLOOKUP(Y838,模板计算相关数据!$P$22:$U$30,4,0)*AB838)</f>
        <v>277</v>
      </c>
      <c r="AM838" s="3">
        <f>INT(VLOOKUP(U838,模板计算相关数据!A:N,6,0)*VLOOKUP(X838,模板计算相关数据!$P$4:$T$7,4,0)*VLOOKUP(Y838,模板计算相关数据!$P$22:$U$30,5,0)*AC838)</f>
        <v>153</v>
      </c>
      <c r="AN838" s="3">
        <f>VLOOKUP(U838,模板计算相关数据!A:N,10,0)*0.5*VLOOKUP(Y838,模板计算相关数据!$P$22:$U$30,6,0)+AD838</f>
        <v>225</v>
      </c>
      <c r="AO838" s="3">
        <f>VLOOKUP(INT(VLOOKUP(U838,模板计算相关数据!A:N,2,0)/30)+1,模板计算相关数据!$O$35:$U$40,3,0)+AE838</f>
        <v>0</v>
      </c>
      <c r="AP838" s="3">
        <f>VLOOKUP(INT(VLOOKUP(U838,模板计算相关数据!A:N,2,0)/30)+1,模板计算相关数据!$O$35:$U$40,4,0)+AF838</f>
        <v>5000</v>
      </c>
      <c r="AQ838" s="3">
        <f>VLOOKUP(INT(VLOOKUP(U838,模板计算相关数据!A:N,2,0)/30)+1,模板计算相关数据!$O$35:$U$40,5,0)+AG838</f>
        <v>0</v>
      </c>
      <c r="AR838" s="3">
        <f>VLOOKUP(INT(VLOOKUP(U838,模板计算相关数据!A:N,2,0)/30)+1,模板计算相关数据!$O$35:$U$40,6,0)+AH838</f>
        <v>0</v>
      </c>
      <c r="AS838" s="3">
        <f>VLOOKUP(INT(VLOOKUP(U838,模板计算相关数据!A:N,2,0)/30)+1,模板计算相关数据!$O$35:$U$40,7,0)+AI838</f>
        <v>0</v>
      </c>
      <c r="AT838" s="3">
        <f>VLOOKUP(INT(VLOOKUP(U838,模板计算相关数据!A:N,2,0)/30)+1,模板计算相关数据!$O$35:$V$40,8,0)</f>
        <v>0</v>
      </c>
      <c r="AU838" s="2"/>
    </row>
    <row r="839" spans="1:47" x14ac:dyDescent="0.2">
      <c r="A839" s="2">
        <v>307353</v>
      </c>
      <c r="B839" s="2"/>
      <c r="C839" s="2" t="s">
        <v>389</v>
      </c>
      <c r="D839" s="2" t="s">
        <v>1320</v>
      </c>
      <c r="E839" s="2"/>
      <c r="F839" s="127">
        <v>3</v>
      </c>
      <c r="G839" s="127">
        <v>101</v>
      </c>
      <c r="H839" s="3">
        <v>2</v>
      </c>
      <c r="I839" s="127">
        <v>5</v>
      </c>
      <c r="J839" s="127">
        <v>1</v>
      </c>
      <c r="K839" s="3"/>
      <c r="L839" s="2" t="s">
        <v>631</v>
      </c>
      <c r="M839" s="2"/>
      <c r="N839" s="2">
        <v>1</v>
      </c>
      <c r="O839" s="2"/>
      <c r="P839" s="3" t="s">
        <v>1615</v>
      </c>
      <c r="Q839" s="95">
        <f t="shared" si="73"/>
        <v>6.9411764705882364</v>
      </c>
      <c r="R839" s="133">
        <f>IF(P839=模板计算相关数据!$AB$24,VLOOKUP(X839,模板计算相关数据!$P$47:$T$50,2,0),VLOOKUP(X839,模板计算相关数据!$P$4:$U$7,3,0))*VLOOKUP(Y839,模板计算相关数据!$P$22:$X$30,8,0)</f>
        <v>6.9411764705882364</v>
      </c>
      <c r="S839" s="62">
        <f t="shared" si="74"/>
        <v>8.2943498888557112</v>
      </c>
      <c r="T839" s="133">
        <f>IF(P839=模板计算相关数据!$AB$24,VLOOKUP(X839,模板计算相关数据!$P$47:$T$50,5,0),VLOOKUP(X839,模板计算相关数据!$P$4:$U$7,6,0))*VLOOKUP(Y839,模板计算相关数据!$P$22:$X$30,9,0)</f>
        <v>8.2943498888557112</v>
      </c>
      <c r="U839" s="98">
        <v>1</v>
      </c>
      <c r="V839" s="95">
        <f t="shared" si="75"/>
        <v>4</v>
      </c>
      <c r="W839" s="29">
        <f>VLOOKUP(U839,模板计算相关数据!A:N,2,0)</f>
        <v>1</v>
      </c>
      <c r="X839" s="3" t="s">
        <v>151</v>
      </c>
      <c r="Y839" s="3" t="s">
        <v>155</v>
      </c>
      <c r="Z839" s="99">
        <v>1</v>
      </c>
      <c r="AA839" s="95">
        <v>1</v>
      </c>
      <c r="AB839" s="95">
        <v>1</v>
      </c>
      <c r="AC839" s="95">
        <v>1</v>
      </c>
      <c r="AD839" s="95">
        <v>0</v>
      </c>
      <c r="AE839" s="95">
        <v>0</v>
      </c>
      <c r="AF839" s="95">
        <v>0</v>
      </c>
      <c r="AG839" s="95">
        <v>0</v>
      </c>
      <c r="AH839" s="95">
        <v>0</v>
      </c>
      <c r="AI839" s="95">
        <v>0</v>
      </c>
      <c r="AJ839" s="3">
        <f>INT(VLOOKUP(U839,模板计算相关数据!A:N,4,0)*VLOOKUP(U839,模板计算相关数据!A:N,14,0)*(1+MAX(0,(VLOOKUP(U839,模板计算相关数据!A:N,7,0)-AQ839))*VLOOKUP(U839,模板计算相关数据!A:N,8,0))*(1-(AL839+AM839)*0.5/((AL839+AM839)*0.5+(VLOOKUP(U839,模板计算相关数据!A:N,2,0)+模板计算相关数据!$AC$27)*模板计算相关数据!$AC$28))*Q839*Z839)</f>
        <v>487</v>
      </c>
      <c r="AK839" s="3">
        <f>INT(VLOOKUP(U839,模板计算相关数据!A:N,3,0)/模板计算相关数据!$W$35/(1+MAX(0,(AO839/10000-VLOOKUP(U839,模板计算相关数据!A:N,9,0)))*AP839/10000)/(1-VLOOKUP(U839,模板计算相关数据!A:N,5,0)/(VLOOKUP(U839,模板计算相关数据!A:N,5,0)+(VLOOKUP(U839,模板计算相关数据!A:N,2,0)+模板计算相关数据!$AC$27)*模板计算相关数据!$AC$28))/S839*AA839)</f>
        <v>67</v>
      </c>
      <c r="AL839" s="3">
        <f>INT(VLOOKUP(U839,模板计算相关数据!A:N,5,0)*VLOOKUP(X839,模板计算相关数据!$P$4:$T$7,4,0)*VLOOKUP(Y839,模板计算相关数据!$P$22:$U$30,4,0)*AB839)</f>
        <v>277</v>
      </c>
      <c r="AM839" s="3">
        <f>INT(VLOOKUP(U839,模板计算相关数据!A:N,6,0)*VLOOKUP(X839,模板计算相关数据!$P$4:$T$7,4,0)*VLOOKUP(Y839,模板计算相关数据!$P$22:$U$30,5,0)*AC839)</f>
        <v>153</v>
      </c>
      <c r="AN839" s="3">
        <f>VLOOKUP(U839,模板计算相关数据!A:N,10,0)*0.5*VLOOKUP(Y839,模板计算相关数据!$P$22:$U$30,6,0)+AD839</f>
        <v>225</v>
      </c>
      <c r="AO839" s="3">
        <f>VLOOKUP(INT(VLOOKUP(U839,模板计算相关数据!A:N,2,0)/30)+1,模板计算相关数据!$O$35:$U$40,3,0)+AE839</f>
        <v>0</v>
      </c>
      <c r="AP839" s="3">
        <f>VLOOKUP(INT(VLOOKUP(U839,模板计算相关数据!A:N,2,0)/30)+1,模板计算相关数据!$O$35:$U$40,4,0)+AF839</f>
        <v>5000</v>
      </c>
      <c r="AQ839" s="3">
        <f>VLOOKUP(INT(VLOOKUP(U839,模板计算相关数据!A:N,2,0)/30)+1,模板计算相关数据!$O$35:$U$40,5,0)+AG839</f>
        <v>0</v>
      </c>
      <c r="AR839" s="3">
        <f>VLOOKUP(INT(VLOOKUP(U839,模板计算相关数据!A:N,2,0)/30)+1,模板计算相关数据!$O$35:$U$40,6,0)+AH839</f>
        <v>0</v>
      </c>
      <c r="AS839" s="3">
        <f>VLOOKUP(INT(VLOOKUP(U839,模板计算相关数据!A:N,2,0)/30)+1,模板计算相关数据!$O$35:$U$40,7,0)+AI839</f>
        <v>0</v>
      </c>
      <c r="AT839" s="3">
        <f>VLOOKUP(INT(VLOOKUP(U839,模板计算相关数据!A:N,2,0)/30)+1,模板计算相关数据!$O$35:$V$40,8,0)</f>
        <v>0</v>
      </c>
      <c r="AU839" s="2"/>
    </row>
    <row r="840" spans="1:47" x14ac:dyDescent="0.2">
      <c r="A840" s="2">
        <v>307354</v>
      </c>
      <c r="B840" s="2"/>
      <c r="C840" s="2" t="s">
        <v>389</v>
      </c>
      <c r="D840" s="2" t="s">
        <v>1318</v>
      </c>
      <c r="E840" s="2"/>
      <c r="F840" s="127">
        <v>3</v>
      </c>
      <c r="G840" s="127">
        <v>101</v>
      </c>
      <c r="H840" s="3">
        <v>2</v>
      </c>
      <c r="I840" s="127">
        <v>5</v>
      </c>
      <c r="J840" s="127">
        <v>1</v>
      </c>
      <c r="K840" s="3"/>
      <c r="L840" s="2" t="s">
        <v>632</v>
      </c>
      <c r="M840" s="2"/>
      <c r="N840" s="2">
        <v>1</v>
      </c>
      <c r="O840" s="2"/>
      <c r="P840" s="3" t="s">
        <v>1615</v>
      </c>
      <c r="Q840" s="95">
        <f t="shared" si="73"/>
        <v>6.9411764705882364</v>
      </c>
      <c r="R840" s="133">
        <f>IF(P840=模板计算相关数据!$AB$24,VLOOKUP(X840,模板计算相关数据!$P$47:$T$50,2,0),VLOOKUP(X840,模板计算相关数据!$P$4:$U$7,3,0))*VLOOKUP(Y840,模板计算相关数据!$P$22:$X$30,8,0)</f>
        <v>6.9411764705882364</v>
      </c>
      <c r="S840" s="62">
        <f t="shared" si="74"/>
        <v>8.2943498888557112</v>
      </c>
      <c r="T840" s="133">
        <f>IF(P840=模板计算相关数据!$AB$24,VLOOKUP(X840,模板计算相关数据!$P$47:$T$50,5,0),VLOOKUP(X840,模板计算相关数据!$P$4:$U$7,6,0))*VLOOKUP(Y840,模板计算相关数据!$P$22:$X$30,9,0)</f>
        <v>8.2943498888557112</v>
      </c>
      <c r="U840" s="98">
        <v>1</v>
      </c>
      <c r="V840" s="95">
        <f t="shared" si="75"/>
        <v>4</v>
      </c>
      <c r="W840" s="29">
        <f>VLOOKUP(U840,模板计算相关数据!A:N,2,0)</f>
        <v>1</v>
      </c>
      <c r="X840" s="3" t="s">
        <v>151</v>
      </c>
      <c r="Y840" s="3" t="s">
        <v>155</v>
      </c>
      <c r="Z840" s="99">
        <v>1</v>
      </c>
      <c r="AA840" s="95">
        <v>1</v>
      </c>
      <c r="AB840" s="95">
        <v>1</v>
      </c>
      <c r="AC840" s="95">
        <v>1</v>
      </c>
      <c r="AD840" s="95">
        <v>0</v>
      </c>
      <c r="AE840" s="95">
        <v>0</v>
      </c>
      <c r="AF840" s="95">
        <v>0</v>
      </c>
      <c r="AG840" s="95">
        <v>0</v>
      </c>
      <c r="AH840" s="95">
        <v>0</v>
      </c>
      <c r="AI840" s="95">
        <v>0</v>
      </c>
      <c r="AJ840" s="3">
        <f>INT(VLOOKUP(U840,模板计算相关数据!A:N,4,0)*VLOOKUP(U840,模板计算相关数据!A:N,14,0)*(1+MAX(0,(VLOOKUP(U840,模板计算相关数据!A:N,7,0)-AQ840))*VLOOKUP(U840,模板计算相关数据!A:N,8,0))*(1-(AL840+AM840)*0.5/((AL840+AM840)*0.5+(VLOOKUP(U840,模板计算相关数据!A:N,2,0)+模板计算相关数据!$AC$27)*模板计算相关数据!$AC$28))*Q840*Z840)</f>
        <v>487</v>
      </c>
      <c r="AK840" s="3">
        <f>INT(VLOOKUP(U840,模板计算相关数据!A:N,3,0)/模板计算相关数据!$W$35/(1+MAX(0,(AO840/10000-VLOOKUP(U840,模板计算相关数据!A:N,9,0)))*AP840/10000)/(1-VLOOKUP(U840,模板计算相关数据!A:N,5,0)/(VLOOKUP(U840,模板计算相关数据!A:N,5,0)+(VLOOKUP(U840,模板计算相关数据!A:N,2,0)+模板计算相关数据!$AC$27)*模板计算相关数据!$AC$28))/S840*AA840)</f>
        <v>67</v>
      </c>
      <c r="AL840" s="3">
        <f>INT(VLOOKUP(U840,模板计算相关数据!A:N,5,0)*VLOOKUP(X840,模板计算相关数据!$P$4:$T$7,4,0)*VLOOKUP(Y840,模板计算相关数据!$P$22:$U$30,4,0)*AB840)</f>
        <v>277</v>
      </c>
      <c r="AM840" s="3">
        <f>INT(VLOOKUP(U840,模板计算相关数据!A:N,6,0)*VLOOKUP(X840,模板计算相关数据!$P$4:$T$7,4,0)*VLOOKUP(Y840,模板计算相关数据!$P$22:$U$30,5,0)*AC840)</f>
        <v>153</v>
      </c>
      <c r="AN840" s="3">
        <f>VLOOKUP(U840,模板计算相关数据!A:N,10,0)*0.5*VLOOKUP(Y840,模板计算相关数据!$P$22:$U$30,6,0)+AD840</f>
        <v>225</v>
      </c>
      <c r="AO840" s="3">
        <f>VLOOKUP(INT(VLOOKUP(U840,模板计算相关数据!A:N,2,0)/30)+1,模板计算相关数据!$O$35:$U$40,3,0)+AE840</f>
        <v>0</v>
      </c>
      <c r="AP840" s="3">
        <f>VLOOKUP(INT(VLOOKUP(U840,模板计算相关数据!A:N,2,0)/30)+1,模板计算相关数据!$O$35:$U$40,4,0)+AF840</f>
        <v>5000</v>
      </c>
      <c r="AQ840" s="3">
        <f>VLOOKUP(INT(VLOOKUP(U840,模板计算相关数据!A:N,2,0)/30)+1,模板计算相关数据!$O$35:$U$40,5,0)+AG840</f>
        <v>0</v>
      </c>
      <c r="AR840" s="3">
        <f>VLOOKUP(INT(VLOOKUP(U840,模板计算相关数据!A:N,2,0)/30)+1,模板计算相关数据!$O$35:$U$40,6,0)+AH840</f>
        <v>0</v>
      </c>
      <c r="AS840" s="3">
        <f>VLOOKUP(INT(VLOOKUP(U840,模板计算相关数据!A:N,2,0)/30)+1,模板计算相关数据!$O$35:$U$40,7,0)+AI840</f>
        <v>0</v>
      </c>
      <c r="AT840" s="3">
        <f>VLOOKUP(INT(VLOOKUP(U840,模板计算相关数据!A:N,2,0)/30)+1,模板计算相关数据!$O$35:$V$40,8,0)</f>
        <v>0</v>
      </c>
      <c r="AU840" s="2"/>
    </row>
    <row r="841" spans="1:47" x14ac:dyDescent="0.2">
      <c r="A841" s="17">
        <v>307355</v>
      </c>
      <c r="B841" s="17"/>
      <c r="C841" s="17" t="s">
        <v>633</v>
      </c>
      <c r="D841" s="25" t="s">
        <v>1321</v>
      </c>
      <c r="E841" s="17"/>
      <c r="F841" s="152">
        <v>3</v>
      </c>
      <c r="G841" s="152">
        <v>101</v>
      </c>
      <c r="H841" s="43">
        <v>5</v>
      </c>
      <c r="I841" s="152">
        <v>5</v>
      </c>
      <c r="J841" s="152">
        <v>1</v>
      </c>
      <c r="K841" s="3"/>
      <c r="L841" s="2" t="s">
        <v>634</v>
      </c>
      <c r="M841" s="2"/>
      <c r="N841" s="2">
        <v>1</v>
      </c>
      <c r="O841" s="2"/>
      <c r="P841" s="3" t="s">
        <v>1615</v>
      </c>
      <c r="Q841" s="95">
        <f t="shared" si="73"/>
        <v>5.7709803921568623</v>
      </c>
      <c r="R841" s="133">
        <f>IF(P841=模板计算相关数据!$AB$24,VLOOKUP(X841,模板计算相关数据!$P$47:$T$50,2,0),VLOOKUP(X841,模板计算相关数据!$P$4:$U$7,3,0))*VLOOKUP(Y841,模板计算相关数据!$P$22:$X$30,8,0)</f>
        <v>5.7709803921568623</v>
      </c>
      <c r="S841" s="62">
        <f t="shared" si="74"/>
        <v>6.4077918749199023</v>
      </c>
      <c r="T841" s="133">
        <f>IF(P841=模板计算相关数据!$AB$24,VLOOKUP(X841,模板计算相关数据!$P$47:$T$50,5,0),VLOOKUP(X841,模板计算相关数据!$P$4:$U$7,6,0))*VLOOKUP(Y841,模板计算相关数据!$P$22:$X$30,9,0)</f>
        <v>6.4077918749199023</v>
      </c>
      <c r="U841" s="98">
        <v>1</v>
      </c>
      <c r="V841" s="95">
        <f t="shared" si="75"/>
        <v>4</v>
      </c>
      <c r="W841" s="29">
        <f>VLOOKUP(U841,模板计算相关数据!A:N,2,0)</f>
        <v>1</v>
      </c>
      <c r="X841" s="3" t="s">
        <v>151</v>
      </c>
      <c r="Y841" s="3" t="s">
        <v>243</v>
      </c>
      <c r="Z841" s="99">
        <v>1</v>
      </c>
      <c r="AA841" s="95">
        <v>1</v>
      </c>
      <c r="AB841" s="95">
        <v>1</v>
      </c>
      <c r="AC841" s="95">
        <v>1</v>
      </c>
      <c r="AD841" s="95">
        <v>0</v>
      </c>
      <c r="AE841" s="95">
        <v>0</v>
      </c>
      <c r="AF841" s="95">
        <v>0</v>
      </c>
      <c r="AG841" s="95">
        <v>0</v>
      </c>
      <c r="AH841" s="95">
        <v>0</v>
      </c>
      <c r="AI841" s="95">
        <v>0</v>
      </c>
      <c r="AJ841" s="3">
        <f>INT(VLOOKUP(U841,模板计算相关数据!A:N,4,0)*VLOOKUP(U841,模板计算相关数据!A:N,14,0)*(1+MAX(0,(VLOOKUP(U841,模板计算相关数据!A:N,7,0)-AQ841))*VLOOKUP(U841,模板计算相关数据!A:N,8,0))*(1-(AL841+AM841)*0.5/((AL841+AM841)*0.5+(VLOOKUP(U841,模板计算相关数据!A:N,2,0)+模板计算相关数据!$AC$27)*模板计算相关数据!$AC$28))*Q841*Z841)</f>
        <v>411</v>
      </c>
      <c r="AK841" s="3">
        <f>INT(VLOOKUP(U841,模板计算相关数据!A:N,3,0)/模板计算相关数据!$W$35/(1+MAX(0,(AO841/10000-VLOOKUP(U841,模板计算相关数据!A:N,9,0)))*AP841/10000)/(1-VLOOKUP(U841,模板计算相关数据!A:N,5,0)/(VLOOKUP(U841,模板计算相关数据!A:N,5,0)+(VLOOKUP(U841,模板计算相关数据!A:N,2,0)+模板计算相关数据!$AC$27)*模板计算相关数据!$AC$28))/S841*AA841)</f>
        <v>86</v>
      </c>
      <c r="AL841" s="3">
        <f>INT(VLOOKUP(U841,模板计算相关数据!A:N,5,0)*VLOOKUP(X841,模板计算相关数据!$P$4:$T$7,4,0)*VLOOKUP(Y841,模板计算相关数据!$P$22:$U$30,4,0)*AB841)</f>
        <v>145</v>
      </c>
      <c r="AM841" s="3">
        <f>INT(VLOOKUP(U841,模板计算相关数据!A:N,6,0)*VLOOKUP(X841,模板计算相关数据!$P$4:$T$7,4,0)*VLOOKUP(Y841,模板计算相关数据!$P$22:$U$30,5,0)*AC841)</f>
        <v>264</v>
      </c>
      <c r="AN841" s="3">
        <f>VLOOKUP(U841,模板计算相关数据!A:N,10,0)*0.5*VLOOKUP(Y841,模板计算相关数据!$P$22:$U$30,6,0)+AD841</f>
        <v>275</v>
      </c>
      <c r="AO841" s="3">
        <f>VLOOKUP(INT(VLOOKUP(U841,模板计算相关数据!A:N,2,0)/30)+1,模板计算相关数据!$O$35:$U$40,3,0)+AE841</f>
        <v>0</v>
      </c>
      <c r="AP841" s="3">
        <f>VLOOKUP(INT(VLOOKUP(U841,模板计算相关数据!A:N,2,0)/30)+1,模板计算相关数据!$O$35:$U$40,4,0)+AF841</f>
        <v>5000</v>
      </c>
      <c r="AQ841" s="3">
        <f>VLOOKUP(INT(VLOOKUP(U841,模板计算相关数据!A:N,2,0)/30)+1,模板计算相关数据!$O$35:$U$40,5,0)+AG841</f>
        <v>0</v>
      </c>
      <c r="AR841" s="3">
        <f>VLOOKUP(INT(VLOOKUP(U841,模板计算相关数据!A:N,2,0)/30)+1,模板计算相关数据!$O$35:$U$40,6,0)+AH841</f>
        <v>0</v>
      </c>
      <c r="AS841" s="3">
        <f>VLOOKUP(INT(VLOOKUP(U841,模板计算相关数据!A:N,2,0)/30)+1,模板计算相关数据!$O$35:$U$40,7,0)+AI841</f>
        <v>0</v>
      </c>
      <c r="AT841" s="3">
        <f>VLOOKUP(INT(VLOOKUP(U841,模板计算相关数据!A:N,2,0)/30)+1,模板计算相关数据!$O$35:$V$40,8,0)</f>
        <v>0</v>
      </c>
      <c r="AU841" s="2"/>
    </row>
    <row r="842" spans="1:47" x14ac:dyDescent="0.2">
      <c r="A842" s="2">
        <v>307356</v>
      </c>
      <c r="B842" s="2"/>
      <c r="C842" s="2" t="s">
        <v>326</v>
      </c>
      <c r="D842" s="69" t="s">
        <v>1322</v>
      </c>
      <c r="E842" s="2"/>
      <c r="F842" s="127">
        <v>3</v>
      </c>
      <c r="G842" s="127">
        <v>101</v>
      </c>
      <c r="H842" s="3">
        <v>5</v>
      </c>
      <c r="I842" s="127">
        <v>5</v>
      </c>
      <c r="J842" s="127">
        <v>1</v>
      </c>
      <c r="K842" s="3"/>
      <c r="L842" s="2" t="s">
        <v>635</v>
      </c>
      <c r="M842" s="2"/>
      <c r="N842" s="2">
        <v>1</v>
      </c>
      <c r="O842" s="2"/>
      <c r="P842" s="3" t="s">
        <v>1615</v>
      </c>
      <c r="Q842" s="95">
        <f t="shared" si="73"/>
        <v>5.7709803921568623</v>
      </c>
      <c r="R842" s="133">
        <f>IF(P842=模板计算相关数据!$AB$24,VLOOKUP(X842,模板计算相关数据!$P$47:$T$50,2,0),VLOOKUP(X842,模板计算相关数据!$P$4:$U$7,3,0))*VLOOKUP(Y842,模板计算相关数据!$P$22:$X$30,8,0)</f>
        <v>5.7709803921568623</v>
      </c>
      <c r="S842" s="62">
        <f t="shared" si="74"/>
        <v>6.4077918749199023</v>
      </c>
      <c r="T842" s="133">
        <f>IF(P842=模板计算相关数据!$AB$24,VLOOKUP(X842,模板计算相关数据!$P$47:$T$50,5,0),VLOOKUP(X842,模板计算相关数据!$P$4:$U$7,6,0))*VLOOKUP(Y842,模板计算相关数据!$P$22:$X$30,9,0)</f>
        <v>6.4077918749199023</v>
      </c>
      <c r="U842" s="98">
        <v>1</v>
      </c>
      <c r="V842" s="95">
        <f t="shared" si="75"/>
        <v>4</v>
      </c>
      <c r="W842" s="29">
        <f>VLOOKUP(U842,模板计算相关数据!A:N,2,0)</f>
        <v>1</v>
      </c>
      <c r="X842" s="3" t="s">
        <v>151</v>
      </c>
      <c r="Y842" s="3" t="s">
        <v>243</v>
      </c>
      <c r="Z842" s="99">
        <v>1</v>
      </c>
      <c r="AA842" s="95">
        <v>1</v>
      </c>
      <c r="AB842" s="95">
        <v>1</v>
      </c>
      <c r="AC842" s="95">
        <v>1</v>
      </c>
      <c r="AD842" s="95">
        <v>0</v>
      </c>
      <c r="AE842" s="95">
        <v>0</v>
      </c>
      <c r="AF842" s="95">
        <v>0</v>
      </c>
      <c r="AG842" s="95">
        <v>0</v>
      </c>
      <c r="AH842" s="95">
        <v>0</v>
      </c>
      <c r="AI842" s="95">
        <v>0</v>
      </c>
      <c r="AJ842" s="3">
        <f>INT(VLOOKUP(U842,模板计算相关数据!A:N,4,0)*VLOOKUP(U842,模板计算相关数据!A:N,14,0)*(1+MAX(0,(VLOOKUP(U842,模板计算相关数据!A:N,7,0)-AQ842))*VLOOKUP(U842,模板计算相关数据!A:N,8,0))*(1-(AL842+AM842)*0.5/((AL842+AM842)*0.5+(VLOOKUP(U842,模板计算相关数据!A:N,2,0)+模板计算相关数据!$AC$27)*模板计算相关数据!$AC$28))*Q842*Z842)</f>
        <v>411</v>
      </c>
      <c r="AK842" s="3">
        <f>INT(VLOOKUP(U842,模板计算相关数据!A:N,3,0)/模板计算相关数据!$W$35/(1+MAX(0,(AO842/10000-VLOOKUP(U842,模板计算相关数据!A:N,9,0)))*AP842/10000)/(1-VLOOKUP(U842,模板计算相关数据!A:N,5,0)/(VLOOKUP(U842,模板计算相关数据!A:N,5,0)+(VLOOKUP(U842,模板计算相关数据!A:N,2,0)+模板计算相关数据!$AC$27)*模板计算相关数据!$AC$28))/S842*AA842)</f>
        <v>86</v>
      </c>
      <c r="AL842" s="3">
        <f>INT(VLOOKUP(U842,模板计算相关数据!A:N,5,0)*VLOOKUP(X842,模板计算相关数据!$P$4:$T$7,4,0)*VLOOKUP(Y842,模板计算相关数据!$P$22:$U$30,4,0)*AB842)</f>
        <v>145</v>
      </c>
      <c r="AM842" s="3">
        <f>INT(VLOOKUP(U842,模板计算相关数据!A:N,6,0)*VLOOKUP(X842,模板计算相关数据!$P$4:$T$7,4,0)*VLOOKUP(Y842,模板计算相关数据!$P$22:$U$30,5,0)*AC842)</f>
        <v>264</v>
      </c>
      <c r="AN842" s="3">
        <f>VLOOKUP(U842,模板计算相关数据!A:N,10,0)*0.5*VLOOKUP(Y842,模板计算相关数据!$P$22:$U$30,6,0)+AD842</f>
        <v>275</v>
      </c>
      <c r="AO842" s="3">
        <f>VLOOKUP(INT(VLOOKUP(U842,模板计算相关数据!A:N,2,0)/30)+1,模板计算相关数据!$O$35:$U$40,3,0)+AE842</f>
        <v>0</v>
      </c>
      <c r="AP842" s="3">
        <f>VLOOKUP(INT(VLOOKUP(U842,模板计算相关数据!A:N,2,0)/30)+1,模板计算相关数据!$O$35:$U$40,4,0)+AF842</f>
        <v>5000</v>
      </c>
      <c r="AQ842" s="3">
        <f>VLOOKUP(INT(VLOOKUP(U842,模板计算相关数据!A:N,2,0)/30)+1,模板计算相关数据!$O$35:$U$40,5,0)+AG842</f>
        <v>0</v>
      </c>
      <c r="AR842" s="3">
        <f>VLOOKUP(INT(VLOOKUP(U842,模板计算相关数据!A:N,2,0)/30)+1,模板计算相关数据!$O$35:$U$40,6,0)+AH842</f>
        <v>0</v>
      </c>
      <c r="AS842" s="3">
        <f>VLOOKUP(INT(VLOOKUP(U842,模板计算相关数据!A:N,2,0)/30)+1,模板计算相关数据!$O$35:$U$40,7,0)+AI842</f>
        <v>0</v>
      </c>
      <c r="AT842" s="3">
        <f>VLOOKUP(INT(VLOOKUP(U842,模板计算相关数据!A:N,2,0)/30)+1,模板计算相关数据!$O$35:$V$40,8,0)</f>
        <v>0</v>
      </c>
      <c r="AU842" s="2"/>
    </row>
    <row r="843" spans="1:47" x14ac:dyDescent="0.2">
      <c r="A843" s="2">
        <v>307357</v>
      </c>
      <c r="B843" s="2"/>
      <c r="C843" s="2" t="s">
        <v>326</v>
      </c>
      <c r="D843" s="69" t="s">
        <v>1323</v>
      </c>
      <c r="E843" s="2"/>
      <c r="F843" s="127">
        <v>3</v>
      </c>
      <c r="G843" s="127">
        <v>101</v>
      </c>
      <c r="H843" s="3">
        <v>5</v>
      </c>
      <c r="I843" s="127">
        <v>5</v>
      </c>
      <c r="J843" s="127">
        <v>1</v>
      </c>
      <c r="K843" s="3"/>
      <c r="L843" s="2" t="s">
        <v>636</v>
      </c>
      <c r="M843" s="2"/>
      <c r="N843" s="2">
        <v>1</v>
      </c>
      <c r="O843" s="2"/>
      <c r="P843" s="3" t="s">
        <v>1615</v>
      </c>
      <c r="Q843" s="95">
        <f t="shared" si="73"/>
        <v>5.7709803921568623</v>
      </c>
      <c r="R843" s="133">
        <f>IF(P843=模板计算相关数据!$AB$24,VLOOKUP(X843,模板计算相关数据!$P$47:$T$50,2,0),VLOOKUP(X843,模板计算相关数据!$P$4:$U$7,3,0))*VLOOKUP(Y843,模板计算相关数据!$P$22:$X$30,8,0)</f>
        <v>5.7709803921568623</v>
      </c>
      <c r="S843" s="62">
        <f t="shared" si="74"/>
        <v>6.4077918749199023</v>
      </c>
      <c r="T843" s="133">
        <f>IF(P843=模板计算相关数据!$AB$24,VLOOKUP(X843,模板计算相关数据!$P$47:$T$50,5,0),VLOOKUP(X843,模板计算相关数据!$P$4:$U$7,6,0))*VLOOKUP(Y843,模板计算相关数据!$P$22:$X$30,9,0)</f>
        <v>6.4077918749199023</v>
      </c>
      <c r="U843" s="98">
        <v>1</v>
      </c>
      <c r="V843" s="95">
        <f t="shared" si="75"/>
        <v>4</v>
      </c>
      <c r="W843" s="29">
        <f>VLOOKUP(U843,模板计算相关数据!A:N,2,0)</f>
        <v>1</v>
      </c>
      <c r="X843" s="3" t="s">
        <v>151</v>
      </c>
      <c r="Y843" s="3" t="s">
        <v>243</v>
      </c>
      <c r="Z843" s="99">
        <v>1</v>
      </c>
      <c r="AA843" s="95">
        <v>1</v>
      </c>
      <c r="AB843" s="95">
        <v>1</v>
      </c>
      <c r="AC843" s="95">
        <v>1</v>
      </c>
      <c r="AD843" s="95">
        <v>0</v>
      </c>
      <c r="AE843" s="95">
        <v>0</v>
      </c>
      <c r="AF843" s="95">
        <v>0</v>
      </c>
      <c r="AG843" s="95">
        <v>0</v>
      </c>
      <c r="AH843" s="95">
        <v>0</v>
      </c>
      <c r="AI843" s="95">
        <v>0</v>
      </c>
      <c r="AJ843" s="3">
        <f>INT(VLOOKUP(U843,模板计算相关数据!A:N,4,0)*VLOOKUP(U843,模板计算相关数据!A:N,14,0)*(1+MAX(0,(VLOOKUP(U843,模板计算相关数据!A:N,7,0)-AQ843))*VLOOKUP(U843,模板计算相关数据!A:N,8,0))*(1-(AL843+AM843)*0.5/((AL843+AM843)*0.5+(VLOOKUP(U843,模板计算相关数据!A:N,2,0)+模板计算相关数据!$AC$27)*模板计算相关数据!$AC$28))*Q843*Z843)</f>
        <v>411</v>
      </c>
      <c r="AK843" s="3">
        <f>INT(VLOOKUP(U843,模板计算相关数据!A:N,3,0)/模板计算相关数据!$W$35/(1+MAX(0,(AO843/10000-VLOOKUP(U843,模板计算相关数据!A:N,9,0)))*AP843/10000)/(1-VLOOKUP(U843,模板计算相关数据!A:N,5,0)/(VLOOKUP(U843,模板计算相关数据!A:N,5,0)+(VLOOKUP(U843,模板计算相关数据!A:N,2,0)+模板计算相关数据!$AC$27)*模板计算相关数据!$AC$28))/S843*AA843)</f>
        <v>86</v>
      </c>
      <c r="AL843" s="3">
        <f>INT(VLOOKUP(U843,模板计算相关数据!A:N,5,0)*VLOOKUP(X843,模板计算相关数据!$P$4:$T$7,4,0)*VLOOKUP(Y843,模板计算相关数据!$P$22:$U$30,4,0)*AB843)</f>
        <v>145</v>
      </c>
      <c r="AM843" s="3">
        <f>INT(VLOOKUP(U843,模板计算相关数据!A:N,6,0)*VLOOKUP(X843,模板计算相关数据!$P$4:$T$7,4,0)*VLOOKUP(Y843,模板计算相关数据!$P$22:$U$30,5,0)*AC843)</f>
        <v>264</v>
      </c>
      <c r="AN843" s="3">
        <f>VLOOKUP(U843,模板计算相关数据!A:N,10,0)*0.5*VLOOKUP(Y843,模板计算相关数据!$P$22:$U$30,6,0)+AD843</f>
        <v>275</v>
      </c>
      <c r="AO843" s="3">
        <f>VLOOKUP(INT(VLOOKUP(U843,模板计算相关数据!A:N,2,0)/30)+1,模板计算相关数据!$O$35:$U$40,3,0)+AE843</f>
        <v>0</v>
      </c>
      <c r="AP843" s="3">
        <f>VLOOKUP(INT(VLOOKUP(U843,模板计算相关数据!A:N,2,0)/30)+1,模板计算相关数据!$O$35:$U$40,4,0)+AF843</f>
        <v>5000</v>
      </c>
      <c r="AQ843" s="3">
        <f>VLOOKUP(INT(VLOOKUP(U843,模板计算相关数据!A:N,2,0)/30)+1,模板计算相关数据!$O$35:$U$40,5,0)+AG843</f>
        <v>0</v>
      </c>
      <c r="AR843" s="3">
        <f>VLOOKUP(INT(VLOOKUP(U843,模板计算相关数据!A:N,2,0)/30)+1,模板计算相关数据!$O$35:$U$40,6,0)+AH843</f>
        <v>0</v>
      </c>
      <c r="AS843" s="3">
        <f>VLOOKUP(INT(VLOOKUP(U843,模板计算相关数据!A:N,2,0)/30)+1,模板计算相关数据!$O$35:$U$40,7,0)+AI843</f>
        <v>0</v>
      </c>
      <c r="AT843" s="3">
        <f>VLOOKUP(INT(VLOOKUP(U843,模板计算相关数据!A:N,2,0)/30)+1,模板计算相关数据!$O$35:$V$40,8,0)</f>
        <v>0</v>
      </c>
      <c r="AU843" s="2"/>
    </row>
    <row r="844" spans="1:47" x14ac:dyDescent="0.2">
      <c r="A844" s="2">
        <v>307358</v>
      </c>
      <c r="B844" s="2"/>
      <c r="C844" s="2" t="s">
        <v>637</v>
      </c>
      <c r="D844" s="2" t="s">
        <v>1324</v>
      </c>
      <c r="E844" s="2"/>
      <c r="F844" s="127">
        <v>3</v>
      </c>
      <c r="G844" s="127">
        <v>101</v>
      </c>
      <c r="H844" s="3">
        <v>1</v>
      </c>
      <c r="I844" s="127">
        <v>5</v>
      </c>
      <c r="J844" s="127">
        <v>1</v>
      </c>
      <c r="K844" s="3"/>
      <c r="L844" s="2" t="s">
        <v>638</v>
      </c>
      <c r="M844" s="2"/>
      <c r="N844" s="2">
        <v>1</v>
      </c>
      <c r="O844" s="2"/>
      <c r="P844" s="3" t="s">
        <v>1615</v>
      </c>
      <c r="Q844" s="95">
        <f t="shared" si="73"/>
        <v>4.417254901960785</v>
      </c>
      <c r="R844" s="133">
        <f>IF(P844=模板计算相关数据!$AB$24,VLOOKUP(X844,模板计算相关数据!$P$47:$T$50,2,0),VLOOKUP(X844,模板计算相关数据!$P$4:$U$7,3,0))*VLOOKUP(Y844,模板计算相关数据!$P$22:$X$30,8,0)</f>
        <v>4.417254901960785</v>
      </c>
      <c r="S844" s="62">
        <f t="shared" si="74"/>
        <v>5.4285280003474252</v>
      </c>
      <c r="T844" s="133">
        <f>IF(P844=模板计算相关数据!$AB$24,VLOOKUP(X844,模板计算相关数据!$P$47:$T$50,5,0),VLOOKUP(X844,模板计算相关数据!$P$4:$U$7,6,0))*VLOOKUP(Y844,模板计算相关数据!$P$22:$X$30,9,0)</f>
        <v>5.4285280003474252</v>
      </c>
      <c r="U844" s="98">
        <v>1</v>
      </c>
      <c r="V844" s="95">
        <f t="shared" si="75"/>
        <v>4</v>
      </c>
      <c r="W844" s="29">
        <f>VLOOKUP(U844,模板计算相关数据!A:N,2,0)</f>
        <v>1</v>
      </c>
      <c r="X844" s="3" t="s">
        <v>151</v>
      </c>
      <c r="Y844" s="3" t="s">
        <v>152</v>
      </c>
      <c r="Z844" s="99">
        <v>1</v>
      </c>
      <c r="AA844" s="95">
        <v>1</v>
      </c>
      <c r="AB844" s="95">
        <v>1</v>
      </c>
      <c r="AC844" s="95">
        <v>1</v>
      </c>
      <c r="AD844" s="95">
        <v>0</v>
      </c>
      <c r="AE844" s="95">
        <v>0</v>
      </c>
      <c r="AF844" s="95">
        <v>0</v>
      </c>
      <c r="AG844" s="95">
        <v>0</v>
      </c>
      <c r="AH844" s="95">
        <v>0</v>
      </c>
      <c r="AI844" s="95">
        <v>0</v>
      </c>
      <c r="AJ844" s="3">
        <f>INT(VLOOKUP(U844,模板计算相关数据!A:N,4,0)*VLOOKUP(U844,模板计算相关数据!A:N,14,0)*(1+MAX(0,(VLOOKUP(U844,模板计算相关数据!A:N,7,0)-AQ844))*VLOOKUP(U844,模板计算相关数据!A:N,8,0))*(1-(AL844+AM844)*0.5/((AL844+AM844)*0.5+(VLOOKUP(U844,模板计算相关数据!A:N,2,0)+模板计算相关数据!$AC$27)*模板计算相关数据!$AC$28))*Q844*Z844)</f>
        <v>325</v>
      </c>
      <c r="AK844" s="3">
        <f>INT(VLOOKUP(U844,模板计算相关数据!A:N,3,0)/模板计算相关数据!$W$35/(1+MAX(0,(AO844/10000-VLOOKUP(U844,模板计算相关数据!A:N,9,0)))*AP844/10000)/(1-VLOOKUP(U844,模板计算相关数据!A:N,5,0)/(VLOOKUP(U844,模板计算相关数据!A:N,5,0)+(VLOOKUP(U844,模板计算相关数据!A:N,2,0)+模板计算相关数据!$AC$27)*模板计算相关数据!$AC$28))/S844*AA844)</f>
        <v>102</v>
      </c>
      <c r="AL844" s="3">
        <f>INT(VLOOKUP(U844,模板计算相关数据!A:N,5,0)*VLOOKUP(X844,模板计算相关数据!$P$4:$T$7,4,0)*VLOOKUP(Y844,模板计算相关数据!$P$22:$U$30,4,0)*AB844)</f>
        <v>230</v>
      </c>
      <c r="AM844" s="3">
        <f>INT(VLOOKUP(U844,模板计算相关数据!A:N,6,0)*VLOOKUP(X844,模板计算相关数据!$P$4:$T$7,4,0)*VLOOKUP(Y844,模板计算相关数据!$P$22:$U$30,5,0)*AC844)</f>
        <v>136</v>
      </c>
      <c r="AN844" s="3">
        <f>VLOOKUP(U844,模板计算相关数据!A:N,10,0)*0.5*VLOOKUP(Y844,模板计算相关数据!$P$22:$U$30,6,0)+AD844</f>
        <v>250</v>
      </c>
      <c r="AO844" s="3">
        <f>VLOOKUP(INT(VLOOKUP(U844,模板计算相关数据!A:N,2,0)/30)+1,模板计算相关数据!$O$35:$U$40,3,0)+AE844</f>
        <v>0</v>
      </c>
      <c r="AP844" s="3">
        <f>VLOOKUP(INT(VLOOKUP(U844,模板计算相关数据!A:N,2,0)/30)+1,模板计算相关数据!$O$35:$U$40,4,0)+AF844</f>
        <v>5000</v>
      </c>
      <c r="AQ844" s="3">
        <f>VLOOKUP(INT(VLOOKUP(U844,模板计算相关数据!A:N,2,0)/30)+1,模板计算相关数据!$O$35:$U$40,5,0)+AG844</f>
        <v>0</v>
      </c>
      <c r="AR844" s="3">
        <f>VLOOKUP(INT(VLOOKUP(U844,模板计算相关数据!A:N,2,0)/30)+1,模板计算相关数据!$O$35:$U$40,6,0)+AH844</f>
        <v>0</v>
      </c>
      <c r="AS844" s="3">
        <f>VLOOKUP(INT(VLOOKUP(U844,模板计算相关数据!A:N,2,0)/30)+1,模板计算相关数据!$O$35:$U$40,7,0)+AI844</f>
        <v>0</v>
      </c>
      <c r="AT844" s="3">
        <f>VLOOKUP(INT(VLOOKUP(U844,模板计算相关数据!A:N,2,0)/30)+1,模板计算相关数据!$O$35:$V$40,8,0)</f>
        <v>0</v>
      </c>
      <c r="AU844" s="2"/>
    </row>
    <row r="845" spans="1:47" x14ac:dyDescent="0.2">
      <c r="A845" s="2">
        <v>307359</v>
      </c>
      <c r="B845" s="2"/>
      <c r="C845" s="2" t="s">
        <v>637</v>
      </c>
      <c r="D845" s="2" t="s">
        <v>1325</v>
      </c>
      <c r="E845" s="2"/>
      <c r="F845" s="127">
        <v>3</v>
      </c>
      <c r="G845" s="127">
        <v>101</v>
      </c>
      <c r="H845" s="3">
        <v>1</v>
      </c>
      <c r="I845" s="127">
        <v>5</v>
      </c>
      <c r="J845" s="127">
        <v>1</v>
      </c>
      <c r="K845" s="3"/>
      <c r="L845" s="2" t="s">
        <v>639</v>
      </c>
      <c r="M845" s="2"/>
      <c r="N845" s="2">
        <v>1</v>
      </c>
      <c r="O845" s="2"/>
      <c r="P845" s="3" t="s">
        <v>1615</v>
      </c>
      <c r="Q845" s="95">
        <f t="shared" si="73"/>
        <v>4.417254901960785</v>
      </c>
      <c r="R845" s="133">
        <f>IF(P845=模板计算相关数据!$AB$24,VLOOKUP(X845,模板计算相关数据!$P$47:$T$50,2,0),VLOOKUP(X845,模板计算相关数据!$P$4:$U$7,3,0))*VLOOKUP(Y845,模板计算相关数据!$P$22:$X$30,8,0)</f>
        <v>4.417254901960785</v>
      </c>
      <c r="S845" s="62">
        <f t="shared" si="74"/>
        <v>5.4285280003474252</v>
      </c>
      <c r="T845" s="133">
        <f>IF(P845=模板计算相关数据!$AB$24,VLOOKUP(X845,模板计算相关数据!$P$47:$T$50,5,0),VLOOKUP(X845,模板计算相关数据!$P$4:$U$7,6,0))*VLOOKUP(Y845,模板计算相关数据!$P$22:$X$30,9,0)</f>
        <v>5.4285280003474252</v>
      </c>
      <c r="U845" s="98">
        <v>1</v>
      </c>
      <c r="V845" s="95">
        <f t="shared" si="75"/>
        <v>4</v>
      </c>
      <c r="W845" s="29">
        <f>VLOOKUP(U845,模板计算相关数据!A:N,2,0)</f>
        <v>1</v>
      </c>
      <c r="X845" s="3" t="s">
        <v>151</v>
      </c>
      <c r="Y845" s="3" t="s">
        <v>152</v>
      </c>
      <c r="Z845" s="99">
        <v>1</v>
      </c>
      <c r="AA845" s="95">
        <v>1</v>
      </c>
      <c r="AB845" s="95">
        <v>1</v>
      </c>
      <c r="AC845" s="95">
        <v>1</v>
      </c>
      <c r="AD845" s="95">
        <v>0</v>
      </c>
      <c r="AE845" s="95">
        <v>0</v>
      </c>
      <c r="AF845" s="95">
        <v>0</v>
      </c>
      <c r="AG845" s="95">
        <v>0</v>
      </c>
      <c r="AH845" s="95">
        <v>0</v>
      </c>
      <c r="AI845" s="95">
        <v>0</v>
      </c>
      <c r="AJ845" s="3">
        <f>INT(VLOOKUP(U845,模板计算相关数据!A:N,4,0)*VLOOKUP(U845,模板计算相关数据!A:N,14,0)*(1+MAX(0,(VLOOKUP(U845,模板计算相关数据!A:N,7,0)-AQ845))*VLOOKUP(U845,模板计算相关数据!A:N,8,0))*(1-(AL845+AM845)*0.5/((AL845+AM845)*0.5+(VLOOKUP(U845,模板计算相关数据!A:N,2,0)+模板计算相关数据!$AC$27)*模板计算相关数据!$AC$28))*Q845*Z845)</f>
        <v>325</v>
      </c>
      <c r="AK845" s="3">
        <f>INT(VLOOKUP(U845,模板计算相关数据!A:N,3,0)/模板计算相关数据!$W$35/(1+MAX(0,(AO845/10000-VLOOKUP(U845,模板计算相关数据!A:N,9,0)))*AP845/10000)/(1-VLOOKUP(U845,模板计算相关数据!A:N,5,0)/(VLOOKUP(U845,模板计算相关数据!A:N,5,0)+(VLOOKUP(U845,模板计算相关数据!A:N,2,0)+模板计算相关数据!$AC$27)*模板计算相关数据!$AC$28))/S845*AA845)</f>
        <v>102</v>
      </c>
      <c r="AL845" s="3">
        <f>INT(VLOOKUP(U845,模板计算相关数据!A:N,5,0)*VLOOKUP(X845,模板计算相关数据!$P$4:$T$7,4,0)*VLOOKUP(Y845,模板计算相关数据!$P$22:$U$30,4,0)*AB845)</f>
        <v>230</v>
      </c>
      <c r="AM845" s="3">
        <f>INT(VLOOKUP(U845,模板计算相关数据!A:N,6,0)*VLOOKUP(X845,模板计算相关数据!$P$4:$T$7,4,0)*VLOOKUP(Y845,模板计算相关数据!$P$22:$U$30,5,0)*AC845)</f>
        <v>136</v>
      </c>
      <c r="AN845" s="3">
        <f>VLOOKUP(U845,模板计算相关数据!A:N,10,0)*0.5*VLOOKUP(Y845,模板计算相关数据!$P$22:$U$30,6,0)+AD845</f>
        <v>250</v>
      </c>
      <c r="AO845" s="3">
        <f>VLOOKUP(INT(VLOOKUP(U845,模板计算相关数据!A:N,2,0)/30)+1,模板计算相关数据!$O$35:$U$40,3,0)+AE845</f>
        <v>0</v>
      </c>
      <c r="AP845" s="3">
        <f>VLOOKUP(INT(VLOOKUP(U845,模板计算相关数据!A:N,2,0)/30)+1,模板计算相关数据!$O$35:$U$40,4,0)+AF845</f>
        <v>5000</v>
      </c>
      <c r="AQ845" s="3">
        <f>VLOOKUP(INT(VLOOKUP(U845,模板计算相关数据!A:N,2,0)/30)+1,模板计算相关数据!$O$35:$U$40,5,0)+AG845</f>
        <v>0</v>
      </c>
      <c r="AR845" s="3">
        <f>VLOOKUP(INT(VLOOKUP(U845,模板计算相关数据!A:N,2,0)/30)+1,模板计算相关数据!$O$35:$U$40,6,0)+AH845</f>
        <v>0</v>
      </c>
      <c r="AS845" s="3">
        <f>VLOOKUP(INT(VLOOKUP(U845,模板计算相关数据!A:N,2,0)/30)+1,模板计算相关数据!$O$35:$U$40,7,0)+AI845</f>
        <v>0</v>
      </c>
      <c r="AT845" s="3">
        <f>VLOOKUP(INT(VLOOKUP(U845,模板计算相关数据!A:N,2,0)/30)+1,模板计算相关数据!$O$35:$V$40,8,0)</f>
        <v>0</v>
      </c>
      <c r="AU845" s="2"/>
    </row>
    <row r="846" spans="1:47" x14ac:dyDescent="0.2">
      <c r="A846" s="2">
        <v>307360</v>
      </c>
      <c r="B846" s="2"/>
      <c r="C846" s="2" t="s">
        <v>637</v>
      </c>
      <c r="D846" s="2" t="s">
        <v>1323</v>
      </c>
      <c r="E846" s="2"/>
      <c r="F846" s="127">
        <v>3</v>
      </c>
      <c r="G846" s="127">
        <v>101</v>
      </c>
      <c r="H846" s="3">
        <v>1</v>
      </c>
      <c r="I846" s="127">
        <v>5</v>
      </c>
      <c r="J846" s="127">
        <v>1</v>
      </c>
      <c r="K846" s="3"/>
      <c r="L846" s="2" t="s">
        <v>640</v>
      </c>
      <c r="M846" s="2"/>
      <c r="N846" s="2">
        <v>1</v>
      </c>
      <c r="O846" s="2"/>
      <c r="P846" s="3" t="s">
        <v>1615</v>
      </c>
      <c r="Q846" s="95">
        <f t="shared" si="73"/>
        <v>4.417254901960785</v>
      </c>
      <c r="R846" s="133">
        <f>IF(P846=模板计算相关数据!$AB$24,VLOOKUP(X846,模板计算相关数据!$P$47:$T$50,2,0),VLOOKUP(X846,模板计算相关数据!$P$4:$U$7,3,0))*VLOOKUP(Y846,模板计算相关数据!$P$22:$X$30,8,0)</f>
        <v>4.417254901960785</v>
      </c>
      <c r="S846" s="62">
        <f t="shared" si="74"/>
        <v>5.4285280003474252</v>
      </c>
      <c r="T846" s="133">
        <f>IF(P846=模板计算相关数据!$AB$24,VLOOKUP(X846,模板计算相关数据!$P$47:$T$50,5,0),VLOOKUP(X846,模板计算相关数据!$P$4:$U$7,6,0))*VLOOKUP(Y846,模板计算相关数据!$P$22:$X$30,9,0)</f>
        <v>5.4285280003474252</v>
      </c>
      <c r="U846" s="98">
        <v>1</v>
      </c>
      <c r="V846" s="95">
        <f t="shared" si="75"/>
        <v>4</v>
      </c>
      <c r="W846" s="29">
        <f>VLOOKUP(U846,模板计算相关数据!A:N,2,0)</f>
        <v>1</v>
      </c>
      <c r="X846" s="3" t="s">
        <v>151</v>
      </c>
      <c r="Y846" s="3" t="s">
        <v>152</v>
      </c>
      <c r="Z846" s="99">
        <v>1</v>
      </c>
      <c r="AA846" s="95">
        <v>1</v>
      </c>
      <c r="AB846" s="95">
        <v>1</v>
      </c>
      <c r="AC846" s="95">
        <v>1</v>
      </c>
      <c r="AD846" s="95">
        <v>0</v>
      </c>
      <c r="AE846" s="95">
        <v>0</v>
      </c>
      <c r="AF846" s="95">
        <v>0</v>
      </c>
      <c r="AG846" s="95">
        <v>0</v>
      </c>
      <c r="AH846" s="95">
        <v>0</v>
      </c>
      <c r="AI846" s="95">
        <v>0</v>
      </c>
      <c r="AJ846" s="3">
        <f>INT(VLOOKUP(U846,模板计算相关数据!A:N,4,0)*VLOOKUP(U846,模板计算相关数据!A:N,14,0)*(1+MAX(0,(VLOOKUP(U846,模板计算相关数据!A:N,7,0)-AQ846))*VLOOKUP(U846,模板计算相关数据!A:N,8,0))*(1-(AL846+AM846)*0.5/((AL846+AM846)*0.5+(VLOOKUP(U846,模板计算相关数据!A:N,2,0)+模板计算相关数据!$AC$27)*模板计算相关数据!$AC$28))*Q846*Z846)</f>
        <v>325</v>
      </c>
      <c r="AK846" s="3">
        <f>INT(VLOOKUP(U846,模板计算相关数据!A:N,3,0)/模板计算相关数据!$W$35/(1+MAX(0,(AO846/10000-VLOOKUP(U846,模板计算相关数据!A:N,9,0)))*AP846/10000)/(1-VLOOKUP(U846,模板计算相关数据!A:N,5,0)/(VLOOKUP(U846,模板计算相关数据!A:N,5,0)+(VLOOKUP(U846,模板计算相关数据!A:N,2,0)+模板计算相关数据!$AC$27)*模板计算相关数据!$AC$28))/S846*AA846)</f>
        <v>102</v>
      </c>
      <c r="AL846" s="3">
        <f>INT(VLOOKUP(U846,模板计算相关数据!A:N,5,0)*VLOOKUP(X846,模板计算相关数据!$P$4:$T$7,4,0)*VLOOKUP(Y846,模板计算相关数据!$P$22:$U$30,4,0)*AB846)</f>
        <v>230</v>
      </c>
      <c r="AM846" s="3">
        <f>INT(VLOOKUP(U846,模板计算相关数据!A:N,6,0)*VLOOKUP(X846,模板计算相关数据!$P$4:$T$7,4,0)*VLOOKUP(Y846,模板计算相关数据!$P$22:$U$30,5,0)*AC846)</f>
        <v>136</v>
      </c>
      <c r="AN846" s="3">
        <f>VLOOKUP(U846,模板计算相关数据!A:N,10,0)*0.5*VLOOKUP(Y846,模板计算相关数据!$P$22:$U$30,6,0)+AD846</f>
        <v>250</v>
      </c>
      <c r="AO846" s="3">
        <f>VLOOKUP(INT(VLOOKUP(U846,模板计算相关数据!A:N,2,0)/30)+1,模板计算相关数据!$O$35:$U$40,3,0)+AE846</f>
        <v>0</v>
      </c>
      <c r="AP846" s="3">
        <f>VLOOKUP(INT(VLOOKUP(U846,模板计算相关数据!A:N,2,0)/30)+1,模板计算相关数据!$O$35:$U$40,4,0)+AF846</f>
        <v>5000</v>
      </c>
      <c r="AQ846" s="3">
        <f>VLOOKUP(INT(VLOOKUP(U846,模板计算相关数据!A:N,2,0)/30)+1,模板计算相关数据!$O$35:$U$40,5,0)+AG846</f>
        <v>0</v>
      </c>
      <c r="AR846" s="3">
        <f>VLOOKUP(INT(VLOOKUP(U846,模板计算相关数据!A:N,2,0)/30)+1,模板计算相关数据!$O$35:$U$40,6,0)+AH846</f>
        <v>0</v>
      </c>
      <c r="AS846" s="3">
        <f>VLOOKUP(INT(VLOOKUP(U846,模板计算相关数据!A:N,2,0)/30)+1,模板计算相关数据!$O$35:$U$40,7,0)+AI846</f>
        <v>0</v>
      </c>
      <c r="AT846" s="3">
        <f>VLOOKUP(INT(VLOOKUP(U846,模板计算相关数据!A:N,2,0)/30)+1,模板计算相关数据!$O$35:$V$40,8,0)</f>
        <v>0</v>
      </c>
      <c r="AU846" s="2"/>
    </row>
    <row r="847" spans="1:47" x14ac:dyDescent="0.2">
      <c r="A847" s="17">
        <v>307361</v>
      </c>
      <c r="B847" s="17"/>
      <c r="C847" s="25" t="s">
        <v>828</v>
      </c>
      <c r="D847" s="25" t="s">
        <v>1326</v>
      </c>
      <c r="E847" s="17"/>
      <c r="F847" s="152">
        <v>3</v>
      </c>
      <c r="G847" s="152">
        <v>101</v>
      </c>
      <c r="H847" s="43">
        <v>2</v>
      </c>
      <c r="I847" s="152">
        <v>5</v>
      </c>
      <c r="J847" s="152">
        <v>1</v>
      </c>
      <c r="K847" s="3"/>
      <c r="L847" s="69" t="s">
        <v>832</v>
      </c>
      <c r="M847" s="2"/>
      <c r="N847" s="2">
        <v>1</v>
      </c>
      <c r="O847" s="2"/>
      <c r="P847" s="3" t="s">
        <v>1615</v>
      </c>
      <c r="Q847" s="95">
        <f t="shared" si="73"/>
        <v>6.9411764705882364</v>
      </c>
      <c r="R847" s="133">
        <f>IF(P847=模板计算相关数据!$AB$24,VLOOKUP(X847,模板计算相关数据!$P$47:$T$50,2,0),VLOOKUP(X847,模板计算相关数据!$P$4:$U$7,3,0))*VLOOKUP(Y847,模板计算相关数据!$P$22:$X$30,8,0)</f>
        <v>6.9411764705882364</v>
      </c>
      <c r="S847" s="62">
        <f t="shared" si="74"/>
        <v>8.2943498888557112</v>
      </c>
      <c r="T847" s="133">
        <f>IF(P847=模板计算相关数据!$AB$24,VLOOKUP(X847,模板计算相关数据!$P$47:$T$50,5,0),VLOOKUP(X847,模板计算相关数据!$P$4:$U$7,6,0))*VLOOKUP(Y847,模板计算相关数据!$P$22:$X$30,9,0)</f>
        <v>8.2943498888557112</v>
      </c>
      <c r="U847" s="98">
        <v>1</v>
      </c>
      <c r="V847" s="95">
        <f t="shared" si="75"/>
        <v>4</v>
      </c>
      <c r="W847" s="29">
        <f>VLOOKUP(U847,模板计算相关数据!A:N,2,0)</f>
        <v>1</v>
      </c>
      <c r="X847" s="3" t="s">
        <v>151</v>
      </c>
      <c r="Y847" s="3" t="s">
        <v>155</v>
      </c>
      <c r="Z847" s="99">
        <v>1</v>
      </c>
      <c r="AA847" s="95">
        <v>1</v>
      </c>
      <c r="AB847" s="95">
        <v>1</v>
      </c>
      <c r="AC847" s="95">
        <v>1</v>
      </c>
      <c r="AD847" s="95">
        <v>0</v>
      </c>
      <c r="AE847" s="95">
        <v>0</v>
      </c>
      <c r="AF847" s="95">
        <v>0</v>
      </c>
      <c r="AG847" s="95">
        <v>0</v>
      </c>
      <c r="AH847" s="95">
        <v>0</v>
      </c>
      <c r="AI847" s="95">
        <v>0</v>
      </c>
      <c r="AJ847" s="3">
        <f>INT(VLOOKUP(U847,模板计算相关数据!A:N,4,0)*VLOOKUP(U847,模板计算相关数据!A:N,14,0)*(1+MAX(0,(VLOOKUP(U847,模板计算相关数据!A:N,7,0)-AQ847))*VLOOKUP(U847,模板计算相关数据!A:N,8,0))*(1-(AL847+AM847)*0.5/((AL847+AM847)*0.5+(VLOOKUP(U847,模板计算相关数据!A:N,2,0)+模板计算相关数据!$AC$27)*模板计算相关数据!$AC$28))*Q847*Z847)</f>
        <v>487</v>
      </c>
      <c r="AK847" s="3">
        <f>INT(VLOOKUP(U847,模板计算相关数据!A:N,3,0)/模板计算相关数据!$W$35/(1+MAX(0,(AO847/10000-VLOOKUP(U847,模板计算相关数据!A:N,9,0)))*AP847/10000)/(1-VLOOKUP(U847,模板计算相关数据!A:N,5,0)/(VLOOKUP(U847,模板计算相关数据!A:N,5,0)+(VLOOKUP(U847,模板计算相关数据!A:N,2,0)+模板计算相关数据!$AC$27)*模板计算相关数据!$AC$28))/S847*AA847)</f>
        <v>67</v>
      </c>
      <c r="AL847" s="3">
        <f>INT(VLOOKUP(U847,模板计算相关数据!A:N,5,0)*VLOOKUP(X847,模板计算相关数据!$P$4:$T$7,4,0)*VLOOKUP(Y847,模板计算相关数据!$P$22:$U$30,4,0)*AB847)</f>
        <v>277</v>
      </c>
      <c r="AM847" s="3">
        <f>INT(VLOOKUP(U847,模板计算相关数据!A:N,6,0)*VLOOKUP(X847,模板计算相关数据!$P$4:$T$7,4,0)*VLOOKUP(Y847,模板计算相关数据!$P$22:$U$30,5,0)*AC847)</f>
        <v>153</v>
      </c>
      <c r="AN847" s="3">
        <f>VLOOKUP(U847,模板计算相关数据!A:N,10,0)*0.5*VLOOKUP(Y847,模板计算相关数据!$P$22:$U$30,6,0)+AD847</f>
        <v>225</v>
      </c>
      <c r="AO847" s="3">
        <f>VLOOKUP(INT(VLOOKUP(U847,模板计算相关数据!A:N,2,0)/30)+1,模板计算相关数据!$O$35:$U$40,3,0)+AE847</f>
        <v>0</v>
      </c>
      <c r="AP847" s="3">
        <f>VLOOKUP(INT(VLOOKUP(U847,模板计算相关数据!A:N,2,0)/30)+1,模板计算相关数据!$O$35:$U$40,4,0)+AF847</f>
        <v>5000</v>
      </c>
      <c r="AQ847" s="3">
        <f>VLOOKUP(INT(VLOOKUP(U847,模板计算相关数据!A:N,2,0)/30)+1,模板计算相关数据!$O$35:$U$40,5,0)+AG847</f>
        <v>0</v>
      </c>
      <c r="AR847" s="3">
        <f>VLOOKUP(INT(VLOOKUP(U847,模板计算相关数据!A:N,2,0)/30)+1,模板计算相关数据!$O$35:$U$40,6,0)+AH847</f>
        <v>0</v>
      </c>
      <c r="AS847" s="3">
        <f>VLOOKUP(INT(VLOOKUP(U847,模板计算相关数据!A:N,2,0)/30)+1,模板计算相关数据!$O$35:$U$40,7,0)+AI847</f>
        <v>0</v>
      </c>
      <c r="AT847" s="3">
        <f>VLOOKUP(INT(VLOOKUP(U847,模板计算相关数据!A:N,2,0)/30)+1,模板计算相关数据!$O$35:$V$40,8,0)</f>
        <v>0</v>
      </c>
      <c r="AU847" s="2"/>
    </row>
    <row r="848" spans="1:47" x14ac:dyDescent="0.2">
      <c r="A848" s="2">
        <v>307362</v>
      </c>
      <c r="B848" s="2"/>
      <c r="C848" s="2" t="s">
        <v>70</v>
      </c>
      <c r="D848" s="2" t="s">
        <v>1327</v>
      </c>
      <c r="E848" s="2"/>
      <c r="F848" s="127">
        <v>3</v>
      </c>
      <c r="G848" s="127">
        <v>101</v>
      </c>
      <c r="H848" s="3">
        <v>2</v>
      </c>
      <c r="I848" s="127">
        <v>5</v>
      </c>
      <c r="J848" s="127">
        <v>1</v>
      </c>
      <c r="K848" s="3"/>
      <c r="L848" s="69" t="s">
        <v>833</v>
      </c>
      <c r="M848" s="2"/>
      <c r="N848" s="2">
        <v>1</v>
      </c>
      <c r="O848" s="2"/>
      <c r="P848" s="3" t="s">
        <v>1615</v>
      </c>
      <c r="Q848" s="95">
        <f t="shared" si="73"/>
        <v>6.9411764705882364</v>
      </c>
      <c r="R848" s="133">
        <f>IF(P848=模板计算相关数据!$AB$24,VLOOKUP(X848,模板计算相关数据!$P$47:$T$50,2,0),VLOOKUP(X848,模板计算相关数据!$P$4:$U$7,3,0))*VLOOKUP(Y848,模板计算相关数据!$P$22:$X$30,8,0)</f>
        <v>6.9411764705882364</v>
      </c>
      <c r="S848" s="62">
        <f t="shared" si="74"/>
        <v>8.2943498888557112</v>
      </c>
      <c r="T848" s="133">
        <f>IF(P848=模板计算相关数据!$AB$24,VLOOKUP(X848,模板计算相关数据!$P$47:$T$50,5,0),VLOOKUP(X848,模板计算相关数据!$P$4:$U$7,6,0))*VLOOKUP(Y848,模板计算相关数据!$P$22:$X$30,9,0)</f>
        <v>8.2943498888557112</v>
      </c>
      <c r="U848" s="98">
        <v>1</v>
      </c>
      <c r="V848" s="95">
        <f t="shared" si="75"/>
        <v>4</v>
      </c>
      <c r="W848" s="29">
        <f>VLOOKUP(U848,模板计算相关数据!A:N,2,0)</f>
        <v>1</v>
      </c>
      <c r="X848" s="3" t="s">
        <v>151</v>
      </c>
      <c r="Y848" s="3" t="s">
        <v>155</v>
      </c>
      <c r="Z848" s="99">
        <v>1</v>
      </c>
      <c r="AA848" s="95">
        <v>1</v>
      </c>
      <c r="AB848" s="95">
        <v>1</v>
      </c>
      <c r="AC848" s="95">
        <v>1</v>
      </c>
      <c r="AD848" s="95">
        <v>0</v>
      </c>
      <c r="AE848" s="95">
        <v>0</v>
      </c>
      <c r="AF848" s="95">
        <v>0</v>
      </c>
      <c r="AG848" s="95">
        <v>0</v>
      </c>
      <c r="AH848" s="95">
        <v>0</v>
      </c>
      <c r="AI848" s="95">
        <v>0</v>
      </c>
      <c r="AJ848" s="3">
        <f>INT(VLOOKUP(U848,模板计算相关数据!A:N,4,0)*VLOOKUP(U848,模板计算相关数据!A:N,14,0)*(1+MAX(0,(VLOOKUP(U848,模板计算相关数据!A:N,7,0)-AQ848))*VLOOKUP(U848,模板计算相关数据!A:N,8,0))*(1-(AL848+AM848)*0.5/((AL848+AM848)*0.5+(VLOOKUP(U848,模板计算相关数据!A:N,2,0)+模板计算相关数据!$AC$27)*模板计算相关数据!$AC$28))*Q848*Z848)</f>
        <v>487</v>
      </c>
      <c r="AK848" s="3">
        <f>INT(VLOOKUP(U848,模板计算相关数据!A:N,3,0)/模板计算相关数据!$W$35/(1+MAX(0,(AO848/10000-VLOOKUP(U848,模板计算相关数据!A:N,9,0)))*AP848/10000)/(1-VLOOKUP(U848,模板计算相关数据!A:N,5,0)/(VLOOKUP(U848,模板计算相关数据!A:N,5,0)+(VLOOKUP(U848,模板计算相关数据!A:N,2,0)+模板计算相关数据!$AC$27)*模板计算相关数据!$AC$28))/S848*AA848)</f>
        <v>67</v>
      </c>
      <c r="AL848" s="3">
        <f>INT(VLOOKUP(U848,模板计算相关数据!A:N,5,0)*VLOOKUP(X848,模板计算相关数据!$P$4:$T$7,4,0)*VLOOKUP(Y848,模板计算相关数据!$P$22:$U$30,4,0)*AB848)</f>
        <v>277</v>
      </c>
      <c r="AM848" s="3">
        <f>INT(VLOOKUP(U848,模板计算相关数据!A:N,6,0)*VLOOKUP(X848,模板计算相关数据!$P$4:$T$7,4,0)*VLOOKUP(Y848,模板计算相关数据!$P$22:$U$30,5,0)*AC848)</f>
        <v>153</v>
      </c>
      <c r="AN848" s="3">
        <f>VLOOKUP(U848,模板计算相关数据!A:N,10,0)*0.5*VLOOKUP(Y848,模板计算相关数据!$P$22:$U$30,6,0)+AD848</f>
        <v>225</v>
      </c>
      <c r="AO848" s="3">
        <f>VLOOKUP(INT(VLOOKUP(U848,模板计算相关数据!A:N,2,0)/30)+1,模板计算相关数据!$O$35:$U$40,3,0)+AE848</f>
        <v>0</v>
      </c>
      <c r="AP848" s="3">
        <f>VLOOKUP(INT(VLOOKUP(U848,模板计算相关数据!A:N,2,0)/30)+1,模板计算相关数据!$O$35:$U$40,4,0)+AF848</f>
        <v>5000</v>
      </c>
      <c r="AQ848" s="3">
        <f>VLOOKUP(INT(VLOOKUP(U848,模板计算相关数据!A:N,2,0)/30)+1,模板计算相关数据!$O$35:$U$40,5,0)+AG848</f>
        <v>0</v>
      </c>
      <c r="AR848" s="3">
        <f>VLOOKUP(INT(VLOOKUP(U848,模板计算相关数据!A:N,2,0)/30)+1,模板计算相关数据!$O$35:$U$40,6,0)+AH848</f>
        <v>0</v>
      </c>
      <c r="AS848" s="3">
        <f>VLOOKUP(INT(VLOOKUP(U848,模板计算相关数据!A:N,2,0)/30)+1,模板计算相关数据!$O$35:$U$40,7,0)+AI848</f>
        <v>0</v>
      </c>
      <c r="AT848" s="3">
        <f>VLOOKUP(INT(VLOOKUP(U848,模板计算相关数据!A:N,2,0)/30)+1,模板计算相关数据!$O$35:$V$40,8,0)</f>
        <v>0</v>
      </c>
      <c r="AU848" s="2"/>
    </row>
    <row r="849" spans="1:47" x14ac:dyDescent="0.2">
      <c r="A849" s="2">
        <v>307363</v>
      </c>
      <c r="B849" s="2"/>
      <c r="C849" s="2" t="s">
        <v>70</v>
      </c>
      <c r="D849" s="2" t="s">
        <v>1328</v>
      </c>
      <c r="E849" s="2"/>
      <c r="F849" s="127">
        <v>3</v>
      </c>
      <c r="G849" s="127">
        <v>101</v>
      </c>
      <c r="H849" s="3">
        <v>2</v>
      </c>
      <c r="I849" s="127">
        <v>5</v>
      </c>
      <c r="J849" s="127">
        <v>1</v>
      </c>
      <c r="K849" s="3"/>
      <c r="L849" s="69" t="s">
        <v>834</v>
      </c>
      <c r="M849" s="2"/>
      <c r="N849" s="2">
        <v>1</v>
      </c>
      <c r="O849" s="2"/>
      <c r="P849" s="3" t="s">
        <v>1615</v>
      </c>
      <c r="Q849" s="95">
        <f t="shared" si="73"/>
        <v>6.9411764705882364</v>
      </c>
      <c r="R849" s="133">
        <f>IF(P849=模板计算相关数据!$AB$24,VLOOKUP(X849,模板计算相关数据!$P$47:$T$50,2,0),VLOOKUP(X849,模板计算相关数据!$P$4:$U$7,3,0))*VLOOKUP(Y849,模板计算相关数据!$P$22:$X$30,8,0)</f>
        <v>6.9411764705882364</v>
      </c>
      <c r="S849" s="62">
        <f t="shared" si="74"/>
        <v>8.2943498888557112</v>
      </c>
      <c r="T849" s="133">
        <f>IF(P849=模板计算相关数据!$AB$24,VLOOKUP(X849,模板计算相关数据!$P$47:$T$50,5,0),VLOOKUP(X849,模板计算相关数据!$P$4:$U$7,6,0))*VLOOKUP(Y849,模板计算相关数据!$P$22:$X$30,9,0)</f>
        <v>8.2943498888557112</v>
      </c>
      <c r="U849" s="98">
        <v>1</v>
      </c>
      <c r="V849" s="95">
        <f t="shared" si="75"/>
        <v>4</v>
      </c>
      <c r="W849" s="29">
        <f>VLOOKUP(U849,模板计算相关数据!A:N,2,0)</f>
        <v>1</v>
      </c>
      <c r="X849" s="3" t="s">
        <v>151</v>
      </c>
      <c r="Y849" s="3" t="s">
        <v>155</v>
      </c>
      <c r="Z849" s="99">
        <v>1</v>
      </c>
      <c r="AA849" s="95">
        <v>1</v>
      </c>
      <c r="AB849" s="95">
        <v>1</v>
      </c>
      <c r="AC849" s="95">
        <v>1</v>
      </c>
      <c r="AD849" s="95">
        <v>0</v>
      </c>
      <c r="AE849" s="95">
        <v>0</v>
      </c>
      <c r="AF849" s="95">
        <v>0</v>
      </c>
      <c r="AG849" s="95">
        <v>0</v>
      </c>
      <c r="AH849" s="95">
        <v>0</v>
      </c>
      <c r="AI849" s="95">
        <v>0</v>
      </c>
      <c r="AJ849" s="3">
        <f>INT(VLOOKUP(U849,模板计算相关数据!A:N,4,0)*VLOOKUP(U849,模板计算相关数据!A:N,14,0)*(1+MAX(0,(VLOOKUP(U849,模板计算相关数据!A:N,7,0)-AQ849))*VLOOKUP(U849,模板计算相关数据!A:N,8,0))*(1-(AL849+AM849)*0.5/((AL849+AM849)*0.5+(VLOOKUP(U849,模板计算相关数据!A:N,2,0)+模板计算相关数据!$AC$27)*模板计算相关数据!$AC$28))*Q849*Z849)</f>
        <v>487</v>
      </c>
      <c r="AK849" s="3">
        <f>INT(VLOOKUP(U849,模板计算相关数据!A:N,3,0)/模板计算相关数据!$W$35/(1+MAX(0,(AO849/10000-VLOOKUP(U849,模板计算相关数据!A:N,9,0)))*AP849/10000)/(1-VLOOKUP(U849,模板计算相关数据!A:N,5,0)/(VLOOKUP(U849,模板计算相关数据!A:N,5,0)+(VLOOKUP(U849,模板计算相关数据!A:N,2,0)+模板计算相关数据!$AC$27)*模板计算相关数据!$AC$28))/S849*AA849)</f>
        <v>67</v>
      </c>
      <c r="AL849" s="3">
        <f>INT(VLOOKUP(U849,模板计算相关数据!A:N,5,0)*VLOOKUP(X849,模板计算相关数据!$P$4:$T$7,4,0)*VLOOKUP(Y849,模板计算相关数据!$P$22:$U$30,4,0)*AB849)</f>
        <v>277</v>
      </c>
      <c r="AM849" s="3">
        <f>INT(VLOOKUP(U849,模板计算相关数据!A:N,6,0)*VLOOKUP(X849,模板计算相关数据!$P$4:$T$7,4,0)*VLOOKUP(Y849,模板计算相关数据!$P$22:$U$30,5,0)*AC849)</f>
        <v>153</v>
      </c>
      <c r="AN849" s="3">
        <f>VLOOKUP(U849,模板计算相关数据!A:N,10,0)*0.5*VLOOKUP(Y849,模板计算相关数据!$P$22:$U$30,6,0)+AD849</f>
        <v>225</v>
      </c>
      <c r="AO849" s="3">
        <f>VLOOKUP(INT(VLOOKUP(U849,模板计算相关数据!A:N,2,0)/30)+1,模板计算相关数据!$O$35:$U$40,3,0)+AE849</f>
        <v>0</v>
      </c>
      <c r="AP849" s="3">
        <f>VLOOKUP(INT(VLOOKUP(U849,模板计算相关数据!A:N,2,0)/30)+1,模板计算相关数据!$O$35:$U$40,4,0)+AF849</f>
        <v>5000</v>
      </c>
      <c r="AQ849" s="3">
        <f>VLOOKUP(INT(VLOOKUP(U849,模板计算相关数据!A:N,2,0)/30)+1,模板计算相关数据!$O$35:$U$40,5,0)+AG849</f>
        <v>0</v>
      </c>
      <c r="AR849" s="3">
        <f>VLOOKUP(INT(VLOOKUP(U849,模板计算相关数据!A:N,2,0)/30)+1,模板计算相关数据!$O$35:$U$40,6,0)+AH849</f>
        <v>0</v>
      </c>
      <c r="AS849" s="3">
        <f>VLOOKUP(INT(VLOOKUP(U849,模板计算相关数据!A:N,2,0)/30)+1,模板计算相关数据!$O$35:$U$40,7,0)+AI849</f>
        <v>0</v>
      </c>
      <c r="AT849" s="3">
        <f>VLOOKUP(INT(VLOOKUP(U849,模板计算相关数据!A:N,2,0)/30)+1,模板计算相关数据!$O$35:$V$40,8,0)</f>
        <v>0</v>
      </c>
      <c r="AU849" s="2"/>
    </row>
    <row r="850" spans="1:47" x14ac:dyDescent="0.2">
      <c r="A850" s="2">
        <v>307364</v>
      </c>
      <c r="B850" s="2"/>
      <c r="C850" s="2" t="s">
        <v>70</v>
      </c>
      <c r="D850" s="2" t="s">
        <v>1329</v>
      </c>
      <c r="E850" s="2"/>
      <c r="F850" s="127">
        <v>3</v>
      </c>
      <c r="G850" s="127">
        <v>101</v>
      </c>
      <c r="H850" s="3">
        <v>2</v>
      </c>
      <c r="I850" s="127">
        <v>5</v>
      </c>
      <c r="J850" s="127">
        <v>1</v>
      </c>
      <c r="K850" s="3"/>
      <c r="L850" s="69" t="s">
        <v>835</v>
      </c>
      <c r="M850" s="2"/>
      <c r="N850" s="2">
        <v>1</v>
      </c>
      <c r="O850" s="2"/>
      <c r="P850" s="3" t="s">
        <v>1615</v>
      </c>
      <c r="Q850" s="95">
        <f t="shared" si="73"/>
        <v>6.9411764705882364</v>
      </c>
      <c r="R850" s="133">
        <f>IF(P850=模板计算相关数据!$AB$24,VLOOKUP(X850,模板计算相关数据!$P$47:$T$50,2,0),VLOOKUP(X850,模板计算相关数据!$P$4:$U$7,3,0))*VLOOKUP(Y850,模板计算相关数据!$P$22:$X$30,8,0)</f>
        <v>6.9411764705882364</v>
      </c>
      <c r="S850" s="62">
        <f t="shared" si="74"/>
        <v>8.2943498888557112</v>
      </c>
      <c r="T850" s="133">
        <f>IF(P850=模板计算相关数据!$AB$24,VLOOKUP(X850,模板计算相关数据!$P$47:$T$50,5,0),VLOOKUP(X850,模板计算相关数据!$P$4:$U$7,6,0))*VLOOKUP(Y850,模板计算相关数据!$P$22:$X$30,9,0)</f>
        <v>8.2943498888557112</v>
      </c>
      <c r="U850" s="98">
        <v>1</v>
      </c>
      <c r="V850" s="95">
        <f t="shared" si="75"/>
        <v>4</v>
      </c>
      <c r="W850" s="29">
        <f>VLOOKUP(U850,模板计算相关数据!A:N,2,0)</f>
        <v>1</v>
      </c>
      <c r="X850" s="3" t="s">
        <v>151</v>
      </c>
      <c r="Y850" s="3" t="s">
        <v>155</v>
      </c>
      <c r="Z850" s="99">
        <v>1</v>
      </c>
      <c r="AA850" s="95">
        <v>1</v>
      </c>
      <c r="AB850" s="95">
        <v>1</v>
      </c>
      <c r="AC850" s="95">
        <v>1</v>
      </c>
      <c r="AD850" s="95">
        <v>0</v>
      </c>
      <c r="AE850" s="95">
        <v>0</v>
      </c>
      <c r="AF850" s="95">
        <v>0</v>
      </c>
      <c r="AG850" s="95">
        <v>0</v>
      </c>
      <c r="AH850" s="95">
        <v>0</v>
      </c>
      <c r="AI850" s="95">
        <v>0</v>
      </c>
      <c r="AJ850" s="3">
        <f>INT(VLOOKUP(U850,模板计算相关数据!A:N,4,0)*VLOOKUP(U850,模板计算相关数据!A:N,14,0)*(1+MAX(0,(VLOOKUP(U850,模板计算相关数据!A:N,7,0)-AQ850))*VLOOKUP(U850,模板计算相关数据!A:N,8,0))*(1-(AL850+AM850)*0.5/((AL850+AM850)*0.5+(VLOOKUP(U850,模板计算相关数据!A:N,2,0)+模板计算相关数据!$AC$27)*模板计算相关数据!$AC$28))*Q850*Z850)</f>
        <v>487</v>
      </c>
      <c r="AK850" s="3">
        <f>INT(VLOOKUP(U850,模板计算相关数据!A:N,3,0)/模板计算相关数据!$W$35/(1+MAX(0,(AO850/10000-VLOOKUP(U850,模板计算相关数据!A:N,9,0)))*AP850/10000)/(1-VLOOKUP(U850,模板计算相关数据!A:N,5,0)/(VLOOKUP(U850,模板计算相关数据!A:N,5,0)+(VLOOKUP(U850,模板计算相关数据!A:N,2,0)+模板计算相关数据!$AC$27)*模板计算相关数据!$AC$28))/S850*AA850)</f>
        <v>67</v>
      </c>
      <c r="AL850" s="3">
        <f>INT(VLOOKUP(U850,模板计算相关数据!A:N,5,0)*VLOOKUP(X850,模板计算相关数据!$P$4:$T$7,4,0)*VLOOKUP(Y850,模板计算相关数据!$P$22:$U$30,4,0)*AB850)</f>
        <v>277</v>
      </c>
      <c r="AM850" s="3">
        <f>INT(VLOOKUP(U850,模板计算相关数据!A:N,6,0)*VLOOKUP(X850,模板计算相关数据!$P$4:$T$7,4,0)*VLOOKUP(Y850,模板计算相关数据!$P$22:$U$30,5,0)*AC850)</f>
        <v>153</v>
      </c>
      <c r="AN850" s="3">
        <f>VLOOKUP(U850,模板计算相关数据!A:N,10,0)*0.5*VLOOKUP(Y850,模板计算相关数据!$P$22:$U$30,6,0)+AD850</f>
        <v>225</v>
      </c>
      <c r="AO850" s="3">
        <f>VLOOKUP(INT(VLOOKUP(U850,模板计算相关数据!A:N,2,0)/30)+1,模板计算相关数据!$O$35:$U$40,3,0)+AE850</f>
        <v>0</v>
      </c>
      <c r="AP850" s="3">
        <f>VLOOKUP(INT(VLOOKUP(U850,模板计算相关数据!A:N,2,0)/30)+1,模板计算相关数据!$O$35:$U$40,4,0)+AF850</f>
        <v>5000</v>
      </c>
      <c r="AQ850" s="3">
        <f>VLOOKUP(INT(VLOOKUP(U850,模板计算相关数据!A:N,2,0)/30)+1,模板计算相关数据!$O$35:$U$40,5,0)+AG850</f>
        <v>0</v>
      </c>
      <c r="AR850" s="3">
        <f>VLOOKUP(INT(VLOOKUP(U850,模板计算相关数据!A:N,2,0)/30)+1,模板计算相关数据!$O$35:$U$40,6,0)+AH850</f>
        <v>0</v>
      </c>
      <c r="AS850" s="3">
        <f>VLOOKUP(INT(VLOOKUP(U850,模板计算相关数据!A:N,2,0)/30)+1,模板计算相关数据!$O$35:$U$40,7,0)+AI850</f>
        <v>0</v>
      </c>
      <c r="AT850" s="3">
        <f>VLOOKUP(INT(VLOOKUP(U850,模板计算相关数据!A:N,2,0)/30)+1,模板计算相关数据!$O$35:$V$40,8,0)</f>
        <v>0</v>
      </c>
      <c r="AU850" s="2"/>
    </row>
    <row r="851" spans="1:47" x14ac:dyDescent="0.2">
      <c r="A851" s="2">
        <v>307365</v>
      </c>
      <c r="B851" s="2"/>
      <c r="C851" s="2" t="s">
        <v>70</v>
      </c>
      <c r="D851" s="2" t="s">
        <v>1330</v>
      </c>
      <c r="E851" s="2"/>
      <c r="F851" s="127">
        <v>3</v>
      </c>
      <c r="G851" s="127">
        <v>101</v>
      </c>
      <c r="H851" s="3">
        <v>2</v>
      </c>
      <c r="I851" s="127">
        <v>5</v>
      </c>
      <c r="J851" s="127">
        <v>1</v>
      </c>
      <c r="K851" s="3"/>
      <c r="L851" s="69" t="s">
        <v>836</v>
      </c>
      <c r="M851" s="2"/>
      <c r="N851" s="2">
        <v>1</v>
      </c>
      <c r="O851" s="2"/>
      <c r="P851" s="3" t="s">
        <v>1615</v>
      </c>
      <c r="Q851" s="95">
        <f t="shared" si="73"/>
        <v>6.9411764705882364</v>
      </c>
      <c r="R851" s="133">
        <f>IF(P851=模板计算相关数据!$AB$24,VLOOKUP(X851,模板计算相关数据!$P$47:$T$50,2,0),VLOOKUP(X851,模板计算相关数据!$P$4:$U$7,3,0))*VLOOKUP(Y851,模板计算相关数据!$P$22:$X$30,8,0)</f>
        <v>6.9411764705882364</v>
      </c>
      <c r="S851" s="62">
        <f t="shared" si="74"/>
        <v>8.2943498888557112</v>
      </c>
      <c r="T851" s="133">
        <f>IF(P851=模板计算相关数据!$AB$24,VLOOKUP(X851,模板计算相关数据!$P$47:$T$50,5,0),VLOOKUP(X851,模板计算相关数据!$P$4:$U$7,6,0))*VLOOKUP(Y851,模板计算相关数据!$P$22:$X$30,9,0)</f>
        <v>8.2943498888557112</v>
      </c>
      <c r="U851" s="98">
        <v>1</v>
      </c>
      <c r="V851" s="95">
        <f t="shared" si="75"/>
        <v>4</v>
      </c>
      <c r="W851" s="29">
        <f>VLOOKUP(U851,模板计算相关数据!A:N,2,0)</f>
        <v>1</v>
      </c>
      <c r="X851" s="3" t="s">
        <v>151</v>
      </c>
      <c r="Y851" s="3" t="s">
        <v>155</v>
      </c>
      <c r="Z851" s="99">
        <v>1</v>
      </c>
      <c r="AA851" s="95">
        <v>1</v>
      </c>
      <c r="AB851" s="95">
        <v>1</v>
      </c>
      <c r="AC851" s="95">
        <v>1</v>
      </c>
      <c r="AD851" s="95">
        <v>0</v>
      </c>
      <c r="AE851" s="95">
        <v>0</v>
      </c>
      <c r="AF851" s="95">
        <v>0</v>
      </c>
      <c r="AG851" s="95">
        <v>0</v>
      </c>
      <c r="AH851" s="95">
        <v>0</v>
      </c>
      <c r="AI851" s="95">
        <v>0</v>
      </c>
      <c r="AJ851" s="3">
        <f>INT(VLOOKUP(U851,模板计算相关数据!A:N,4,0)*VLOOKUP(U851,模板计算相关数据!A:N,14,0)*(1+MAX(0,(VLOOKUP(U851,模板计算相关数据!A:N,7,0)-AQ851))*VLOOKUP(U851,模板计算相关数据!A:N,8,0))*(1-(AL851+AM851)*0.5/((AL851+AM851)*0.5+(VLOOKUP(U851,模板计算相关数据!A:N,2,0)+模板计算相关数据!$AC$27)*模板计算相关数据!$AC$28))*Q851*Z851)</f>
        <v>487</v>
      </c>
      <c r="AK851" s="3">
        <f>INT(VLOOKUP(U851,模板计算相关数据!A:N,3,0)/模板计算相关数据!$W$35/(1+MAX(0,(AO851/10000-VLOOKUP(U851,模板计算相关数据!A:N,9,0)))*AP851/10000)/(1-VLOOKUP(U851,模板计算相关数据!A:N,5,0)/(VLOOKUP(U851,模板计算相关数据!A:N,5,0)+(VLOOKUP(U851,模板计算相关数据!A:N,2,0)+模板计算相关数据!$AC$27)*模板计算相关数据!$AC$28))/S851*AA851)</f>
        <v>67</v>
      </c>
      <c r="AL851" s="3">
        <f>INT(VLOOKUP(U851,模板计算相关数据!A:N,5,0)*VLOOKUP(X851,模板计算相关数据!$P$4:$T$7,4,0)*VLOOKUP(Y851,模板计算相关数据!$P$22:$U$30,4,0)*AB851)</f>
        <v>277</v>
      </c>
      <c r="AM851" s="3">
        <f>INT(VLOOKUP(U851,模板计算相关数据!A:N,6,0)*VLOOKUP(X851,模板计算相关数据!$P$4:$T$7,4,0)*VLOOKUP(Y851,模板计算相关数据!$P$22:$U$30,5,0)*AC851)</f>
        <v>153</v>
      </c>
      <c r="AN851" s="3">
        <f>VLOOKUP(U851,模板计算相关数据!A:N,10,0)*0.5*VLOOKUP(Y851,模板计算相关数据!$P$22:$U$30,6,0)+AD851</f>
        <v>225</v>
      </c>
      <c r="AO851" s="3">
        <f>VLOOKUP(INT(VLOOKUP(U851,模板计算相关数据!A:N,2,0)/30)+1,模板计算相关数据!$O$35:$U$40,3,0)+AE851</f>
        <v>0</v>
      </c>
      <c r="AP851" s="3">
        <f>VLOOKUP(INT(VLOOKUP(U851,模板计算相关数据!A:N,2,0)/30)+1,模板计算相关数据!$O$35:$U$40,4,0)+AF851</f>
        <v>5000</v>
      </c>
      <c r="AQ851" s="3">
        <f>VLOOKUP(INT(VLOOKUP(U851,模板计算相关数据!A:N,2,0)/30)+1,模板计算相关数据!$O$35:$U$40,5,0)+AG851</f>
        <v>0</v>
      </c>
      <c r="AR851" s="3">
        <f>VLOOKUP(INT(VLOOKUP(U851,模板计算相关数据!A:N,2,0)/30)+1,模板计算相关数据!$O$35:$U$40,6,0)+AH851</f>
        <v>0</v>
      </c>
      <c r="AS851" s="3">
        <f>VLOOKUP(INT(VLOOKUP(U851,模板计算相关数据!A:N,2,0)/30)+1,模板计算相关数据!$O$35:$U$40,7,0)+AI851</f>
        <v>0</v>
      </c>
      <c r="AT851" s="3">
        <f>VLOOKUP(INT(VLOOKUP(U851,模板计算相关数据!A:N,2,0)/30)+1,模板计算相关数据!$O$35:$V$40,8,0)</f>
        <v>0</v>
      </c>
      <c r="AU851" s="2"/>
    </row>
    <row r="852" spans="1:47" x14ac:dyDescent="0.2">
      <c r="A852" s="2">
        <v>307366</v>
      </c>
      <c r="B852" s="2"/>
      <c r="C852" s="69" t="s">
        <v>829</v>
      </c>
      <c r="D852" s="69" t="s">
        <v>1326</v>
      </c>
      <c r="E852" s="2"/>
      <c r="F852" s="127">
        <v>3</v>
      </c>
      <c r="G852" s="127">
        <v>101</v>
      </c>
      <c r="H852" s="3">
        <v>1</v>
      </c>
      <c r="I852" s="127">
        <v>5</v>
      </c>
      <c r="J852" s="127">
        <v>1</v>
      </c>
      <c r="K852" s="3"/>
      <c r="L852" s="69" t="s">
        <v>837</v>
      </c>
      <c r="M852" s="2"/>
      <c r="N852" s="2">
        <v>1</v>
      </c>
      <c r="O852" s="2"/>
      <c r="P852" s="3" t="s">
        <v>1615</v>
      </c>
      <c r="Q852" s="95">
        <f t="shared" si="73"/>
        <v>4.417254901960785</v>
      </c>
      <c r="R852" s="133">
        <f>IF(P852=模板计算相关数据!$AB$24,VLOOKUP(X852,模板计算相关数据!$P$47:$T$50,2,0),VLOOKUP(X852,模板计算相关数据!$P$4:$U$7,3,0))*VLOOKUP(Y852,模板计算相关数据!$P$22:$X$30,8,0)</f>
        <v>4.417254901960785</v>
      </c>
      <c r="S852" s="62">
        <f t="shared" si="74"/>
        <v>5.4285280003474252</v>
      </c>
      <c r="T852" s="133">
        <f>IF(P852=模板计算相关数据!$AB$24,VLOOKUP(X852,模板计算相关数据!$P$47:$T$50,5,0),VLOOKUP(X852,模板计算相关数据!$P$4:$U$7,6,0))*VLOOKUP(Y852,模板计算相关数据!$P$22:$X$30,9,0)</f>
        <v>5.4285280003474252</v>
      </c>
      <c r="U852" s="98">
        <v>1</v>
      </c>
      <c r="V852" s="95">
        <f t="shared" si="75"/>
        <v>4</v>
      </c>
      <c r="W852" s="29">
        <f>VLOOKUP(U852,模板计算相关数据!A:N,2,0)</f>
        <v>1</v>
      </c>
      <c r="X852" s="3" t="s">
        <v>151</v>
      </c>
      <c r="Y852" s="3" t="s">
        <v>152</v>
      </c>
      <c r="Z852" s="99">
        <v>1</v>
      </c>
      <c r="AA852" s="95">
        <v>1</v>
      </c>
      <c r="AB852" s="95">
        <v>1</v>
      </c>
      <c r="AC852" s="95">
        <v>1</v>
      </c>
      <c r="AD852" s="95">
        <v>0</v>
      </c>
      <c r="AE852" s="95">
        <v>0</v>
      </c>
      <c r="AF852" s="95">
        <v>0</v>
      </c>
      <c r="AG852" s="95">
        <v>0</v>
      </c>
      <c r="AH852" s="95">
        <v>0</v>
      </c>
      <c r="AI852" s="95">
        <v>0</v>
      </c>
      <c r="AJ852" s="3">
        <f>INT(VLOOKUP(U852,模板计算相关数据!A:N,4,0)*VLOOKUP(U852,模板计算相关数据!A:N,14,0)*(1+MAX(0,(VLOOKUP(U852,模板计算相关数据!A:N,7,0)-AQ852))*VLOOKUP(U852,模板计算相关数据!A:N,8,0))*(1-(AL852+AM852)*0.5/((AL852+AM852)*0.5+(VLOOKUP(U852,模板计算相关数据!A:N,2,0)+模板计算相关数据!$AC$27)*模板计算相关数据!$AC$28))*Q852*Z852)</f>
        <v>325</v>
      </c>
      <c r="AK852" s="3">
        <f>INT(VLOOKUP(U852,模板计算相关数据!A:N,3,0)/模板计算相关数据!$W$35/(1+MAX(0,(AO852/10000-VLOOKUP(U852,模板计算相关数据!A:N,9,0)))*AP852/10000)/(1-VLOOKUP(U852,模板计算相关数据!A:N,5,0)/(VLOOKUP(U852,模板计算相关数据!A:N,5,0)+(VLOOKUP(U852,模板计算相关数据!A:N,2,0)+模板计算相关数据!$AC$27)*模板计算相关数据!$AC$28))/S852*AA852)</f>
        <v>102</v>
      </c>
      <c r="AL852" s="3">
        <f>INT(VLOOKUP(U852,模板计算相关数据!A:N,5,0)*VLOOKUP(X852,模板计算相关数据!$P$4:$T$7,4,0)*VLOOKUP(Y852,模板计算相关数据!$P$22:$U$30,4,0)*AB852)</f>
        <v>230</v>
      </c>
      <c r="AM852" s="3">
        <f>INT(VLOOKUP(U852,模板计算相关数据!A:N,6,0)*VLOOKUP(X852,模板计算相关数据!$P$4:$T$7,4,0)*VLOOKUP(Y852,模板计算相关数据!$P$22:$U$30,5,0)*AC852)</f>
        <v>136</v>
      </c>
      <c r="AN852" s="3">
        <f>VLOOKUP(U852,模板计算相关数据!A:N,10,0)*0.5*VLOOKUP(Y852,模板计算相关数据!$P$22:$U$30,6,0)+AD852</f>
        <v>250</v>
      </c>
      <c r="AO852" s="3">
        <f>VLOOKUP(INT(VLOOKUP(U852,模板计算相关数据!A:N,2,0)/30)+1,模板计算相关数据!$O$35:$U$40,3,0)+AE852</f>
        <v>0</v>
      </c>
      <c r="AP852" s="3">
        <f>VLOOKUP(INT(VLOOKUP(U852,模板计算相关数据!A:N,2,0)/30)+1,模板计算相关数据!$O$35:$U$40,4,0)+AF852</f>
        <v>5000</v>
      </c>
      <c r="AQ852" s="3">
        <f>VLOOKUP(INT(VLOOKUP(U852,模板计算相关数据!A:N,2,0)/30)+1,模板计算相关数据!$O$35:$U$40,5,0)+AG852</f>
        <v>0</v>
      </c>
      <c r="AR852" s="3">
        <f>VLOOKUP(INT(VLOOKUP(U852,模板计算相关数据!A:N,2,0)/30)+1,模板计算相关数据!$O$35:$U$40,6,0)+AH852</f>
        <v>0</v>
      </c>
      <c r="AS852" s="3">
        <f>VLOOKUP(INT(VLOOKUP(U852,模板计算相关数据!A:N,2,0)/30)+1,模板计算相关数据!$O$35:$U$40,7,0)+AI852</f>
        <v>0</v>
      </c>
      <c r="AT852" s="3">
        <f>VLOOKUP(INT(VLOOKUP(U852,模板计算相关数据!A:N,2,0)/30)+1,模板计算相关数据!$O$35:$V$40,8,0)</f>
        <v>0</v>
      </c>
      <c r="AU852" s="2"/>
    </row>
    <row r="853" spans="1:47" x14ac:dyDescent="0.2">
      <c r="A853" s="2">
        <v>307367</v>
      </c>
      <c r="B853" s="2"/>
      <c r="C853" s="69" t="s">
        <v>829</v>
      </c>
      <c r="D853" s="69" t="s">
        <v>1327</v>
      </c>
      <c r="E853" s="2"/>
      <c r="F853" s="127">
        <v>3</v>
      </c>
      <c r="G853" s="127">
        <v>101</v>
      </c>
      <c r="H853" s="3">
        <v>1</v>
      </c>
      <c r="I853" s="127">
        <v>5</v>
      </c>
      <c r="J853" s="127">
        <v>1</v>
      </c>
      <c r="K853" s="3"/>
      <c r="L853" s="69" t="s">
        <v>838</v>
      </c>
      <c r="M853" s="2"/>
      <c r="N853" s="2">
        <v>1</v>
      </c>
      <c r="O853" s="2"/>
      <c r="P853" s="3" t="s">
        <v>1615</v>
      </c>
      <c r="Q853" s="95">
        <f t="shared" si="73"/>
        <v>4.417254901960785</v>
      </c>
      <c r="R853" s="133">
        <f>IF(P853=模板计算相关数据!$AB$24,VLOOKUP(X853,模板计算相关数据!$P$47:$T$50,2,0),VLOOKUP(X853,模板计算相关数据!$P$4:$U$7,3,0))*VLOOKUP(Y853,模板计算相关数据!$P$22:$X$30,8,0)</f>
        <v>4.417254901960785</v>
      </c>
      <c r="S853" s="62">
        <f t="shared" si="74"/>
        <v>5.4285280003474252</v>
      </c>
      <c r="T853" s="133">
        <f>IF(P853=模板计算相关数据!$AB$24,VLOOKUP(X853,模板计算相关数据!$P$47:$T$50,5,0),VLOOKUP(X853,模板计算相关数据!$P$4:$U$7,6,0))*VLOOKUP(Y853,模板计算相关数据!$P$22:$X$30,9,0)</f>
        <v>5.4285280003474252</v>
      </c>
      <c r="U853" s="98">
        <v>1</v>
      </c>
      <c r="V853" s="95">
        <f t="shared" si="75"/>
        <v>4</v>
      </c>
      <c r="W853" s="29">
        <f>VLOOKUP(U853,模板计算相关数据!A:N,2,0)</f>
        <v>1</v>
      </c>
      <c r="X853" s="3" t="s">
        <v>151</v>
      </c>
      <c r="Y853" s="3" t="s">
        <v>152</v>
      </c>
      <c r="Z853" s="99">
        <v>1</v>
      </c>
      <c r="AA853" s="95">
        <v>1</v>
      </c>
      <c r="AB853" s="95">
        <v>1</v>
      </c>
      <c r="AC853" s="95">
        <v>1</v>
      </c>
      <c r="AD853" s="95">
        <v>0</v>
      </c>
      <c r="AE853" s="95">
        <v>0</v>
      </c>
      <c r="AF853" s="95">
        <v>0</v>
      </c>
      <c r="AG853" s="95">
        <v>0</v>
      </c>
      <c r="AH853" s="95">
        <v>0</v>
      </c>
      <c r="AI853" s="95">
        <v>0</v>
      </c>
      <c r="AJ853" s="3">
        <f>INT(VLOOKUP(U853,模板计算相关数据!A:N,4,0)*VLOOKUP(U853,模板计算相关数据!A:N,14,0)*(1+MAX(0,(VLOOKUP(U853,模板计算相关数据!A:N,7,0)-AQ853))*VLOOKUP(U853,模板计算相关数据!A:N,8,0))*(1-(AL853+AM853)*0.5/((AL853+AM853)*0.5+(VLOOKUP(U853,模板计算相关数据!A:N,2,0)+模板计算相关数据!$AC$27)*模板计算相关数据!$AC$28))*Q853*Z853)</f>
        <v>325</v>
      </c>
      <c r="AK853" s="3">
        <f>INT(VLOOKUP(U853,模板计算相关数据!A:N,3,0)/模板计算相关数据!$W$35/(1+MAX(0,(AO853/10000-VLOOKUP(U853,模板计算相关数据!A:N,9,0)))*AP853/10000)/(1-VLOOKUP(U853,模板计算相关数据!A:N,5,0)/(VLOOKUP(U853,模板计算相关数据!A:N,5,0)+(VLOOKUP(U853,模板计算相关数据!A:N,2,0)+模板计算相关数据!$AC$27)*模板计算相关数据!$AC$28))/S853*AA853)</f>
        <v>102</v>
      </c>
      <c r="AL853" s="3">
        <f>INT(VLOOKUP(U853,模板计算相关数据!A:N,5,0)*VLOOKUP(X853,模板计算相关数据!$P$4:$T$7,4,0)*VLOOKUP(Y853,模板计算相关数据!$P$22:$U$30,4,0)*AB853)</f>
        <v>230</v>
      </c>
      <c r="AM853" s="3">
        <f>INT(VLOOKUP(U853,模板计算相关数据!A:N,6,0)*VLOOKUP(X853,模板计算相关数据!$P$4:$T$7,4,0)*VLOOKUP(Y853,模板计算相关数据!$P$22:$U$30,5,0)*AC853)</f>
        <v>136</v>
      </c>
      <c r="AN853" s="3">
        <f>VLOOKUP(U853,模板计算相关数据!A:N,10,0)*0.5*VLOOKUP(Y853,模板计算相关数据!$P$22:$U$30,6,0)+AD853</f>
        <v>250</v>
      </c>
      <c r="AO853" s="3">
        <f>VLOOKUP(INT(VLOOKUP(U853,模板计算相关数据!A:N,2,0)/30)+1,模板计算相关数据!$O$35:$U$40,3,0)+AE853</f>
        <v>0</v>
      </c>
      <c r="AP853" s="3">
        <f>VLOOKUP(INT(VLOOKUP(U853,模板计算相关数据!A:N,2,0)/30)+1,模板计算相关数据!$O$35:$U$40,4,0)+AF853</f>
        <v>5000</v>
      </c>
      <c r="AQ853" s="3">
        <f>VLOOKUP(INT(VLOOKUP(U853,模板计算相关数据!A:N,2,0)/30)+1,模板计算相关数据!$O$35:$U$40,5,0)+AG853</f>
        <v>0</v>
      </c>
      <c r="AR853" s="3">
        <f>VLOOKUP(INT(VLOOKUP(U853,模板计算相关数据!A:N,2,0)/30)+1,模板计算相关数据!$O$35:$U$40,6,0)+AH853</f>
        <v>0</v>
      </c>
      <c r="AS853" s="3">
        <f>VLOOKUP(INT(VLOOKUP(U853,模板计算相关数据!A:N,2,0)/30)+1,模板计算相关数据!$O$35:$U$40,7,0)+AI853</f>
        <v>0</v>
      </c>
      <c r="AT853" s="3">
        <f>VLOOKUP(INT(VLOOKUP(U853,模板计算相关数据!A:N,2,0)/30)+1,模板计算相关数据!$O$35:$V$40,8,0)</f>
        <v>0</v>
      </c>
      <c r="AU853" s="2"/>
    </row>
    <row r="854" spans="1:47" x14ac:dyDescent="0.2">
      <c r="A854" s="2">
        <v>307368</v>
      </c>
      <c r="B854" s="2"/>
      <c r="C854" s="69" t="s">
        <v>829</v>
      </c>
      <c r="D854" s="69" t="s">
        <v>1328</v>
      </c>
      <c r="E854" s="2"/>
      <c r="F854" s="127">
        <v>3</v>
      </c>
      <c r="G854" s="127">
        <v>101</v>
      </c>
      <c r="H854" s="3">
        <v>1</v>
      </c>
      <c r="I854" s="127">
        <v>5</v>
      </c>
      <c r="J854" s="127">
        <v>1</v>
      </c>
      <c r="K854" s="3"/>
      <c r="L854" s="69" t="s">
        <v>839</v>
      </c>
      <c r="M854" s="2"/>
      <c r="N854" s="2">
        <v>1</v>
      </c>
      <c r="O854" s="2"/>
      <c r="P854" s="3" t="s">
        <v>1615</v>
      </c>
      <c r="Q854" s="95">
        <f t="shared" si="73"/>
        <v>4.417254901960785</v>
      </c>
      <c r="R854" s="133">
        <f>IF(P854=模板计算相关数据!$AB$24,VLOOKUP(X854,模板计算相关数据!$P$47:$T$50,2,0),VLOOKUP(X854,模板计算相关数据!$P$4:$U$7,3,0))*VLOOKUP(Y854,模板计算相关数据!$P$22:$X$30,8,0)</f>
        <v>4.417254901960785</v>
      </c>
      <c r="S854" s="62">
        <f t="shared" si="74"/>
        <v>5.4285280003474252</v>
      </c>
      <c r="T854" s="133">
        <f>IF(P854=模板计算相关数据!$AB$24,VLOOKUP(X854,模板计算相关数据!$P$47:$T$50,5,0),VLOOKUP(X854,模板计算相关数据!$P$4:$U$7,6,0))*VLOOKUP(Y854,模板计算相关数据!$P$22:$X$30,9,0)</f>
        <v>5.4285280003474252</v>
      </c>
      <c r="U854" s="98">
        <v>1</v>
      </c>
      <c r="V854" s="95">
        <f t="shared" si="75"/>
        <v>4</v>
      </c>
      <c r="W854" s="29">
        <f>VLOOKUP(U854,模板计算相关数据!A:N,2,0)</f>
        <v>1</v>
      </c>
      <c r="X854" s="3" t="s">
        <v>151</v>
      </c>
      <c r="Y854" s="3" t="s">
        <v>152</v>
      </c>
      <c r="Z854" s="99">
        <v>1</v>
      </c>
      <c r="AA854" s="95">
        <v>1</v>
      </c>
      <c r="AB854" s="95">
        <v>1</v>
      </c>
      <c r="AC854" s="95">
        <v>1</v>
      </c>
      <c r="AD854" s="95">
        <v>0</v>
      </c>
      <c r="AE854" s="95">
        <v>0</v>
      </c>
      <c r="AF854" s="95">
        <v>0</v>
      </c>
      <c r="AG854" s="95">
        <v>0</v>
      </c>
      <c r="AH854" s="95">
        <v>0</v>
      </c>
      <c r="AI854" s="95">
        <v>0</v>
      </c>
      <c r="AJ854" s="3">
        <f>INT(VLOOKUP(U854,模板计算相关数据!A:N,4,0)*VLOOKUP(U854,模板计算相关数据!A:N,14,0)*(1+MAX(0,(VLOOKUP(U854,模板计算相关数据!A:N,7,0)-AQ854))*VLOOKUP(U854,模板计算相关数据!A:N,8,0))*(1-(AL854+AM854)*0.5/((AL854+AM854)*0.5+(VLOOKUP(U854,模板计算相关数据!A:N,2,0)+模板计算相关数据!$AC$27)*模板计算相关数据!$AC$28))*Q854*Z854)</f>
        <v>325</v>
      </c>
      <c r="AK854" s="3">
        <f>INT(VLOOKUP(U854,模板计算相关数据!A:N,3,0)/模板计算相关数据!$W$35/(1+MAX(0,(AO854/10000-VLOOKUP(U854,模板计算相关数据!A:N,9,0)))*AP854/10000)/(1-VLOOKUP(U854,模板计算相关数据!A:N,5,0)/(VLOOKUP(U854,模板计算相关数据!A:N,5,0)+(VLOOKUP(U854,模板计算相关数据!A:N,2,0)+模板计算相关数据!$AC$27)*模板计算相关数据!$AC$28))/S854*AA854)</f>
        <v>102</v>
      </c>
      <c r="AL854" s="3">
        <f>INT(VLOOKUP(U854,模板计算相关数据!A:N,5,0)*VLOOKUP(X854,模板计算相关数据!$P$4:$T$7,4,0)*VLOOKUP(Y854,模板计算相关数据!$P$22:$U$30,4,0)*AB854)</f>
        <v>230</v>
      </c>
      <c r="AM854" s="3">
        <f>INT(VLOOKUP(U854,模板计算相关数据!A:N,6,0)*VLOOKUP(X854,模板计算相关数据!$P$4:$T$7,4,0)*VLOOKUP(Y854,模板计算相关数据!$P$22:$U$30,5,0)*AC854)</f>
        <v>136</v>
      </c>
      <c r="AN854" s="3">
        <f>VLOOKUP(U854,模板计算相关数据!A:N,10,0)*0.5*VLOOKUP(Y854,模板计算相关数据!$P$22:$U$30,6,0)+AD854</f>
        <v>250</v>
      </c>
      <c r="AO854" s="3">
        <f>VLOOKUP(INT(VLOOKUP(U854,模板计算相关数据!A:N,2,0)/30)+1,模板计算相关数据!$O$35:$U$40,3,0)+AE854</f>
        <v>0</v>
      </c>
      <c r="AP854" s="3">
        <f>VLOOKUP(INT(VLOOKUP(U854,模板计算相关数据!A:N,2,0)/30)+1,模板计算相关数据!$O$35:$U$40,4,0)+AF854</f>
        <v>5000</v>
      </c>
      <c r="AQ854" s="3">
        <f>VLOOKUP(INT(VLOOKUP(U854,模板计算相关数据!A:N,2,0)/30)+1,模板计算相关数据!$O$35:$U$40,5,0)+AG854</f>
        <v>0</v>
      </c>
      <c r="AR854" s="3">
        <f>VLOOKUP(INT(VLOOKUP(U854,模板计算相关数据!A:N,2,0)/30)+1,模板计算相关数据!$O$35:$U$40,6,0)+AH854</f>
        <v>0</v>
      </c>
      <c r="AS854" s="3">
        <f>VLOOKUP(INT(VLOOKUP(U854,模板计算相关数据!A:N,2,0)/30)+1,模板计算相关数据!$O$35:$U$40,7,0)+AI854</f>
        <v>0</v>
      </c>
      <c r="AT854" s="3">
        <f>VLOOKUP(INT(VLOOKUP(U854,模板计算相关数据!A:N,2,0)/30)+1,模板计算相关数据!$O$35:$V$40,8,0)</f>
        <v>0</v>
      </c>
      <c r="AU854" s="2"/>
    </row>
    <row r="855" spans="1:47" x14ac:dyDescent="0.2">
      <c r="A855" s="2">
        <v>307369</v>
      </c>
      <c r="B855" s="2"/>
      <c r="C855" s="69" t="s">
        <v>829</v>
      </c>
      <c r="D855" s="69" t="s">
        <v>1329</v>
      </c>
      <c r="E855" s="2"/>
      <c r="F855" s="127">
        <v>3</v>
      </c>
      <c r="G855" s="127">
        <v>101</v>
      </c>
      <c r="H855" s="3">
        <v>1</v>
      </c>
      <c r="I855" s="127">
        <v>5</v>
      </c>
      <c r="J855" s="127">
        <v>1</v>
      </c>
      <c r="K855" s="3"/>
      <c r="L855" s="69" t="s">
        <v>840</v>
      </c>
      <c r="M855" s="2"/>
      <c r="N855" s="2">
        <v>1</v>
      </c>
      <c r="O855" s="2"/>
      <c r="P855" s="3" t="s">
        <v>1615</v>
      </c>
      <c r="Q855" s="95">
        <f t="shared" ref="Q855:Q918" si="76">R855</f>
        <v>4.417254901960785</v>
      </c>
      <c r="R855" s="133">
        <f>IF(P855=模板计算相关数据!$AB$24,VLOOKUP(X855,模板计算相关数据!$P$47:$T$50,2,0),VLOOKUP(X855,模板计算相关数据!$P$4:$U$7,3,0))*VLOOKUP(Y855,模板计算相关数据!$P$22:$X$30,8,0)</f>
        <v>4.417254901960785</v>
      </c>
      <c r="S855" s="62">
        <f t="shared" ref="S855:S918" si="77">T855</f>
        <v>5.4285280003474252</v>
      </c>
      <c r="T855" s="133">
        <f>IF(P855=模板计算相关数据!$AB$24,VLOOKUP(X855,模板计算相关数据!$P$47:$T$50,5,0),VLOOKUP(X855,模板计算相关数据!$P$4:$U$7,6,0))*VLOOKUP(Y855,模板计算相关数据!$P$22:$X$30,9,0)</f>
        <v>5.4285280003474252</v>
      </c>
      <c r="U855" s="98">
        <v>1</v>
      </c>
      <c r="V855" s="95">
        <f t="shared" si="75"/>
        <v>4</v>
      </c>
      <c r="W855" s="29">
        <f>VLOOKUP(U855,模板计算相关数据!A:N,2,0)</f>
        <v>1</v>
      </c>
      <c r="X855" s="3" t="s">
        <v>151</v>
      </c>
      <c r="Y855" s="3" t="s">
        <v>152</v>
      </c>
      <c r="Z855" s="99">
        <v>1</v>
      </c>
      <c r="AA855" s="95">
        <v>1</v>
      </c>
      <c r="AB855" s="95">
        <v>1</v>
      </c>
      <c r="AC855" s="95">
        <v>1</v>
      </c>
      <c r="AD855" s="95">
        <v>0</v>
      </c>
      <c r="AE855" s="95">
        <v>0</v>
      </c>
      <c r="AF855" s="95">
        <v>0</v>
      </c>
      <c r="AG855" s="95">
        <v>0</v>
      </c>
      <c r="AH855" s="95">
        <v>0</v>
      </c>
      <c r="AI855" s="95">
        <v>0</v>
      </c>
      <c r="AJ855" s="3">
        <f>INT(VLOOKUP(U855,模板计算相关数据!A:N,4,0)*VLOOKUP(U855,模板计算相关数据!A:N,14,0)*(1+MAX(0,(VLOOKUP(U855,模板计算相关数据!A:N,7,0)-AQ855))*VLOOKUP(U855,模板计算相关数据!A:N,8,0))*(1-(AL855+AM855)*0.5/((AL855+AM855)*0.5+(VLOOKUP(U855,模板计算相关数据!A:N,2,0)+模板计算相关数据!$AC$27)*模板计算相关数据!$AC$28))*Q855*Z855)</f>
        <v>325</v>
      </c>
      <c r="AK855" s="3">
        <f>INT(VLOOKUP(U855,模板计算相关数据!A:N,3,0)/模板计算相关数据!$W$35/(1+MAX(0,(AO855/10000-VLOOKUP(U855,模板计算相关数据!A:N,9,0)))*AP855/10000)/(1-VLOOKUP(U855,模板计算相关数据!A:N,5,0)/(VLOOKUP(U855,模板计算相关数据!A:N,5,0)+(VLOOKUP(U855,模板计算相关数据!A:N,2,0)+模板计算相关数据!$AC$27)*模板计算相关数据!$AC$28))/S855*AA855)</f>
        <v>102</v>
      </c>
      <c r="AL855" s="3">
        <f>INT(VLOOKUP(U855,模板计算相关数据!A:N,5,0)*VLOOKUP(X855,模板计算相关数据!$P$4:$T$7,4,0)*VLOOKUP(Y855,模板计算相关数据!$P$22:$U$30,4,0)*AB855)</f>
        <v>230</v>
      </c>
      <c r="AM855" s="3">
        <f>INT(VLOOKUP(U855,模板计算相关数据!A:N,6,0)*VLOOKUP(X855,模板计算相关数据!$P$4:$T$7,4,0)*VLOOKUP(Y855,模板计算相关数据!$P$22:$U$30,5,0)*AC855)</f>
        <v>136</v>
      </c>
      <c r="AN855" s="3">
        <f>VLOOKUP(U855,模板计算相关数据!A:N,10,0)*0.5*VLOOKUP(Y855,模板计算相关数据!$P$22:$U$30,6,0)+AD855</f>
        <v>250</v>
      </c>
      <c r="AO855" s="3">
        <f>VLOOKUP(INT(VLOOKUP(U855,模板计算相关数据!A:N,2,0)/30)+1,模板计算相关数据!$O$35:$U$40,3,0)+AE855</f>
        <v>0</v>
      </c>
      <c r="AP855" s="3">
        <f>VLOOKUP(INT(VLOOKUP(U855,模板计算相关数据!A:N,2,0)/30)+1,模板计算相关数据!$O$35:$U$40,4,0)+AF855</f>
        <v>5000</v>
      </c>
      <c r="AQ855" s="3">
        <f>VLOOKUP(INT(VLOOKUP(U855,模板计算相关数据!A:N,2,0)/30)+1,模板计算相关数据!$O$35:$U$40,5,0)+AG855</f>
        <v>0</v>
      </c>
      <c r="AR855" s="3">
        <f>VLOOKUP(INT(VLOOKUP(U855,模板计算相关数据!A:N,2,0)/30)+1,模板计算相关数据!$O$35:$U$40,6,0)+AH855</f>
        <v>0</v>
      </c>
      <c r="AS855" s="3">
        <f>VLOOKUP(INT(VLOOKUP(U855,模板计算相关数据!A:N,2,0)/30)+1,模板计算相关数据!$O$35:$U$40,7,0)+AI855</f>
        <v>0</v>
      </c>
      <c r="AT855" s="3">
        <f>VLOOKUP(INT(VLOOKUP(U855,模板计算相关数据!A:N,2,0)/30)+1,模板计算相关数据!$O$35:$V$40,8,0)</f>
        <v>0</v>
      </c>
      <c r="AU855" s="2"/>
    </row>
    <row r="856" spans="1:47" x14ac:dyDescent="0.2">
      <c r="A856" s="2">
        <v>307370</v>
      </c>
      <c r="B856" s="2"/>
      <c r="C856" s="69" t="s">
        <v>829</v>
      </c>
      <c r="D856" s="69" t="s">
        <v>1330</v>
      </c>
      <c r="E856" s="2"/>
      <c r="F856" s="127">
        <v>3</v>
      </c>
      <c r="G856" s="127">
        <v>101</v>
      </c>
      <c r="H856" s="3">
        <v>1</v>
      </c>
      <c r="I856" s="127">
        <v>5</v>
      </c>
      <c r="J856" s="127">
        <v>1</v>
      </c>
      <c r="K856" s="3"/>
      <c r="L856" s="69" t="s">
        <v>841</v>
      </c>
      <c r="M856" s="2"/>
      <c r="N856" s="2">
        <v>1</v>
      </c>
      <c r="O856" s="2"/>
      <c r="P856" s="3" t="s">
        <v>1615</v>
      </c>
      <c r="Q856" s="95">
        <f t="shared" si="76"/>
        <v>4.417254901960785</v>
      </c>
      <c r="R856" s="133">
        <f>IF(P856=模板计算相关数据!$AB$24,VLOOKUP(X856,模板计算相关数据!$P$47:$T$50,2,0),VLOOKUP(X856,模板计算相关数据!$P$4:$U$7,3,0))*VLOOKUP(Y856,模板计算相关数据!$P$22:$X$30,8,0)</f>
        <v>4.417254901960785</v>
      </c>
      <c r="S856" s="62">
        <f t="shared" si="77"/>
        <v>5.4285280003474252</v>
      </c>
      <c r="T856" s="133">
        <f>IF(P856=模板计算相关数据!$AB$24,VLOOKUP(X856,模板计算相关数据!$P$47:$T$50,5,0),VLOOKUP(X856,模板计算相关数据!$P$4:$U$7,6,0))*VLOOKUP(Y856,模板计算相关数据!$P$22:$X$30,9,0)</f>
        <v>5.4285280003474252</v>
      </c>
      <c r="U856" s="98">
        <v>1</v>
      </c>
      <c r="V856" s="95">
        <f t="shared" si="75"/>
        <v>4</v>
      </c>
      <c r="W856" s="29">
        <f>VLOOKUP(U856,模板计算相关数据!A:N,2,0)</f>
        <v>1</v>
      </c>
      <c r="X856" s="3" t="s">
        <v>151</v>
      </c>
      <c r="Y856" s="3" t="s">
        <v>152</v>
      </c>
      <c r="Z856" s="99">
        <v>1</v>
      </c>
      <c r="AA856" s="95">
        <v>1</v>
      </c>
      <c r="AB856" s="95">
        <v>1</v>
      </c>
      <c r="AC856" s="95">
        <v>1</v>
      </c>
      <c r="AD856" s="95">
        <v>0</v>
      </c>
      <c r="AE856" s="95">
        <v>0</v>
      </c>
      <c r="AF856" s="95">
        <v>0</v>
      </c>
      <c r="AG856" s="95">
        <v>0</v>
      </c>
      <c r="AH856" s="95">
        <v>0</v>
      </c>
      <c r="AI856" s="95">
        <v>0</v>
      </c>
      <c r="AJ856" s="3">
        <f>INT(VLOOKUP(U856,模板计算相关数据!A:N,4,0)*VLOOKUP(U856,模板计算相关数据!A:N,14,0)*(1+MAX(0,(VLOOKUP(U856,模板计算相关数据!A:N,7,0)-AQ856))*VLOOKUP(U856,模板计算相关数据!A:N,8,0))*(1-(AL856+AM856)*0.5/((AL856+AM856)*0.5+(VLOOKUP(U856,模板计算相关数据!A:N,2,0)+模板计算相关数据!$AC$27)*模板计算相关数据!$AC$28))*Q856*Z856)</f>
        <v>325</v>
      </c>
      <c r="AK856" s="3">
        <f>INT(VLOOKUP(U856,模板计算相关数据!A:N,3,0)/模板计算相关数据!$W$35/(1+MAX(0,(AO856/10000-VLOOKUP(U856,模板计算相关数据!A:N,9,0)))*AP856/10000)/(1-VLOOKUP(U856,模板计算相关数据!A:N,5,0)/(VLOOKUP(U856,模板计算相关数据!A:N,5,0)+(VLOOKUP(U856,模板计算相关数据!A:N,2,0)+模板计算相关数据!$AC$27)*模板计算相关数据!$AC$28))/S856*AA856)</f>
        <v>102</v>
      </c>
      <c r="AL856" s="3">
        <f>INT(VLOOKUP(U856,模板计算相关数据!A:N,5,0)*VLOOKUP(X856,模板计算相关数据!$P$4:$T$7,4,0)*VLOOKUP(Y856,模板计算相关数据!$P$22:$U$30,4,0)*AB856)</f>
        <v>230</v>
      </c>
      <c r="AM856" s="3">
        <f>INT(VLOOKUP(U856,模板计算相关数据!A:N,6,0)*VLOOKUP(X856,模板计算相关数据!$P$4:$T$7,4,0)*VLOOKUP(Y856,模板计算相关数据!$P$22:$U$30,5,0)*AC856)</f>
        <v>136</v>
      </c>
      <c r="AN856" s="3">
        <f>VLOOKUP(U856,模板计算相关数据!A:N,10,0)*0.5*VLOOKUP(Y856,模板计算相关数据!$P$22:$U$30,6,0)+AD856</f>
        <v>250</v>
      </c>
      <c r="AO856" s="3">
        <f>VLOOKUP(INT(VLOOKUP(U856,模板计算相关数据!A:N,2,0)/30)+1,模板计算相关数据!$O$35:$U$40,3,0)+AE856</f>
        <v>0</v>
      </c>
      <c r="AP856" s="3">
        <f>VLOOKUP(INT(VLOOKUP(U856,模板计算相关数据!A:N,2,0)/30)+1,模板计算相关数据!$O$35:$U$40,4,0)+AF856</f>
        <v>5000</v>
      </c>
      <c r="AQ856" s="3">
        <f>VLOOKUP(INT(VLOOKUP(U856,模板计算相关数据!A:N,2,0)/30)+1,模板计算相关数据!$O$35:$U$40,5,0)+AG856</f>
        <v>0</v>
      </c>
      <c r="AR856" s="3">
        <f>VLOOKUP(INT(VLOOKUP(U856,模板计算相关数据!A:N,2,0)/30)+1,模板计算相关数据!$O$35:$U$40,6,0)+AH856</f>
        <v>0</v>
      </c>
      <c r="AS856" s="3">
        <f>VLOOKUP(INT(VLOOKUP(U856,模板计算相关数据!A:N,2,0)/30)+1,模板计算相关数据!$O$35:$U$40,7,0)+AI856</f>
        <v>0</v>
      </c>
      <c r="AT856" s="3">
        <f>VLOOKUP(INT(VLOOKUP(U856,模板计算相关数据!A:N,2,0)/30)+1,模板计算相关数据!$O$35:$V$40,8,0)</f>
        <v>0</v>
      </c>
      <c r="AU856" s="2"/>
    </row>
    <row r="857" spans="1:47" x14ac:dyDescent="0.2">
      <c r="A857" s="2">
        <v>307371</v>
      </c>
      <c r="B857" s="2"/>
      <c r="C857" s="69" t="s">
        <v>830</v>
      </c>
      <c r="D857" s="69" t="s">
        <v>1326</v>
      </c>
      <c r="E857" s="2"/>
      <c r="F857" s="127">
        <v>3</v>
      </c>
      <c r="G857" s="127">
        <v>101</v>
      </c>
      <c r="H857" s="3">
        <v>4</v>
      </c>
      <c r="I857" s="127">
        <v>5</v>
      </c>
      <c r="J857" s="127">
        <v>1</v>
      </c>
      <c r="K857" s="3"/>
      <c r="L857" s="69" t="s">
        <v>842</v>
      </c>
      <c r="M857" s="2"/>
      <c r="N857" s="2">
        <v>1</v>
      </c>
      <c r="O857" s="2"/>
      <c r="P857" s="3" t="s">
        <v>1615</v>
      </c>
      <c r="Q857" s="95">
        <f t="shared" si="76"/>
        <v>4.4674509803921572</v>
      </c>
      <c r="R857" s="133">
        <f>IF(P857=模板计算相关数据!$AB$24,VLOOKUP(X857,模板计算相关数据!$P$47:$T$50,2,0),VLOOKUP(X857,模板计算相关数据!$P$4:$U$7,3,0))*VLOOKUP(Y857,模板计算相关数据!$P$22:$X$30,8,0)</f>
        <v>4.4674509803921572</v>
      </c>
      <c r="S857" s="62">
        <f t="shared" si="77"/>
        <v>5.4739930589768004</v>
      </c>
      <c r="T857" s="133">
        <f>IF(P857=模板计算相关数据!$AB$24,VLOOKUP(X857,模板计算相关数据!$P$47:$T$50,5,0),VLOOKUP(X857,模板计算相关数据!$P$4:$U$7,6,0))*VLOOKUP(Y857,模板计算相关数据!$P$22:$X$30,9,0)</f>
        <v>5.4739930589768004</v>
      </c>
      <c r="U857" s="98">
        <v>1</v>
      </c>
      <c r="V857" s="95">
        <f t="shared" si="75"/>
        <v>4</v>
      </c>
      <c r="W857" s="29">
        <f>VLOOKUP(U857,模板计算相关数据!A:N,2,0)</f>
        <v>1</v>
      </c>
      <c r="X857" s="3" t="s">
        <v>151</v>
      </c>
      <c r="Y857" s="3" t="s">
        <v>162</v>
      </c>
      <c r="Z857" s="99">
        <v>1</v>
      </c>
      <c r="AA857" s="95">
        <v>1</v>
      </c>
      <c r="AB857" s="95">
        <v>1</v>
      </c>
      <c r="AC857" s="95">
        <v>1</v>
      </c>
      <c r="AD857" s="95">
        <v>0</v>
      </c>
      <c r="AE857" s="95">
        <v>0</v>
      </c>
      <c r="AF857" s="95">
        <v>0</v>
      </c>
      <c r="AG857" s="95">
        <v>0</v>
      </c>
      <c r="AH857" s="95">
        <v>0</v>
      </c>
      <c r="AI857" s="95">
        <v>0</v>
      </c>
      <c r="AJ857" s="3">
        <f>INT(VLOOKUP(U857,模板计算相关数据!A:N,4,0)*VLOOKUP(U857,模板计算相关数据!A:N,14,0)*(1+MAX(0,(VLOOKUP(U857,模板计算相关数据!A:N,7,0)-AQ857))*VLOOKUP(U857,模板计算相关数据!A:N,8,0))*(1-(AL857+AM857)*0.5/((AL857+AM857)*0.5+(VLOOKUP(U857,模板计算相关数据!A:N,2,0)+模板计算相关数据!$AC$27)*模板计算相关数据!$AC$28))*Q857*Z857)</f>
        <v>328</v>
      </c>
      <c r="AK857" s="3">
        <f>INT(VLOOKUP(U857,模板计算相关数据!A:N,3,0)/模板计算相关数据!$W$35/(1+MAX(0,(AO857/10000-VLOOKUP(U857,模板计算相关数据!A:N,9,0)))*AP857/10000)/(1-VLOOKUP(U857,模板计算相关数据!A:N,5,0)/(VLOOKUP(U857,模板计算相关数据!A:N,5,0)+(VLOOKUP(U857,模板计算相关数据!A:N,2,0)+模板计算相关数据!$AC$27)*模板计算相关数据!$AC$28))/S857*AA857)</f>
        <v>101</v>
      </c>
      <c r="AL857" s="3">
        <f>INT(VLOOKUP(U857,模板计算相关数据!A:N,5,0)*VLOOKUP(X857,模板计算相关数据!$P$4:$T$7,4,0)*VLOOKUP(Y857,模板计算相关数据!$P$22:$U$30,4,0)*AB857)</f>
        <v>136</v>
      </c>
      <c r="AM857" s="3">
        <f>INT(VLOOKUP(U857,模板计算相关数据!A:N,6,0)*VLOOKUP(X857,模板计算相关数据!$P$4:$T$7,4,0)*VLOOKUP(Y857,模板计算相关数据!$P$22:$U$30,5,0)*AC857)</f>
        <v>230</v>
      </c>
      <c r="AN857" s="3">
        <f>VLOOKUP(U857,模板计算相关数据!A:N,10,0)*0.5*VLOOKUP(Y857,模板计算相关数据!$P$22:$U$30,6,0)+AD857</f>
        <v>250</v>
      </c>
      <c r="AO857" s="3">
        <f>VLOOKUP(INT(VLOOKUP(U857,模板计算相关数据!A:N,2,0)/30)+1,模板计算相关数据!$O$35:$U$40,3,0)+AE857</f>
        <v>0</v>
      </c>
      <c r="AP857" s="3">
        <f>VLOOKUP(INT(VLOOKUP(U857,模板计算相关数据!A:N,2,0)/30)+1,模板计算相关数据!$O$35:$U$40,4,0)+AF857</f>
        <v>5000</v>
      </c>
      <c r="AQ857" s="3">
        <f>VLOOKUP(INT(VLOOKUP(U857,模板计算相关数据!A:N,2,0)/30)+1,模板计算相关数据!$O$35:$U$40,5,0)+AG857</f>
        <v>0</v>
      </c>
      <c r="AR857" s="3">
        <f>VLOOKUP(INT(VLOOKUP(U857,模板计算相关数据!A:N,2,0)/30)+1,模板计算相关数据!$O$35:$U$40,6,0)+AH857</f>
        <v>0</v>
      </c>
      <c r="AS857" s="3">
        <f>VLOOKUP(INT(VLOOKUP(U857,模板计算相关数据!A:N,2,0)/30)+1,模板计算相关数据!$O$35:$U$40,7,0)+AI857</f>
        <v>0</v>
      </c>
      <c r="AT857" s="3">
        <f>VLOOKUP(INT(VLOOKUP(U857,模板计算相关数据!A:N,2,0)/30)+1,模板计算相关数据!$O$35:$V$40,8,0)</f>
        <v>0</v>
      </c>
      <c r="AU857" s="2"/>
    </row>
    <row r="858" spans="1:47" x14ac:dyDescent="0.2">
      <c r="A858" s="2">
        <v>307372</v>
      </c>
      <c r="B858" s="2"/>
      <c r="C858" s="69" t="s">
        <v>830</v>
      </c>
      <c r="D858" s="69" t="s">
        <v>1327</v>
      </c>
      <c r="E858" s="2"/>
      <c r="F858" s="127">
        <v>3</v>
      </c>
      <c r="G858" s="127">
        <v>101</v>
      </c>
      <c r="H858" s="3">
        <v>4</v>
      </c>
      <c r="I858" s="127">
        <v>5</v>
      </c>
      <c r="J858" s="127">
        <v>1</v>
      </c>
      <c r="K858" s="3"/>
      <c r="L858" s="69" t="s">
        <v>843</v>
      </c>
      <c r="M858" s="2"/>
      <c r="N858" s="2">
        <v>1</v>
      </c>
      <c r="O858" s="2"/>
      <c r="P858" s="3" t="s">
        <v>1615</v>
      </c>
      <c r="Q858" s="95">
        <f t="shared" si="76"/>
        <v>4.4674509803921572</v>
      </c>
      <c r="R858" s="133">
        <f>IF(P858=模板计算相关数据!$AB$24,VLOOKUP(X858,模板计算相关数据!$P$47:$T$50,2,0),VLOOKUP(X858,模板计算相关数据!$P$4:$U$7,3,0))*VLOOKUP(Y858,模板计算相关数据!$P$22:$X$30,8,0)</f>
        <v>4.4674509803921572</v>
      </c>
      <c r="S858" s="62">
        <f t="shared" si="77"/>
        <v>5.4739930589768004</v>
      </c>
      <c r="T858" s="133">
        <f>IF(P858=模板计算相关数据!$AB$24,VLOOKUP(X858,模板计算相关数据!$P$47:$T$50,5,0),VLOOKUP(X858,模板计算相关数据!$P$4:$U$7,6,0))*VLOOKUP(Y858,模板计算相关数据!$P$22:$X$30,9,0)</f>
        <v>5.4739930589768004</v>
      </c>
      <c r="U858" s="98">
        <v>1</v>
      </c>
      <c r="V858" s="95">
        <f t="shared" si="75"/>
        <v>4</v>
      </c>
      <c r="W858" s="29">
        <f>VLOOKUP(U858,模板计算相关数据!A:N,2,0)</f>
        <v>1</v>
      </c>
      <c r="X858" s="3" t="s">
        <v>151</v>
      </c>
      <c r="Y858" s="3" t="s">
        <v>162</v>
      </c>
      <c r="Z858" s="99">
        <v>1</v>
      </c>
      <c r="AA858" s="95">
        <v>1</v>
      </c>
      <c r="AB858" s="95">
        <v>1</v>
      </c>
      <c r="AC858" s="95">
        <v>1</v>
      </c>
      <c r="AD858" s="95">
        <v>0</v>
      </c>
      <c r="AE858" s="95">
        <v>0</v>
      </c>
      <c r="AF858" s="95">
        <v>0</v>
      </c>
      <c r="AG858" s="95">
        <v>0</v>
      </c>
      <c r="AH858" s="95">
        <v>0</v>
      </c>
      <c r="AI858" s="95">
        <v>0</v>
      </c>
      <c r="AJ858" s="3">
        <f>INT(VLOOKUP(U858,模板计算相关数据!A:N,4,0)*VLOOKUP(U858,模板计算相关数据!A:N,14,0)*(1+MAX(0,(VLOOKUP(U858,模板计算相关数据!A:N,7,0)-AQ858))*VLOOKUP(U858,模板计算相关数据!A:N,8,0))*(1-(AL858+AM858)*0.5/((AL858+AM858)*0.5+(VLOOKUP(U858,模板计算相关数据!A:N,2,0)+模板计算相关数据!$AC$27)*模板计算相关数据!$AC$28))*Q858*Z858)</f>
        <v>328</v>
      </c>
      <c r="AK858" s="3">
        <f>INT(VLOOKUP(U858,模板计算相关数据!A:N,3,0)/模板计算相关数据!$W$35/(1+MAX(0,(AO858/10000-VLOOKUP(U858,模板计算相关数据!A:N,9,0)))*AP858/10000)/(1-VLOOKUP(U858,模板计算相关数据!A:N,5,0)/(VLOOKUP(U858,模板计算相关数据!A:N,5,0)+(VLOOKUP(U858,模板计算相关数据!A:N,2,0)+模板计算相关数据!$AC$27)*模板计算相关数据!$AC$28))/S858*AA858)</f>
        <v>101</v>
      </c>
      <c r="AL858" s="3">
        <f>INT(VLOOKUP(U858,模板计算相关数据!A:N,5,0)*VLOOKUP(X858,模板计算相关数据!$P$4:$T$7,4,0)*VLOOKUP(Y858,模板计算相关数据!$P$22:$U$30,4,0)*AB858)</f>
        <v>136</v>
      </c>
      <c r="AM858" s="3">
        <f>INT(VLOOKUP(U858,模板计算相关数据!A:N,6,0)*VLOOKUP(X858,模板计算相关数据!$P$4:$T$7,4,0)*VLOOKUP(Y858,模板计算相关数据!$P$22:$U$30,5,0)*AC858)</f>
        <v>230</v>
      </c>
      <c r="AN858" s="3">
        <f>VLOOKUP(U858,模板计算相关数据!A:N,10,0)*0.5*VLOOKUP(Y858,模板计算相关数据!$P$22:$U$30,6,0)+AD858</f>
        <v>250</v>
      </c>
      <c r="AO858" s="3">
        <f>VLOOKUP(INT(VLOOKUP(U858,模板计算相关数据!A:N,2,0)/30)+1,模板计算相关数据!$O$35:$U$40,3,0)+AE858</f>
        <v>0</v>
      </c>
      <c r="AP858" s="3">
        <f>VLOOKUP(INT(VLOOKUP(U858,模板计算相关数据!A:N,2,0)/30)+1,模板计算相关数据!$O$35:$U$40,4,0)+AF858</f>
        <v>5000</v>
      </c>
      <c r="AQ858" s="3">
        <f>VLOOKUP(INT(VLOOKUP(U858,模板计算相关数据!A:N,2,0)/30)+1,模板计算相关数据!$O$35:$U$40,5,0)+AG858</f>
        <v>0</v>
      </c>
      <c r="AR858" s="3">
        <f>VLOOKUP(INT(VLOOKUP(U858,模板计算相关数据!A:N,2,0)/30)+1,模板计算相关数据!$O$35:$U$40,6,0)+AH858</f>
        <v>0</v>
      </c>
      <c r="AS858" s="3">
        <f>VLOOKUP(INT(VLOOKUP(U858,模板计算相关数据!A:N,2,0)/30)+1,模板计算相关数据!$O$35:$U$40,7,0)+AI858</f>
        <v>0</v>
      </c>
      <c r="AT858" s="3">
        <f>VLOOKUP(INT(VLOOKUP(U858,模板计算相关数据!A:N,2,0)/30)+1,模板计算相关数据!$O$35:$V$40,8,0)</f>
        <v>0</v>
      </c>
      <c r="AU858" s="2"/>
    </row>
    <row r="859" spans="1:47" x14ac:dyDescent="0.2">
      <c r="A859" s="2">
        <v>307373</v>
      </c>
      <c r="B859" s="2"/>
      <c r="C859" s="69" t="s">
        <v>830</v>
      </c>
      <c r="D859" s="69" t="s">
        <v>1328</v>
      </c>
      <c r="E859" s="2"/>
      <c r="F859" s="127">
        <v>3</v>
      </c>
      <c r="G859" s="127">
        <v>101</v>
      </c>
      <c r="H859" s="3">
        <v>4</v>
      </c>
      <c r="I859" s="127">
        <v>5</v>
      </c>
      <c r="J859" s="127">
        <v>1</v>
      </c>
      <c r="K859" s="3"/>
      <c r="L859" s="69" t="s">
        <v>844</v>
      </c>
      <c r="M859" s="2"/>
      <c r="N859" s="2">
        <v>1</v>
      </c>
      <c r="O859" s="2"/>
      <c r="P859" s="3" t="s">
        <v>1615</v>
      </c>
      <c r="Q859" s="95">
        <f t="shared" si="76"/>
        <v>4.4674509803921572</v>
      </c>
      <c r="R859" s="133">
        <f>IF(P859=模板计算相关数据!$AB$24,VLOOKUP(X859,模板计算相关数据!$P$47:$T$50,2,0),VLOOKUP(X859,模板计算相关数据!$P$4:$U$7,3,0))*VLOOKUP(Y859,模板计算相关数据!$P$22:$X$30,8,0)</f>
        <v>4.4674509803921572</v>
      </c>
      <c r="S859" s="62">
        <f t="shared" si="77"/>
        <v>5.4739930589768004</v>
      </c>
      <c r="T859" s="133">
        <f>IF(P859=模板计算相关数据!$AB$24,VLOOKUP(X859,模板计算相关数据!$P$47:$T$50,5,0),VLOOKUP(X859,模板计算相关数据!$P$4:$U$7,6,0))*VLOOKUP(Y859,模板计算相关数据!$P$22:$X$30,9,0)</f>
        <v>5.4739930589768004</v>
      </c>
      <c r="U859" s="98">
        <v>1</v>
      </c>
      <c r="V859" s="95">
        <f t="shared" si="75"/>
        <v>4</v>
      </c>
      <c r="W859" s="29">
        <f>VLOOKUP(U859,模板计算相关数据!A:N,2,0)</f>
        <v>1</v>
      </c>
      <c r="X859" s="3" t="s">
        <v>151</v>
      </c>
      <c r="Y859" s="3" t="s">
        <v>162</v>
      </c>
      <c r="Z859" s="99">
        <v>1</v>
      </c>
      <c r="AA859" s="95">
        <v>1</v>
      </c>
      <c r="AB859" s="95">
        <v>1</v>
      </c>
      <c r="AC859" s="95">
        <v>1</v>
      </c>
      <c r="AD859" s="95">
        <v>0</v>
      </c>
      <c r="AE859" s="95">
        <v>0</v>
      </c>
      <c r="AF859" s="95">
        <v>0</v>
      </c>
      <c r="AG859" s="95">
        <v>0</v>
      </c>
      <c r="AH859" s="95">
        <v>0</v>
      </c>
      <c r="AI859" s="95">
        <v>0</v>
      </c>
      <c r="AJ859" s="3">
        <f>INT(VLOOKUP(U859,模板计算相关数据!A:N,4,0)*VLOOKUP(U859,模板计算相关数据!A:N,14,0)*(1+MAX(0,(VLOOKUP(U859,模板计算相关数据!A:N,7,0)-AQ859))*VLOOKUP(U859,模板计算相关数据!A:N,8,0))*(1-(AL859+AM859)*0.5/((AL859+AM859)*0.5+(VLOOKUP(U859,模板计算相关数据!A:N,2,0)+模板计算相关数据!$AC$27)*模板计算相关数据!$AC$28))*Q859*Z859)</f>
        <v>328</v>
      </c>
      <c r="AK859" s="3">
        <f>INT(VLOOKUP(U859,模板计算相关数据!A:N,3,0)/模板计算相关数据!$W$35/(1+MAX(0,(AO859/10000-VLOOKUP(U859,模板计算相关数据!A:N,9,0)))*AP859/10000)/(1-VLOOKUP(U859,模板计算相关数据!A:N,5,0)/(VLOOKUP(U859,模板计算相关数据!A:N,5,0)+(VLOOKUP(U859,模板计算相关数据!A:N,2,0)+模板计算相关数据!$AC$27)*模板计算相关数据!$AC$28))/S859*AA859)</f>
        <v>101</v>
      </c>
      <c r="AL859" s="3">
        <f>INT(VLOOKUP(U859,模板计算相关数据!A:N,5,0)*VLOOKUP(X859,模板计算相关数据!$P$4:$T$7,4,0)*VLOOKUP(Y859,模板计算相关数据!$P$22:$U$30,4,0)*AB859)</f>
        <v>136</v>
      </c>
      <c r="AM859" s="3">
        <f>INT(VLOOKUP(U859,模板计算相关数据!A:N,6,0)*VLOOKUP(X859,模板计算相关数据!$P$4:$T$7,4,0)*VLOOKUP(Y859,模板计算相关数据!$P$22:$U$30,5,0)*AC859)</f>
        <v>230</v>
      </c>
      <c r="AN859" s="3">
        <f>VLOOKUP(U859,模板计算相关数据!A:N,10,0)*0.5*VLOOKUP(Y859,模板计算相关数据!$P$22:$U$30,6,0)+AD859</f>
        <v>250</v>
      </c>
      <c r="AO859" s="3">
        <f>VLOOKUP(INT(VLOOKUP(U859,模板计算相关数据!A:N,2,0)/30)+1,模板计算相关数据!$O$35:$U$40,3,0)+AE859</f>
        <v>0</v>
      </c>
      <c r="AP859" s="3">
        <f>VLOOKUP(INT(VLOOKUP(U859,模板计算相关数据!A:N,2,0)/30)+1,模板计算相关数据!$O$35:$U$40,4,0)+AF859</f>
        <v>5000</v>
      </c>
      <c r="AQ859" s="3">
        <f>VLOOKUP(INT(VLOOKUP(U859,模板计算相关数据!A:N,2,0)/30)+1,模板计算相关数据!$O$35:$U$40,5,0)+AG859</f>
        <v>0</v>
      </c>
      <c r="AR859" s="3">
        <f>VLOOKUP(INT(VLOOKUP(U859,模板计算相关数据!A:N,2,0)/30)+1,模板计算相关数据!$O$35:$U$40,6,0)+AH859</f>
        <v>0</v>
      </c>
      <c r="AS859" s="3">
        <f>VLOOKUP(INT(VLOOKUP(U859,模板计算相关数据!A:N,2,0)/30)+1,模板计算相关数据!$O$35:$U$40,7,0)+AI859</f>
        <v>0</v>
      </c>
      <c r="AT859" s="3">
        <f>VLOOKUP(INT(VLOOKUP(U859,模板计算相关数据!A:N,2,0)/30)+1,模板计算相关数据!$O$35:$V$40,8,0)</f>
        <v>0</v>
      </c>
      <c r="AU859" s="2"/>
    </row>
    <row r="860" spans="1:47" x14ac:dyDescent="0.2">
      <c r="A860" s="2">
        <v>307374</v>
      </c>
      <c r="B860" s="2"/>
      <c r="C860" s="69" t="s">
        <v>830</v>
      </c>
      <c r="D860" s="69" t="s">
        <v>1329</v>
      </c>
      <c r="E860" s="2"/>
      <c r="F860" s="127">
        <v>3</v>
      </c>
      <c r="G860" s="127">
        <v>101</v>
      </c>
      <c r="H860" s="3">
        <v>4</v>
      </c>
      <c r="I860" s="127">
        <v>5</v>
      </c>
      <c r="J860" s="127">
        <v>1</v>
      </c>
      <c r="K860" s="3"/>
      <c r="L860" s="69" t="s">
        <v>845</v>
      </c>
      <c r="M860" s="2"/>
      <c r="N860" s="2">
        <v>1</v>
      </c>
      <c r="O860" s="2"/>
      <c r="P860" s="3" t="s">
        <v>1615</v>
      </c>
      <c r="Q860" s="95">
        <f t="shared" si="76"/>
        <v>4.4674509803921572</v>
      </c>
      <c r="R860" s="133">
        <f>IF(P860=模板计算相关数据!$AB$24,VLOOKUP(X860,模板计算相关数据!$P$47:$T$50,2,0),VLOOKUP(X860,模板计算相关数据!$P$4:$U$7,3,0))*VLOOKUP(Y860,模板计算相关数据!$P$22:$X$30,8,0)</f>
        <v>4.4674509803921572</v>
      </c>
      <c r="S860" s="62">
        <f t="shared" si="77"/>
        <v>5.4739930589768004</v>
      </c>
      <c r="T860" s="133">
        <f>IF(P860=模板计算相关数据!$AB$24,VLOOKUP(X860,模板计算相关数据!$P$47:$T$50,5,0),VLOOKUP(X860,模板计算相关数据!$P$4:$U$7,6,0))*VLOOKUP(Y860,模板计算相关数据!$P$22:$X$30,9,0)</f>
        <v>5.4739930589768004</v>
      </c>
      <c r="U860" s="98">
        <v>1</v>
      </c>
      <c r="V860" s="95">
        <f t="shared" si="75"/>
        <v>4</v>
      </c>
      <c r="W860" s="29">
        <f>VLOOKUP(U860,模板计算相关数据!A:N,2,0)</f>
        <v>1</v>
      </c>
      <c r="X860" s="3" t="s">
        <v>151</v>
      </c>
      <c r="Y860" s="3" t="s">
        <v>162</v>
      </c>
      <c r="Z860" s="99">
        <v>1</v>
      </c>
      <c r="AA860" s="95">
        <v>1</v>
      </c>
      <c r="AB860" s="95">
        <v>1</v>
      </c>
      <c r="AC860" s="95">
        <v>1</v>
      </c>
      <c r="AD860" s="95">
        <v>0</v>
      </c>
      <c r="AE860" s="95">
        <v>0</v>
      </c>
      <c r="AF860" s="95">
        <v>0</v>
      </c>
      <c r="AG860" s="95">
        <v>0</v>
      </c>
      <c r="AH860" s="95">
        <v>0</v>
      </c>
      <c r="AI860" s="95">
        <v>0</v>
      </c>
      <c r="AJ860" s="3">
        <f>INT(VLOOKUP(U860,模板计算相关数据!A:N,4,0)*VLOOKUP(U860,模板计算相关数据!A:N,14,0)*(1+MAX(0,(VLOOKUP(U860,模板计算相关数据!A:N,7,0)-AQ860))*VLOOKUP(U860,模板计算相关数据!A:N,8,0))*(1-(AL860+AM860)*0.5/((AL860+AM860)*0.5+(VLOOKUP(U860,模板计算相关数据!A:N,2,0)+模板计算相关数据!$AC$27)*模板计算相关数据!$AC$28))*Q860*Z860)</f>
        <v>328</v>
      </c>
      <c r="AK860" s="3">
        <f>INT(VLOOKUP(U860,模板计算相关数据!A:N,3,0)/模板计算相关数据!$W$35/(1+MAX(0,(AO860/10000-VLOOKUP(U860,模板计算相关数据!A:N,9,0)))*AP860/10000)/(1-VLOOKUP(U860,模板计算相关数据!A:N,5,0)/(VLOOKUP(U860,模板计算相关数据!A:N,5,0)+(VLOOKUP(U860,模板计算相关数据!A:N,2,0)+模板计算相关数据!$AC$27)*模板计算相关数据!$AC$28))/S860*AA860)</f>
        <v>101</v>
      </c>
      <c r="AL860" s="3">
        <f>INT(VLOOKUP(U860,模板计算相关数据!A:N,5,0)*VLOOKUP(X860,模板计算相关数据!$P$4:$T$7,4,0)*VLOOKUP(Y860,模板计算相关数据!$P$22:$U$30,4,0)*AB860)</f>
        <v>136</v>
      </c>
      <c r="AM860" s="3">
        <f>INT(VLOOKUP(U860,模板计算相关数据!A:N,6,0)*VLOOKUP(X860,模板计算相关数据!$P$4:$T$7,4,0)*VLOOKUP(Y860,模板计算相关数据!$P$22:$U$30,5,0)*AC860)</f>
        <v>230</v>
      </c>
      <c r="AN860" s="3">
        <f>VLOOKUP(U860,模板计算相关数据!A:N,10,0)*0.5*VLOOKUP(Y860,模板计算相关数据!$P$22:$U$30,6,0)+AD860</f>
        <v>250</v>
      </c>
      <c r="AO860" s="3">
        <f>VLOOKUP(INT(VLOOKUP(U860,模板计算相关数据!A:N,2,0)/30)+1,模板计算相关数据!$O$35:$U$40,3,0)+AE860</f>
        <v>0</v>
      </c>
      <c r="AP860" s="3">
        <f>VLOOKUP(INT(VLOOKUP(U860,模板计算相关数据!A:N,2,0)/30)+1,模板计算相关数据!$O$35:$U$40,4,0)+AF860</f>
        <v>5000</v>
      </c>
      <c r="AQ860" s="3">
        <f>VLOOKUP(INT(VLOOKUP(U860,模板计算相关数据!A:N,2,0)/30)+1,模板计算相关数据!$O$35:$U$40,5,0)+AG860</f>
        <v>0</v>
      </c>
      <c r="AR860" s="3">
        <f>VLOOKUP(INT(VLOOKUP(U860,模板计算相关数据!A:N,2,0)/30)+1,模板计算相关数据!$O$35:$U$40,6,0)+AH860</f>
        <v>0</v>
      </c>
      <c r="AS860" s="3">
        <f>VLOOKUP(INT(VLOOKUP(U860,模板计算相关数据!A:N,2,0)/30)+1,模板计算相关数据!$O$35:$U$40,7,0)+AI860</f>
        <v>0</v>
      </c>
      <c r="AT860" s="3">
        <f>VLOOKUP(INT(VLOOKUP(U860,模板计算相关数据!A:N,2,0)/30)+1,模板计算相关数据!$O$35:$V$40,8,0)</f>
        <v>0</v>
      </c>
      <c r="AU860" s="2"/>
    </row>
    <row r="861" spans="1:47" x14ac:dyDescent="0.2">
      <c r="A861" s="2">
        <v>307375</v>
      </c>
      <c r="B861" s="2"/>
      <c r="C861" s="69" t="s">
        <v>830</v>
      </c>
      <c r="D861" s="69" t="s">
        <v>1330</v>
      </c>
      <c r="E861" s="2"/>
      <c r="F861" s="127">
        <v>3</v>
      </c>
      <c r="G861" s="127">
        <v>101</v>
      </c>
      <c r="H861" s="3">
        <v>4</v>
      </c>
      <c r="I861" s="127">
        <v>5</v>
      </c>
      <c r="J861" s="127">
        <v>1</v>
      </c>
      <c r="K861" s="3"/>
      <c r="L861" s="69" t="s">
        <v>846</v>
      </c>
      <c r="M861" s="2"/>
      <c r="N861" s="2">
        <v>1</v>
      </c>
      <c r="O861" s="2"/>
      <c r="P861" s="3" t="s">
        <v>1615</v>
      </c>
      <c r="Q861" s="95">
        <f t="shared" si="76"/>
        <v>4.4674509803921572</v>
      </c>
      <c r="R861" s="133">
        <f>IF(P861=模板计算相关数据!$AB$24,VLOOKUP(X861,模板计算相关数据!$P$47:$T$50,2,0),VLOOKUP(X861,模板计算相关数据!$P$4:$U$7,3,0))*VLOOKUP(Y861,模板计算相关数据!$P$22:$X$30,8,0)</f>
        <v>4.4674509803921572</v>
      </c>
      <c r="S861" s="62">
        <f t="shared" si="77"/>
        <v>5.4739930589768004</v>
      </c>
      <c r="T861" s="133">
        <f>IF(P861=模板计算相关数据!$AB$24,VLOOKUP(X861,模板计算相关数据!$P$47:$T$50,5,0),VLOOKUP(X861,模板计算相关数据!$P$4:$U$7,6,0))*VLOOKUP(Y861,模板计算相关数据!$P$22:$X$30,9,0)</f>
        <v>5.4739930589768004</v>
      </c>
      <c r="U861" s="98">
        <v>1</v>
      </c>
      <c r="V861" s="95">
        <f t="shared" si="75"/>
        <v>4</v>
      </c>
      <c r="W861" s="29">
        <f>VLOOKUP(U861,模板计算相关数据!A:N,2,0)</f>
        <v>1</v>
      </c>
      <c r="X861" s="3" t="s">
        <v>151</v>
      </c>
      <c r="Y861" s="3" t="s">
        <v>162</v>
      </c>
      <c r="Z861" s="99">
        <v>1</v>
      </c>
      <c r="AA861" s="95">
        <v>1</v>
      </c>
      <c r="AB861" s="95">
        <v>1</v>
      </c>
      <c r="AC861" s="95">
        <v>1</v>
      </c>
      <c r="AD861" s="95">
        <v>0</v>
      </c>
      <c r="AE861" s="95">
        <v>0</v>
      </c>
      <c r="AF861" s="95">
        <v>0</v>
      </c>
      <c r="AG861" s="95">
        <v>0</v>
      </c>
      <c r="AH861" s="95">
        <v>0</v>
      </c>
      <c r="AI861" s="95">
        <v>0</v>
      </c>
      <c r="AJ861" s="3">
        <f>INT(VLOOKUP(U861,模板计算相关数据!A:N,4,0)*VLOOKUP(U861,模板计算相关数据!A:N,14,0)*(1+MAX(0,(VLOOKUP(U861,模板计算相关数据!A:N,7,0)-AQ861))*VLOOKUP(U861,模板计算相关数据!A:N,8,0))*(1-(AL861+AM861)*0.5/((AL861+AM861)*0.5+(VLOOKUP(U861,模板计算相关数据!A:N,2,0)+模板计算相关数据!$AC$27)*模板计算相关数据!$AC$28))*Q861*Z861)</f>
        <v>328</v>
      </c>
      <c r="AK861" s="3">
        <f>INT(VLOOKUP(U861,模板计算相关数据!A:N,3,0)/模板计算相关数据!$W$35/(1+MAX(0,(AO861/10000-VLOOKUP(U861,模板计算相关数据!A:N,9,0)))*AP861/10000)/(1-VLOOKUP(U861,模板计算相关数据!A:N,5,0)/(VLOOKUP(U861,模板计算相关数据!A:N,5,0)+(VLOOKUP(U861,模板计算相关数据!A:N,2,0)+模板计算相关数据!$AC$27)*模板计算相关数据!$AC$28))/S861*AA861)</f>
        <v>101</v>
      </c>
      <c r="AL861" s="3">
        <f>INT(VLOOKUP(U861,模板计算相关数据!A:N,5,0)*VLOOKUP(X861,模板计算相关数据!$P$4:$T$7,4,0)*VLOOKUP(Y861,模板计算相关数据!$P$22:$U$30,4,0)*AB861)</f>
        <v>136</v>
      </c>
      <c r="AM861" s="3">
        <f>INT(VLOOKUP(U861,模板计算相关数据!A:N,6,0)*VLOOKUP(X861,模板计算相关数据!$P$4:$T$7,4,0)*VLOOKUP(Y861,模板计算相关数据!$P$22:$U$30,5,0)*AC861)</f>
        <v>230</v>
      </c>
      <c r="AN861" s="3">
        <f>VLOOKUP(U861,模板计算相关数据!A:N,10,0)*0.5*VLOOKUP(Y861,模板计算相关数据!$P$22:$U$30,6,0)+AD861</f>
        <v>250</v>
      </c>
      <c r="AO861" s="3">
        <f>VLOOKUP(INT(VLOOKUP(U861,模板计算相关数据!A:N,2,0)/30)+1,模板计算相关数据!$O$35:$U$40,3,0)+AE861</f>
        <v>0</v>
      </c>
      <c r="AP861" s="3">
        <f>VLOOKUP(INT(VLOOKUP(U861,模板计算相关数据!A:N,2,0)/30)+1,模板计算相关数据!$O$35:$U$40,4,0)+AF861</f>
        <v>5000</v>
      </c>
      <c r="AQ861" s="3">
        <f>VLOOKUP(INT(VLOOKUP(U861,模板计算相关数据!A:N,2,0)/30)+1,模板计算相关数据!$O$35:$U$40,5,0)+AG861</f>
        <v>0</v>
      </c>
      <c r="AR861" s="3">
        <f>VLOOKUP(INT(VLOOKUP(U861,模板计算相关数据!A:N,2,0)/30)+1,模板计算相关数据!$O$35:$U$40,6,0)+AH861</f>
        <v>0</v>
      </c>
      <c r="AS861" s="3">
        <f>VLOOKUP(INT(VLOOKUP(U861,模板计算相关数据!A:N,2,0)/30)+1,模板计算相关数据!$O$35:$U$40,7,0)+AI861</f>
        <v>0</v>
      </c>
      <c r="AT861" s="3">
        <f>VLOOKUP(INT(VLOOKUP(U861,模板计算相关数据!A:N,2,0)/30)+1,模板计算相关数据!$O$35:$V$40,8,0)</f>
        <v>0</v>
      </c>
      <c r="AU861" s="2"/>
    </row>
    <row r="862" spans="1:47" x14ac:dyDescent="0.2">
      <c r="A862" s="2">
        <v>307376</v>
      </c>
      <c r="B862" s="2"/>
      <c r="C862" s="69" t="s">
        <v>831</v>
      </c>
      <c r="D862" s="69" t="s">
        <v>1326</v>
      </c>
      <c r="E862" s="2"/>
      <c r="F862" s="127">
        <v>3</v>
      </c>
      <c r="G862" s="127">
        <v>101</v>
      </c>
      <c r="H862" s="3">
        <v>5</v>
      </c>
      <c r="I862" s="127">
        <v>5</v>
      </c>
      <c r="J862" s="127">
        <v>1</v>
      </c>
      <c r="K862" s="3"/>
      <c r="L862" s="69" t="s">
        <v>847</v>
      </c>
      <c r="M862" s="2"/>
      <c r="N862" s="2">
        <v>1</v>
      </c>
      <c r="O862" s="2"/>
      <c r="P862" s="3" t="s">
        <v>1615</v>
      </c>
      <c r="Q862" s="95">
        <f t="shared" si="76"/>
        <v>5.7709803921568623</v>
      </c>
      <c r="R862" s="133">
        <f>IF(P862=模板计算相关数据!$AB$24,VLOOKUP(X862,模板计算相关数据!$P$47:$T$50,2,0),VLOOKUP(X862,模板计算相关数据!$P$4:$U$7,3,0))*VLOOKUP(Y862,模板计算相关数据!$P$22:$X$30,8,0)</f>
        <v>5.7709803921568623</v>
      </c>
      <c r="S862" s="62">
        <f t="shared" si="77"/>
        <v>6.4077918749199023</v>
      </c>
      <c r="T862" s="133">
        <f>IF(P862=模板计算相关数据!$AB$24,VLOOKUP(X862,模板计算相关数据!$P$47:$T$50,5,0),VLOOKUP(X862,模板计算相关数据!$P$4:$U$7,6,0))*VLOOKUP(Y862,模板计算相关数据!$P$22:$X$30,9,0)</f>
        <v>6.4077918749199023</v>
      </c>
      <c r="U862" s="98">
        <v>1</v>
      </c>
      <c r="V862" s="95">
        <f t="shared" si="75"/>
        <v>4</v>
      </c>
      <c r="W862" s="29">
        <f>VLOOKUP(U862,模板计算相关数据!A:N,2,0)</f>
        <v>1</v>
      </c>
      <c r="X862" s="3" t="s">
        <v>151</v>
      </c>
      <c r="Y862" s="3" t="s">
        <v>243</v>
      </c>
      <c r="Z862" s="99">
        <v>1</v>
      </c>
      <c r="AA862" s="95">
        <v>1</v>
      </c>
      <c r="AB862" s="95">
        <v>1</v>
      </c>
      <c r="AC862" s="95">
        <v>1</v>
      </c>
      <c r="AD862" s="95">
        <v>0</v>
      </c>
      <c r="AE862" s="95">
        <v>0</v>
      </c>
      <c r="AF862" s="95">
        <v>0</v>
      </c>
      <c r="AG862" s="95">
        <v>0</v>
      </c>
      <c r="AH862" s="95">
        <v>0</v>
      </c>
      <c r="AI862" s="95">
        <v>0</v>
      </c>
      <c r="AJ862" s="3">
        <f>INT(VLOOKUP(U862,模板计算相关数据!A:N,4,0)*VLOOKUP(U862,模板计算相关数据!A:N,14,0)*(1+MAX(0,(VLOOKUP(U862,模板计算相关数据!A:N,7,0)-AQ862))*VLOOKUP(U862,模板计算相关数据!A:N,8,0))*(1-(AL862+AM862)*0.5/((AL862+AM862)*0.5+(VLOOKUP(U862,模板计算相关数据!A:N,2,0)+模板计算相关数据!$AC$27)*模板计算相关数据!$AC$28))*Q862*Z862)</f>
        <v>411</v>
      </c>
      <c r="AK862" s="3">
        <f>INT(VLOOKUP(U862,模板计算相关数据!A:N,3,0)/模板计算相关数据!$W$35/(1+MAX(0,(AO862/10000-VLOOKUP(U862,模板计算相关数据!A:N,9,0)))*AP862/10000)/(1-VLOOKUP(U862,模板计算相关数据!A:N,5,0)/(VLOOKUP(U862,模板计算相关数据!A:N,5,0)+(VLOOKUP(U862,模板计算相关数据!A:N,2,0)+模板计算相关数据!$AC$27)*模板计算相关数据!$AC$28))/S862*AA862)</f>
        <v>86</v>
      </c>
      <c r="AL862" s="3">
        <f>INT(VLOOKUP(U862,模板计算相关数据!A:N,5,0)*VLOOKUP(X862,模板计算相关数据!$P$4:$T$7,4,0)*VLOOKUP(Y862,模板计算相关数据!$P$22:$U$30,4,0)*AB862)</f>
        <v>145</v>
      </c>
      <c r="AM862" s="3">
        <f>INT(VLOOKUP(U862,模板计算相关数据!A:N,6,0)*VLOOKUP(X862,模板计算相关数据!$P$4:$T$7,4,0)*VLOOKUP(Y862,模板计算相关数据!$P$22:$U$30,5,0)*AC862)</f>
        <v>264</v>
      </c>
      <c r="AN862" s="3">
        <f>VLOOKUP(U862,模板计算相关数据!A:N,10,0)*0.5*VLOOKUP(Y862,模板计算相关数据!$P$22:$U$30,6,0)+AD862</f>
        <v>275</v>
      </c>
      <c r="AO862" s="3">
        <f>VLOOKUP(INT(VLOOKUP(U862,模板计算相关数据!A:N,2,0)/30)+1,模板计算相关数据!$O$35:$U$40,3,0)+AE862</f>
        <v>0</v>
      </c>
      <c r="AP862" s="3">
        <f>VLOOKUP(INT(VLOOKUP(U862,模板计算相关数据!A:N,2,0)/30)+1,模板计算相关数据!$O$35:$U$40,4,0)+AF862</f>
        <v>5000</v>
      </c>
      <c r="AQ862" s="3">
        <f>VLOOKUP(INT(VLOOKUP(U862,模板计算相关数据!A:N,2,0)/30)+1,模板计算相关数据!$O$35:$U$40,5,0)+AG862</f>
        <v>0</v>
      </c>
      <c r="AR862" s="3">
        <f>VLOOKUP(INT(VLOOKUP(U862,模板计算相关数据!A:N,2,0)/30)+1,模板计算相关数据!$O$35:$U$40,6,0)+AH862</f>
        <v>0</v>
      </c>
      <c r="AS862" s="3">
        <f>VLOOKUP(INT(VLOOKUP(U862,模板计算相关数据!A:N,2,0)/30)+1,模板计算相关数据!$O$35:$U$40,7,0)+AI862</f>
        <v>0</v>
      </c>
      <c r="AT862" s="3">
        <f>VLOOKUP(INT(VLOOKUP(U862,模板计算相关数据!A:N,2,0)/30)+1,模板计算相关数据!$O$35:$V$40,8,0)</f>
        <v>0</v>
      </c>
      <c r="AU862" s="2"/>
    </row>
    <row r="863" spans="1:47" x14ac:dyDescent="0.2">
      <c r="A863" s="2">
        <v>307377</v>
      </c>
      <c r="B863" s="2"/>
      <c r="C863" s="69" t="s">
        <v>831</v>
      </c>
      <c r="D863" s="69" t="s">
        <v>1327</v>
      </c>
      <c r="E863" s="2"/>
      <c r="F863" s="127">
        <v>3</v>
      </c>
      <c r="G863" s="127">
        <v>101</v>
      </c>
      <c r="H863" s="3">
        <v>5</v>
      </c>
      <c r="I863" s="127">
        <v>5</v>
      </c>
      <c r="J863" s="127">
        <v>1</v>
      </c>
      <c r="K863" s="3"/>
      <c r="L863" s="69" t="s">
        <v>848</v>
      </c>
      <c r="M863" s="2"/>
      <c r="N863" s="2">
        <v>1</v>
      </c>
      <c r="O863" s="2"/>
      <c r="P863" s="3" t="s">
        <v>1615</v>
      </c>
      <c r="Q863" s="95">
        <f t="shared" si="76"/>
        <v>5.7709803921568623</v>
      </c>
      <c r="R863" s="133">
        <f>IF(P863=模板计算相关数据!$AB$24,VLOOKUP(X863,模板计算相关数据!$P$47:$T$50,2,0),VLOOKUP(X863,模板计算相关数据!$P$4:$U$7,3,0))*VLOOKUP(Y863,模板计算相关数据!$P$22:$X$30,8,0)</f>
        <v>5.7709803921568623</v>
      </c>
      <c r="S863" s="62">
        <f t="shared" si="77"/>
        <v>6.4077918749199023</v>
      </c>
      <c r="T863" s="133">
        <f>IF(P863=模板计算相关数据!$AB$24,VLOOKUP(X863,模板计算相关数据!$P$47:$T$50,5,0),VLOOKUP(X863,模板计算相关数据!$P$4:$U$7,6,0))*VLOOKUP(Y863,模板计算相关数据!$P$22:$X$30,9,0)</f>
        <v>6.4077918749199023</v>
      </c>
      <c r="U863" s="98">
        <v>1</v>
      </c>
      <c r="V863" s="95">
        <f t="shared" si="75"/>
        <v>4</v>
      </c>
      <c r="W863" s="29">
        <f>VLOOKUP(U863,模板计算相关数据!A:N,2,0)</f>
        <v>1</v>
      </c>
      <c r="X863" s="3" t="s">
        <v>151</v>
      </c>
      <c r="Y863" s="3" t="s">
        <v>243</v>
      </c>
      <c r="Z863" s="99">
        <v>1</v>
      </c>
      <c r="AA863" s="95">
        <v>1</v>
      </c>
      <c r="AB863" s="95">
        <v>1</v>
      </c>
      <c r="AC863" s="95">
        <v>1</v>
      </c>
      <c r="AD863" s="95">
        <v>0</v>
      </c>
      <c r="AE863" s="95">
        <v>0</v>
      </c>
      <c r="AF863" s="95">
        <v>0</v>
      </c>
      <c r="AG863" s="95">
        <v>0</v>
      </c>
      <c r="AH863" s="95">
        <v>0</v>
      </c>
      <c r="AI863" s="95">
        <v>0</v>
      </c>
      <c r="AJ863" s="3">
        <f>INT(VLOOKUP(U863,模板计算相关数据!A:N,4,0)*VLOOKUP(U863,模板计算相关数据!A:N,14,0)*(1+MAX(0,(VLOOKUP(U863,模板计算相关数据!A:N,7,0)-AQ863))*VLOOKUP(U863,模板计算相关数据!A:N,8,0))*(1-(AL863+AM863)*0.5/((AL863+AM863)*0.5+(VLOOKUP(U863,模板计算相关数据!A:N,2,0)+模板计算相关数据!$AC$27)*模板计算相关数据!$AC$28))*Q863*Z863)</f>
        <v>411</v>
      </c>
      <c r="AK863" s="3">
        <f>INT(VLOOKUP(U863,模板计算相关数据!A:N,3,0)/模板计算相关数据!$W$35/(1+MAX(0,(AO863/10000-VLOOKUP(U863,模板计算相关数据!A:N,9,0)))*AP863/10000)/(1-VLOOKUP(U863,模板计算相关数据!A:N,5,0)/(VLOOKUP(U863,模板计算相关数据!A:N,5,0)+(VLOOKUP(U863,模板计算相关数据!A:N,2,0)+模板计算相关数据!$AC$27)*模板计算相关数据!$AC$28))/S863*AA863)</f>
        <v>86</v>
      </c>
      <c r="AL863" s="3">
        <f>INT(VLOOKUP(U863,模板计算相关数据!A:N,5,0)*VLOOKUP(X863,模板计算相关数据!$P$4:$T$7,4,0)*VLOOKUP(Y863,模板计算相关数据!$P$22:$U$30,4,0)*AB863)</f>
        <v>145</v>
      </c>
      <c r="AM863" s="3">
        <f>INT(VLOOKUP(U863,模板计算相关数据!A:N,6,0)*VLOOKUP(X863,模板计算相关数据!$P$4:$T$7,4,0)*VLOOKUP(Y863,模板计算相关数据!$P$22:$U$30,5,0)*AC863)</f>
        <v>264</v>
      </c>
      <c r="AN863" s="3">
        <f>VLOOKUP(U863,模板计算相关数据!A:N,10,0)*0.5*VLOOKUP(Y863,模板计算相关数据!$P$22:$U$30,6,0)+AD863</f>
        <v>275</v>
      </c>
      <c r="AO863" s="3">
        <f>VLOOKUP(INT(VLOOKUP(U863,模板计算相关数据!A:N,2,0)/30)+1,模板计算相关数据!$O$35:$U$40,3,0)+AE863</f>
        <v>0</v>
      </c>
      <c r="AP863" s="3">
        <f>VLOOKUP(INT(VLOOKUP(U863,模板计算相关数据!A:N,2,0)/30)+1,模板计算相关数据!$O$35:$U$40,4,0)+AF863</f>
        <v>5000</v>
      </c>
      <c r="AQ863" s="3">
        <f>VLOOKUP(INT(VLOOKUP(U863,模板计算相关数据!A:N,2,0)/30)+1,模板计算相关数据!$O$35:$U$40,5,0)+AG863</f>
        <v>0</v>
      </c>
      <c r="AR863" s="3">
        <f>VLOOKUP(INT(VLOOKUP(U863,模板计算相关数据!A:N,2,0)/30)+1,模板计算相关数据!$O$35:$U$40,6,0)+AH863</f>
        <v>0</v>
      </c>
      <c r="AS863" s="3">
        <f>VLOOKUP(INT(VLOOKUP(U863,模板计算相关数据!A:N,2,0)/30)+1,模板计算相关数据!$O$35:$U$40,7,0)+AI863</f>
        <v>0</v>
      </c>
      <c r="AT863" s="3">
        <f>VLOOKUP(INT(VLOOKUP(U863,模板计算相关数据!A:N,2,0)/30)+1,模板计算相关数据!$O$35:$V$40,8,0)</f>
        <v>0</v>
      </c>
      <c r="AU863" s="2"/>
    </row>
    <row r="864" spans="1:47" x14ac:dyDescent="0.2">
      <c r="A864" s="2">
        <v>307378</v>
      </c>
      <c r="B864" s="2"/>
      <c r="C864" s="69" t="s">
        <v>831</v>
      </c>
      <c r="D864" s="69" t="s">
        <v>1328</v>
      </c>
      <c r="E864" s="2"/>
      <c r="F864" s="127">
        <v>3</v>
      </c>
      <c r="G864" s="127">
        <v>101</v>
      </c>
      <c r="H864" s="3">
        <v>5</v>
      </c>
      <c r="I864" s="127">
        <v>5</v>
      </c>
      <c r="J864" s="127">
        <v>1</v>
      </c>
      <c r="K864" s="3"/>
      <c r="L864" s="69" t="s">
        <v>849</v>
      </c>
      <c r="M864" s="2"/>
      <c r="N864" s="2">
        <v>1</v>
      </c>
      <c r="O864" s="2"/>
      <c r="P864" s="3" t="s">
        <v>1615</v>
      </c>
      <c r="Q864" s="95">
        <f t="shared" si="76"/>
        <v>5.7709803921568623</v>
      </c>
      <c r="R864" s="133">
        <f>IF(P864=模板计算相关数据!$AB$24,VLOOKUP(X864,模板计算相关数据!$P$47:$T$50,2,0),VLOOKUP(X864,模板计算相关数据!$P$4:$U$7,3,0))*VLOOKUP(Y864,模板计算相关数据!$P$22:$X$30,8,0)</f>
        <v>5.7709803921568623</v>
      </c>
      <c r="S864" s="62">
        <f t="shared" si="77"/>
        <v>6.4077918749199023</v>
      </c>
      <c r="T864" s="133">
        <f>IF(P864=模板计算相关数据!$AB$24,VLOOKUP(X864,模板计算相关数据!$P$47:$T$50,5,0),VLOOKUP(X864,模板计算相关数据!$P$4:$U$7,6,0))*VLOOKUP(Y864,模板计算相关数据!$P$22:$X$30,9,0)</f>
        <v>6.4077918749199023</v>
      </c>
      <c r="U864" s="98">
        <v>1</v>
      </c>
      <c r="V864" s="95">
        <f t="shared" si="75"/>
        <v>4</v>
      </c>
      <c r="W864" s="29">
        <f>VLOOKUP(U864,模板计算相关数据!A:N,2,0)</f>
        <v>1</v>
      </c>
      <c r="X864" s="3" t="s">
        <v>151</v>
      </c>
      <c r="Y864" s="3" t="s">
        <v>243</v>
      </c>
      <c r="Z864" s="99">
        <v>1</v>
      </c>
      <c r="AA864" s="95">
        <v>1</v>
      </c>
      <c r="AB864" s="95">
        <v>1</v>
      </c>
      <c r="AC864" s="95">
        <v>1</v>
      </c>
      <c r="AD864" s="95">
        <v>0</v>
      </c>
      <c r="AE864" s="95">
        <v>0</v>
      </c>
      <c r="AF864" s="95">
        <v>0</v>
      </c>
      <c r="AG864" s="95">
        <v>0</v>
      </c>
      <c r="AH864" s="95">
        <v>0</v>
      </c>
      <c r="AI864" s="95">
        <v>0</v>
      </c>
      <c r="AJ864" s="3">
        <f>INT(VLOOKUP(U864,模板计算相关数据!A:N,4,0)*VLOOKUP(U864,模板计算相关数据!A:N,14,0)*(1+MAX(0,(VLOOKUP(U864,模板计算相关数据!A:N,7,0)-AQ864))*VLOOKUP(U864,模板计算相关数据!A:N,8,0))*(1-(AL864+AM864)*0.5/((AL864+AM864)*0.5+(VLOOKUP(U864,模板计算相关数据!A:N,2,0)+模板计算相关数据!$AC$27)*模板计算相关数据!$AC$28))*Q864*Z864)</f>
        <v>411</v>
      </c>
      <c r="AK864" s="3">
        <f>INT(VLOOKUP(U864,模板计算相关数据!A:N,3,0)/模板计算相关数据!$W$35/(1+MAX(0,(AO864/10000-VLOOKUP(U864,模板计算相关数据!A:N,9,0)))*AP864/10000)/(1-VLOOKUP(U864,模板计算相关数据!A:N,5,0)/(VLOOKUP(U864,模板计算相关数据!A:N,5,0)+(VLOOKUP(U864,模板计算相关数据!A:N,2,0)+模板计算相关数据!$AC$27)*模板计算相关数据!$AC$28))/S864*AA864)</f>
        <v>86</v>
      </c>
      <c r="AL864" s="3">
        <f>INT(VLOOKUP(U864,模板计算相关数据!A:N,5,0)*VLOOKUP(X864,模板计算相关数据!$P$4:$T$7,4,0)*VLOOKUP(Y864,模板计算相关数据!$P$22:$U$30,4,0)*AB864)</f>
        <v>145</v>
      </c>
      <c r="AM864" s="3">
        <f>INT(VLOOKUP(U864,模板计算相关数据!A:N,6,0)*VLOOKUP(X864,模板计算相关数据!$P$4:$T$7,4,0)*VLOOKUP(Y864,模板计算相关数据!$P$22:$U$30,5,0)*AC864)</f>
        <v>264</v>
      </c>
      <c r="AN864" s="3">
        <f>VLOOKUP(U864,模板计算相关数据!A:N,10,0)*0.5*VLOOKUP(Y864,模板计算相关数据!$P$22:$U$30,6,0)+AD864</f>
        <v>275</v>
      </c>
      <c r="AO864" s="3">
        <f>VLOOKUP(INT(VLOOKUP(U864,模板计算相关数据!A:N,2,0)/30)+1,模板计算相关数据!$O$35:$U$40,3,0)+AE864</f>
        <v>0</v>
      </c>
      <c r="AP864" s="3">
        <f>VLOOKUP(INT(VLOOKUP(U864,模板计算相关数据!A:N,2,0)/30)+1,模板计算相关数据!$O$35:$U$40,4,0)+AF864</f>
        <v>5000</v>
      </c>
      <c r="AQ864" s="3">
        <f>VLOOKUP(INT(VLOOKUP(U864,模板计算相关数据!A:N,2,0)/30)+1,模板计算相关数据!$O$35:$U$40,5,0)+AG864</f>
        <v>0</v>
      </c>
      <c r="AR864" s="3">
        <f>VLOOKUP(INT(VLOOKUP(U864,模板计算相关数据!A:N,2,0)/30)+1,模板计算相关数据!$O$35:$U$40,6,0)+AH864</f>
        <v>0</v>
      </c>
      <c r="AS864" s="3">
        <f>VLOOKUP(INT(VLOOKUP(U864,模板计算相关数据!A:N,2,0)/30)+1,模板计算相关数据!$O$35:$U$40,7,0)+AI864</f>
        <v>0</v>
      </c>
      <c r="AT864" s="3">
        <f>VLOOKUP(INT(VLOOKUP(U864,模板计算相关数据!A:N,2,0)/30)+1,模板计算相关数据!$O$35:$V$40,8,0)</f>
        <v>0</v>
      </c>
      <c r="AU864" s="2"/>
    </row>
    <row r="865" spans="1:47" x14ac:dyDescent="0.2">
      <c r="A865" s="2">
        <v>307379</v>
      </c>
      <c r="B865" s="2"/>
      <c r="C865" s="69" t="s">
        <v>831</v>
      </c>
      <c r="D865" s="69" t="s">
        <v>1329</v>
      </c>
      <c r="E865" s="2"/>
      <c r="F865" s="127">
        <v>3</v>
      </c>
      <c r="G865" s="127">
        <v>101</v>
      </c>
      <c r="H865" s="3">
        <v>5</v>
      </c>
      <c r="I865" s="127">
        <v>5</v>
      </c>
      <c r="J865" s="127">
        <v>1</v>
      </c>
      <c r="K865" s="3"/>
      <c r="L865" s="69" t="s">
        <v>850</v>
      </c>
      <c r="M865" s="2"/>
      <c r="N865" s="2">
        <v>1</v>
      </c>
      <c r="O865" s="2"/>
      <c r="P865" s="3" t="s">
        <v>1615</v>
      </c>
      <c r="Q865" s="95">
        <f t="shared" si="76"/>
        <v>5.7709803921568623</v>
      </c>
      <c r="R865" s="133">
        <f>IF(P865=模板计算相关数据!$AB$24,VLOOKUP(X865,模板计算相关数据!$P$47:$T$50,2,0),VLOOKUP(X865,模板计算相关数据!$P$4:$U$7,3,0))*VLOOKUP(Y865,模板计算相关数据!$P$22:$X$30,8,0)</f>
        <v>5.7709803921568623</v>
      </c>
      <c r="S865" s="62">
        <f t="shared" si="77"/>
        <v>6.4077918749199023</v>
      </c>
      <c r="T865" s="133">
        <f>IF(P865=模板计算相关数据!$AB$24,VLOOKUP(X865,模板计算相关数据!$P$47:$T$50,5,0),VLOOKUP(X865,模板计算相关数据!$P$4:$U$7,6,0))*VLOOKUP(Y865,模板计算相关数据!$P$22:$X$30,9,0)</f>
        <v>6.4077918749199023</v>
      </c>
      <c r="U865" s="98">
        <v>1</v>
      </c>
      <c r="V865" s="95">
        <f t="shared" si="75"/>
        <v>4</v>
      </c>
      <c r="W865" s="29">
        <f>VLOOKUP(U865,模板计算相关数据!A:N,2,0)</f>
        <v>1</v>
      </c>
      <c r="X865" s="3" t="s">
        <v>151</v>
      </c>
      <c r="Y865" s="3" t="s">
        <v>243</v>
      </c>
      <c r="Z865" s="99">
        <v>1</v>
      </c>
      <c r="AA865" s="95">
        <v>1</v>
      </c>
      <c r="AB865" s="95">
        <v>1</v>
      </c>
      <c r="AC865" s="95">
        <v>1</v>
      </c>
      <c r="AD865" s="95">
        <v>0</v>
      </c>
      <c r="AE865" s="95">
        <v>0</v>
      </c>
      <c r="AF865" s="95">
        <v>0</v>
      </c>
      <c r="AG865" s="95">
        <v>0</v>
      </c>
      <c r="AH865" s="95">
        <v>0</v>
      </c>
      <c r="AI865" s="95">
        <v>0</v>
      </c>
      <c r="AJ865" s="3">
        <f>INT(VLOOKUP(U865,模板计算相关数据!A:N,4,0)*VLOOKUP(U865,模板计算相关数据!A:N,14,0)*(1+MAX(0,(VLOOKUP(U865,模板计算相关数据!A:N,7,0)-AQ865))*VLOOKUP(U865,模板计算相关数据!A:N,8,0))*(1-(AL865+AM865)*0.5/((AL865+AM865)*0.5+(VLOOKUP(U865,模板计算相关数据!A:N,2,0)+模板计算相关数据!$AC$27)*模板计算相关数据!$AC$28))*Q865*Z865)</f>
        <v>411</v>
      </c>
      <c r="AK865" s="3">
        <f>INT(VLOOKUP(U865,模板计算相关数据!A:N,3,0)/模板计算相关数据!$W$35/(1+MAX(0,(AO865/10000-VLOOKUP(U865,模板计算相关数据!A:N,9,0)))*AP865/10000)/(1-VLOOKUP(U865,模板计算相关数据!A:N,5,0)/(VLOOKUP(U865,模板计算相关数据!A:N,5,0)+(VLOOKUP(U865,模板计算相关数据!A:N,2,0)+模板计算相关数据!$AC$27)*模板计算相关数据!$AC$28))/S865*AA865)</f>
        <v>86</v>
      </c>
      <c r="AL865" s="3">
        <f>INT(VLOOKUP(U865,模板计算相关数据!A:N,5,0)*VLOOKUP(X865,模板计算相关数据!$P$4:$T$7,4,0)*VLOOKUP(Y865,模板计算相关数据!$P$22:$U$30,4,0)*AB865)</f>
        <v>145</v>
      </c>
      <c r="AM865" s="3">
        <f>INT(VLOOKUP(U865,模板计算相关数据!A:N,6,0)*VLOOKUP(X865,模板计算相关数据!$P$4:$T$7,4,0)*VLOOKUP(Y865,模板计算相关数据!$P$22:$U$30,5,0)*AC865)</f>
        <v>264</v>
      </c>
      <c r="AN865" s="3">
        <f>VLOOKUP(U865,模板计算相关数据!A:N,10,0)*0.5*VLOOKUP(Y865,模板计算相关数据!$P$22:$U$30,6,0)+AD865</f>
        <v>275</v>
      </c>
      <c r="AO865" s="3">
        <f>VLOOKUP(INT(VLOOKUP(U865,模板计算相关数据!A:N,2,0)/30)+1,模板计算相关数据!$O$35:$U$40,3,0)+AE865</f>
        <v>0</v>
      </c>
      <c r="AP865" s="3">
        <f>VLOOKUP(INT(VLOOKUP(U865,模板计算相关数据!A:N,2,0)/30)+1,模板计算相关数据!$O$35:$U$40,4,0)+AF865</f>
        <v>5000</v>
      </c>
      <c r="AQ865" s="3">
        <f>VLOOKUP(INT(VLOOKUP(U865,模板计算相关数据!A:N,2,0)/30)+1,模板计算相关数据!$O$35:$U$40,5,0)+AG865</f>
        <v>0</v>
      </c>
      <c r="AR865" s="3">
        <f>VLOOKUP(INT(VLOOKUP(U865,模板计算相关数据!A:N,2,0)/30)+1,模板计算相关数据!$O$35:$U$40,6,0)+AH865</f>
        <v>0</v>
      </c>
      <c r="AS865" s="3">
        <f>VLOOKUP(INT(VLOOKUP(U865,模板计算相关数据!A:N,2,0)/30)+1,模板计算相关数据!$O$35:$U$40,7,0)+AI865</f>
        <v>0</v>
      </c>
      <c r="AT865" s="3">
        <f>VLOOKUP(INT(VLOOKUP(U865,模板计算相关数据!A:N,2,0)/30)+1,模板计算相关数据!$O$35:$V$40,8,0)</f>
        <v>0</v>
      </c>
      <c r="AU865" s="2"/>
    </row>
    <row r="866" spans="1:47" x14ac:dyDescent="0.2">
      <c r="A866" s="2">
        <v>307380</v>
      </c>
      <c r="B866" s="2"/>
      <c r="C866" s="69" t="s">
        <v>831</v>
      </c>
      <c r="D866" s="69" t="s">
        <v>1330</v>
      </c>
      <c r="E866" s="2"/>
      <c r="F866" s="127">
        <v>3</v>
      </c>
      <c r="G866" s="127">
        <v>101</v>
      </c>
      <c r="H866" s="3">
        <v>5</v>
      </c>
      <c r="I866" s="127">
        <v>5</v>
      </c>
      <c r="J866" s="127">
        <v>1</v>
      </c>
      <c r="K866" s="3"/>
      <c r="L866" s="69" t="s">
        <v>851</v>
      </c>
      <c r="M866" s="2"/>
      <c r="N866" s="2">
        <v>1</v>
      </c>
      <c r="O866" s="2"/>
      <c r="P866" s="3" t="s">
        <v>1615</v>
      </c>
      <c r="Q866" s="95">
        <f t="shared" si="76"/>
        <v>5.7709803921568623</v>
      </c>
      <c r="R866" s="133">
        <f>IF(P866=模板计算相关数据!$AB$24,VLOOKUP(X866,模板计算相关数据!$P$47:$T$50,2,0),VLOOKUP(X866,模板计算相关数据!$P$4:$U$7,3,0))*VLOOKUP(Y866,模板计算相关数据!$P$22:$X$30,8,0)</f>
        <v>5.7709803921568623</v>
      </c>
      <c r="S866" s="62">
        <f t="shared" si="77"/>
        <v>6.4077918749199023</v>
      </c>
      <c r="T866" s="133">
        <f>IF(P866=模板计算相关数据!$AB$24,VLOOKUP(X866,模板计算相关数据!$P$47:$T$50,5,0),VLOOKUP(X866,模板计算相关数据!$P$4:$U$7,6,0))*VLOOKUP(Y866,模板计算相关数据!$P$22:$X$30,9,0)</f>
        <v>6.4077918749199023</v>
      </c>
      <c r="U866" s="98">
        <v>1</v>
      </c>
      <c r="V866" s="95">
        <f t="shared" si="75"/>
        <v>4</v>
      </c>
      <c r="W866" s="29">
        <f>VLOOKUP(U866,模板计算相关数据!A:N,2,0)</f>
        <v>1</v>
      </c>
      <c r="X866" s="3" t="s">
        <v>151</v>
      </c>
      <c r="Y866" s="3" t="s">
        <v>243</v>
      </c>
      <c r="Z866" s="99">
        <v>1</v>
      </c>
      <c r="AA866" s="95">
        <v>1</v>
      </c>
      <c r="AB866" s="95">
        <v>1</v>
      </c>
      <c r="AC866" s="95">
        <v>1</v>
      </c>
      <c r="AD866" s="95">
        <v>0</v>
      </c>
      <c r="AE866" s="95">
        <v>0</v>
      </c>
      <c r="AF866" s="95">
        <v>0</v>
      </c>
      <c r="AG866" s="95">
        <v>0</v>
      </c>
      <c r="AH866" s="95">
        <v>0</v>
      </c>
      <c r="AI866" s="95">
        <v>0</v>
      </c>
      <c r="AJ866" s="3">
        <f>INT(VLOOKUP(U866,模板计算相关数据!A:N,4,0)*VLOOKUP(U866,模板计算相关数据!A:N,14,0)*(1+MAX(0,(VLOOKUP(U866,模板计算相关数据!A:N,7,0)-AQ866))*VLOOKUP(U866,模板计算相关数据!A:N,8,0))*(1-(AL866+AM866)*0.5/((AL866+AM866)*0.5+(VLOOKUP(U866,模板计算相关数据!A:N,2,0)+模板计算相关数据!$AC$27)*模板计算相关数据!$AC$28))*Q866*Z866)</f>
        <v>411</v>
      </c>
      <c r="AK866" s="3">
        <f>INT(VLOOKUP(U866,模板计算相关数据!A:N,3,0)/模板计算相关数据!$W$35/(1+MAX(0,(AO866/10000-VLOOKUP(U866,模板计算相关数据!A:N,9,0)))*AP866/10000)/(1-VLOOKUP(U866,模板计算相关数据!A:N,5,0)/(VLOOKUP(U866,模板计算相关数据!A:N,5,0)+(VLOOKUP(U866,模板计算相关数据!A:N,2,0)+模板计算相关数据!$AC$27)*模板计算相关数据!$AC$28))/S866*AA866)</f>
        <v>86</v>
      </c>
      <c r="AL866" s="3">
        <f>INT(VLOOKUP(U866,模板计算相关数据!A:N,5,0)*VLOOKUP(X866,模板计算相关数据!$P$4:$T$7,4,0)*VLOOKUP(Y866,模板计算相关数据!$P$22:$U$30,4,0)*AB866)</f>
        <v>145</v>
      </c>
      <c r="AM866" s="3">
        <f>INT(VLOOKUP(U866,模板计算相关数据!A:N,6,0)*VLOOKUP(X866,模板计算相关数据!$P$4:$T$7,4,0)*VLOOKUP(Y866,模板计算相关数据!$P$22:$U$30,5,0)*AC866)</f>
        <v>264</v>
      </c>
      <c r="AN866" s="3">
        <f>VLOOKUP(U866,模板计算相关数据!A:N,10,0)*0.5*VLOOKUP(Y866,模板计算相关数据!$P$22:$U$30,6,0)+AD866</f>
        <v>275</v>
      </c>
      <c r="AO866" s="3">
        <f>VLOOKUP(INT(VLOOKUP(U866,模板计算相关数据!A:N,2,0)/30)+1,模板计算相关数据!$O$35:$U$40,3,0)+AE866</f>
        <v>0</v>
      </c>
      <c r="AP866" s="3">
        <f>VLOOKUP(INT(VLOOKUP(U866,模板计算相关数据!A:N,2,0)/30)+1,模板计算相关数据!$O$35:$U$40,4,0)+AF866</f>
        <v>5000</v>
      </c>
      <c r="AQ866" s="3">
        <f>VLOOKUP(INT(VLOOKUP(U866,模板计算相关数据!A:N,2,0)/30)+1,模板计算相关数据!$O$35:$U$40,5,0)+AG866</f>
        <v>0</v>
      </c>
      <c r="AR866" s="3">
        <f>VLOOKUP(INT(VLOOKUP(U866,模板计算相关数据!A:N,2,0)/30)+1,模板计算相关数据!$O$35:$U$40,6,0)+AH866</f>
        <v>0</v>
      </c>
      <c r="AS866" s="3">
        <f>VLOOKUP(INT(VLOOKUP(U866,模板计算相关数据!A:N,2,0)/30)+1,模板计算相关数据!$O$35:$U$40,7,0)+AI866</f>
        <v>0</v>
      </c>
      <c r="AT866" s="3">
        <f>VLOOKUP(INT(VLOOKUP(U866,模板计算相关数据!A:N,2,0)/30)+1,模板计算相关数据!$O$35:$V$40,8,0)</f>
        <v>0</v>
      </c>
      <c r="AU866" s="2"/>
    </row>
    <row r="867" spans="1:47" x14ac:dyDescent="0.2">
      <c r="A867" s="35">
        <v>51013011</v>
      </c>
      <c r="B867" s="35"/>
      <c r="C867" s="34" t="s">
        <v>1433</v>
      </c>
      <c r="D867" s="19" t="s">
        <v>1428</v>
      </c>
      <c r="E867" s="2"/>
      <c r="F867" s="3">
        <v>1</v>
      </c>
      <c r="G867" s="3">
        <v>102901</v>
      </c>
      <c r="H867" s="3">
        <v>2</v>
      </c>
      <c r="I867" s="2">
        <v>4</v>
      </c>
      <c r="J867" s="3">
        <v>5</v>
      </c>
      <c r="K867" s="3">
        <v>2</v>
      </c>
      <c r="L867" s="69" t="s">
        <v>1516</v>
      </c>
      <c r="M867" s="2"/>
      <c r="N867" s="2">
        <v>1</v>
      </c>
      <c r="O867" s="2"/>
      <c r="P867" s="3" t="s">
        <v>1615</v>
      </c>
      <c r="Q867" s="95">
        <v>13</v>
      </c>
      <c r="R867" s="133">
        <f>IF(P867=模板计算相关数据!$AB$24,VLOOKUP(X867,模板计算相关数据!$P$47:$T$50,2,0),VLOOKUP(X867,模板计算相关数据!$P$4:$U$7,3,0))*VLOOKUP(Y867,模板计算相关数据!$P$22:$X$30,8,0)</f>
        <v>11.105882352941178</v>
      </c>
      <c r="S867" s="62">
        <f t="shared" si="77"/>
        <v>5.7422422307462622</v>
      </c>
      <c r="T867" s="133">
        <f>IF(P867=模板计算相关数据!$AB$24,VLOOKUP(X867,模板计算相关数据!$P$47:$T$50,5,0),VLOOKUP(X867,模板计算相关数据!$P$4:$U$7,6,0))*VLOOKUP(Y867,模板计算相关数据!$P$22:$X$30,9,0)</f>
        <v>5.7422422307462622</v>
      </c>
      <c r="U867" s="98">
        <v>58</v>
      </c>
      <c r="V867" s="95">
        <f t="shared" si="75"/>
        <v>36</v>
      </c>
      <c r="W867" s="29">
        <f>VLOOKUP(U867,模板计算相关数据!A:N,2,0)</f>
        <v>33</v>
      </c>
      <c r="X867" s="3" t="s">
        <v>158</v>
      </c>
      <c r="Y867" s="3" t="s">
        <v>155</v>
      </c>
      <c r="Z867" s="95">
        <v>1</v>
      </c>
      <c r="AA867" s="95">
        <v>1</v>
      </c>
      <c r="AB867" s="95">
        <v>1</v>
      </c>
      <c r="AC867" s="95">
        <v>1</v>
      </c>
      <c r="AD867" s="95">
        <v>0</v>
      </c>
      <c r="AE867" s="95">
        <v>0</v>
      </c>
      <c r="AF867" s="95">
        <v>0</v>
      </c>
      <c r="AG867" s="95">
        <v>0</v>
      </c>
      <c r="AH867" s="95">
        <v>0</v>
      </c>
      <c r="AI867" s="95">
        <v>2000</v>
      </c>
      <c r="AJ867" s="3">
        <f>INT(VLOOKUP(U867,模板计算相关数据!A:N,4,0)*VLOOKUP(U867,模板计算相关数据!A:N,14,0)*(1+MAX(0,(VLOOKUP(U867,模板计算相关数据!A:N,7,0)-AQ867))*VLOOKUP(U867,模板计算相关数据!A:N,8,0))*(1-(AL867+AM867)*0.5/((AL867+AM867)*0.5+(VLOOKUP(U867,模板计算相关数据!A:N,2,0)+模板计算相关数据!$AC$27)*模板计算相关数据!$AC$28))*Q867*Z867)</f>
        <v>8557</v>
      </c>
      <c r="AK867" s="3">
        <f>INT(VLOOKUP(U867,模板计算相关数据!A:N,3,0)/模板计算相关数据!$W$35/(1+MAX(0,(AO867/10000-VLOOKUP(U867,模板计算相关数据!A:N,9,0)))*AP867/10000)/(1-VLOOKUP(U867,模板计算相关数据!A:N,5,0)/(VLOOKUP(U867,模板计算相关数据!A:N,5,0)+(VLOOKUP(U867,模板计算相关数据!A:N,2,0)+模板计算相关数据!$AC$27)*模板计算相关数据!$AC$28))/S867*AA867)</f>
        <v>1140</v>
      </c>
      <c r="AL867" s="3">
        <f>INT(VLOOKUP(U867,模板计算相关数据!A:N,5,0)*VLOOKUP(X867,模板计算相关数据!$P$4:$T$7,4,0)*VLOOKUP(Y867,模板计算相关数据!$P$22:$U$30,4,0)*AB867)</f>
        <v>3699</v>
      </c>
      <c r="AM867" s="3">
        <f>INT(VLOOKUP(U867,模板计算相关数据!A:N,6,0)*VLOOKUP(X867,模板计算相关数据!$P$4:$T$7,4,0)*VLOOKUP(Y867,模板计算相关数据!$P$22:$U$30,5,0)*AC867)</f>
        <v>2049</v>
      </c>
      <c r="AN867" s="3">
        <f>VLOOKUP(U867,模板计算相关数据!A:N,10,0)*0.5*VLOOKUP(Y867,模板计算相关数据!$P$22:$U$30,6,0)+AD867</f>
        <v>225</v>
      </c>
      <c r="AO867" s="3">
        <f>VLOOKUP(INT(VLOOKUP(U867,模板计算相关数据!A:N,2,0)/30)+1,模板计算相关数据!$O$35:$U$40,3,0)+AE867</f>
        <v>0</v>
      </c>
      <c r="AP867" s="3">
        <f>VLOOKUP(INT(VLOOKUP(U867,模板计算相关数据!A:N,2,0)/30)+1,模板计算相关数据!$O$35:$U$40,4,0)+AF867</f>
        <v>5000</v>
      </c>
      <c r="AQ867" s="3">
        <f>VLOOKUP(INT(VLOOKUP(U867,模板计算相关数据!A:N,2,0)/30)+1,模板计算相关数据!$O$35:$U$40,5,0)+AG867</f>
        <v>0</v>
      </c>
      <c r="AR867" s="3">
        <f>VLOOKUP(INT(VLOOKUP(U867,模板计算相关数据!A:N,2,0)/30)+1,模板计算相关数据!$O$35:$U$40,6,0)+AH867</f>
        <v>0</v>
      </c>
      <c r="AS867" s="3">
        <f>VLOOKUP(INT(VLOOKUP(U867,模板计算相关数据!A:N,2,0)/30)+1,模板计算相关数据!$O$35:$U$40,7,0)+AI867</f>
        <v>2000</v>
      </c>
      <c r="AT867" s="3">
        <f>VLOOKUP(INT(VLOOKUP(U867,模板计算相关数据!A:N,2,0)/30)+1,模板计算相关数据!$O$35:$V$40,8,0)</f>
        <v>0</v>
      </c>
      <c r="AU867" s="2"/>
    </row>
    <row r="868" spans="1:47" x14ac:dyDescent="0.2">
      <c r="A868" s="86">
        <v>51013021</v>
      </c>
      <c r="B868" s="86"/>
      <c r="C868" s="69" t="s">
        <v>1433</v>
      </c>
      <c r="D868" s="2" t="s">
        <v>1429</v>
      </c>
      <c r="E868" s="2"/>
      <c r="F868" s="3">
        <v>1</v>
      </c>
      <c r="G868" s="3">
        <v>102901</v>
      </c>
      <c r="H868" s="3">
        <v>2</v>
      </c>
      <c r="I868" s="2">
        <v>4</v>
      </c>
      <c r="J868" s="3">
        <v>5</v>
      </c>
      <c r="K868" s="3">
        <v>2</v>
      </c>
      <c r="L868" s="69" t="s">
        <v>1516</v>
      </c>
      <c r="M868" s="2"/>
      <c r="N868" s="2">
        <v>1</v>
      </c>
      <c r="O868" s="2"/>
      <c r="P868" s="3" t="s">
        <v>1615</v>
      </c>
      <c r="Q868" s="95">
        <v>14</v>
      </c>
      <c r="R868" s="133">
        <f>IF(P868=模板计算相关数据!$AB$24,VLOOKUP(X868,模板计算相关数据!$P$47:$T$50,2,0),VLOOKUP(X868,模板计算相关数据!$P$4:$U$7,3,0))*VLOOKUP(Y868,模板计算相关数据!$P$22:$X$30,8,0)</f>
        <v>11.105882352941178</v>
      </c>
      <c r="S868" s="62">
        <f t="shared" si="77"/>
        <v>5.7422422307462622</v>
      </c>
      <c r="T868" s="133">
        <f>IF(P868=模板计算相关数据!$AB$24,VLOOKUP(X868,模板计算相关数据!$P$47:$T$50,5,0),VLOOKUP(X868,模板计算相关数据!$P$4:$U$7,6,0))*VLOOKUP(Y868,模板计算相关数据!$P$22:$X$30,9,0)</f>
        <v>5.7422422307462622</v>
      </c>
      <c r="U868" s="98">
        <v>58</v>
      </c>
      <c r="V868" s="95">
        <f t="shared" si="75"/>
        <v>36</v>
      </c>
      <c r="W868" s="29">
        <f>VLOOKUP(U868,模板计算相关数据!A:N,2,0)</f>
        <v>33</v>
      </c>
      <c r="X868" s="3" t="s">
        <v>158</v>
      </c>
      <c r="Y868" s="3" t="s">
        <v>155</v>
      </c>
      <c r="Z868" s="95">
        <v>1</v>
      </c>
      <c r="AA868" s="95">
        <v>1</v>
      </c>
      <c r="AB868" s="95">
        <v>1</v>
      </c>
      <c r="AC868" s="95">
        <v>1</v>
      </c>
      <c r="AD868" s="95">
        <v>0</v>
      </c>
      <c r="AE868" s="95">
        <v>0</v>
      </c>
      <c r="AF868" s="95">
        <v>0</v>
      </c>
      <c r="AG868" s="95">
        <v>0</v>
      </c>
      <c r="AH868" s="95">
        <v>0</v>
      </c>
      <c r="AI868" s="95">
        <v>2000</v>
      </c>
      <c r="AJ868" s="3">
        <f>INT(VLOOKUP(U868,模板计算相关数据!A:N,4,0)*VLOOKUP(U868,模板计算相关数据!A:N,14,0)*(1+MAX(0,(VLOOKUP(U868,模板计算相关数据!A:N,7,0)-AQ868))*VLOOKUP(U868,模板计算相关数据!A:N,8,0))*(1-(AL868+AM868)*0.5/((AL868+AM868)*0.5+(VLOOKUP(U868,模板计算相关数据!A:N,2,0)+模板计算相关数据!$AC$27)*模板计算相关数据!$AC$28))*Q868*Z868)</f>
        <v>9215</v>
      </c>
      <c r="AK868" s="3">
        <f>INT(VLOOKUP(U868,模板计算相关数据!A:N,3,0)/模板计算相关数据!$W$35/(1+MAX(0,(AO868/10000-VLOOKUP(U868,模板计算相关数据!A:N,9,0)))*AP868/10000)/(1-VLOOKUP(U868,模板计算相关数据!A:N,5,0)/(VLOOKUP(U868,模板计算相关数据!A:N,5,0)+(VLOOKUP(U868,模板计算相关数据!A:N,2,0)+模板计算相关数据!$AC$27)*模板计算相关数据!$AC$28))/S868*AA868)</f>
        <v>1140</v>
      </c>
      <c r="AL868" s="3">
        <f>INT(VLOOKUP(U868,模板计算相关数据!A:N,5,0)*VLOOKUP(X868,模板计算相关数据!$P$4:$T$7,4,0)*VLOOKUP(Y868,模板计算相关数据!$P$22:$U$30,4,0)*AB868)</f>
        <v>3699</v>
      </c>
      <c r="AM868" s="3">
        <f>INT(VLOOKUP(U868,模板计算相关数据!A:N,6,0)*VLOOKUP(X868,模板计算相关数据!$P$4:$T$7,4,0)*VLOOKUP(Y868,模板计算相关数据!$P$22:$U$30,5,0)*AC868)</f>
        <v>2049</v>
      </c>
      <c r="AN868" s="3">
        <f>VLOOKUP(U868,模板计算相关数据!A:N,10,0)*0.5*VLOOKUP(Y868,模板计算相关数据!$P$22:$U$30,6,0)+AD868</f>
        <v>225</v>
      </c>
      <c r="AO868" s="3">
        <f>VLOOKUP(INT(VLOOKUP(U868,模板计算相关数据!A:N,2,0)/30)+1,模板计算相关数据!$O$35:$U$40,3,0)+AE868</f>
        <v>0</v>
      </c>
      <c r="AP868" s="3">
        <f>VLOOKUP(INT(VLOOKUP(U868,模板计算相关数据!A:N,2,0)/30)+1,模板计算相关数据!$O$35:$U$40,4,0)+AF868</f>
        <v>5000</v>
      </c>
      <c r="AQ868" s="3">
        <f>VLOOKUP(INT(VLOOKUP(U868,模板计算相关数据!A:N,2,0)/30)+1,模板计算相关数据!$O$35:$U$40,5,0)+AG868</f>
        <v>0</v>
      </c>
      <c r="AR868" s="3">
        <f>VLOOKUP(INT(VLOOKUP(U868,模板计算相关数据!A:N,2,0)/30)+1,模板计算相关数据!$O$35:$U$40,6,0)+AH868</f>
        <v>0</v>
      </c>
      <c r="AS868" s="3">
        <f>VLOOKUP(INT(VLOOKUP(U868,模板计算相关数据!A:N,2,0)/30)+1,模板计算相关数据!$O$35:$U$40,7,0)+AI868</f>
        <v>2000</v>
      </c>
      <c r="AT868" s="3">
        <f>VLOOKUP(INT(VLOOKUP(U868,模板计算相关数据!A:N,2,0)/30)+1,模板计算相关数据!$O$35:$V$40,8,0)</f>
        <v>0</v>
      </c>
      <c r="AU868" s="2"/>
    </row>
    <row r="869" spans="1:47" x14ac:dyDescent="0.2">
      <c r="A869" s="86">
        <v>51013031</v>
      </c>
      <c r="B869" s="86"/>
      <c r="C869" s="69" t="s">
        <v>1433</v>
      </c>
      <c r="D869" s="2" t="s">
        <v>1430</v>
      </c>
      <c r="E869" s="2"/>
      <c r="F869" s="3">
        <v>1</v>
      </c>
      <c r="G869" s="3">
        <v>102901</v>
      </c>
      <c r="H869" s="3">
        <v>2</v>
      </c>
      <c r="I869" s="2">
        <v>4</v>
      </c>
      <c r="J869" s="3">
        <v>5</v>
      </c>
      <c r="K869" s="3">
        <v>2</v>
      </c>
      <c r="L869" s="69" t="s">
        <v>1516</v>
      </c>
      <c r="M869" s="2"/>
      <c r="N869" s="2">
        <v>1</v>
      </c>
      <c r="O869" s="2"/>
      <c r="P869" s="3" t="s">
        <v>1615</v>
      </c>
      <c r="Q869" s="95">
        <v>15</v>
      </c>
      <c r="R869" s="133">
        <f>IF(P869=模板计算相关数据!$AB$24,VLOOKUP(X869,模板计算相关数据!$P$47:$T$50,2,0),VLOOKUP(X869,模板计算相关数据!$P$4:$U$7,3,0))*VLOOKUP(Y869,模板计算相关数据!$P$22:$X$30,8,0)</f>
        <v>11.105882352941178</v>
      </c>
      <c r="S869" s="62">
        <f t="shared" si="77"/>
        <v>5.7422422307462622</v>
      </c>
      <c r="T869" s="133">
        <f>IF(P869=模板计算相关数据!$AB$24,VLOOKUP(X869,模板计算相关数据!$P$47:$T$50,5,0),VLOOKUP(X869,模板计算相关数据!$P$4:$U$7,6,0))*VLOOKUP(Y869,模板计算相关数据!$P$22:$X$30,9,0)</f>
        <v>5.7422422307462622</v>
      </c>
      <c r="U869" s="98">
        <v>58</v>
      </c>
      <c r="V869" s="95">
        <f t="shared" si="75"/>
        <v>36</v>
      </c>
      <c r="W869" s="29">
        <f>VLOOKUP(U869,模板计算相关数据!A:N,2,0)</f>
        <v>33</v>
      </c>
      <c r="X869" s="3" t="s">
        <v>158</v>
      </c>
      <c r="Y869" s="3" t="s">
        <v>155</v>
      </c>
      <c r="Z869" s="95">
        <v>1</v>
      </c>
      <c r="AA869" s="95">
        <v>1</v>
      </c>
      <c r="AB869" s="95">
        <v>1</v>
      </c>
      <c r="AC869" s="95">
        <v>1</v>
      </c>
      <c r="AD869" s="95">
        <v>0</v>
      </c>
      <c r="AE869" s="95">
        <v>0</v>
      </c>
      <c r="AF869" s="95">
        <v>0</v>
      </c>
      <c r="AG869" s="95">
        <v>0</v>
      </c>
      <c r="AH869" s="95">
        <v>0</v>
      </c>
      <c r="AI869" s="95">
        <v>2000</v>
      </c>
      <c r="AJ869" s="3">
        <f>INT(VLOOKUP(U869,模板计算相关数据!A:N,4,0)*VLOOKUP(U869,模板计算相关数据!A:N,14,0)*(1+MAX(0,(VLOOKUP(U869,模板计算相关数据!A:N,7,0)-AQ869))*VLOOKUP(U869,模板计算相关数据!A:N,8,0))*(1-(AL869+AM869)*0.5/((AL869+AM869)*0.5+(VLOOKUP(U869,模板计算相关数据!A:N,2,0)+模板计算相关数据!$AC$27)*模板计算相关数据!$AC$28))*Q869*Z869)</f>
        <v>9873</v>
      </c>
      <c r="AK869" s="3">
        <f>INT(VLOOKUP(U869,模板计算相关数据!A:N,3,0)/模板计算相关数据!$W$35/(1+MAX(0,(AO869/10000-VLOOKUP(U869,模板计算相关数据!A:N,9,0)))*AP869/10000)/(1-VLOOKUP(U869,模板计算相关数据!A:N,5,0)/(VLOOKUP(U869,模板计算相关数据!A:N,5,0)+(VLOOKUP(U869,模板计算相关数据!A:N,2,0)+模板计算相关数据!$AC$27)*模板计算相关数据!$AC$28))/S869*AA869)</f>
        <v>1140</v>
      </c>
      <c r="AL869" s="3">
        <f>INT(VLOOKUP(U869,模板计算相关数据!A:N,5,0)*VLOOKUP(X869,模板计算相关数据!$P$4:$T$7,4,0)*VLOOKUP(Y869,模板计算相关数据!$P$22:$U$30,4,0)*AB869)</f>
        <v>3699</v>
      </c>
      <c r="AM869" s="3">
        <f>INT(VLOOKUP(U869,模板计算相关数据!A:N,6,0)*VLOOKUP(X869,模板计算相关数据!$P$4:$T$7,4,0)*VLOOKUP(Y869,模板计算相关数据!$P$22:$U$30,5,0)*AC869)</f>
        <v>2049</v>
      </c>
      <c r="AN869" s="3">
        <f>VLOOKUP(U869,模板计算相关数据!A:N,10,0)*0.5*VLOOKUP(Y869,模板计算相关数据!$P$22:$U$30,6,0)+AD869</f>
        <v>225</v>
      </c>
      <c r="AO869" s="3">
        <f>VLOOKUP(INT(VLOOKUP(U869,模板计算相关数据!A:N,2,0)/30)+1,模板计算相关数据!$O$35:$U$40,3,0)+AE869</f>
        <v>0</v>
      </c>
      <c r="AP869" s="3">
        <f>VLOOKUP(INT(VLOOKUP(U869,模板计算相关数据!A:N,2,0)/30)+1,模板计算相关数据!$O$35:$U$40,4,0)+AF869</f>
        <v>5000</v>
      </c>
      <c r="AQ869" s="3">
        <f>VLOOKUP(INT(VLOOKUP(U869,模板计算相关数据!A:N,2,0)/30)+1,模板计算相关数据!$O$35:$U$40,5,0)+AG869</f>
        <v>0</v>
      </c>
      <c r="AR869" s="3">
        <f>VLOOKUP(INT(VLOOKUP(U869,模板计算相关数据!A:N,2,0)/30)+1,模板计算相关数据!$O$35:$U$40,6,0)+AH869</f>
        <v>0</v>
      </c>
      <c r="AS869" s="3">
        <f>VLOOKUP(INT(VLOOKUP(U869,模板计算相关数据!A:N,2,0)/30)+1,模板计算相关数据!$O$35:$U$40,7,0)+AI869</f>
        <v>2000</v>
      </c>
      <c r="AT869" s="3">
        <f>VLOOKUP(INT(VLOOKUP(U869,模板计算相关数据!A:N,2,0)/30)+1,模板计算相关数据!$O$35:$V$40,8,0)</f>
        <v>0</v>
      </c>
      <c r="AU869" s="2"/>
    </row>
    <row r="870" spans="1:47" x14ac:dyDescent="0.2">
      <c r="A870" s="86">
        <v>51013041</v>
      </c>
      <c r="B870" s="86"/>
      <c r="C870" s="69" t="s">
        <v>1433</v>
      </c>
      <c r="D870" s="2" t="s">
        <v>1431</v>
      </c>
      <c r="E870" s="2"/>
      <c r="F870" s="3">
        <v>1</v>
      </c>
      <c r="G870" s="3">
        <v>102901</v>
      </c>
      <c r="H870" s="3">
        <v>2</v>
      </c>
      <c r="I870" s="2">
        <v>4</v>
      </c>
      <c r="J870" s="3">
        <v>5</v>
      </c>
      <c r="K870" s="3">
        <v>2</v>
      </c>
      <c r="L870" s="69" t="s">
        <v>1516</v>
      </c>
      <c r="M870" s="2"/>
      <c r="N870" s="2">
        <v>1</v>
      </c>
      <c r="O870" s="2"/>
      <c r="P870" s="3" t="s">
        <v>1615</v>
      </c>
      <c r="Q870" s="95">
        <v>16</v>
      </c>
      <c r="R870" s="133">
        <f>IF(P870=模板计算相关数据!$AB$24,VLOOKUP(X870,模板计算相关数据!$P$47:$T$50,2,0),VLOOKUP(X870,模板计算相关数据!$P$4:$U$7,3,0))*VLOOKUP(Y870,模板计算相关数据!$P$22:$X$30,8,0)</f>
        <v>11.105882352941178</v>
      </c>
      <c r="S870" s="62">
        <f t="shared" si="77"/>
        <v>5.7422422307462622</v>
      </c>
      <c r="T870" s="133">
        <f>IF(P870=模板计算相关数据!$AB$24,VLOOKUP(X870,模板计算相关数据!$P$47:$T$50,5,0),VLOOKUP(X870,模板计算相关数据!$P$4:$U$7,6,0))*VLOOKUP(Y870,模板计算相关数据!$P$22:$X$30,9,0)</f>
        <v>5.7422422307462622</v>
      </c>
      <c r="U870" s="98">
        <v>58</v>
      </c>
      <c r="V870" s="95">
        <f t="shared" si="75"/>
        <v>36</v>
      </c>
      <c r="W870" s="29">
        <f>VLOOKUP(U870,模板计算相关数据!A:N,2,0)</f>
        <v>33</v>
      </c>
      <c r="X870" s="3" t="s">
        <v>158</v>
      </c>
      <c r="Y870" s="3" t="s">
        <v>155</v>
      </c>
      <c r="Z870" s="95">
        <v>1</v>
      </c>
      <c r="AA870" s="95">
        <v>1</v>
      </c>
      <c r="AB870" s="95">
        <v>1</v>
      </c>
      <c r="AC870" s="95">
        <v>1</v>
      </c>
      <c r="AD870" s="95">
        <v>0</v>
      </c>
      <c r="AE870" s="95">
        <v>0</v>
      </c>
      <c r="AF870" s="95">
        <v>0</v>
      </c>
      <c r="AG870" s="95">
        <v>0</v>
      </c>
      <c r="AH870" s="95">
        <v>0</v>
      </c>
      <c r="AI870" s="95">
        <v>2000</v>
      </c>
      <c r="AJ870" s="3">
        <f>INT(VLOOKUP(U870,模板计算相关数据!A:N,4,0)*VLOOKUP(U870,模板计算相关数据!A:N,14,0)*(1+MAX(0,(VLOOKUP(U870,模板计算相关数据!A:N,7,0)-AQ870))*VLOOKUP(U870,模板计算相关数据!A:N,8,0))*(1-(AL870+AM870)*0.5/((AL870+AM870)*0.5+(VLOOKUP(U870,模板计算相关数据!A:N,2,0)+模板计算相关数据!$AC$27)*模板计算相关数据!$AC$28))*Q870*Z870)</f>
        <v>10532</v>
      </c>
      <c r="AK870" s="3">
        <f>INT(VLOOKUP(U870,模板计算相关数据!A:N,3,0)/模板计算相关数据!$W$35/(1+MAX(0,(AO870/10000-VLOOKUP(U870,模板计算相关数据!A:N,9,0)))*AP870/10000)/(1-VLOOKUP(U870,模板计算相关数据!A:N,5,0)/(VLOOKUP(U870,模板计算相关数据!A:N,5,0)+(VLOOKUP(U870,模板计算相关数据!A:N,2,0)+模板计算相关数据!$AC$27)*模板计算相关数据!$AC$28))/S870*AA870)</f>
        <v>1140</v>
      </c>
      <c r="AL870" s="3">
        <f>INT(VLOOKUP(U870,模板计算相关数据!A:N,5,0)*VLOOKUP(X870,模板计算相关数据!$P$4:$T$7,4,0)*VLOOKUP(Y870,模板计算相关数据!$P$22:$U$30,4,0)*AB870)</f>
        <v>3699</v>
      </c>
      <c r="AM870" s="3">
        <f>INT(VLOOKUP(U870,模板计算相关数据!A:N,6,0)*VLOOKUP(X870,模板计算相关数据!$P$4:$T$7,4,0)*VLOOKUP(Y870,模板计算相关数据!$P$22:$U$30,5,0)*AC870)</f>
        <v>2049</v>
      </c>
      <c r="AN870" s="3">
        <f>VLOOKUP(U870,模板计算相关数据!A:N,10,0)*0.5*VLOOKUP(Y870,模板计算相关数据!$P$22:$U$30,6,0)+AD870</f>
        <v>225</v>
      </c>
      <c r="AO870" s="3">
        <f>VLOOKUP(INT(VLOOKUP(U870,模板计算相关数据!A:N,2,0)/30)+1,模板计算相关数据!$O$35:$U$40,3,0)+AE870</f>
        <v>0</v>
      </c>
      <c r="AP870" s="3">
        <f>VLOOKUP(INT(VLOOKUP(U870,模板计算相关数据!A:N,2,0)/30)+1,模板计算相关数据!$O$35:$U$40,4,0)+AF870</f>
        <v>5000</v>
      </c>
      <c r="AQ870" s="3">
        <f>VLOOKUP(INT(VLOOKUP(U870,模板计算相关数据!A:N,2,0)/30)+1,模板计算相关数据!$O$35:$U$40,5,0)+AG870</f>
        <v>0</v>
      </c>
      <c r="AR870" s="3">
        <f>VLOOKUP(INT(VLOOKUP(U870,模板计算相关数据!A:N,2,0)/30)+1,模板计算相关数据!$O$35:$U$40,6,0)+AH870</f>
        <v>0</v>
      </c>
      <c r="AS870" s="3">
        <f>VLOOKUP(INT(VLOOKUP(U870,模板计算相关数据!A:N,2,0)/30)+1,模板计算相关数据!$O$35:$U$40,7,0)+AI870</f>
        <v>2000</v>
      </c>
      <c r="AT870" s="3">
        <f>VLOOKUP(INT(VLOOKUP(U870,模板计算相关数据!A:N,2,0)/30)+1,模板计算相关数据!$O$35:$V$40,8,0)</f>
        <v>0</v>
      </c>
      <c r="AU870" s="2"/>
    </row>
    <row r="871" spans="1:47" x14ac:dyDescent="0.2">
      <c r="A871" s="86">
        <v>51013051</v>
      </c>
      <c r="B871" s="86"/>
      <c r="C871" s="69" t="s">
        <v>1433</v>
      </c>
      <c r="D871" s="2" t="s">
        <v>1432</v>
      </c>
      <c r="E871" s="2"/>
      <c r="F871" s="3">
        <v>1</v>
      </c>
      <c r="G871" s="3">
        <v>102901</v>
      </c>
      <c r="H871" s="3">
        <v>2</v>
      </c>
      <c r="I871" s="2">
        <v>4</v>
      </c>
      <c r="J871" s="3">
        <v>5</v>
      </c>
      <c r="K871" s="3">
        <v>2</v>
      </c>
      <c r="L871" s="69" t="s">
        <v>1517</v>
      </c>
      <c r="M871" s="2"/>
      <c r="N871" s="2">
        <v>1</v>
      </c>
      <c r="O871" s="2"/>
      <c r="P871" s="3" t="s">
        <v>1615</v>
      </c>
      <c r="Q871" s="95">
        <v>17</v>
      </c>
      <c r="R871" s="133">
        <f>IF(P871=模板计算相关数据!$AB$24,VLOOKUP(X871,模板计算相关数据!$P$47:$T$50,2,0),VLOOKUP(X871,模板计算相关数据!$P$4:$U$7,3,0))*VLOOKUP(Y871,模板计算相关数据!$P$22:$X$30,8,0)</f>
        <v>11.105882352941178</v>
      </c>
      <c r="S871" s="62">
        <f t="shared" si="77"/>
        <v>5.7422422307462622</v>
      </c>
      <c r="T871" s="133">
        <f>IF(P871=模板计算相关数据!$AB$24,VLOOKUP(X871,模板计算相关数据!$P$47:$T$50,5,0),VLOOKUP(X871,模板计算相关数据!$P$4:$U$7,6,0))*VLOOKUP(Y871,模板计算相关数据!$P$22:$X$30,9,0)</f>
        <v>5.7422422307462622</v>
      </c>
      <c r="U871" s="98">
        <v>58</v>
      </c>
      <c r="V871" s="95">
        <f t="shared" si="75"/>
        <v>36</v>
      </c>
      <c r="W871" s="29">
        <f>VLOOKUP(U871,模板计算相关数据!A:N,2,0)</f>
        <v>33</v>
      </c>
      <c r="X871" s="3" t="s">
        <v>158</v>
      </c>
      <c r="Y871" s="3" t="s">
        <v>155</v>
      </c>
      <c r="Z871" s="95">
        <v>1</v>
      </c>
      <c r="AA871" s="95">
        <v>1</v>
      </c>
      <c r="AB871" s="95">
        <v>1</v>
      </c>
      <c r="AC871" s="95">
        <v>1</v>
      </c>
      <c r="AD871" s="95">
        <v>0</v>
      </c>
      <c r="AE871" s="95">
        <v>0</v>
      </c>
      <c r="AF871" s="95">
        <v>0</v>
      </c>
      <c r="AG871" s="95">
        <v>0</v>
      </c>
      <c r="AH871" s="95">
        <v>0</v>
      </c>
      <c r="AI871" s="95">
        <v>2000</v>
      </c>
      <c r="AJ871" s="3">
        <f>INT(VLOOKUP(U871,模板计算相关数据!A:N,4,0)*VLOOKUP(U871,模板计算相关数据!A:N,14,0)*(1+MAX(0,(VLOOKUP(U871,模板计算相关数据!A:N,7,0)-AQ871))*VLOOKUP(U871,模板计算相关数据!A:N,8,0))*(1-(AL871+AM871)*0.5/((AL871+AM871)*0.5+(VLOOKUP(U871,模板计算相关数据!A:N,2,0)+模板计算相关数据!$AC$27)*模板计算相关数据!$AC$28))*Q871*Z871)</f>
        <v>11190</v>
      </c>
      <c r="AK871" s="3">
        <f>INT(VLOOKUP(U871,模板计算相关数据!A:N,3,0)/模板计算相关数据!$W$35/(1+MAX(0,(AO871/10000-VLOOKUP(U871,模板计算相关数据!A:N,9,0)))*AP871/10000)/(1-VLOOKUP(U871,模板计算相关数据!A:N,5,0)/(VLOOKUP(U871,模板计算相关数据!A:N,5,0)+(VLOOKUP(U871,模板计算相关数据!A:N,2,0)+模板计算相关数据!$AC$27)*模板计算相关数据!$AC$28))/S871*AA871)</f>
        <v>1140</v>
      </c>
      <c r="AL871" s="3">
        <f>INT(VLOOKUP(U871,模板计算相关数据!A:N,5,0)*VLOOKUP(X871,模板计算相关数据!$P$4:$T$7,4,0)*VLOOKUP(Y871,模板计算相关数据!$P$22:$U$30,4,0)*AB871)</f>
        <v>3699</v>
      </c>
      <c r="AM871" s="3">
        <f>INT(VLOOKUP(U871,模板计算相关数据!A:N,6,0)*VLOOKUP(X871,模板计算相关数据!$P$4:$T$7,4,0)*VLOOKUP(Y871,模板计算相关数据!$P$22:$U$30,5,0)*AC871)</f>
        <v>2049</v>
      </c>
      <c r="AN871" s="3">
        <f>VLOOKUP(U871,模板计算相关数据!A:N,10,0)*0.5*VLOOKUP(Y871,模板计算相关数据!$P$22:$U$30,6,0)+AD871</f>
        <v>225</v>
      </c>
      <c r="AO871" s="3">
        <f>VLOOKUP(INT(VLOOKUP(U871,模板计算相关数据!A:N,2,0)/30)+1,模板计算相关数据!$O$35:$U$40,3,0)+AE871</f>
        <v>0</v>
      </c>
      <c r="AP871" s="3">
        <f>VLOOKUP(INT(VLOOKUP(U871,模板计算相关数据!A:N,2,0)/30)+1,模板计算相关数据!$O$35:$U$40,4,0)+AF871</f>
        <v>5000</v>
      </c>
      <c r="AQ871" s="3">
        <f>VLOOKUP(INT(VLOOKUP(U871,模板计算相关数据!A:N,2,0)/30)+1,模板计算相关数据!$O$35:$U$40,5,0)+AG871</f>
        <v>0</v>
      </c>
      <c r="AR871" s="3">
        <f>VLOOKUP(INT(VLOOKUP(U871,模板计算相关数据!A:N,2,0)/30)+1,模板计算相关数据!$O$35:$U$40,6,0)+AH871</f>
        <v>0</v>
      </c>
      <c r="AS871" s="3">
        <f>VLOOKUP(INT(VLOOKUP(U871,模板计算相关数据!A:N,2,0)/30)+1,模板计算相关数据!$O$35:$U$40,7,0)+AI871</f>
        <v>2000</v>
      </c>
      <c r="AT871" s="3">
        <f>VLOOKUP(INT(VLOOKUP(U871,模板计算相关数据!A:N,2,0)/30)+1,模板计算相关数据!$O$35:$V$40,8,0)</f>
        <v>0</v>
      </c>
      <c r="AU871" s="2"/>
    </row>
    <row r="872" spans="1:47" x14ac:dyDescent="0.2">
      <c r="A872" s="86">
        <v>51013012</v>
      </c>
      <c r="B872" s="86"/>
      <c r="C872" s="69" t="s">
        <v>1434</v>
      </c>
      <c r="D872" s="2" t="s">
        <v>1428</v>
      </c>
      <c r="E872" s="2"/>
      <c r="F872" s="3">
        <v>2</v>
      </c>
      <c r="G872" s="3">
        <v>1001801</v>
      </c>
      <c r="H872" s="3">
        <v>1</v>
      </c>
      <c r="I872" s="2">
        <v>4</v>
      </c>
      <c r="J872" s="3">
        <v>5</v>
      </c>
      <c r="K872" s="3"/>
      <c r="L872" s="69" t="s">
        <v>1518</v>
      </c>
      <c r="M872" s="2"/>
      <c r="N872" s="2">
        <v>1</v>
      </c>
      <c r="O872" s="2"/>
      <c r="P872" s="3" t="s">
        <v>1615</v>
      </c>
      <c r="Q872" s="95">
        <f t="shared" si="76"/>
        <v>4.417254901960785</v>
      </c>
      <c r="R872" s="133">
        <f>IF(P872=模板计算相关数据!$AB$24,VLOOKUP(X872,模板计算相关数据!$P$47:$T$50,2,0),VLOOKUP(X872,模板计算相关数据!$P$4:$U$7,3,0))*VLOOKUP(Y872,模板计算相关数据!$P$22:$X$30,8,0)</f>
        <v>4.417254901960785</v>
      </c>
      <c r="S872" s="62">
        <v>4</v>
      </c>
      <c r="T872" s="133">
        <f>IF(P872=模板计算相关数据!$AB$24,VLOOKUP(X872,模板计算相关数据!$P$47:$T$50,5,0),VLOOKUP(X872,模板计算相关数据!$P$4:$U$7,6,0))*VLOOKUP(Y872,模板计算相关数据!$P$22:$X$30,9,0)</f>
        <v>5.4285280003474252</v>
      </c>
      <c r="U872" s="98">
        <v>58</v>
      </c>
      <c r="V872" s="95">
        <f t="shared" si="75"/>
        <v>36</v>
      </c>
      <c r="W872" s="29">
        <f>VLOOKUP(U872,模板计算相关数据!A:N,2,0)</f>
        <v>33</v>
      </c>
      <c r="X872" s="3" t="s">
        <v>151</v>
      </c>
      <c r="Y872" s="3" t="s">
        <v>152</v>
      </c>
      <c r="Z872" s="95">
        <v>1</v>
      </c>
      <c r="AA872" s="95">
        <v>1</v>
      </c>
      <c r="AB872" s="95">
        <v>1</v>
      </c>
      <c r="AC872" s="95">
        <v>1</v>
      </c>
      <c r="AD872" s="95">
        <v>0</v>
      </c>
      <c r="AE872" s="95">
        <v>0</v>
      </c>
      <c r="AF872" s="95">
        <v>0</v>
      </c>
      <c r="AG872" s="95">
        <v>0</v>
      </c>
      <c r="AH872" s="95">
        <v>0</v>
      </c>
      <c r="AI872" s="95">
        <v>2000</v>
      </c>
      <c r="AJ872" s="3">
        <f>INT(VLOOKUP(U872,模板计算相关数据!A:N,4,0)*VLOOKUP(U872,模板计算相关数据!A:N,14,0)*(1+MAX(0,(VLOOKUP(U872,模板计算相关数据!A:N,7,0)-AQ872))*VLOOKUP(U872,模板计算相关数据!A:N,8,0))*(1-(AL872+AM872)*0.5/((AL872+AM872)*0.5+(VLOOKUP(U872,模板计算相关数据!A:N,2,0)+模板计算相关数据!$AC$27)*模板计算相关数据!$AC$28))*Q872*Z872)</f>
        <v>3391</v>
      </c>
      <c r="AK872" s="3">
        <f>INT(VLOOKUP(U872,模板计算相关数据!A:N,3,0)/模板计算相关数据!$W$35/(1+MAX(0,(AO872/10000-VLOOKUP(U872,模板计算相关数据!A:N,9,0)))*AP872/10000)/(1-VLOOKUP(U872,模板计算相关数据!A:N,5,0)/(VLOOKUP(U872,模板计算相关数据!A:N,5,0)+(VLOOKUP(U872,模板计算相关数据!A:N,2,0)+模板计算相关数据!$AC$27)*模板计算相关数据!$AC$28))/S872*AA872)</f>
        <v>1637</v>
      </c>
      <c r="AL872" s="3">
        <f>INT(VLOOKUP(U872,模板计算相关数据!A:N,5,0)*VLOOKUP(X872,模板计算相关数据!$P$4:$T$7,4,0)*VLOOKUP(Y872,模板计算相关数据!$P$22:$U$30,4,0)*AB872)</f>
        <v>2458</v>
      </c>
      <c r="AM872" s="3">
        <f>INT(VLOOKUP(U872,模板计算相关数据!A:N,6,0)*VLOOKUP(X872,模板计算相关数据!$P$4:$T$7,4,0)*VLOOKUP(Y872,模板计算相关数据!$P$22:$U$30,5,0)*AC872)</f>
        <v>1457</v>
      </c>
      <c r="AN872" s="3">
        <f>VLOOKUP(U872,模板计算相关数据!A:N,10,0)*0.5*VLOOKUP(Y872,模板计算相关数据!$P$22:$U$30,6,0)+AD872</f>
        <v>250</v>
      </c>
      <c r="AO872" s="3">
        <f>VLOOKUP(INT(VLOOKUP(U872,模板计算相关数据!A:N,2,0)/30)+1,模板计算相关数据!$O$35:$U$40,3,0)+AE872</f>
        <v>0</v>
      </c>
      <c r="AP872" s="3">
        <f>VLOOKUP(INT(VLOOKUP(U872,模板计算相关数据!A:N,2,0)/30)+1,模板计算相关数据!$O$35:$U$40,4,0)+AF872</f>
        <v>5000</v>
      </c>
      <c r="AQ872" s="3">
        <f>VLOOKUP(INT(VLOOKUP(U872,模板计算相关数据!A:N,2,0)/30)+1,模板计算相关数据!$O$35:$U$40,5,0)+AG872</f>
        <v>0</v>
      </c>
      <c r="AR872" s="3">
        <f>VLOOKUP(INT(VLOOKUP(U872,模板计算相关数据!A:N,2,0)/30)+1,模板计算相关数据!$O$35:$U$40,6,0)+AH872</f>
        <v>0</v>
      </c>
      <c r="AS872" s="3">
        <f>VLOOKUP(INT(VLOOKUP(U872,模板计算相关数据!A:N,2,0)/30)+1,模板计算相关数据!$O$35:$U$40,7,0)+AI872</f>
        <v>2000</v>
      </c>
      <c r="AT872" s="3">
        <f>VLOOKUP(INT(VLOOKUP(U872,模板计算相关数据!A:N,2,0)/30)+1,模板计算相关数据!$O$35:$V$40,8,0)</f>
        <v>0</v>
      </c>
      <c r="AU872" s="2"/>
    </row>
    <row r="873" spans="1:47" x14ac:dyDescent="0.2">
      <c r="A873" s="86">
        <v>51013022</v>
      </c>
      <c r="B873" s="86"/>
      <c r="C873" s="69" t="s">
        <v>1434</v>
      </c>
      <c r="D873" s="2" t="s">
        <v>1429</v>
      </c>
      <c r="E873" s="2"/>
      <c r="F873" s="3">
        <v>2</v>
      </c>
      <c r="G873" s="3">
        <v>1001801</v>
      </c>
      <c r="H873" s="3">
        <v>1</v>
      </c>
      <c r="I873" s="2">
        <v>4</v>
      </c>
      <c r="J873" s="3">
        <v>5</v>
      </c>
      <c r="K873" s="3"/>
      <c r="L873" s="69" t="s">
        <v>1518</v>
      </c>
      <c r="M873" s="2"/>
      <c r="N873" s="2">
        <v>1</v>
      </c>
      <c r="O873" s="2"/>
      <c r="P873" s="3" t="s">
        <v>1615</v>
      </c>
      <c r="Q873" s="95">
        <f t="shared" si="76"/>
        <v>4.417254901960785</v>
      </c>
      <c r="R873" s="133">
        <f>IF(P873=模板计算相关数据!$AB$24,VLOOKUP(X873,模板计算相关数据!$P$47:$T$50,2,0),VLOOKUP(X873,模板计算相关数据!$P$4:$U$7,3,0))*VLOOKUP(Y873,模板计算相关数据!$P$22:$X$30,8,0)</f>
        <v>4.417254901960785</v>
      </c>
      <c r="S873" s="62">
        <v>3.9</v>
      </c>
      <c r="T873" s="133">
        <f>IF(P873=模板计算相关数据!$AB$24,VLOOKUP(X873,模板计算相关数据!$P$47:$T$50,5,0),VLOOKUP(X873,模板计算相关数据!$P$4:$U$7,6,0))*VLOOKUP(Y873,模板计算相关数据!$P$22:$X$30,9,0)</f>
        <v>5.4285280003474252</v>
      </c>
      <c r="U873" s="98">
        <v>58</v>
      </c>
      <c r="V873" s="95">
        <f t="shared" si="75"/>
        <v>36</v>
      </c>
      <c r="W873" s="29">
        <f>VLOOKUP(U873,模板计算相关数据!A:N,2,0)</f>
        <v>33</v>
      </c>
      <c r="X873" s="3" t="s">
        <v>151</v>
      </c>
      <c r="Y873" s="3" t="s">
        <v>152</v>
      </c>
      <c r="Z873" s="95">
        <v>1</v>
      </c>
      <c r="AA873" s="95">
        <v>1</v>
      </c>
      <c r="AB873" s="95">
        <v>1</v>
      </c>
      <c r="AC873" s="95">
        <v>1</v>
      </c>
      <c r="AD873" s="95">
        <v>0</v>
      </c>
      <c r="AE873" s="95">
        <v>0</v>
      </c>
      <c r="AF873" s="95">
        <v>0</v>
      </c>
      <c r="AG873" s="95">
        <v>0</v>
      </c>
      <c r="AH873" s="95">
        <v>0</v>
      </c>
      <c r="AI873" s="95">
        <v>0</v>
      </c>
      <c r="AJ873" s="3">
        <f>INT(VLOOKUP(U873,模板计算相关数据!A:N,4,0)*VLOOKUP(U873,模板计算相关数据!A:N,14,0)*(1+MAX(0,(VLOOKUP(U873,模板计算相关数据!A:N,7,0)-AQ873))*VLOOKUP(U873,模板计算相关数据!A:N,8,0))*(1-(AL873+AM873)*0.5/((AL873+AM873)*0.5+(VLOOKUP(U873,模板计算相关数据!A:N,2,0)+模板计算相关数据!$AC$27)*模板计算相关数据!$AC$28))*Q873*Z873)</f>
        <v>3391</v>
      </c>
      <c r="AK873" s="3">
        <f>INT(VLOOKUP(U873,模板计算相关数据!A:N,3,0)/模板计算相关数据!$W$35/(1+MAX(0,(AO873/10000-VLOOKUP(U873,模板计算相关数据!A:N,9,0)))*AP873/10000)/(1-VLOOKUP(U873,模板计算相关数据!A:N,5,0)/(VLOOKUP(U873,模板计算相关数据!A:N,5,0)+(VLOOKUP(U873,模板计算相关数据!A:N,2,0)+模板计算相关数据!$AC$27)*模板计算相关数据!$AC$28))/S873*AA873)</f>
        <v>1679</v>
      </c>
      <c r="AL873" s="3">
        <f>INT(VLOOKUP(U873,模板计算相关数据!A:N,5,0)*VLOOKUP(X873,模板计算相关数据!$P$4:$T$7,4,0)*VLOOKUP(Y873,模板计算相关数据!$P$22:$U$30,4,0)*AB873)</f>
        <v>2458</v>
      </c>
      <c r="AM873" s="3">
        <f>INT(VLOOKUP(U873,模板计算相关数据!A:N,6,0)*VLOOKUP(X873,模板计算相关数据!$P$4:$T$7,4,0)*VLOOKUP(Y873,模板计算相关数据!$P$22:$U$30,5,0)*AC873)</f>
        <v>1457</v>
      </c>
      <c r="AN873" s="3">
        <f>VLOOKUP(U873,模板计算相关数据!A:N,10,0)*0.5*VLOOKUP(Y873,模板计算相关数据!$P$22:$U$30,6,0)+AD873</f>
        <v>250</v>
      </c>
      <c r="AO873" s="3">
        <f>VLOOKUP(INT(VLOOKUP(U873,模板计算相关数据!A:N,2,0)/30)+1,模板计算相关数据!$O$35:$U$40,3,0)+AE873</f>
        <v>0</v>
      </c>
      <c r="AP873" s="3">
        <f>VLOOKUP(INT(VLOOKUP(U873,模板计算相关数据!A:N,2,0)/30)+1,模板计算相关数据!$O$35:$U$40,4,0)+AF873</f>
        <v>5000</v>
      </c>
      <c r="AQ873" s="3">
        <f>VLOOKUP(INT(VLOOKUP(U873,模板计算相关数据!A:N,2,0)/30)+1,模板计算相关数据!$O$35:$U$40,5,0)+AG873</f>
        <v>0</v>
      </c>
      <c r="AR873" s="3">
        <f>VLOOKUP(INT(VLOOKUP(U873,模板计算相关数据!A:N,2,0)/30)+1,模板计算相关数据!$O$35:$U$40,6,0)+AH873</f>
        <v>0</v>
      </c>
      <c r="AS873" s="3">
        <f>VLOOKUP(INT(VLOOKUP(U873,模板计算相关数据!A:N,2,0)/30)+1,模板计算相关数据!$O$35:$U$40,7,0)+AI873</f>
        <v>0</v>
      </c>
      <c r="AT873" s="3">
        <f>VLOOKUP(INT(VLOOKUP(U873,模板计算相关数据!A:N,2,0)/30)+1,模板计算相关数据!$O$35:$V$40,8,0)</f>
        <v>0</v>
      </c>
      <c r="AU873" s="2"/>
    </row>
    <row r="874" spans="1:47" x14ac:dyDescent="0.2">
      <c r="A874" s="86">
        <v>51013032</v>
      </c>
      <c r="B874" s="86"/>
      <c r="C874" s="69" t="s">
        <v>1434</v>
      </c>
      <c r="D874" s="2" t="s">
        <v>1430</v>
      </c>
      <c r="E874" s="2"/>
      <c r="F874" s="3">
        <v>2</v>
      </c>
      <c r="G874" s="3">
        <v>1001801</v>
      </c>
      <c r="H874" s="3">
        <v>1</v>
      </c>
      <c r="I874" s="2">
        <v>4</v>
      </c>
      <c r="J874" s="3">
        <v>5</v>
      </c>
      <c r="K874" s="3"/>
      <c r="L874" s="69" t="s">
        <v>1518</v>
      </c>
      <c r="M874" s="2"/>
      <c r="N874" s="2">
        <v>1</v>
      </c>
      <c r="O874" s="2"/>
      <c r="P874" s="3" t="s">
        <v>1615</v>
      </c>
      <c r="Q874" s="95">
        <f t="shared" si="76"/>
        <v>4.417254901960785</v>
      </c>
      <c r="R874" s="133">
        <f>IF(P874=模板计算相关数据!$AB$24,VLOOKUP(X874,模板计算相关数据!$P$47:$T$50,2,0),VLOOKUP(X874,模板计算相关数据!$P$4:$U$7,3,0))*VLOOKUP(Y874,模板计算相关数据!$P$22:$X$30,8,0)</f>
        <v>4.417254901960785</v>
      </c>
      <c r="S874" s="62">
        <v>3.8</v>
      </c>
      <c r="T874" s="133">
        <f>IF(P874=模板计算相关数据!$AB$24,VLOOKUP(X874,模板计算相关数据!$P$47:$T$50,5,0),VLOOKUP(X874,模板计算相关数据!$P$4:$U$7,6,0))*VLOOKUP(Y874,模板计算相关数据!$P$22:$X$30,9,0)</f>
        <v>5.4285280003474252</v>
      </c>
      <c r="U874" s="98">
        <v>58</v>
      </c>
      <c r="V874" s="95">
        <f t="shared" si="75"/>
        <v>36</v>
      </c>
      <c r="W874" s="29">
        <f>VLOOKUP(U874,模板计算相关数据!A:N,2,0)</f>
        <v>33</v>
      </c>
      <c r="X874" s="3" t="s">
        <v>151</v>
      </c>
      <c r="Y874" s="3" t="s">
        <v>152</v>
      </c>
      <c r="Z874" s="95">
        <v>1</v>
      </c>
      <c r="AA874" s="95">
        <v>1</v>
      </c>
      <c r="AB874" s="95">
        <v>1</v>
      </c>
      <c r="AC874" s="95">
        <v>1</v>
      </c>
      <c r="AD874" s="95">
        <v>0</v>
      </c>
      <c r="AE874" s="95">
        <v>0</v>
      </c>
      <c r="AF874" s="95">
        <v>0</v>
      </c>
      <c r="AG874" s="95">
        <v>0</v>
      </c>
      <c r="AH874" s="95">
        <v>0</v>
      </c>
      <c r="AI874" s="95">
        <v>0</v>
      </c>
      <c r="AJ874" s="3">
        <f>INT(VLOOKUP(U874,模板计算相关数据!A:N,4,0)*VLOOKUP(U874,模板计算相关数据!A:N,14,0)*(1+MAX(0,(VLOOKUP(U874,模板计算相关数据!A:N,7,0)-AQ874))*VLOOKUP(U874,模板计算相关数据!A:N,8,0))*(1-(AL874+AM874)*0.5/((AL874+AM874)*0.5+(VLOOKUP(U874,模板计算相关数据!A:N,2,0)+模板计算相关数据!$AC$27)*模板计算相关数据!$AC$28))*Q874*Z874)</f>
        <v>3391</v>
      </c>
      <c r="AK874" s="3">
        <f>INT(VLOOKUP(U874,模板计算相关数据!A:N,3,0)/模板计算相关数据!$W$35/(1+MAX(0,(AO874/10000-VLOOKUP(U874,模板计算相关数据!A:N,9,0)))*AP874/10000)/(1-VLOOKUP(U874,模板计算相关数据!A:N,5,0)/(VLOOKUP(U874,模板计算相关数据!A:N,5,0)+(VLOOKUP(U874,模板计算相关数据!A:N,2,0)+模板计算相关数据!$AC$27)*模板计算相关数据!$AC$28))/S874*AA874)</f>
        <v>1723</v>
      </c>
      <c r="AL874" s="3">
        <f>INT(VLOOKUP(U874,模板计算相关数据!A:N,5,0)*VLOOKUP(X874,模板计算相关数据!$P$4:$T$7,4,0)*VLOOKUP(Y874,模板计算相关数据!$P$22:$U$30,4,0)*AB874)</f>
        <v>2458</v>
      </c>
      <c r="AM874" s="3">
        <f>INT(VLOOKUP(U874,模板计算相关数据!A:N,6,0)*VLOOKUP(X874,模板计算相关数据!$P$4:$T$7,4,0)*VLOOKUP(Y874,模板计算相关数据!$P$22:$U$30,5,0)*AC874)</f>
        <v>1457</v>
      </c>
      <c r="AN874" s="3">
        <f>VLOOKUP(U874,模板计算相关数据!A:N,10,0)*0.5*VLOOKUP(Y874,模板计算相关数据!$P$22:$U$30,6,0)+AD874</f>
        <v>250</v>
      </c>
      <c r="AO874" s="3">
        <f>VLOOKUP(INT(VLOOKUP(U874,模板计算相关数据!A:N,2,0)/30)+1,模板计算相关数据!$O$35:$U$40,3,0)+AE874</f>
        <v>0</v>
      </c>
      <c r="AP874" s="3">
        <f>VLOOKUP(INT(VLOOKUP(U874,模板计算相关数据!A:N,2,0)/30)+1,模板计算相关数据!$O$35:$U$40,4,0)+AF874</f>
        <v>5000</v>
      </c>
      <c r="AQ874" s="3">
        <f>VLOOKUP(INT(VLOOKUP(U874,模板计算相关数据!A:N,2,0)/30)+1,模板计算相关数据!$O$35:$U$40,5,0)+AG874</f>
        <v>0</v>
      </c>
      <c r="AR874" s="3">
        <f>VLOOKUP(INT(VLOOKUP(U874,模板计算相关数据!A:N,2,0)/30)+1,模板计算相关数据!$O$35:$U$40,6,0)+AH874</f>
        <v>0</v>
      </c>
      <c r="AS874" s="3">
        <f>VLOOKUP(INT(VLOOKUP(U874,模板计算相关数据!A:N,2,0)/30)+1,模板计算相关数据!$O$35:$U$40,7,0)+AI874</f>
        <v>0</v>
      </c>
      <c r="AT874" s="3">
        <f>VLOOKUP(INT(VLOOKUP(U874,模板计算相关数据!A:N,2,0)/30)+1,模板计算相关数据!$O$35:$V$40,8,0)</f>
        <v>0</v>
      </c>
      <c r="AU874" s="2"/>
    </row>
    <row r="875" spans="1:47" x14ac:dyDescent="0.2">
      <c r="A875" s="86">
        <v>51013042</v>
      </c>
      <c r="B875" s="86"/>
      <c r="C875" s="69" t="s">
        <v>1434</v>
      </c>
      <c r="D875" s="2" t="s">
        <v>1431</v>
      </c>
      <c r="E875" s="2"/>
      <c r="F875" s="3">
        <v>2</v>
      </c>
      <c r="G875" s="3">
        <v>1001801</v>
      </c>
      <c r="H875" s="3">
        <v>1</v>
      </c>
      <c r="I875" s="2">
        <v>4</v>
      </c>
      <c r="J875" s="3">
        <v>5</v>
      </c>
      <c r="K875" s="3"/>
      <c r="L875" s="69" t="s">
        <v>1518</v>
      </c>
      <c r="M875" s="2"/>
      <c r="N875" s="2">
        <v>1</v>
      </c>
      <c r="O875" s="2"/>
      <c r="P875" s="3" t="s">
        <v>1615</v>
      </c>
      <c r="Q875" s="95">
        <f t="shared" si="76"/>
        <v>4.417254901960785</v>
      </c>
      <c r="R875" s="133">
        <f>IF(P875=模板计算相关数据!$AB$24,VLOOKUP(X875,模板计算相关数据!$P$47:$T$50,2,0),VLOOKUP(X875,模板计算相关数据!$P$4:$U$7,3,0))*VLOOKUP(Y875,模板计算相关数据!$P$22:$X$30,8,0)</f>
        <v>4.417254901960785</v>
      </c>
      <c r="S875" s="62">
        <v>3.7</v>
      </c>
      <c r="T875" s="133">
        <f>IF(P875=模板计算相关数据!$AB$24,VLOOKUP(X875,模板计算相关数据!$P$47:$T$50,5,0),VLOOKUP(X875,模板计算相关数据!$P$4:$U$7,6,0))*VLOOKUP(Y875,模板计算相关数据!$P$22:$X$30,9,0)</f>
        <v>5.4285280003474252</v>
      </c>
      <c r="U875" s="98">
        <v>58</v>
      </c>
      <c r="V875" s="95">
        <f t="shared" si="75"/>
        <v>36</v>
      </c>
      <c r="W875" s="29">
        <f>VLOOKUP(U875,模板计算相关数据!A:N,2,0)</f>
        <v>33</v>
      </c>
      <c r="X875" s="3" t="s">
        <v>151</v>
      </c>
      <c r="Y875" s="3" t="s">
        <v>152</v>
      </c>
      <c r="Z875" s="95">
        <v>1</v>
      </c>
      <c r="AA875" s="95">
        <v>1</v>
      </c>
      <c r="AB875" s="95">
        <v>1</v>
      </c>
      <c r="AC875" s="95">
        <v>1</v>
      </c>
      <c r="AD875" s="95">
        <v>0</v>
      </c>
      <c r="AE875" s="95">
        <v>0</v>
      </c>
      <c r="AF875" s="95">
        <v>0</v>
      </c>
      <c r="AG875" s="95">
        <v>0</v>
      </c>
      <c r="AH875" s="95">
        <v>0</v>
      </c>
      <c r="AI875" s="95">
        <v>0</v>
      </c>
      <c r="AJ875" s="3">
        <f>INT(VLOOKUP(U875,模板计算相关数据!A:N,4,0)*VLOOKUP(U875,模板计算相关数据!A:N,14,0)*(1+MAX(0,(VLOOKUP(U875,模板计算相关数据!A:N,7,0)-AQ875))*VLOOKUP(U875,模板计算相关数据!A:N,8,0))*(1-(AL875+AM875)*0.5/((AL875+AM875)*0.5+(VLOOKUP(U875,模板计算相关数据!A:N,2,0)+模板计算相关数据!$AC$27)*模板计算相关数据!$AC$28))*Q875*Z875)</f>
        <v>3391</v>
      </c>
      <c r="AK875" s="3">
        <f>INT(VLOOKUP(U875,模板计算相关数据!A:N,3,0)/模板计算相关数据!$W$35/(1+MAX(0,(AO875/10000-VLOOKUP(U875,模板计算相关数据!A:N,9,0)))*AP875/10000)/(1-VLOOKUP(U875,模板计算相关数据!A:N,5,0)/(VLOOKUP(U875,模板计算相关数据!A:N,5,0)+(VLOOKUP(U875,模板计算相关数据!A:N,2,0)+模板计算相关数据!$AC$27)*模板计算相关数据!$AC$28))/S875*AA875)</f>
        <v>1769</v>
      </c>
      <c r="AL875" s="3">
        <f>INT(VLOOKUP(U875,模板计算相关数据!A:N,5,0)*VLOOKUP(X875,模板计算相关数据!$P$4:$T$7,4,0)*VLOOKUP(Y875,模板计算相关数据!$P$22:$U$30,4,0)*AB875)</f>
        <v>2458</v>
      </c>
      <c r="AM875" s="3">
        <f>INT(VLOOKUP(U875,模板计算相关数据!A:N,6,0)*VLOOKUP(X875,模板计算相关数据!$P$4:$T$7,4,0)*VLOOKUP(Y875,模板计算相关数据!$P$22:$U$30,5,0)*AC875)</f>
        <v>1457</v>
      </c>
      <c r="AN875" s="3">
        <f>VLOOKUP(U875,模板计算相关数据!A:N,10,0)*0.5*VLOOKUP(Y875,模板计算相关数据!$P$22:$U$30,6,0)+AD875</f>
        <v>250</v>
      </c>
      <c r="AO875" s="3">
        <f>VLOOKUP(INT(VLOOKUP(U875,模板计算相关数据!A:N,2,0)/30)+1,模板计算相关数据!$O$35:$U$40,3,0)+AE875</f>
        <v>0</v>
      </c>
      <c r="AP875" s="3">
        <f>VLOOKUP(INT(VLOOKUP(U875,模板计算相关数据!A:N,2,0)/30)+1,模板计算相关数据!$O$35:$U$40,4,0)+AF875</f>
        <v>5000</v>
      </c>
      <c r="AQ875" s="3">
        <f>VLOOKUP(INT(VLOOKUP(U875,模板计算相关数据!A:N,2,0)/30)+1,模板计算相关数据!$O$35:$U$40,5,0)+AG875</f>
        <v>0</v>
      </c>
      <c r="AR875" s="3">
        <f>VLOOKUP(INT(VLOOKUP(U875,模板计算相关数据!A:N,2,0)/30)+1,模板计算相关数据!$O$35:$U$40,6,0)+AH875</f>
        <v>0</v>
      </c>
      <c r="AS875" s="3">
        <f>VLOOKUP(INT(VLOOKUP(U875,模板计算相关数据!A:N,2,0)/30)+1,模板计算相关数据!$O$35:$U$40,7,0)+AI875</f>
        <v>0</v>
      </c>
      <c r="AT875" s="3">
        <f>VLOOKUP(INT(VLOOKUP(U875,模板计算相关数据!A:N,2,0)/30)+1,模板计算相关数据!$O$35:$V$40,8,0)</f>
        <v>0</v>
      </c>
      <c r="AU875" s="2"/>
    </row>
    <row r="876" spans="1:47" x14ac:dyDescent="0.2">
      <c r="A876" s="86">
        <v>51013052</v>
      </c>
      <c r="B876" s="86"/>
      <c r="C876" s="69" t="s">
        <v>1434</v>
      </c>
      <c r="D876" s="2" t="s">
        <v>1432</v>
      </c>
      <c r="E876" s="2"/>
      <c r="F876" s="3">
        <v>2</v>
      </c>
      <c r="G876" s="3">
        <v>1001801</v>
      </c>
      <c r="H876" s="3">
        <v>1</v>
      </c>
      <c r="I876" s="2">
        <v>4</v>
      </c>
      <c r="J876" s="3">
        <v>5</v>
      </c>
      <c r="K876" s="3"/>
      <c r="L876" s="69" t="s">
        <v>1518</v>
      </c>
      <c r="M876" s="2"/>
      <c r="N876" s="2">
        <v>1</v>
      </c>
      <c r="O876" s="2"/>
      <c r="P876" s="3" t="s">
        <v>1615</v>
      </c>
      <c r="Q876" s="95">
        <f t="shared" si="76"/>
        <v>4.417254901960785</v>
      </c>
      <c r="R876" s="133">
        <f>IF(P876=模板计算相关数据!$AB$24,VLOOKUP(X876,模板计算相关数据!$P$47:$T$50,2,0),VLOOKUP(X876,模板计算相关数据!$P$4:$U$7,3,0))*VLOOKUP(Y876,模板计算相关数据!$P$22:$X$30,8,0)</f>
        <v>4.417254901960785</v>
      </c>
      <c r="S876" s="62">
        <v>3.6</v>
      </c>
      <c r="T876" s="133">
        <f>IF(P876=模板计算相关数据!$AB$24,VLOOKUP(X876,模板计算相关数据!$P$47:$T$50,5,0),VLOOKUP(X876,模板计算相关数据!$P$4:$U$7,6,0))*VLOOKUP(Y876,模板计算相关数据!$P$22:$X$30,9,0)</f>
        <v>5.4285280003474252</v>
      </c>
      <c r="U876" s="98">
        <v>58</v>
      </c>
      <c r="V876" s="95">
        <f t="shared" si="75"/>
        <v>36</v>
      </c>
      <c r="W876" s="29">
        <f>VLOOKUP(U876,模板计算相关数据!A:N,2,0)</f>
        <v>33</v>
      </c>
      <c r="X876" s="3" t="s">
        <v>151</v>
      </c>
      <c r="Y876" s="3" t="s">
        <v>152</v>
      </c>
      <c r="Z876" s="95">
        <v>1</v>
      </c>
      <c r="AA876" s="95">
        <v>1</v>
      </c>
      <c r="AB876" s="95">
        <v>1</v>
      </c>
      <c r="AC876" s="95">
        <v>1</v>
      </c>
      <c r="AD876" s="95">
        <v>0</v>
      </c>
      <c r="AE876" s="95">
        <v>0</v>
      </c>
      <c r="AF876" s="95">
        <v>0</v>
      </c>
      <c r="AG876" s="95">
        <v>0</v>
      </c>
      <c r="AH876" s="95">
        <v>0</v>
      </c>
      <c r="AI876" s="95">
        <v>0</v>
      </c>
      <c r="AJ876" s="3">
        <f>INT(VLOOKUP(U876,模板计算相关数据!A:N,4,0)*VLOOKUP(U876,模板计算相关数据!A:N,14,0)*(1+MAX(0,(VLOOKUP(U876,模板计算相关数据!A:N,7,0)-AQ876))*VLOOKUP(U876,模板计算相关数据!A:N,8,0))*(1-(AL876+AM876)*0.5/((AL876+AM876)*0.5+(VLOOKUP(U876,模板计算相关数据!A:N,2,0)+模板计算相关数据!$AC$27)*模板计算相关数据!$AC$28))*Q876*Z876)</f>
        <v>3391</v>
      </c>
      <c r="AK876" s="3">
        <f>INT(VLOOKUP(U876,模板计算相关数据!A:N,3,0)/模板计算相关数据!$W$35/(1+MAX(0,(AO876/10000-VLOOKUP(U876,模板计算相关数据!A:N,9,0)))*AP876/10000)/(1-VLOOKUP(U876,模板计算相关数据!A:N,5,0)/(VLOOKUP(U876,模板计算相关数据!A:N,5,0)+(VLOOKUP(U876,模板计算相关数据!A:N,2,0)+模板计算相关数据!$AC$27)*模板计算相关数据!$AC$28))/S876*AA876)</f>
        <v>1818</v>
      </c>
      <c r="AL876" s="3">
        <f>INT(VLOOKUP(U876,模板计算相关数据!A:N,5,0)*VLOOKUP(X876,模板计算相关数据!$P$4:$T$7,4,0)*VLOOKUP(Y876,模板计算相关数据!$P$22:$U$30,4,0)*AB876)</f>
        <v>2458</v>
      </c>
      <c r="AM876" s="3">
        <f>INT(VLOOKUP(U876,模板计算相关数据!A:N,6,0)*VLOOKUP(X876,模板计算相关数据!$P$4:$T$7,4,0)*VLOOKUP(Y876,模板计算相关数据!$P$22:$U$30,5,0)*AC876)</f>
        <v>1457</v>
      </c>
      <c r="AN876" s="3">
        <f>VLOOKUP(U876,模板计算相关数据!A:N,10,0)*0.5*VLOOKUP(Y876,模板计算相关数据!$P$22:$U$30,6,0)+AD876</f>
        <v>250</v>
      </c>
      <c r="AO876" s="3">
        <f>VLOOKUP(INT(VLOOKUP(U876,模板计算相关数据!A:N,2,0)/30)+1,模板计算相关数据!$O$35:$U$40,3,0)+AE876</f>
        <v>0</v>
      </c>
      <c r="AP876" s="3">
        <f>VLOOKUP(INT(VLOOKUP(U876,模板计算相关数据!A:N,2,0)/30)+1,模板计算相关数据!$O$35:$U$40,4,0)+AF876</f>
        <v>5000</v>
      </c>
      <c r="AQ876" s="3">
        <f>VLOOKUP(INT(VLOOKUP(U876,模板计算相关数据!A:N,2,0)/30)+1,模板计算相关数据!$O$35:$U$40,5,0)+AG876</f>
        <v>0</v>
      </c>
      <c r="AR876" s="3">
        <f>VLOOKUP(INT(VLOOKUP(U876,模板计算相关数据!A:N,2,0)/30)+1,模板计算相关数据!$O$35:$U$40,6,0)+AH876</f>
        <v>0</v>
      </c>
      <c r="AS876" s="3">
        <f>VLOOKUP(INT(VLOOKUP(U876,模板计算相关数据!A:N,2,0)/30)+1,模板计算相关数据!$O$35:$U$40,7,0)+AI876</f>
        <v>0</v>
      </c>
      <c r="AT876" s="3">
        <f>VLOOKUP(INT(VLOOKUP(U876,模板计算相关数据!A:N,2,0)/30)+1,模板计算相关数据!$O$35:$V$40,8,0)</f>
        <v>0</v>
      </c>
      <c r="AU876" s="2"/>
    </row>
    <row r="877" spans="1:47" x14ac:dyDescent="0.2">
      <c r="A877" s="35">
        <v>51009011</v>
      </c>
      <c r="B877" s="35"/>
      <c r="C877" s="34" t="s">
        <v>1433</v>
      </c>
      <c r="D877" s="19" t="s">
        <v>1435</v>
      </c>
      <c r="E877" s="2"/>
      <c r="F877" s="3">
        <v>1</v>
      </c>
      <c r="G877" s="3">
        <v>102901</v>
      </c>
      <c r="H877" s="3">
        <v>2</v>
      </c>
      <c r="I877" s="2">
        <v>4</v>
      </c>
      <c r="J877" s="3">
        <v>5</v>
      </c>
      <c r="K877" s="3">
        <v>2</v>
      </c>
      <c r="L877" s="69" t="s">
        <v>1516</v>
      </c>
      <c r="M877" s="2"/>
      <c r="N877" s="2">
        <v>1</v>
      </c>
      <c r="O877" s="2"/>
      <c r="P877" s="3" t="s">
        <v>1615</v>
      </c>
      <c r="Q877" s="95">
        <v>13</v>
      </c>
      <c r="R877" s="133">
        <f>IF(P877=模板计算相关数据!$AB$24,VLOOKUP(X877,模板计算相关数据!$P$47:$T$50,2,0),VLOOKUP(X877,模板计算相关数据!$P$4:$U$7,3,0))*VLOOKUP(Y877,模板计算相关数据!$P$22:$X$30,8,0)</f>
        <v>11.105882352941178</v>
      </c>
      <c r="S877" s="62">
        <f t="shared" si="77"/>
        <v>5.7422422307462622</v>
      </c>
      <c r="T877" s="133">
        <f>IF(P877=模板计算相关数据!$AB$24,VLOOKUP(X877,模板计算相关数据!$P$47:$T$50,5,0),VLOOKUP(X877,模板计算相关数据!$P$4:$U$7,6,0))*VLOOKUP(Y877,模板计算相关数据!$P$22:$X$30,9,0)</f>
        <v>5.7422422307462622</v>
      </c>
      <c r="U877" s="98">
        <v>58</v>
      </c>
      <c r="V877" s="95">
        <f t="shared" si="75"/>
        <v>36</v>
      </c>
      <c r="W877" s="29">
        <f>VLOOKUP(U877,模板计算相关数据!A:N,2,0)</f>
        <v>33</v>
      </c>
      <c r="X877" s="3" t="s">
        <v>158</v>
      </c>
      <c r="Y877" s="3" t="s">
        <v>155</v>
      </c>
      <c r="Z877" s="95">
        <v>1</v>
      </c>
      <c r="AA877" s="95">
        <v>1</v>
      </c>
      <c r="AB877" s="95">
        <v>1</v>
      </c>
      <c r="AC877" s="95">
        <v>1</v>
      </c>
      <c r="AD877" s="95">
        <v>0</v>
      </c>
      <c r="AE877" s="95">
        <v>0</v>
      </c>
      <c r="AF877" s="95">
        <v>0</v>
      </c>
      <c r="AG877" s="95">
        <v>0</v>
      </c>
      <c r="AH877" s="95">
        <v>0</v>
      </c>
      <c r="AI877" s="95">
        <v>2000</v>
      </c>
      <c r="AJ877" s="3">
        <f>INT(VLOOKUP(U877,模板计算相关数据!A:N,4,0)*VLOOKUP(U877,模板计算相关数据!A:N,14,0)*(1+MAX(0,(VLOOKUP(U877,模板计算相关数据!A:N,7,0)-AQ877))*VLOOKUP(U877,模板计算相关数据!A:N,8,0))*(1-(AL877+AM877)*0.5/((AL877+AM877)*0.5+(VLOOKUP(U877,模板计算相关数据!A:N,2,0)+模板计算相关数据!$AC$27)*模板计算相关数据!$AC$28))*Q877*Z877)</f>
        <v>8557</v>
      </c>
      <c r="AK877" s="3">
        <f>INT(VLOOKUP(U877,模板计算相关数据!A:N,3,0)/模板计算相关数据!$W$35/(1+MAX(0,(AO877/10000-VLOOKUP(U877,模板计算相关数据!A:N,9,0)))*AP877/10000)/(1-VLOOKUP(U877,模板计算相关数据!A:N,5,0)/(VLOOKUP(U877,模板计算相关数据!A:N,5,0)+(VLOOKUP(U877,模板计算相关数据!A:N,2,0)+模板计算相关数据!$AC$27)*模板计算相关数据!$AC$28))/S877*AA877)</f>
        <v>1140</v>
      </c>
      <c r="AL877" s="3">
        <f>INT(VLOOKUP(U877,模板计算相关数据!A:N,5,0)*VLOOKUP(X877,模板计算相关数据!$P$4:$T$7,4,0)*VLOOKUP(Y877,模板计算相关数据!$P$22:$U$30,4,0)*AB877)</f>
        <v>3699</v>
      </c>
      <c r="AM877" s="3">
        <f>INT(VLOOKUP(U877,模板计算相关数据!A:N,6,0)*VLOOKUP(X877,模板计算相关数据!$P$4:$T$7,4,0)*VLOOKUP(Y877,模板计算相关数据!$P$22:$U$30,5,0)*AC877)</f>
        <v>2049</v>
      </c>
      <c r="AN877" s="3">
        <f>VLOOKUP(U877,模板计算相关数据!A:N,10,0)*0.5*VLOOKUP(Y877,模板计算相关数据!$P$22:$U$30,6,0)+AD877</f>
        <v>225</v>
      </c>
      <c r="AO877" s="3">
        <f>VLOOKUP(INT(VLOOKUP(U877,模板计算相关数据!A:N,2,0)/30)+1,模板计算相关数据!$O$35:$U$40,3,0)+AE877</f>
        <v>0</v>
      </c>
      <c r="AP877" s="3">
        <f>VLOOKUP(INT(VLOOKUP(U877,模板计算相关数据!A:N,2,0)/30)+1,模板计算相关数据!$O$35:$U$40,4,0)+AF877</f>
        <v>5000</v>
      </c>
      <c r="AQ877" s="3">
        <f>VLOOKUP(INT(VLOOKUP(U877,模板计算相关数据!A:N,2,0)/30)+1,模板计算相关数据!$O$35:$U$40,5,0)+AG877</f>
        <v>0</v>
      </c>
      <c r="AR877" s="3">
        <f>VLOOKUP(INT(VLOOKUP(U877,模板计算相关数据!A:N,2,0)/30)+1,模板计算相关数据!$O$35:$U$40,6,0)+AH877</f>
        <v>0</v>
      </c>
      <c r="AS877" s="3">
        <f>VLOOKUP(INT(VLOOKUP(U877,模板计算相关数据!A:N,2,0)/30)+1,模板计算相关数据!$O$35:$U$40,7,0)+AI877</f>
        <v>2000</v>
      </c>
      <c r="AT877" s="3">
        <f>VLOOKUP(INT(VLOOKUP(U877,模板计算相关数据!A:N,2,0)/30)+1,模板计算相关数据!$O$35:$V$40,8,0)</f>
        <v>0</v>
      </c>
      <c r="AU877" s="2"/>
    </row>
    <row r="878" spans="1:47" x14ac:dyDescent="0.2">
      <c r="A878" s="86">
        <v>51009021</v>
      </c>
      <c r="B878" s="86"/>
      <c r="C878" s="69" t="s">
        <v>1433</v>
      </c>
      <c r="D878" s="2" t="s">
        <v>1436</v>
      </c>
      <c r="E878" s="2"/>
      <c r="F878" s="3">
        <v>1</v>
      </c>
      <c r="G878" s="3">
        <v>102901</v>
      </c>
      <c r="H878" s="3">
        <v>2</v>
      </c>
      <c r="I878" s="2">
        <v>4</v>
      </c>
      <c r="J878" s="3">
        <v>5</v>
      </c>
      <c r="K878" s="3">
        <v>2</v>
      </c>
      <c r="L878" s="69" t="s">
        <v>1516</v>
      </c>
      <c r="M878" s="2"/>
      <c r="N878" s="2">
        <v>1</v>
      </c>
      <c r="O878" s="2"/>
      <c r="P878" s="3" t="s">
        <v>1615</v>
      </c>
      <c r="Q878" s="95">
        <v>14</v>
      </c>
      <c r="R878" s="133">
        <f>IF(P878=模板计算相关数据!$AB$24,VLOOKUP(X878,模板计算相关数据!$P$47:$T$50,2,0),VLOOKUP(X878,模板计算相关数据!$P$4:$U$7,3,0))*VLOOKUP(Y878,模板计算相关数据!$P$22:$X$30,8,0)</f>
        <v>11.105882352941178</v>
      </c>
      <c r="S878" s="62">
        <f t="shared" si="77"/>
        <v>5.7422422307462622</v>
      </c>
      <c r="T878" s="133">
        <f>IF(P878=模板计算相关数据!$AB$24,VLOOKUP(X878,模板计算相关数据!$P$47:$T$50,5,0),VLOOKUP(X878,模板计算相关数据!$P$4:$U$7,6,0))*VLOOKUP(Y878,模板计算相关数据!$P$22:$X$30,9,0)</f>
        <v>5.7422422307462622</v>
      </c>
      <c r="U878" s="98">
        <v>58</v>
      </c>
      <c r="V878" s="95">
        <f t="shared" si="75"/>
        <v>36</v>
      </c>
      <c r="W878" s="29">
        <f>VLOOKUP(U878,模板计算相关数据!A:N,2,0)</f>
        <v>33</v>
      </c>
      <c r="X878" s="3" t="s">
        <v>158</v>
      </c>
      <c r="Y878" s="3" t="s">
        <v>155</v>
      </c>
      <c r="Z878" s="95">
        <v>1</v>
      </c>
      <c r="AA878" s="95">
        <v>1</v>
      </c>
      <c r="AB878" s="95">
        <v>1</v>
      </c>
      <c r="AC878" s="95">
        <v>1</v>
      </c>
      <c r="AD878" s="95">
        <v>0</v>
      </c>
      <c r="AE878" s="95">
        <v>0</v>
      </c>
      <c r="AF878" s="95">
        <v>0</v>
      </c>
      <c r="AG878" s="95">
        <v>0</v>
      </c>
      <c r="AH878" s="95">
        <v>0</v>
      </c>
      <c r="AI878" s="95">
        <v>2000</v>
      </c>
      <c r="AJ878" s="3">
        <f>INT(VLOOKUP(U878,模板计算相关数据!A:N,4,0)*VLOOKUP(U878,模板计算相关数据!A:N,14,0)*(1+MAX(0,(VLOOKUP(U878,模板计算相关数据!A:N,7,0)-AQ878))*VLOOKUP(U878,模板计算相关数据!A:N,8,0))*(1-(AL878+AM878)*0.5/((AL878+AM878)*0.5+(VLOOKUP(U878,模板计算相关数据!A:N,2,0)+模板计算相关数据!$AC$27)*模板计算相关数据!$AC$28))*Q878*Z878)</f>
        <v>9215</v>
      </c>
      <c r="AK878" s="3">
        <f>INT(VLOOKUP(U878,模板计算相关数据!A:N,3,0)/模板计算相关数据!$W$35/(1+MAX(0,(AO878/10000-VLOOKUP(U878,模板计算相关数据!A:N,9,0)))*AP878/10000)/(1-VLOOKUP(U878,模板计算相关数据!A:N,5,0)/(VLOOKUP(U878,模板计算相关数据!A:N,5,0)+(VLOOKUP(U878,模板计算相关数据!A:N,2,0)+模板计算相关数据!$AC$27)*模板计算相关数据!$AC$28))/S878*AA878)</f>
        <v>1140</v>
      </c>
      <c r="AL878" s="3">
        <f>INT(VLOOKUP(U878,模板计算相关数据!A:N,5,0)*VLOOKUP(X878,模板计算相关数据!$P$4:$T$7,4,0)*VLOOKUP(Y878,模板计算相关数据!$P$22:$U$30,4,0)*AB878)</f>
        <v>3699</v>
      </c>
      <c r="AM878" s="3">
        <f>INT(VLOOKUP(U878,模板计算相关数据!A:N,6,0)*VLOOKUP(X878,模板计算相关数据!$P$4:$T$7,4,0)*VLOOKUP(Y878,模板计算相关数据!$P$22:$U$30,5,0)*AC878)</f>
        <v>2049</v>
      </c>
      <c r="AN878" s="3">
        <f>VLOOKUP(U878,模板计算相关数据!A:N,10,0)*0.5*VLOOKUP(Y878,模板计算相关数据!$P$22:$U$30,6,0)+AD878</f>
        <v>225</v>
      </c>
      <c r="AO878" s="3">
        <f>VLOOKUP(INT(VLOOKUP(U878,模板计算相关数据!A:N,2,0)/30)+1,模板计算相关数据!$O$35:$U$40,3,0)+AE878</f>
        <v>0</v>
      </c>
      <c r="AP878" s="3">
        <f>VLOOKUP(INT(VLOOKUP(U878,模板计算相关数据!A:N,2,0)/30)+1,模板计算相关数据!$O$35:$U$40,4,0)+AF878</f>
        <v>5000</v>
      </c>
      <c r="AQ878" s="3">
        <f>VLOOKUP(INT(VLOOKUP(U878,模板计算相关数据!A:N,2,0)/30)+1,模板计算相关数据!$O$35:$U$40,5,0)+AG878</f>
        <v>0</v>
      </c>
      <c r="AR878" s="3">
        <f>VLOOKUP(INT(VLOOKUP(U878,模板计算相关数据!A:N,2,0)/30)+1,模板计算相关数据!$O$35:$U$40,6,0)+AH878</f>
        <v>0</v>
      </c>
      <c r="AS878" s="3">
        <f>VLOOKUP(INT(VLOOKUP(U878,模板计算相关数据!A:N,2,0)/30)+1,模板计算相关数据!$O$35:$U$40,7,0)+AI878</f>
        <v>2000</v>
      </c>
      <c r="AT878" s="3">
        <f>VLOOKUP(INT(VLOOKUP(U878,模板计算相关数据!A:N,2,0)/30)+1,模板计算相关数据!$O$35:$V$40,8,0)</f>
        <v>0</v>
      </c>
      <c r="AU878" s="2"/>
    </row>
    <row r="879" spans="1:47" x14ac:dyDescent="0.2">
      <c r="A879" s="86">
        <v>51009031</v>
      </c>
      <c r="B879" s="86"/>
      <c r="C879" s="69" t="s">
        <v>1433</v>
      </c>
      <c r="D879" s="2" t="s">
        <v>1437</v>
      </c>
      <c r="E879" s="2"/>
      <c r="F879" s="3">
        <v>1</v>
      </c>
      <c r="G879" s="3">
        <v>102901</v>
      </c>
      <c r="H879" s="3">
        <v>2</v>
      </c>
      <c r="I879" s="2">
        <v>4</v>
      </c>
      <c r="J879" s="3">
        <v>5</v>
      </c>
      <c r="K879" s="3">
        <v>2</v>
      </c>
      <c r="L879" s="69" t="s">
        <v>1516</v>
      </c>
      <c r="M879" s="2"/>
      <c r="N879" s="2">
        <v>1</v>
      </c>
      <c r="O879" s="2"/>
      <c r="P879" s="3" t="s">
        <v>1615</v>
      </c>
      <c r="Q879" s="95">
        <v>15</v>
      </c>
      <c r="R879" s="133">
        <f>IF(P879=模板计算相关数据!$AB$24,VLOOKUP(X879,模板计算相关数据!$P$47:$T$50,2,0),VLOOKUP(X879,模板计算相关数据!$P$4:$U$7,3,0))*VLOOKUP(Y879,模板计算相关数据!$P$22:$X$30,8,0)</f>
        <v>11.105882352941178</v>
      </c>
      <c r="S879" s="62">
        <f t="shared" si="77"/>
        <v>5.7422422307462622</v>
      </c>
      <c r="T879" s="133">
        <f>IF(P879=模板计算相关数据!$AB$24,VLOOKUP(X879,模板计算相关数据!$P$47:$T$50,5,0),VLOOKUP(X879,模板计算相关数据!$P$4:$U$7,6,0))*VLOOKUP(Y879,模板计算相关数据!$P$22:$X$30,9,0)</f>
        <v>5.7422422307462622</v>
      </c>
      <c r="U879" s="98">
        <v>58</v>
      </c>
      <c r="V879" s="95">
        <f t="shared" si="75"/>
        <v>36</v>
      </c>
      <c r="W879" s="29">
        <f>VLOOKUP(U879,模板计算相关数据!A:N,2,0)</f>
        <v>33</v>
      </c>
      <c r="X879" s="3" t="s">
        <v>158</v>
      </c>
      <c r="Y879" s="3" t="s">
        <v>155</v>
      </c>
      <c r="Z879" s="95">
        <v>1</v>
      </c>
      <c r="AA879" s="95">
        <v>1</v>
      </c>
      <c r="AB879" s="95">
        <v>1</v>
      </c>
      <c r="AC879" s="95">
        <v>1</v>
      </c>
      <c r="AD879" s="95">
        <v>0</v>
      </c>
      <c r="AE879" s="95">
        <v>0</v>
      </c>
      <c r="AF879" s="95">
        <v>0</v>
      </c>
      <c r="AG879" s="95">
        <v>0</v>
      </c>
      <c r="AH879" s="95">
        <v>0</v>
      </c>
      <c r="AI879" s="95">
        <v>2000</v>
      </c>
      <c r="AJ879" s="3">
        <f>INT(VLOOKUP(U879,模板计算相关数据!A:N,4,0)*VLOOKUP(U879,模板计算相关数据!A:N,14,0)*(1+MAX(0,(VLOOKUP(U879,模板计算相关数据!A:N,7,0)-AQ879))*VLOOKUP(U879,模板计算相关数据!A:N,8,0))*(1-(AL879+AM879)*0.5/((AL879+AM879)*0.5+(VLOOKUP(U879,模板计算相关数据!A:N,2,0)+模板计算相关数据!$AC$27)*模板计算相关数据!$AC$28))*Q879*Z879)</f>
        <v>9873</v>
      </c>
      <c r="AK879" s="3">
        <f>INT(VLOOKUP(U879,模板计算相关数据!A:N,3,0)/模板计算相关数据!$W$35/(1+MAX(0,(AO879/10000-VLOOKUP(U879,模板计算相关数据!A:N,9,0)))*AP879/10000)/(1-VLOOKUP(U879,模板计算相关数据!A:N,5,0)/(VLOOKUP(U879,模板计算相关数据!A:N,5,0)+(VLOOKUP(U879,模板计算相关数据!A:N,2,0)+模板计算相关数据!$AC$27)*模板计算相关数据!$AC$28))/S879*AA879)</f>
        <v>1140</v>
      </c>
      <c r="AL879" s="3">
        <f>INT(VLOOKUP(U879,模板计算相关数据!A:N,5,0)*VLOOKUP(X879,模板计算相关数据!$P$4:$T$7,4,0)*VLOOKUP(Y879,模板计算相关数据!$P$22:$U$30,4,0)*AB879)</f>
        <v>3699</v>
      </c>
      <c r="AM879" s="3">
        <f>INT(VLOOKUP(U879,模板计算相关数据!A:N,6,0)*VLOOKUP(X879,模板计算相关数据!$P$4:$T$7,4,0)*VLOOKUP(Y879,模板计算相关数据!$P$22:$U$30,5,0)*AC879)</f>
        <v>2049</v>
      </c>
      <c r="AN879" s="3">
        <f>VLOOKUP(U879,模板计算相关数据!A:N,10,0)*0.5*VLOOKUP(Y879,模板计算相关数据!$P$22:$U$30,6,0)+AD879</f>
        <v>225</v>
      </c>
      <c r="AO879" s="3">
        <f>VLOOKUP(INT(VLOOKUP(U879,模板计算相关数据!A:N,2,0)/30)+1,模板计算相关数据!$O$35:$U$40,3,0)+AE879</f>
        <v>0</v>
      </c>
      <c r="AP879" s="3">
        <f>VLOOKUP(INT(VLOOKUP(U879,模板计算相关数据!A:N,2,0)/30)+1,模板计算相关数据!$O$35:$U$40,4,0)+AF879</f>
        <v>5000</v>
      </c>
      <c r="AQ879" s="3">
        <f>VLOOKUP(INT(VLOOKUP(U879,模板计算相关数据!A:N,2,0)/30)+1,模板计算相关数据!$O$35:$U$40,5,0)+AG879</f>
        <v>0</v>
      </c>
      <c r="AR879" s="3">
        <f>VLOOKUP(INT(VLOOKUP(U879,模板计算相关数据!A:N,2,0)/30)+1,模板计算相关数据!$O$35:$U$40,6,0)+AH879</f>
        <v>0</v>
      </c>
      <c r="AS879" s="3">
        <f>VLOOKUP(INT(VLOOKUP(U879,模板计算相关数据!A:N,2,0)/30)+1,模板计算相关数据!$O$35:$U$40,7,0)+AI879</f>
        <v>2000</v>
      </c>
      <c r="AT879" s="3">
        <f>VLOOKUP(INT(VLOOKUP(U879,模板计算相关数据!A:N,2,0)/30)+1,模板计算相关数据!$O$35:$V$40,8,0)</f>
        <v>0</v>
      </c>
      <c r="AU879" s="2"/>
    </row>
    <row r="880" spans="1:47" x14ac:dyDescent="0.2">
      <c r="A880" s="86">
        <v>51009041</v>
      </c>
      <c r="B880" s="86"/>
      <c r="C880" s="69" t="s">
        <v>1433</v>
      </c>
      <c r="D880" s="2" t="s">
        <v>1438</v>
      </c>
      <c r="E880" s="2"/>
      <c r="F880" s="3">
        <v>1</v>
      </c>
      <c r="G880" s="3">
        <v>102901</v>
      </c>
      <c r="H880" s="3">
        <v>2</v>
      </c>
      <c r="I880" s="2">
        <v>4</v>
      </c>
      <c r="J880" s="3">
        <v>5</v>
      </c>
      <c r="K880" s="3">
        <v>2</v>
      </c>
      <c r="L880" s="69" t="s">
        <v>1516</v>
      </c>
      <c r="M880" s="2"/>
      <c r="N880" s="2">
        <v>1</v>
      </c>
      <c r="O880" s="2"/>
      <c r="P880" s="3" t="s">
        <v>1615</v>
      </c>
      <c r="Q880" s="95">
        <v>16</v>
      </c>
      <c r="R880" s="133">
        <f>IF(P880=模板计算相关数据!$AB$24,VLOOKUP(X880,模板计算相关数据!$P$47:$T$50,2,0),VLOOKUP(X880,模板计算相关数据!$P$4:$U$7,3,0))*VLOOKUP(Y880,模板计算相关数据!$P$22:$X$30,8,0)</f>
        <v>11.105882352941178</v>
      </c>
      <c r="S880" s="62">
        <f t="shared" si="77"/>
        <v>5.7422422307462622</v>
      </c>
      <c r="T880" s="133">
        <f>IF(P880=模板计算相关数据!$AB$24,VLOOKUP(X880,模板计算相关数据!$P$47:$T$50,5,0),VLOOKUP(X880,模板计算相关数据!$P$4:$U$7,6,0))*VLOOKUP(Y880,模板计算相关数据!$P$22:$X$30,9,0)</f>
        <v>5.7422422307462622</v>
      </c>
      <c r="U880" s="98">
        <v>58</v>
      </c>
      <c r="V880" s="95">
        <f t="shared" ref="V880:V943" si="78">W880+3</f>
        <v>36</v>
      </c>
      <c r="W880" s="29">
        <f>VLOOKUP(U880,模板计算相关数据!A:N,2,0)</f>
        <v>33</v>
      </c>
      <c r="X880" s="3" t="s">
        <v>158</v>
      </c>
      <c r="Y880" s="3" t="s">
        <v>155</v>
      </c>
      <c r="Z880" s="95">
        <v>1</v>
      </c>
      <c r="AA880" s="95">
        <v>1</v>
      </c>
      <c r="AB880" s="95">
        <v>1</v>
      </c>
      <c r="AC880" s="95">
        <v>1</v>
      </c>
      <c r="AD880" s="95">
        <v>0</v>
      </c>
      <c r="AE880" s="95">
        <v>0</v>
      </c>
      <c r="AF880" s="95">
        <v>0</v>
      </c>
      <c r="AG880" s="95">
        <v>0</v>
      </c>
      <c r="AH880" s="95">
        <v>0</v>
      </c>
      <c r="AI880" s="95">
        <v>2000</v>
      </c>
      <c r="AJ880" s="3">
        <f>INT(VLOOKUP(U880,模板计算相关数据!A:N,4,0)*VLOOKUP(U880,模板计算相关数据!A:N,14,0)*(1+MAX(0,(VLOOKUP(U880,模板计算相关数据!A:N,7,0)-AQ880))*VLOOKUP(U880,模板计算相关数据!A:N,8,0))*(1-(AL880+AM880)*0.5/((AL880+AM880)*0.5+(VLOOKUP(U880,模板计算相关数据!A:N,2,0)+模板计算相关数据!$AC$27)*模板计算相关数据!$AC$28))*Q880*Z880)</f>
        <v>10532</v>
      </c>
      <c r="AK880" s="3">
        <f>INT(VLOOKUP(U880,模板计算相关数据!A:N,3,0)/模板计算相关数据!$W$35/(1+MAX(0,(AO880/10000-VLOOKUP(U880,模板计算相关数据!A:N,9,0)))*AP880/10000)/(1-VLOOKUP(U880,模板计算相关数据!A:N,5,0)/(VLOOKUP(U880,模板计算相关数据!A:N,5,0)+(VLOOKUP(U880,模板计算相关数据!A:N,2,0)+模板计算相关数据!$AC$27)*模板计算相关数据!$AC$28))/S880*AA880)</f>
        <v>1140</v>
      </c>
      <c r="AL880" s="3">
        <f>INT(VLOOKUP(U880,模板计算相关数据!A:N,5,0)*VLOOKUP(X880,模板计算相关数据!$P$4:$T$7,4,0)*VLOOKUP(Y880,模板计算相关数据!$P$22:$U$30,4,0)*AB880)</f>
        <v>3699</v>
      </c>
      <c r="AM880" s="3">
        <f>INT(VLOOKUP(U880,模板计算相关数据!A:N,6,0)*VLOOKUP(X880,模板计算相关数据!$P$4:$T$7,4,0)*VLOOKUP(Y880,模板计算相关数据!$P$22:$U$30,5,0)*AC880)</f>
        <v>2049</v>
      </c>
      <c r="AN880" s="3">
        <f>VLOOKUP(U880,模板计算相关数据!A:N,10,0)*0.5*VLOOKUP(Y880,模板计算相关数据!$P$22:$U$30,6,0)+AD880</f>
        <v>225</v>
      </c>
      <c r="AO880" s="3">
        <f>VLOOKUP(INT(VLOOKUP(U880,模板计算相关数据!A:N,2,0)/30)+1,模板计算相关数据!$O$35:$U$40,3,0)+AE880</f>
        <v>0</v>
      </c>
      <c r="AP880" s="3">
        <f>VLOOKUP(INT(VLOOKUP(U880,模板计算相关数据!A:N,2,0)/30)+1,模板计算相关数据!$O$35:$U$40,4,0)+AF880</f>
        <v>5000</v>
      </c>
      <c r="AQ880" s="3">
        <f>VLOOKUP(INT(VLOOKUP(U880,模板计算相关数据!A:N,2,0)/30)+1,模板计算相关数据!$O$35:$U$40,5,0)+AG880</f>
        <v>0</v>
      </c>
      <c r="AR880" s="3">
        <f>VLOOKUP(INT(VLOOKUP(U880,模板计算相关数据!A:N,2,0)/30)+1,模板计算相关数据!$O$35:$U$40,6,0)+AH880</f>
        <v>0</v>
      </c>
      <c r="AS880" s="3">
        <f>VLOOKUP(INT(VLOOKUP(U880,模板计算相关数据!A:N,2,0)/30)+1,模板计算相关数据!$O$35:$U$40,7,0)+AI880</f>
        <v>2000</v>
      </c>
      <c r="AT880" s="3">
        <f>VLOOKUP(INT(VLOOKUP(U880,模板计算相关数据!A:N,2,0)/30)+1,模板计算相关数据!$O$35:$V$40,8,0)</f>
        <v>0</v>
      </c>
      <c r="AU880" s="2"/>
    </row>
    <row r="881" spans="1:47" x14ac:dyDescent="0.2">
      <c r="A881" s="86">
        <v>51009051</v>
      </c>
      <c r="B881" s="86"/>
      <c r="C881" s="69" t="s">
        <v>1433</v>
      </c>
      <c r="D881" s="2" t="s">
        <v>1439</v>
      </c>
      <c r="E881" s="2"/>
      <c r="F881" s="3">
        <v>1</v>
      </c>
      <c r="G881" s="3">
        <v>102901</v>
      </c>
      <c r="H881" s="3">
        <v>2</v>
      </c>
      <c r="I881" s="2">
        <v>4</v>
      </c>
      <c r="J881" s="3">
        <v>5</v>
      </c>
      <c r="K881" s="3">
        <v>2</v>
      </c>
      <c r="L881" s="69" t="s">
        <v>1517</v>
      </c>
      <c r="M881" s="2"/>
      <c r="N881" s="2">
        <v>1</v>
      </c>
      <c r="O881" s="2"/>
      <c r="P881" s="3" t="s">
        <v>1615</v>
      </c>
      <c r="Q881" s="95">
        <v>17</v>
      </c>
      <c r="R881" s="133">
        <f>IF(P881=模板计算相关数据!$AB$24,VLOOKUP(X881,模板计算相关数据!$P$47:$T$50,2,0),VLOOKUP(X881,模板计算相关数据!$P$4:$U$7,3,0))*VLOOKUP(Y881,模板计算相关数据!$P$22:$X$30,8,0)</f>
        <v>11.105882352941178</v>
      </c>
      <c r="S881" s="62">
        <f t="shared" si="77"/>
        <v>5.7422422307462622</v>
      </c>
      <c r="T881" s="133">
        <f>IF(P881=模板计算相关数据!$AB$24,VLOOKUP(X881,模板计算相关数据!$P$47:$T$50,5,0),VLOOKUP(X881,模板计算相关数据!$P$4:$U$7,6,0))*VLOOKUP(Y881,模板计算相关数据!$P$22:$X$30,9,0)</f>
        <v>5.7422422307462622</v>
      </c>
      <c r="U881" s="98">
        <v>58</v>
      </c>
      <c r="V881" s="95">
        <f t="shared" si="78"/>
        <v>36</v>
      </c>
      <c r="W881" s="29">
        <f>VLOOKUP(U881,模板计算相关数据!A:N,2,0)</f>
        <v>33</v>
      </c>
      <c r="X881" s="3" t="s">
        <v>158</v>
      </c>
      <c r="Y881" s="3" t="s">
        <v>155</v>
      </c>
      <c r="Z881" s="95">
        <v>1</v>
      </c>
      <c r="AA881" s="95">
        <v>1</v>
      </c>
      <c r="AB881" s="95">
        <v>1</v>
      </c>
      <c r="AC881" s="95">
        <v>1</v>
      </c>
      <c r="AD881" s="95">
        <v>0</v>
      </c>
      <c r="AE881" s="95">
        <v>0</v>
      </c>
      <c r="AF881" s="95">
        <v>0</v>
      </c>
      <c r="AG881" s="95">
        <v>0</v>
      </c>
      <c r="AH881" s="95">
        <v>0</v>
      </c>
      <c r="AI881" s="95">
        <v>2000</v>
      </c>
      <c r="AJ881" s="3">
        <f>INT(VLOOKUP(U881,模板计算相关数据!A:N,4,0)*VLOOKUP(U881,模板计算相关数据!A:N,14,0)*(1+MAX(0,(VLOOKUP(U881,模板计算相关数据!A:N,7,0)-AQ881))*VLOOKUP(U881,模板计算相关数据!A:N,8,0))*(1-(AL881+AM881)*0.5/((AL881+AM881)*0.5+(VLOOKUP(U881,模板计算相关数据!A:N,2,0)+模板计算相关数据!$AC$27)*模板计算相关数据!$AC$28))*Q881*Z881)</f>
        <v>11190</v>
      </c>
      <c r="AK881" s="3">
        <f>INT(VLOOKUP(U881,模板计算相关数据!A:N,3,0)/模板计算相关数据!$W$35/(1+MAX(0,(AO881/10000-VLOOKUP(U881,模板计算相关数据!A:N,9,0)))*AP881/10000)/(1-VLOOKUP(U881,模板计算相关数据!A:N,5,0)/(VLOOKUP(U881,模板计算相关数据!A:N,5,0)+(VLOOKUP(U881,模板计算相关数据!A:N,2,0)+模板计算相关数据!$AC$27)*模板计算相关数据!$AC$28))/S881*AA881)</f>
        <v>1140</v>
      </c>
      <c r="AL881" s="3">
        <f>INT(VLOOKUP(U881,模板计算相关数据!A:N,5,0)*VLOOKUP(X881,模板计算相关数据!$P$4:$T$7,4,0)*VLOOKUP(Y881,模板计算相关数据!$P$22:$U$30,4,0)*AB881)</f>
        <v>3699</v>
      </c>
      <c r="AM881" s="3">
        <f>INT(VLOOKUP(U881,模板计算相关数据!A:N,6,0)*VLOOKUP(X881,模板计算相关数据!$P$4:$T$7,4,0)*VLOOKUP(Y881,模板计算相关数据!$P$22:$U$30,5,0)*AC881)</f>
        <v>2049</v>
      </c>
      <c r="AN881" s="3">
        <f>VLOOKUP(U881,模板计算相关数据!A:N,10,0)*0.5*VLOOKUP(Y881,模板计算相关数据!$P$22:$U$30,6,0)+AD881</f>
        <v>225</v>
      </c>
      <c r="AO881" s="3">
        <f>VLOOKUP(INT(VLOOKUP(U881,模板计算相关数据!A:N,2,0)/30)+1,模板计算相关数据!$O$35:$U$40,3,0)+AE881</f>
        <v>0</v>
      </c>
      <c r="AP881" s="3">
        <f>VLOOKUP(INT(VLOOKUP(U881,模板计算相关数据!A:N,2,0)/30)+1,模板计算相关数据!$O$35:$U$40,4,0)+AF881</f>
        <v>5000</v>
      </c>
      <c r="AQ881" s="3">
        <f>VLOOKUP(INT(VLOOKUP(U881,模板计算相关数据!A:N,2,0)/30)+1,模板计算相关数据!$O$35:$U$40,5,0)+AG881</f>
        <v>0</v>
      </c>
      <c r="AR881" s="3">
        <f>VLOOKUP(INT(VLOOKUP(U881,模板计算相关数据!A:N,2,0)/30)+1,模板计算相关数据!$O$35:$U$40,6,0)+AH881</f>
        <v>0</v>
      </c>
      <c r="AS881" s="3">
        <f>VLOOKUP(INT(VLOOKUP(U881,模板计算相关数据!A:N,2,0)/30)+1,模板计算相关数据!$O$35:$U$40,7,0)+AI881</f>
        <v>2000</v>
      </c>
      <c r="AT881" s="3">
        <f>VLOOKUP(INT(VLOOKUP(U881,模板计算相关数据!A:N,2,0)/30)+1,模板计算相关数据!$O$35:$V$40,8,0)</f>
        <v>0</v>
      </c>
      <c r="AU881" s="2"/>
    </row>
    <row r="882" spans="1:47" x14ac:dyDescent="0.2">
      <c r="A882" s="86">
        <v>51009012</v>
      </c>
      <c r="B882" s="86"/>
      <c r="C882" s="69" t="s">
        <v>1440</v>
      </c>
      <c r="D882" s="2" t="s">
        <v>1435</v>
      </c>
      <c r="E882" s="2"/>
      <c r="F882" s="3">
        <v>5</v>
      </c>
      <c r="G882" s="3">
        <v>103101</v>
      </c>
      <c r="H882" s="3">
        <v>4</v>
      </c>
      <c r="I882" s="2">
        <v>4</v>
      </c>
      <c r="J882" s="3">
        <v>2</v>
      </c>
      <c r="K882" s="3">
        <v>2</v>
      </c>
      <c r="L882" s="69" t="s">
        <v>1519</v>
      </c>
      <c r="M882" s="2"/>
      <c r="N882" s="2">
        <v>1</v>
      </c>
      <c r="O882" s="2"/>
      <c r="P882" s="3" t="s">
        <v>1615</v>
      </c>
      <c r="Q882" s="95">
        <v>5.5</v>
      </c>
      <c r="R882" s="133">
        <f>IF(P882=模板计算相关数据!$AB$24,VLOOKUP(X882,模板计算相关数据!$P$47:$T$50,2,0),VLOOKUP(X882,模板计算相关数据!$P$4:$U$7,3,0))*VLOOKUP(Y882,模板计算相关数据!$P$22:$X$30,8,0)</f>
        <v>7.1479215686274511</v>
      </c>
      <c r="S882" s="62">
        <v>3.5</v>
      </c>
      <c r="T882" s="133">
        <f>IF(P882=模板计算相关数据!$AB$24,VLOOKUP(X882,模板计算相关数据!$P$47:$T$50,5,0),VLOOKUP(X882,模板计算相关数据!$P$4:$U$7,6,0))*VLOOKUP(Y882,模板计算相关数据!$P$22:$X$30,9,0)</f>
        <v>3.7896875023685541</v>
      </c>
      <c r="U882" s="98">
        <v>58</v>
      </c>
      <c r="V882" s="95">
        <f t="shared" si="78"/>
        <v>36</v>
      </c>
      <c r="W882" s="29">
        <f>VLOOKUP(U882,模板计算相关数据!A:N,2,0)</f>
        <v>33</v>
      </c>
      <c r="X882" s="3" t="s">
        <v>158</v>
      </c>
      <c r="Y882" s="3" t="s">
        <v>162</v>
      </c>
      <c r="Z882" s="95">
        <v>1</v>
      </c>
      <c r="AA882" s="95">
        <v>1</v>
      </c>
      <c r="AB882" s="95">
        <v>1</v>
      </c>
      <c r="AC882" s="95">
        <v>1</v>
      </c>
      <c r="AD882" s="95">
        <v>0</v>
      </c>
      <c r="AE882" s="95">
        <v>0</v>
      </c>
      <c r="AF882" s="95">
        <v>0</v>
      </c>
      <c r="AG882" s="95">
        <v>0</v>
      </c>
      <c r="AH882" s="95">
        <v>0</v>
      </c>
      <c r="AI882" s="95">
        <v>2000</v>
      </c>
      <c r="AJ882" s="3">
        <f>INT(VLOOKUP(U882,模板计算相关数据!A:N,4,0)*VLOOKUP(U882,模板计算相关数据!A:N,14,0)*(1+MAX(0,(VLOOKUP(U882,模板计算相关数据!A:N,7,0)-AQ882))*VLOOKUP(U882,模板计算相关数据!A:N,8,0))*(1-(AL882+AM882)*0.5/((AL882+AM882)*0.5+(VLOOKUP(U882,模板计算相关数据!A:N,2,0)+模板计算相关数据!$AC$27)*模板计算相关数据!$AC$28))*Q882*Z882)</f>
        <v>3878</v>
      </c>
      <c r="AK882" s="3">
        <f>INT(VLOOKUP(U882,模板计算相关数据!A:N,3,0)/模板计算相关数据!$W$35/(1+MAX(0,(AO882/10000-VLOOKUP(U882,模板计算相关数据!A:N,9,0)))*AP882/10000)/(1-VLOOKUP(U882,模板计算相关数据!A:N,5,0)/(VLOOKUP(U882,模板计算相关数据!A:N,5,0)+(VLOOKUP(U882,模板计算相关数据!A:N,2,0)+模板计算相关数据!$AC$27)*模板计算相关数据!$AC$28))/S882*AA882)</f>
        <v>1870</v>
      </c>
      <c r="AL882" s="3">
        <f>INT(VLOOKUP(U882,模板计算相关数据!A:N,5,0)*VLOOKUP(X882,模板计算相关数据!$P$4:$T$7,4,0)*VLOOKUP(Y882,模板计算相关数据!$P$22:$U$30,4,0)*AB882)</f>
        <v>1821</v>
      </c>
      <c r="AM882" s="3">
        <f>INT(VLOOKUP(U882,模板计算相关数据!A:N,6,0)*VLOOKUP(X882,模板计算相关数据!$P$4:$T$7,4,0)*VLOOKUP(Y882,模板计算相关数据!$P$22:$U$30,5,0)*AC882)</f>
        <v>3073</v>
      </c>
      <c r="AN882" s="3">
        <f>VLOOKUP(U882,模板计算相关数据!A:N,10,0)*0.5*VLOOKUP(Y882,模板计算相关数据!$P$22:$U$30,6,0)+AD882</f>
        <v>250</v>
      </c>
      <c r="AO882" s="3">
        <f>VLOOKUP(INT(VLOOKUP(U882,模板计算相关数据!A:N,2,0)/30)+1,模板计算相关数据!$O$35:$U$40,3,0)+AE882</f>
        <v>0</v>
      </c>
      <c r="AP882" s="3">
        <f>VLOOKUP(INT(VLOOKUP(U882,模板计算相关数据!A:N,2,0)/30)+1,模板计算相关数据!$O$35:$U$40,4,0)+AF882</f>
        <v>5000</v>
      </c>
      <c r="AQ882" s="3">
        <f>VLOOKUP(INT(VLOOKUP(U882,模板计算相关数据!A:N,2,0)/30)+1,模板计算相关数据!$O$35:$U$40,5,0)+AG882</f>
        <v>0</v>
      </c>
      <c r="AR882" s="3">
        <f>VLOOKUP(INT(VLOOKUP(U882,模板计算相关数据!A:N,2,0)/30)+1,模板计算相关数据!$O$35:$U$40,6,0)+AH882</f>
        <v>0</v>
      </c>
      <c r="AS882" s="3">
        <f>VLOOKUP(INT(VLOOKUP(U882,模板计算相关数据!A:N,2,0)/30)+1,模板计算相关数据!$O$35:$U$40,7,0)+AI882</f>
        <v>2000</v>
      </c>
      <c r="AT882" s="3">
        <f>VLOOKUP(INT(VLOOKUP(U882,模板计算相关数据!A:N,2,0)/30)+1,模板计算相关数据!$O$35:$V$40,8,0)</f>
        <v>0</v>
      </c>
      <c r="AU882" s="2"/>
    </row>
    <row r="883" spans="1:47" x14ac:dyDescent="0.2">
      <c r="A883" s="86">
        <v>51009022</v>
      </c>
      <c r="B883" s="86"/>
      <c r="C883" s="69" t="s">
        <v>1440</v>
      </c>
      <c r="D883" s="2" t="s">
        <v>1436</v>
      </c>
      <c r="E883" s="2"/>
      <c r="F883" s="3">
        <v>5</v>
      </c>
      <c r="G883" s="3">
        <v>103101</v>
      </c>
      <c r="H883" s="3">
        <v>4</v>
      </c>
      <c r="I883" s="2">
        <v>4</v>
      </c>
      <c r="J883" s="3">
        <v>2</v>
      </c>
      <c r="K883" s="3">
        <v>2</v>
      </c>
      <c r="L883" s="69" t="s">
        <v>1519</v>
      </c>
      <c r="M883" s="2"/>
      <c r="N883" s="2">
        <v>1</v>
      </c>
      <c r="O883" s="2"/>
      <c r="P883" s="3" t="s">
        <v>1615</v>
      </c>
      <c r="Q883" s="95">
        <v>5.6</v>
      </c>
      <c r="R883" s="133">
        <f>IF(P883=模板计算相关数据!$AB$24,VLOOKUP(X883,模板计算相关数据!$P$47:$T$50,2,0),VLOOKUP(X883,模板计算相关数据!$P$4:$U$7,3,0))*VLOOKUP(Y883,模板计算相关数据!$P$22:$X$30,8,0)</f>
        <v>7.1479215686274511</v>
      </c>
      <c r="S883" s="62">
        <v>3.4</v>
      </c>
      <c r="T883" s="133">
        <f>IF(P883=模板计算相关数据!$AB$24,VLOOKUP(X883,模板计算相关数据!$P$47:$T$50,5,0),VLOOKUP(X883,模板计算相关数据!$P$4:$U$7,6,0))*VLOOKUP(Y883,模板计算相关数据!$P$22:$X$30,9,0)</f>
        <v>3.7896875023685541</v>
      </c>
      <c r="U883" s="98">
        <v>58</v>
      </c>
      <c r="V883" s="95">
        <f t="shared" si="78"/>
        <v>36</v>
      </c>
      <c r="W883" s="29">
        <f>VLOOKUP(U883,模板计算相关数据!A:N,2,0)</f>
        <v>33</v>
      </c>
      <c r="X883" s="3" t="s">
        <v>158</v>
      </c>
      <c r="Y883" s="3" t="s">
        <v>162</v>
      </c>
      <c r="Z883" s="95">
        <v>1</v>
      </c>
      <c r="AA883" s="95">
        <v>1</v>
      </c>
      <c r="AB883" s="95">
        <v>1</v>
      </c>
      <c r="AC883" s="95">
        <v>1</v>
      </c>
      <c r="AD883" s="95">
        <v>0</v>
      </c>
      <c r="AE883" s="95">
        <v>0</v>
      </c>
      <c r="AF883" s="95">
        <v>0</v>
      </c>
      <c r="AG883" s="95">
        <v>0</v>
      </c>
      <c r="AH883" s="95">
        <v>0</v>
      </c>
      <c r="AI883" s="95">
        <v>2000</v>
      </c>
      <c r="AJ883" s="3">
        <f>INT(VLOOKUP(U883,模板计算相关数据!A:N,4,0)*VLOOKUP(U883,模板计算相关数据!A:N,14,0)*(1+MAX(0,(VLOOKUP(U883,模板计算相关数据!A:N,7,0)-AQ883))*VLOOKUP(U883,模板计算相关数据!A:N,8,0))*(1-(AL883+AM883)*0.5/((AL883+AM883)*0.5+(VLOOKUP(U883,模板计算相关数据!A:N,2,0)+模板计算相关数据!$AC$27)*模板计算相关数据!$AC$28))*Q883*Z883)</f>
        <v>3948</v>
      </c>
      <c r="AK883" s="3">
        <f>INT(VLOOKUP(U883,模板计算相关数据!A:N,3,0)/模板计算相关数据!$W$35/(1+MAX(0,(AO883/10000-VLOOKUP(U883,模板计算相关数据!A:N,9,0)))*AP883/10000)/(1-VLOOKUP(U883,模板计算相关数据!A:N,5,0)/(VLOOKUP(U883,模板计算相关数据!A:N,5,0)+(VLOOKUP(U883,模板计算相关数据!A:N,2,0)+模板计算相关数据!$AC$27)*模板计算相关数据!$AC$28))/S883*AA883)</f>
        <v>1925</v>
      </c>
      <c r="AL883" s="3">
        <f>INT(VLOOKUP(U883,模板计算相关数据!A:N,5,0)*VLOOKUP(X883,模板计算相关数据!$P$4:$T$7,4,0)*VLOOKUP(Y883,模板计算相关数据!$P$22:$U$30,4,0)*AB883)</f>
        <v>1821</v>
      </c>
      <c r="AM883" s="3">
        <f>INT(VLOOKUP(U883,模板计算相关数据!A:N,6,0)*VLOOKUP(X883,模板计算相关数据!$P$4:$T$7,4,0)*VLOOKUP(Y883,模板计算相关数据!$P$22:$U$30,5,0)*AC883)</f>
        <v>3073</v>
      </c>
      <c r="AN883" s="3">
        <f>VLOOKUP(U883,模板计算相关数据!A:N,10,0)*0.5*VLOOKUP(Y883,模板计算相关数据!$P$22:$U$30,6,0)+AD883</f>
        <v>250</v>
      </c>
      <c r="AO883" s="3">
        <f>VLOOKUP(INT(VLOOKUP(U883,模板计算相关数据!A:N,2,0)/30)+1,模板计算相关数据!$O$35:$U$40,3,0)+AE883</f>
        <v>0</v>
      </c>
      <c r="AP883" s="3">
        <f>VLOOKUP(INT(VLOOKUP(U883,模板计算相关数据!A:N,2,0)/30)+1,模板计算相关数据!$O$35:$U$40,4,0)+AF883</f>
        <v>5000</v>
      </c>
      <c r="AQ883" s="3">
        <f>VLOOKUP(INT(VLOOKUP(U883,模板计算相关数据!A:N,2,0)/30)+1,模板计算相关数据!$O$35:$U$40,5,0)+AG883</f>
        <v>0</v>
      </c>
      <c r="AR883" s="3">
        <f>VLOOKUP(INT(VLOOKUP(U883,模板计算相关数据!A:N,2,0)/30)+1,模板计算相关数据!$O$35:$U$40,6,0)+AH883</f>
        <v>0</v>
      </c>
      <c r="AS883" s="3">
        <f>VLOOKUP(INT(VLOOKUP(U883,模板计算相关数据!A:N,2,0)/30)+1,模板计算相关数据!$O$35:$U$40,7,0)+AI883</f>
        <v>2000</v>
      </c>
      <c r="AT883" s="3">
        <f>VLOOKUP(INT(VLOOKUP(U883,模板计算相关数据!A:N,2,0)/30)+1,模板计算相关数据!$O$35:$V$40,8,0)</f>
        <v>0</v>
      </c>
      <c r="AU883" s="2"/>
    </row>
    <row r="884" spans="1:47" x14ac:dyDescent="0.2">
      <c r="A884" s="86">
        <v>51009032</v>
      </c>
      <c r="B884" s="86"/>
      <c r="C884" s="69" t="s">
        <v>1440</v>
      </c>
      <c r="D884" s="2" t="s">
        <v>1437</v>
      </c>
      <c r="E884" s="2"/>
      <c r="F884" s="3">
        <v>5</v>
      </c>
      <c r="G884" s="3">
        <v>103101</v>
      </c>
      <c r="H884" s="3">
        <v>4</v>
      </c>
      <c r="I884" s="2">
        <v>4</v>
      </c>
      <c r="J884" s="3">
        <v>2</v>
      </c>
      <c r="K884" s="3">
        <v>2</v>
      </c>
      <c r="L884" s="69" t="s">
        <v>1519</v>
      </c>
      <c r="M884" s="2"/>
      <c r="N884" s="2">
        <v>1</v>
      </c>
      <c r="O884" s="2"/>
      <c r="P884" s="3" t="s">
        <v>1615</v>
      </c>
      <c r="Q884" s="95">
        <v>5.7</v>
      </c>
      <c r="R884" s="133">
        <f>IF(P884=模板计算相关数据!$AB$24,VLOOKUP(X884,模板计算相关数据!$P$47:$T$50,2,0),VLOOKUP(X884,模板计算相关数据!$P$4:$U$7,3,0))*VLOOKUP(Y884,模板计算相关数据!$P$22:$X$30,8,0)</f>
        <v>7.1479215686274511</v>
      </c>
      <c r="S884" s="62">
        <v>3.3</v>
      </c>
      <c r="T884" s="133">
        <f>IF(P884=模板计算相关数据!$AB$24,VLOOKUP(X884,模板计算相关数据!$P$47:$T$50,5,0),VLOOKUP(X884,模板计算相关数据!$P$4:$U$7,6,0))*VLOOKUP(Y884,模板计算相关数据!$P$22:$X$30,9,0)</f>
        <v>3.7896875023685541</v>
      </c>
      <c r="U884" s="98">
        <v>58</v>
      </c>
      <c r="V884" s="95">
        <f t="shared" si="78"/>
        <v>36</v>
      </c>
      <c r="W884" s="29">
        <f>VLOOKUP(U884,模板计算相关数据!A:N,2,0)</f>
        <v>33</v>
      </c>
      <c r="X884" s="3" t="s">
        <v>158</v>
      </c>
      <c r="Y884" s="3" t="s">
        <v>162</v>
      </c>
      <c r="Z884" s="95">
        <v>1</v>
      </c>
      <c r="AA884" s="95">
        <v>1</v>
      </c>
      <c r="AB884" s="95">
        <v>1</v>
      </c>
      <c r="AC884" s="95">
        <v>1</v>
      </c>
      <c r="AD884" s="95">
        <v>0</v>
      </c>
      <c r="AE884" s="95">
        <v>0</v>
      </c>
      <c r="AF884" s="95">
        <v>0</v>
      </c>
      <c r="AG884" s="95">
        <v>0</v>
      </c>
      <c r="AH884" s="95">
        <v>0</v>
      </c>
      <c r="AI884" s="95">
        <v>2000</v>
      </c>
      <c r="AJ884" s="3">
        <f>INT(VLOOKUP(U884,模板计算相关数据!A:N,4,0)*VLOOKUP(U884,模板计算相关数据!A:N,14,0)*(1+MAX(0,(VLOOKUP(U884,模板计算相关数据!A:N,7,0)-AQ884))*VLOOKUP(U884,模板计算相关数据!A:N,8,0))*(1-(AL884+AM884)*0.5/((AL884+AM884)*0.5+(VLOOKUP(U884,模板计算相关数据!A:N,2,0)+模板计算相关数据!$AC$27)*模板计算相关数据!$AC$28))*Q884*Z884)</f>
        <v>4019</v>
      </c>
      <c r="AK884" s="3">
        <f>INT(VLOOKUP(U884,模板计算相关数据!A:N,3,0)/模板计算相关数据!$W$35/(1+MAX(0,(AO884/10000-VLOOKUP(U884,模板计算相关数据!A:N,9,0)))*AP884/10000)/(1-VLOOKUP(U884,模板计算相关数据!A:N,5,0)/(VLOOKUP(U884,模板计算相关数据!A:N,5,0)+(VLOOKUP(U884,模板计算相关数据!A:N,2,0)+模板计算相关数据!$AC$27)*模板计算相关数据!$AC$28))/S884*AA884)</f>
        <v>1984</v>
      </c>
      <c r="AL884" s="3">
        <f>INT(VLOOKUP(U884,模板计算相关数据!A:N,5,0)*VLOOKUP(X884,模板计算相关数据!$P$4:$T$7,4,0)*VLOOKUP(Y884,模板计算相关数据!$P$22:$U$30,4,0)*AB884)</f>
        <v>1821</v>
      </c>
      <c r="AM884" s="3">
        <f>INT(VLOOKUP(U884,模板计算相关数据!A:N,6,0)*VLOOKUP(X884,模板计算相关数据!$P$4:$T$7,4,0)*VLOOKUP(Y884,模板计算相关数据!$P$22:$U$30,5,0)*AC884)</f>
        <v>3073</v>
      </c>
      <c r="AN884" s="3">
        <f>VLOOKUP(U884,模板计算相关数据!A:N,10,0)*0.5*VLOOKUP(Y884,模板计算相关数据!$P$22:$U$30,6,0)+AD884</f>
        <v>250</v>
      </c>
      <c r="AO884" s="3">
        <f>VLOOKUP(INT(VLOOKUP(U884,模板计算相关数据!A:N,2,0)/30)+1,模板计算相关数据!$O$35:$U$40,3,0)+AE884</f>
        <v>0</v>
      </c>
      <c r="AP884" s="3">
        <f>VLOOKUP(INT(VLOOKUP(U884,模板计算相关数据!A:N,2,0)/30)+1,模板计算相关数据!$O$35:$U$40,4,0)+AF884</f>
        <v>5000</v>
      </c>
      <c r="AQ884" s="3">
        <f>VLOOKUP(INT(VLOOKUP(U884,模板计算相关数据!A:N,2,0)/30)+1,模板计算相关数据!$O$35:$U$40,5,0)+AG884</f>
        <v>0</v>
      </c>
      <c r="AR884" s="3">
        <f>VLOOKUP(INT(VLOOKUP(U884,模板计算相关数据!A:N,2,0)/30)+1,模板计算相关数据!$O$35:$U$40,6,0)+AH884</f>
        <v>0</v>
      </c>
      <c r="AS884" s="3">
        <f>VLOOKUP(INT(VLOOKUP(U884,模板计算相关数据!A:N,2,0)/30)+1,模板计算相关数据!$O$35:$U$40,7,0)+AI884</f>
        <v>2000</v>
      </c>
      <c r="AT884" s="3">
        <f>VLOOKUP(INT(VLOOKUP(U884,模板计算相关数据!A:N,2,0)/30)+1,模板计算相关数据!$O$35:$V$40,8,0)</f>
        <v>0</v>
      </c>
      <c r="AU884" s="2"/>
    </row>
    <row r="885" spans="1:47" x14ac:dyDescent="0.2">
      <c r="A885" s="86">
        <v>51009042</v>
      </c>
      <c r="B885" s="86"/>
      <c r="C885" s="69" t="s">
        <v>1440</v>
      </c>
      <c r="D885" s="2" t="s">
        <v>1438</v>
      </c>
      <c r="E885" s="2"/>
      <c r="F885" s="3">
        <v>5</v>
      </c>
      <c r="G885" s="3">
        <v>103101</v>
      </c>
      <c r="H885" s="3">
        <v>4</v>
      </c>
      <c r="I885" s="2">
        <v>4</v>
      </c>
      <c r="J885" s="3">
        <v>2</v>
      </c>
      <c r="K885" s="3">
        <v>2</v>
      </c>
      <c r="L885" s="69" t="s">
        <v>1519</v>
      </c>
      <c r="M885" s="2"/>
      <c r="N885" s="2">
        <v>1</v>
      </c>
      <c r="O885" s="2"/>
      <c r="P885" s="3" t="s">
        <v>1615</v>
      </c>
      <c r="Q885" s="95">
        <v>5.8</v>
      </c>
      <c r="R885" s="133">
        <f>IF(P885=模板计算相关数据!$AB$24,VLOOKUP(X885,模板计算相关数据!$P$47:$T$50,2,0),VLOOKUP(X885,模板计算相关数据!$P$4:$U$7,3,0))*VLOOKUP(Y885,模板计算相关数据!$P$22:$X$30,8,0)</f>
        <v>7.1479215686274511</v>
      </c>
      <c r="S885" s="62">
        <v>3.2</v>
      </c>
      <c r="T885" s="133">
        <f>IF(P885=模板计算相关数据!$AB$24,VLOOKUP(X885,模板计算相关数据!$P$47:$T$50,5,0),VLOOKUP(X885,模板计算相关数据!$P$4:$U$7,6,0))*VLOOKUP(Y885,模板计算相关数据!$P$22:$X$30,9,0)</f>
        <v>3.7896875023685541</v>
      </c>
      <c r="U885" s="98">
        <v>58</v>
      </c>
      <c r="V885" s="95">
        <f t="shared" si="78"/>
        <v>36</v>
      </c>
      <c r="W885" s="29">
        <f>VLOOKUP(U885,模板计算相关数据!A:N,2,0)</f>
        <v>33</v>
      </c>
      <c r="X885" s="3" t="s">
        <v>158</v>
      </c>
      <c r="Y885" s="3" t="s">
        <v>162</v>
      </c>
      <c r="Z885" s="95">
        <v>1</v>
      </c>
      <c r="AA885" s="95">
        <v>1</v>
      </c>
      <c r="AB885" s="95">
        <v>1</v>
      </c>
      <c r="AC885" s="95">
        <v>1</v>
      </c>
      <c r="AD885" s="95">
        <v>0</v>
      </c>
      <c r="AE885" s="95">
        <v>0</v>
      </c>
      <c r="AF885" s="95">
        <v>0</v>
      </c>
      <c r="AG885" s="95">
        <v>0</v>
      </c>
      <c r="AH885" s="95">
        <v>0</v>
      </c>
      <c r="AI885" s="95">
        <v>2000</v>
      </c>
      <c r="AJ885" s="3">
        <f>INT(VLOOKUP(U885,模板计算相关数据!A:N,4,0)*VLOOKUP(U885,模板计算相关数据!A:N,14,0)*(1+MAX(0,(VLOOKUP(U885,模板计算相关数据!A:N,7,0)-AQ885))*VLOOKUP(U885,模板计算相关数据!A:N,8,0))*(1-(AL885+AM885)*0.5/((AL885+AM885)*0.5+(VLOOKUP(U885,模板计算相关数据!A:N,2,0)+模板计算相关数据!$AC$27)*模板计算相关数据!$AC$28))*Q885*Z885)</f>
        <v>4089</v>
      </c>
      <c r="AK885" s="3">
        <f>INT(VLOOKUP(U885,模板计算相关数据!A:N,3,0)/模板计算相关数据!$W$35/(1+MAX(0,(AO885/10000-VLOOKUP(U885,模板计算相关数据!A:N,9,0)))*AP885/10000)/(1-VLOOKUP(U885,模板计算相关数据!A:N,5,0)/(VLOOKUP(U885,模板计算相关数据!A:N,5,0)+(VLOOKUP(U885,模板计算相关数据!A:N,2,0)+模板计算相关数据!$AC$27)*模板计算相关数据!$AC$28))/S885*AA885)</f>
        <v>2046</v>
      </c>
      <c r="AL885" s="3">
        <f>INT(VLOOKUP(U885,模板计算相关数据!A:N,5,0)*VLOOKUP(X885,模板计算相关数据!$P$4:$T$7,4,0)*VLOOKUP(Y885,模板计算相关数据!$P$22:$U$30,4,0)*AB885)</f>
        <v>1821</v>
      </c>
      <c r="AM885" s="3">
        <f>INT(VLOOKUP(U885,模板计算相关数据!A:N,6,0)*VLOOKUP(X885,模板计算相关数据!$P$4:$T$7,4,0)*VLOOKUP(Y885,模板计算相关数据!$P$22:$U$30,5,0)*AC885)</f>
        <v>3073</v>
      </c>
      <c r="AN885" s="3">
        <f>VLOOKUP(U885,模板计算相关数据!A:N,10,0)*0.5*VLOOKUP(Y885,模板计算相关数据!$P$22:$U$30,6,0)+AD885</f>
        <v>250</v>
      </c>
      <c r="AO885" s="3">
        <f>VLOOKUP(INT(VLOOKUP(U885,模板计算相关数据!A:N,2,0)/30)+1,模板计算相关数据!$O$35:$U$40,3,0)+AE885</f>
        <v>0</v>
      </c>
      <c r="AP885" s="3">
        <f>VLOOKUP(INT(VLOOKUP(U885,模板计算相关数据!A:N,2,0)/30)+1,模板计算相关数据!$O$35:$U$40,4,0)+AF885</f>
        <v>5000</v>
      </c>
      <c r="AQ885" s="3">
        <f>VLOOKUP(INT(VLOOKUP(U885,模板计算相关数据!A:N,2,0)/30)+1,模板计算相关数据!$O$35:$U$40,5,0)+AG885</f>
        <v>0</v>
      </c>
      <c r="AR885" s="3">
        <f>VLOOKUP(INT(VLOOKUP(U885,模板计算相关数据!A:N,2,0)/30)+1,模板计算相关数据!$O$35:$U$40,6,0)+AH885</f>
        <v>0</v>
      </c>
      <c r="AS885" s="3">
        <f>VLOOKUP(INT(VLOOKUP(U885,模板计算相关数据!A:N,2,0)/30)+1,模板计算相关数据!$O$35:$U$40,7,0)+AI885</f>
        <v>2000</v>
      </c>
      <c r="AT885" s="3">
        <f>VLOOKUP(INT(VLOOKUP(U885,模板计算相关数据!A:N,2,0)/30)+1,模板计算相关数据!$O$35:$V$40,8,0)</f>
        <v>0</v>
      </c>
      <c r="AU885" s="2"/>
    </row>
    <row r="886" spans="1:47" x14ac:dyDescent="0.2">
      <c r="A886" s="86">
        <v>51009052</v>
      </c>
      <c r="B886" s="86"/>
      <c r="C886" s="69" t="s">
        <v>1440</v>
      </c>
      <c r="D886" s="2" t="s">
        <v>1439</v>
      </c>
      <c r="E886" s="2"/>
      <c r="F886" s="3">
        <v>5</v>
      </c>
      <c r="G886" s="3">
        <v>103101</v>
      </c>
      <c r="H886" s="3">
        <v>4</v>
      </c>
      <c r="I886" s="2">
        <v>4</v>
      </c>
      <c r="J886" s="3">
        <v>2</v>
      </c>
      <c r="K886" s="3">
        <v>2</v>
      </c>
      <c r="L886" s="69" t="s">
        <v>1520</v>
      </c>
      <c r="M886" s="2"/>
      <c r="N886" s="2">
        <v>1</v>
      </c>
      <c r="O886" s="2"/>
      <c r="P886" s="3" t="s">
        <v>1615</v>
      </c>
      <c r="Q886" s="95">
        <v>5.9</v>
      </c>
      <c r="R886" s="133">
        <f>IF(P886=模板计算相关数据!$AB$24,VLOOKUP(X886,模板计算相关数据!$P$47:$T$50,2,0),VLOOKUP(X886,模板计算相关数据!$P$4:$U$7,3,0))*VLOOKUP(Y886,模板计算相关数据!$P$22:$X$30,8,0)</f>
        <v>7.1479215686274511</v>
      </c>
      <c r="S886" s="62">
        <v>3.1</v>
      </c>
      <c r="T886" s="133">
        <f>IF(P886=模板计算相关数据!$AB$24,VLOOKUP(X886,模板计算相关数据!$P$47:$T$50,5,0),VLOOKUP(X886,模板计算相关数据!$P$4:$U$7,6,0))*VLOOKUP(Y886,模板计算相关数据!$P$22:$X$30,9,0)</f>
        <v>3.7896875023685541</v>
      </c>
      <c r="U886" s="98">
        <v>58</v>
      </c>
      <c r="V886" s="95">
        <f t="shared" si="78"/>
        <v>36</v>
      </c>
      <c r="W886" s="29">
        <f>VLOOKUP(U886,模板计算相关数据!A:N,2,0)</f>
        <v>33</v>
      </c>
      <c r="X886" s="3" t="s">
        <v>158</v>
      </c>
      <c r="Y886" s="3" t="s">
        <v>162</v>
      </c>
      <c r="Z886" s="95">
        <v>1</v>
      </c>
      <c r="AA886" s="95">
        <v>1</v>
      </c>
      <c r="AB886" s="95">
        <v>1</v>
      </c>
      <c r="AC886" s="95">
        <v>1</v>
      </c>
      <c r="AD886" s="95">
        <v>0</v>
      </c>
      <c r="AE886" s="95">
        <v>0</v>
      </c>
      <c r="AF886" s="95">
        <v>0</v>
      </c>
      <c r="AG886" s="95">
        <v>0</v>
      </c>
      <c r="AH886" s="95">
        <v>0</v>
      </c>
      <c r="AI886" s="95">
        <v>2000</v>
      </c>
      <c r="AJ886" s="3">
        <f>INT(VLOOKUP(U886,模板计算相关数据!A:N,4,0)*VLOOKUP(U886,模板计算相关数据!A:N,14,0)*(1+MAX(0,(VLOOKUP(U886,模板计算相关数据!A:N,7,0)-AQ886))*VLOOKUP(U886,模板计算相关数据!A:N,8,0))*(1-(AL886+AM886)*0.5/((AL886+AM886)*0.5+(VLOOKUP(U886,模板计算相关数据!A:N,2,0)+模板计算相关数据!$AC$27)*模板计算相关数据!$AC$28))*Q886*Z886)</f>
        <v>4160</v>
      </c>
      <c r="AK886" s="3">
        <f>INT(VLOOKUP(U886,模板计算相关数据!A:N,3,0)/模板计算相关数据!$W$35/(1+MAX(0,(AO886/10000-VLOOKUP(U886,模板计算相关数据!A:N,9,0)))*AP886/10000)/(1-VLOOKUP(U886,模板计算相关数据!A:N,5,0)/(VLOOKUP(U886,模板计算相关数据!A:N,5,0)+(VLOOKUP(U886,模板计算相关数据!A:N,2,0)+模板计算相关数据!$AC$27)*模板计算相关数据!$AC$28))/S886*AA886)</f>
        <v>2112</v>
      </c>
      <c r="AL886" s="3">
        <f>INT(VLOOKUP(U886,模板计算相关数据!A:N,5,0)*VLOOKUP(X886,模板计算相关数据!$P$4:$T$7,4,0)*VLOOKUP(Y886,模板计算相关数据!$P$22:$U$30,4,0)*AB886)</f>
        <v>1821</v>
      </c>
      <c r="AM886" s="3">
        <f>INT(VLOOKUP(U886,模板计算相关数据!A:N,6,0)*VLOOKUP(X886,模板计算相关数据!$P$4:$T$7,4,0)*VLOOKUP(Y886,模板计算相关数据!$P$22:$U$30,5,0)*AC886)</f>
        <v>3073</v>
      </c>
      <c r="AN886" s="3">
        <f>VLOOKUP(U886,模板计算相关数据!A:N,10,0)*0.5*VLOOKUP(Y886,模板计算相关数据!$P$22:$U$30,6,0)+AD886</f>
        <v>250</v>
      </c>
      <c r="AO886" s="3">
        <f>VLOOKUP(INT(VLOOKUP(U886,模板计算相关数据!A:N,2,0)/30)+1,模板计算相关数据!$O$35:$U$40,3,0)+AE886</f>
        <v>0</v>
      </c>
      <c r="AP886" s="3">
        <f>VLOOKUP(INT(VLOOKUP(U886,模板计算相关数据!A:N,2,0)/30)+1,模板计算相关数据!$O$35:$U$40,4,0)+AF886</f>
        <v>5000</v>
      </c>
      <c r="AQ886" s="3">
        <f>VLOOKUP(INT(VLOOKUP(U886,模板计算相关数据!A:N,2,0)/30)+1,模板计算相关数据!$O$35:$U$40,5,0)+AG886</f>
        <v>0</v>
      </c>
      <c r="AR886" s="3">
        <f>VLOOKUP(INT(VLOOKUP(U886,模板计算相关数据!A:N,2,0)/30)+1,模板计算相关数据!$O$35:$U$40,6,0)+AH886</f>
        <v>0</v>
      </c>
      <c r="AS886" s="3">
        <f>VLOOKUP(INT(VLOOKUP(U886,模板计算相关数据!A:N,2,0)/30)+1,模板计算相关数据!$O$35:$U$40,7,0)+AI886</f>
        <v>2000</v>
      </c>
      <c r="AT886" s="3">
        <f>VLOOKUP(INT(VLOOKUP(U886,模板计算相关数据!A:N,2,0)/30)+1,模板计算相关数据!$O$35:$V$40,8,0)</f>
        <v>0</v>
      </c>
      <c r="AU886" s="2"/>
    </row>
    <row r="887" spans="1:47" x14ac:dyDescent="0.2">
      <c r="A887" s="35">
        <v>51005011</v>
      </c>
      <c r="B887" s="35"/>
      <c r="C887" s="34" t="s">
        <v>1447</v>
      </c>
      <c r="D887" s="19" t="s">
        <v>1441</v>
      </c>
      <c r="E887" s="2"/>
      <c r="F887" s="3">
        <v>3</v>
      </c>
      <c r="G887" s="3">
        <v>105201</v>
      </c>
      <c r="H887" s="3">
        <v>2</v>
      </c>
      <c r="I887" s="2">
        <v>5</v>
      </c>
      <c r="J887" s="3">
        <v>2</v>
      </c>
      <c r="K887" s="3">
        <v>2</v>
      </c>
      <c r="L887" s="69" t="s">
        <v>1521</v>
      </c>
      <c r="M887" s="2"/>
      <c r="N887" s="2">
        <v>1</v>
      </c>
      <c r="O887" s="2"/>
      <c r="P887" s="3" t="s">
        <v>1615</v>
      </c>
      <c r="Q887" s="95">
        <f t="shared" si="76"/>
        <v>11.105882352941178</v>
      </c>
      <c r="R887" s="133">
        <f>IF(P887=模板计算相关数据!$AB$24,VLOOKUP(X887,模板计算相关数据!$P$47:$T$50,2,0),VLOOKUP(X887,模板计算相关数据!$P$4:$U$7,3,0))*VLOOKUP(Y887,模板计算相关数据!$P$22:$X$30,8,0)</f>
        <v>11.105882352941178</v>
      </c>
      <c r="S887" s="62">
        <v>5.74</v>
      </c>
      <c r="T887" s="133">
        <f>IF(P887=模板计算相关数据!$AB$24,VLOOKUP(X887,模板计算相关数据!$P$47:$T$50,5,0),VLOOKUP(X887,模板计算相关数据!$P$4:$U$7,6,0))*VLOOKUP(Y887,模板计算相关数据!$P$22:$X$30,9,0)</f>
        <v>5.7422422307462622</v>
      </c>
      <c r="U887" s="98">
        <v>62</v>
      </c>
      <c r="V887" s="95">
        <f t="shared" si="78"/>
        <v>50</v>
      </c>
      <c r="W887" s="29">
        <f>VLOOKUP(U887,模板计算相关数据!A:N,2,0)</f>
        <v>47</v>
      </c>
      <c r="X887" s="3" t="s">
        <v>158</v>
      </c>
      <c r="Y887" s="3" t="s">
        <v>155</v>
      </c>
      <c r="Z887" s="95">
        <v>1</v>
      </c>
      <c r="AA887" s="95">
        <v>1</v>
      </c>
      <c r="AB887" s="95">
        <v>1</v>
      </c>
      <c r="AC887" s="95">
        <v>1</v>
      </c>
      <c r="AD887" s="95">
        <v>0</v>
      </c>
      <c r="AE887" s="95">
        <v>0</v>
      </c>
      <c r="AF887" s="95">
        <v>0</v>
      </c>
      <c r="AG887" s="95">
        <v>0</v>
      </c>
      <c r="AH887" s="95">
        <v>0</v>
      </c>
      <c r="AI887" s="95">
        <v>2000</v>
      </c>
      <c r="AJ887" s="3">
        <f>INT(VLOOKUP(U887,模板计算相关数据!A:N,4,0)*VLOOKUP(U887,模板计算相关数据!A:N,14,0)*(1+MAX(0,(VLOOKUP(U887,模板计算相关数据!A:N,7,0)-AQ887))*VLOOKUP(U887,模板计算相关数据!A:N,8,0))*(1-(AL887+AM887)*0.5/((AL887+AM887)*0.5+(VLOOKUP(U887,模板计算相关数据!A:N,2,0)+模板计算相关数据!$AC$27)*模板计算相关数据!$AC$28))*Q887*Z887)</f>
        <v>11349</v>
      </c>
      <c r="AK887" s="3">
        <f>INT(VLOOKUP(U887,模板计算相关数据!A:N,3,0)/模板计算相关数据!$W$35/(1+MAX(0,(AO887/10000-VLOOKUP(U887,模板计算相关数据!A:N,9,0)))*AP887/10000)/(1-VLOOKUP(U887,模板计算相关数据!A:N,5,0)/(VLOOKUP(U887,模板计算相关数据!A:N,5,0)+(VLOOKUP(U887,模板计算相关数据!A:N,2,0)+模板计算相关数据!$AC$27)*模板计算相关数据!$AC$28))/S887*AA887)</f>
        <v>1891</v>
      </c>
      <c r="AL887" s="3">
        <f>INT(VLOOKUP(U887,模板计算相关数据!A:N,5,0)*VLOOKUP(X887,模板计算相关数据!$P$4:$T$7,4,0)*VLOOKUP(Y887,模板计算相关数据!$P$22:$U$30,4,0)*AB887)</f>
        <v>5872</v>
      </c>
      <c r="AM887" s="3">
        <f>INT(VLOOKUP(U887,模板计算相关数据!A:N,6,0)*VLOOKUP(X887,模板计算相关数据!$P$4:$T$7,4,0)*VLOOKUP(Y887,模板计算相关数据!$P$22:$U$30,5,0)*AC887)</f>
        <v>3240</v>
      </c>
      <c r="AN887" s="3">
        <f>VLOOKUP(U887,模板计算相关数据!A:N,10,0)*0.5*VLOOKUP(Y887,模板计算相关数据!$P$22:$U$30,6,0)+AD887</f>
        <v>225</v>
      </c>
      <c r="AO887" s="3">
        <f>VLOOKUP(INT(VLOOKUP(U887,模板计算相关数据!A:N,2,0)/30)+1,模板计算相关数据!$O$35:$U$40,3,0)+AE887</f>
        <v>0</v>
      </c>
      <c r="AP887" s="3">
        <f>VLOOKUP(INT(VLOOKUP(U887,模板计算相关数据!A:N,2,0)/30)+1,模板计算相关数据!$O$35:$U$40,4,0)+AF887</f>
        <v>5000</v>
      </c>
      <c r="AQ887" s="3">
        <f>VLOOKUP(INT(VLOOKUP(U887,模板计算相关数据!A:N,2,0)/30)+1,模板计算相关数据!$O$35:$U$40,5,0)+AG887</f>
        <v>0</v>
      </c>
      <c r="AR887" s="3">
        <f>VLOOKUP(INT(VLOOKUP(U887,模板计算相关数据!A:N,2,0)/30)+1,模板计算相关数据!$O$35:$U$40,6,0)+AH887</f>
        <v>0</v>
      </c>
      <c r="AS887" s="3">
        <f>VLOOKUP(INT(VLOOKUP(U887,模板计算相关数据!A:N,2,0)/30)+1,模板计算相关数据!$O$35:$U$40,7,0)+AI887</f>
        <v>2000</v>
      </c>
      <c r="AT887" s="3">
        <f>VLOOKUP(INT(VLOOKUP(U887,模板计算相关数据!A:N,2,0)/30)+1,模板计算相关数据!$O$35:$V$40,8,0)</f>
        <v>0</v>
      </c>
      <c r="AU887" s="2"/>
    </row>
    <row r="888" spans="1:47" x14ac:dyDescent="0.2">
      <c r="A888" s="86">
        <v>51005021</v>
      </c>
      <c r="B888" s="86"/>
      <c r="C888" s="2" t="s">
        <v>1446</v>
      </c>
      <c r="D888" s="2" t="s">
        <v>1442</v>
      </c>
      <c r="E888" s="2"/>
      <c r="F888" s="3">
        <v>3</v>
      </c>
      <c r="G888" s="3">
        <v>105201</v>
      </c>
      <c r="H888" s="3">
        <v>2</v>
      </c>
      <c r="I888" s="2">
        <v>5</v>
      </c>
      <c r="J888" s="3">
        <v>2</v>
      </c>
      <c r="K888" s="3">
        <v>2</v>
      </c>
      <c r="L888" s="69" t="s">
        <v>1521</v>
      </c>
      <c r="M888" s="2"/>
      <c r="N888" s="2">
        <v>1</v>
      </c>
      <c r="O888" s="2"/>
      <c r="P888" s="3" t="s">
        <v>1615</v>
      </c>
      <c r="Q888" s="95">
        <v>12</v>
      </c>
      <c r="R888" s="133">
        <f>IF(P888=模板计算相关数据!$AB$24,VLOOKUP(X888,模板计算相关数据!$P$47:$T$50,2,0),VLOOKUP(X888,模板计算相关数据!$P$4:$U$7,3,0))*VLOOKUP(Y888,模板计算相关数据!$P$22:$X$30,8,0)</f>
        <v>11.105882352941178</v>
      </c>
      <c r="S888" s="62">
        <f>T888</f>
        <v>5.7422422307462622</v>
      </c>
      <c r="T888" s="133">
        <f>IF(P888=模板计算相关数据!$AB$24,VLOOKUP(X888,模板计算相关数据!$P$47:$T$50,5,0),VLOOKUP(X888,模板计算相关数据!$P$4:$U$7,6,0))*VLOOKUP(Y888,模板计算相关数据!$P$22:$X$30,9,0)</f>
        <v>5.7422422307462622</v>
      </c>
      <c r="U888" s="98">
        <v>62</v>
      </c>
      <c r="V888" s="95">
        <f t="shared" si="78"/>
        <v>50</v>
      </c>
      <c r="W888" s="29">
        <f>VLOOKUP(U888,模板计算相关数据!A:N,2,0)</f>
        <v>47</v>
      </c>
      <c r="X888" s="3" t="s">
        <v>158</v>
      </c>
      <c r="Y888" s="3" t="s">
        <v>155</v>
      </c>
      <c r="Z888" s="95">
        <v>1</v>
      </c>
      <c r="AA888" s="95">
        <v>1</v>
      </c>
      <c r="AB888" s="95">
        <v>1</v>
      </c>
      <c r="AC888" s="95">
        <v>1</v>
      </c>
      <c r="AD888" s="95">
        <v>0</v>
      </c>
      <c r="AE888" s="95">
        <v>0</v>
      </c>
      <c r="AF888" s="95">
        <v>0</v>
      </c>
      <c r="AG888" s="95">
        <v>0</v>
      </c>
      <c r="AH888" s="95">
        <v>0</v>
      </c>
      <c r="AI888" s="95">
        <v>2000</v>
      </c>
      <c r="AJ888" s="3">
        <f>INT(VLOOKUP(U888,模板计算相关数据!A:N,4,0)*VLOOKUP(U888,模板计算相关数据!A:N,14,0)*(1+MAX(0,(VLOOKUP(U888,模板计算相关数据!A:N,7,0)-AQ888))*VLOOKUP(U888,模板计算相关数据!A:N,8,0))*(1-(AL888+AM888)*0.5/((AL888+AM888)*0.5+(VLOOKUP(U888,模板计算相关数据!A:N,2,0)+模板计算相关数据!$AC$27)*模板计算相关数据!$AC$28))*Q888*Z888)</f>
        <v>12263</v>
      </c>
      <c r="AK888" s="3">
        <f>INT(VLOOKUP(U888,模板计算相关数据!A:N,3,0)/模板计算相关数据!$W$35/(1+MAX(0,(AO888/10000-VLOOKUP(U888,模板计算相关数据!A:N,9,0)))*AP888/10000)/(1-VLOOKUP(U888,模板计算相关数据!A:N,5,0)/(VLOOKUP(U888,模板计算相关数据!A:N,5,0)+(VLOOKUP(U888,模板计算相关数据!A:N,2,0)+模板计算相关数据!$AC$27)*模板计算相关数据!$AC$28))/S888*AA888)</f>
        <v>1890</v>
      </c>
      <c r="AL888" s="3">
        <f>INT(VLOOKUP(U888,模板计算相关数据!A:N,5,0)*VLOOKUP(X888,模板计算相关数据!$P$4:$T$7,4,0)*VLOOKUP(Y888,模板计算相关数据!$P$22:$U$30,4,0)*AB888)</f>
        <v>5872</v>
      </c>
      <c r="AM888" s="3">
        <f>INT(VLOOKUP(U888,模板计算相关数据!A:N,6,0)*VLOOKUP(X888,模板计算相关数据!$P$4:$T$7,4,0)*VLOOKUP(Y888,模板计算相关数据!$P$22:$U$30,5,0)*AC888)</f>
        <v>3240</v>
      </c>
      <c r="AN888" s="3">
        <f>VLOOKUP(U888,模板计算相关数据!A:N,10,0)*0.5*VLOOKUP(Y888,模板计算相关数据!$P$22:$U$30,6,0)+AD888</f>
        <v>225</v>
      </c>
      <c r="AO888" s="3">
        <f>VLOOKUP(INT(VLOOKUP(U888,模板计算相关数据!A:N,2,0)/30)+1,模板计算相关数据!$O$35:$U$40,3,0)+AE888</f>
        <v>0</v>
      </c>
      <c r="AP888" s="3">
        <f>VLOOKUP(INT(VLOOKUP(U888,模板计算相关数据!A:N,2,0)/30)+1,模板计算相关数据!$O$35:$U$40,4,0)+AF888</f>
        <v>5000</v>
      </c>
      <c r="AQ888" s="3">
        <f>VLOOKUP(INT(VLOOKUP(U888,模板计算相关数据!A:N,2,0)/30)+1,模板计算相关数据!$O$35:$U$40,5,0)+AG888</f>
        <v>0</v>
      </c>
      <c r="AR888" s="3">
        <f>VLOOKUP(INT(VLOOKUP(U888,模板计算相关数据!A:N,2,0)/30)+1,模板计算相关数据!$O$35:$U$40,6,0)+AH888</f>
        <v>0</v>
      </c>
      <c r="AS888" s="3">
        <f>VLOOKUP(INT(VLOOKUP(U888,模板计算相关数据!A:N,2,0)/30)+1,模板计算相关数据!$O$35:$U$40,7,0)+AI888</f>
        <v>2000</v>
      </c>
      <c r="AT888" s="3">
        <f>VLOOKUP(INT(VLOOKUP(U888,模板计算相关数据!A:N,2,0)/30)+1,模板计算相关数据!$O$35:$V$40,8,0)</f>
        <v>0</v>
      </c>
      <c r="AU888" s="2"/>
    </row>
    <row r="889" spans="1:47" x14ac:dyDescent="0.2">
      <c r="A889" s="86">
        <v>51005031</v>
      </c>
      <c r="B889" s="86"/>
      <c r="C889" s="2" t="s">
        <v>1446</v>
      </c>
      <c r="D889" s="2" t="s">
        <v>1443</v>
      </c>
      <c r="E889" s="2"/>
      <c r="F889" s="3">
        <v>3</v>
      </c>
      <c r="G889" s="3">
        <v>105201</v>
      </c>
      <c r="H889" s="3">
        <v>2</v>
      </c>
      <c r="I889" s="2">
        <v>5</v>
      </c>
      <c r="J889" s="3">
        <v>2</v>
      </c>
      <c r="K889" s="3">
        <v>2</v>
      </c>
      <c r="L889" s="69" t="s">
        <v>1521</v>
      </c>
      <c r="M889" s="2"/>
      <c r="N889" s="2">
        <v>1</v>
      </c>
      <c r="O889" s="2"/>
      <c r="P889" s="3" t="s">
        <v>1615</v>
      </c>
      <c r="Q889" s="95">
        <v>13</v>
      </c>
      <c r="R889" s="133">
        <f>IF(P889=模板计算相关数据!$AB$24,VLOOKUP(X889,模板计算相关数据!$P$47:$T$50,2,0),VLOOKUP(X889,模板计算相关数据!$P$4:$U$7,3,0))*VLOOKUP(Y889,模板计算相关数据!$P$22:$X$30,8,0)</f>
        <v>11.105882352941178</v>
      </c>
      <c r="S889" s="62">
        <f>T889</f>
        <v>5.7422422307462622</v>
      </c>
      <c r="T889" s="133">
        <f>IF(P889=模板计算相关数据!$AB$24,VLOOKUP(X889,模板计算相关数据!$P$47:$T$50,5,0),VLOOKUP(X889,模板计算相关数据!$P$4:$U$7,6,0))*VLOOKUP(Y889,模板计算相关数据!$P$22:$X$30,9,0)</f>
        <v>5.7422422307462622</v>
      </c>
      <c r="U889" s="98">
        <v>62</v>
      </c>
      <c r="V889" s="95">
        <f t="shared" si="78"/>
        <v>50</v>
      </c>
      <c r="W889" s="29">
        <f>VLOOKUP(U889,模板计算相关数据!A:N,2,0)</f>
        <v>47</v>
      </c>
      <c r="X889" s="3" t="s">
        <v>158</v>
      </c>
      <c r="Y889" s="3" t="s">
        <v>155</v>
      </c>
      <c r="Z889" s="95">
        <v>1</v>
      </c>
      <c r="AA889" s="95">
        <v>1</v>
      </c>
      <c r="AB889" s="95">
        <v>1</v>
      </c>
      <c r="AC889" s="95">
        <v>1</v>
      </c>
      <c r="AD889" s="95">
        <v>0</v>
      </c>
      <c r="AE889" s="95">
        <v>0</v>
      </c>
      <c r="AF889" s="95">
        <v>0</v>
      </c>
      <c r="AG889" s="95">
        <v>0</v>
      </c>
      <c r="AH889" s="95">
        <v>0</v>
      </c>
      <c r="AI889" s="95">
        <v>2000</v>
      </c>
      <c r="AJ889" s="3">
        <f>INT(VLOOKUP(U889,模板计算相关数据!A:N,4,0)*VLOOKUP(U889,模板计算相关数据!A:N,14,0)*(1+MAX(0,(VLOOKUP(U889,模板计算相关数据!A:N,7,0)-AQ889))*VLOOKUP(U889,模板计算相关数据!A:N,8,0))*(1-(AL889+AM889)*0.5/((AL889+AM889)*0.5+(VLOOKUP(U889,模板计算相关数据!A:N,2,0)+模板计算相关数据!$AC$27)*模板计算相关数据!$AC$28))*Q889*Z889)</f>
        <v>13285</v>
      </c>
      <c r="AK889" s="3">
        <f>INT(VLOOKUP(U889,模板计算相关数据!A:N,3,0)/模板计算相关数据!$W$35/(1+MAX(0,(AO889/10000-VLOOKUP(U889,模板计算相关数据!A:N,9,0)))*AP889/10000)/(1-VLOOKUP(U889,模板计算相关数据!A:N,5,0)/(VLOOKUP(U889,模板计算相关数据!A:N,5,0)+(VLOOKUP(U889,模板计算相关数据!A:N,2,0)+模板计算相关数据!$AC$27)*模板计算相关数据!$AC$28))/S889*AA889)</f>
        <v>1890</v>
      </c>
      <c r="AL889" s="3">
        <f>INT(VLOOKUP(U889,模板计算相关数据!A:N,5,0)*VLOOKUP(X889,模板计算相关数据!$P$4:$T$7,4,0)*VLOOKUP(Y889,模板计算相关数据!$P$22:$U$30,4,0)*AB889)</f>
        <v>5872</v>
      </c>
      <c r="AM889" s="3">
        <f>INT(VLOOKUP(U889,模板计算相关数据!A:N,6,0)*VLOOKUP(X889,模板计算相关数据!$P$4:$T$7,4,0)*VLOOKUP(Y889,模板计算相关数据!$P$22:$U$30,5,0)*AC889)</f>
        <v>3240</v>
      </c>
      <c r="AN889" s="3">
        <f>VLOOKUP(U889,模板计算相关数据!A:N,10,0)*0.5*VLOOKUP(Y889,模板计算相关数据!$P$22:$U$30,6,0)+AD889</f>
        <v>225</v>
      </c>
      <c r="AO889" s="3">
        <f>VLOOKUP(INT(VLOOKUP(U889,模板计算相关数据!A:N,2,0)/30)+1,模板计算相关数据!$O$35:$U$40,3,0)+AE889</f>
        <v>0</v>
      </c>
      <c r="AP889" s="3">
        <f>VLOOKUP(INT(VLOOKUP(U889,模板计算相关数据!A:N,2,0)/30)+1,模板计算相关数据!$O$35:$U$40,4,0)+AF889</f>
        <v>5000</v>
      </c>
      <c r="AQ889" s="3">
        <f>VLOOKUP(INT(VLOOKUP(U889,模板计算相关数据!A:N,2,0)/30)+1,模板计算相关数据!$O$35:$U$40,5,0)+AG889</f>
        <v>0</v>
      </c>
      <c r="AR889" s="3">
        <f>VLOOKUP(INT(VLOOKUP(U889,模板计算相关数据!A:N,2,0)/30)+1,模板计算相关数据!$O$35:$U$40,6,0)+AH889</f>
        <v>0</v>
      </c>
      <c r="AS889" s="3">
        <f>VLOOKUP(INT(VLOOKUP(U889,模板计算相关数据!A:N,2,0)/30)+1,模板计算相关数据!$O$35:$U$40,7,0)+AI889</f>
        <v>2000</v>
      </c>
      <c r="AT889" s="3">
        <f>VLOOKUP(INT(VLOOKUP(U889,模板计算相关数据!A:N,2,0)/30)+1,模板计算相关数据!$O$35:$V$40,8,0)</f>
        <v>0</v>
      </c>
      <c r="AU889" s="2"/>
    </row>
    <row r="890" spans="1:47" x14ac:dyDescent="0.2">
      <c r="A890" s="86">
        <v>51005041</v>
      </c>
      <c r="B890" s="86"/>
      <c r="C890" s="2" t="s">
        <v>1446</v>
      </c>
      <c r="D890" s="2" t="s">
        <v>1444</v>
      </c>
      <c r="E890" s="2"/>
      <c r="F890" s="3">
        <v>3</v>
      </c>
      <c r="G890" s="3">
        <v>105201</v>
      </c>
      <c r="H890" s="3">
        <v>2</v>
      </c>
      <c r="I890" s="2">
        <v>5</v>
      </c>
      <c r="J890" s="3">
        <v>2</v>
      </c>
      <c r="K890" s="3">
        <v>2</v>
      </c>
      <c r="L890" s="69" t="s">
        <v>1521</v>
      </c>
      <c r="M890" s="2"/>
      <c r="N890" s="2">
        <v>1</v>
      </c>
      <c r="O890" s="2"/>
      <c r="P890" s="3" t="s">
        <v>1615</v>
      </c>
      <c r="Q890" s="95">
        <v>14</v>
      </c>
      <c r="R890" s="133">
        <f>IF(P890=模板计算相关数据!$AB$24,VLOOKUP(X890,模板计算相关数据!$P$47:$T$50,2,0),VLOOKUP(X890,模板计算相关数据!$P$4:$U$7,3,0))*VLOOKUP(Y890,模板计算相关数据!$P$22:$X$30,8,0)</f>
        <v>11.105882352941178</v>
      </c>
      <c r="S890" s="62">
        <f>T890</f>
        <v>5.7422422307462622</v>
      </c>
      <c r="T890" s="133">
        <f>IF(P890=模板计算相关数据!$AB$24,VLOOKUP(X890,模板计算相关数据!$P$47:$T$50,5,0),VLOOKUP(X890,模板计算相关数据!$P$4:$U$7,6,0))*VLOOKUP(Y890,模板计算相关数据!$P$22:$X$30,9,0)</f>
        <v>5.7422422307462622</v>
      </c>
      <c r="U890" s="98">
        <v>62</v>
      </c>
      <c r="V890" s="95">
        <f t="shared" si="78"/>
        <v>50</v>
      </c>
      <c r="W890" s="29">
        <f>VLOOKUP(U890,模板计算相关数据!A:N,2,0)</f>
        <v>47</v>
      </c>
      <c r="X890" s="3" t="s">
        <v>158</v>
      </c>
      <c r="Y890" s="3" t="s">
        <v>155</v>
      </c>
      <c r="Z890" s="95">
        <v>1</v>
      </c>
      <c r="AA890" s="95">
        <v>1</v>
      </c>
      <c r="AB890" s="95">
        <v>1</v>
      </c>
      <c r="AC890" s="95">
        <v>1</v>
      </c>
      <c r="AD890" s="95">
        <v>0</v>
      </c>
      <c r="AE890" s="95">
        <v>0</v>
      </c>
      <c r="AF890" s="95">
        <v>0</v>
      </c>
      <c r="AG890" s="95">
        <v>0</v>
      </c>
      <c r="AH890" s="95">
        <v>0</v>
      </c>
      <c r="AI890" s="95">
        <v>2000</v>
      </c>
      <c r="AJ890" s="3">
        <f>INT(VLOOKUP(U890,模板计算相关数据!A:N,4,0)*VLOOKUP(U890,模板计算相关数据!A:N,14,0)*(1+MAX(0,(VLOOKUP(U890,模板计算相关数据!A:N,7,0)-AQ890))*VLOOKUP(U890,模板计算相关数据!A:N,8,0))*(1-(AL890+AM890)*0.5/((AL890+AM890)*0.5+(VLOOKUP(U890,模板计算相关数据!A:N,2,0)+模板计算相关数据!$AC$27)*模板计算相关数据!$AC$28))*Q890*Z890)</f>
        <v>14306</v>
      </c>
      <c r="AK890" s="3">
        <f>INT(VLOOKUP(U890,模板计算相关数据!A:N,3,0)/模板计算相关数据!$W$35/(1+MAX(0,(AO890/10000-VLOOKUP(U890,模板计算相关数据!A:N,9,0)))*AP890/10000)/(1-VLOOKUP(U890,模板计算相关数据!A:N,5,0)/(VLOOKUP(U890,模板计算相关数据!A:N,5,0)+(VLOOKUP(U890,模板计算相关数据!A:N,2,0)+模板计算相关数据!$AC$27)*模板计算相关数据!$AC$28))/S890*AA890)</f>
        <v>1890</v>
      </c>
      <c r="AL890" s="3">
        <f>INT(VLOOKUP(U890,模板计算相关数据!A:N,5,0)*VLOOKUP(X890,模板计算相关数据!$P$4:$T$7,4,0)*VLOOKUP(Y890,模板计算相关数据!$P$22:$U$30,4,0)*AB890)</f>
        <v>5872</v>
      </c>
      <c r="AM890" s="3">
        <f>INT(VLOOKUP(U890,模板计算相关数据!A:N,6,0)*VLOOKUP(X890,模板计算相关数据!$P$4:$T$7,4,0)*VLOOKUP(Y890,模板计算相关数据!$P$22:$U$30,5,0)*AC890)</f>
        <v>3240</v>
      </c>
      <c r="AN890" s="3">
        <f>VLOOKUP(U890,模板计算相关数据!A:N,10,0)*0.5*VLOOKUP(Y890,模板计算相关数据!$P$22:$U$30,6,0)+AD890</f>
        <v>225</v>
      </c>
      <c r="AO890" s="3">
        <f>VLOOKUP(INT(VLOOKUP(U890,模板计算相关数据!A:N,2,0)/30)+1,模板计算相关数据!$O$35:$U$40,3,0)+AE890</f>
        <v>0</v>
      </c>
      <c r="AP890" s="3">
        <f>VLOOKUP(INT(VLOOKUP(U890,模板计算相关数据!A:N,2,0)/30)+1,模板计算相关数据!$O$35:$U$40,4,0)+AF890</f>
        <v>5000</v>
      </c>
      <c r="AQ890" s="3">
        <f>VLOOKUP(INT(VLOOKUP(U890,模板计算相关数据!A:N,2,0)/30)+1,模板计算相关数据!$O$35:$U$40,5,0)+AG890</f>
        <v>0</v>
      </c>
      <c r="AR890" s="3">
        <f>VLOOKUP(INT(VLOOKUP(U890,模板计算相关数据!A:N,2,0)/30)+1,模板计算相关数据!$O$35:$U$40,6,0)+AH890</f>
        <v>0</v>
      </c>
      <c r="AS890" s="3">
        <f>VLOOKUP(INT(VLOOKUP(U890,模板计算相关数据!A:N,2,0)/30)+1,模板计算相关数据!$O$35:$U$40,7,0)+AI890</f>
        <v>2000</v>
      </c>
      <c r="AT890" s="3">
        <f>VLOOKUP(INT(VLOOKUP(U890,模板计算相关数据!A:N,2,0)/30)+1,模板计算相关数据!$O$35:$V$40,8,0)</f>
        <v>0</v>
      </c>
      <c r="AU890" s="2"/>
    </row>
    <row r="891" spans="1:47" x14ac:dyDescent="0.2">
      <c r="A891" s="86">
        <v>51005051</v>
      </c>
      <c r="B891" s="86"/>
      <c r="C891" s="2" t="s">
        <v>1446</v>
      </c>
      <c r="D891" s="2" t="s">
        <v>1445</v>
      </c>
      <c r="E891" s="2"/>
      <c r="F891" s="3">
        <v>5</v>
      </c>
      <c r="G891" s="3">
        <v>105201</v>
      </c>
      <c r="H891" s="3">
        <v>2</v>
      </c>
      <c r="I891" s="2">
        <v>5</v>
      </c>
      <c r="J891" s="3">
        <v>2</v>
      </c>
      <c r="K891" s="3">
        <v>2</v>
      </c>
      <c r="L891" s="69" t="s">
        <v>1521</v>
      </c>
      <c r="M891" s="2"/>
      <c r="N891" s="2">
        <v>1</v>
      </c>
      <c r="O891" s="2"/>
      <c r="P891" s="3" t="s">
        <v>1615</v>
      </c>
      <c r="Q891" s="95">
        <v>15</v>
      </c>
      <c r="R891" s="133">
        <f>IF(P891=模板计算相关数据!$AB$24,VLOOKUP(X891,模板计算相关数据!$P$47:$T$50,2,0),VLOOKUP(X891,模板计算相关数据!$P$4:$U$7,3,0))*VLOOKUP(Y891,模板计算相关数据!$P$22:$X$30,8,0)</f>
        <v>11.105882352941178</v>
      </c>
      <c r="S891" s="62">
        <f>T891</f>
        <v>5.7422422307462622</v>
      </c>
      <c r="T891" s="133">
        <f>IF(P891=模板计算相关数据!$AB$24,VLOOKUP(X891,模板计算相关数据!$P$47:$T$50,5,0),VLOOKUP(X891,模板计算相关数据!$P$4:$U$7,6,0))*VLOOKUP(Y891,模板计算相关数据!$P$22:$X$30,9,0)</f>
        <v>5.7422422307462622</v>
      </c>
      <c r="U891" s="98">
        <v>62</v>
      </c>
      <c r="V891" s="95">
        <f t="shared" si="78"/>
        <v>50</v>
      </c>
      <c r="W891" s="29">
        <f>VLOOKUP(U891,模板计算相关数据!A:N,2,0)</f>
        <v>47</v>
      </c>
      <c r="X891" s="3" t="s">
        <v>158</v>
      </c>
      <c r="Y891" s="3" t="s">
        <v>155</v>
      </c>
      <c r="Z891" s="95">
        <v>1</v>
      </c>
      <c r="AA891" s="95">
        <v>1</v>
      </c>
      <c r="AB891" s="95">
        <v>1</v>
      </c>
      <c r="AC891" s="95">
        <v>1</v>
      </c>
      <c r="AD891" s="95">
        <v>0</v>
      </c>
      <c r="AE891" s="95">
        <v>0</v>
      </c>
      <c r="AF891" s="95">
        <v>0</v>
      </c>
      <c r="AG891" s="95">
        <v>0</v>
      </c>
      <c r="AH891" s="95">
        <v>0</v>
      </c>
      <c r="AI891" s="95">
        <v>2000</v>
      </c>
      <c r="AJ891" s="3">
        <f>INT(VLOOKUP(U891,模板计算相关数据!A:N,4,0)*VLOOKUP(U891,模板计算相关数据!A:N,14,0)*(1+MAX(0,(VLOOKUP(U891,模板计算相关数据!A:N,7,0)-AQ891))*VLOOKUP(U891,模板计算相关数据!A:N,8,0))*(1-(AL891+AM891)*0.5/((AL891+AM891)*0.5+(VLOOKUP(U891,模板计算相关数据!A:N,2,0)+模板计算相关数据!$AC$27)*模板计算相关数据!$AC$28))*Q891*Z891)</f>
        <v>15328</v>
      </c>
      <c r="AK891" s="3">
        <f>INT(VLOOKUP(U891,模板计算相关数据!A:N,3,0)/模板计算相关数据!$W$35/(1+MAX(0,(AO891/10000-VLOOKUP(U891,模板计算相关数据!A:N,9,0)))*AP891/10000)/(1-VLOOKUP(U891,模板计算相关数据!A:N,5,0)/(VLOOKUP(U891,模板计算相关数据!A:N,5,0)+(VLOOKUP(U891,模板计算相关数据!A:N,2,0)+模板计算相关数据!$AC$27)*模板计算相关数据!$AC$28))/S891*AA891)</f>
        <v>1890</v>
      </c>
      <c r="AL891" s="3">
        <f>INT(VLOOKUP(U891,模板计算相关数据!A:N,5,0)*VLOOKUP(X891,模板计算相关数据!$P$4:$T$7,4,0)*VLOOKUP(Y891,模板计算相关数据!$P$22:$U$30,4,0)*AB891)</f>
        <v>5872</v>
      </c>
      <c r="AM891" s="3">
        <f>INT(VLOOKUP(U891,模板计算相关数据!A:N,6,0)*VLOOKUP(X891,模板计算相关数据!$P$4:$T$7,4,0)*VLOOKUP(Y891,模板计算相关数据!$P$22:$U$30,5,0)*AC891)</f>
        <v>3240</v>
      </c>
      <c r="AN891" s="3">
        <f>VLOOKUP(U891,模板计算相关数据!A:N,10,0)*0.5*VLOOKUP(Y891,模板计算相关数据!$P$22:$U$30,6,0)+AD891</f>
        <v>225</v>
      </c>
      <c r="AO891" s="3">
        <f>VLOOKUP(INT(VLOOKUP(U891,模板计算相关数据!A:N,2,0)/30)+1,模板计算相关数据!$O$35:$U$40,3,0)+AE891</f>
        <v>0</v>
      </c>
      <c r="AP891" s="3">
        <f>VLOOKUP(INT(VLOOKUP(U891,模板计算相关数据!A:N,2,0)/30)+1,模板计算相关数据!$O$35:$U$40,4,0)+AF891</f>
        <v>5000</v>
      </c>
      <c r="AQ891" s="3">
        <f>VLOOKUP(INT(VLOOKUP(U891,模板计算相关数据!A:N,2,0)/30)+1,模板计算相关数据!$O$35:$U$40,5,0)+AG891</f>
        <v>0</v>
      </c>
      <c r="AR891" s="3">
        <f>VLOOKUP(INT(VLOOKUP(U891,模板计算相关数据!A:N,2,0)/30)+1,模板计算相关数据!$O$35:$U$40,6,0)+AH891</f>
        <v>0</v>
      </c>
      <c r="AS891" s="3">
        <f>VLOOKUP(INT(VLOOKUP(U891,模板计算相关数据!A:N,2,0)/30)+1,模板计算相关数据!$O$35:$U$40,7,0)+AI891</f>
        <v>2000</v>
      </c>
      <c r="AT891" s="3">
        <f>VLOOKUP(INT(VLOOKUP(U891,模板计算相关数据!A:N,2,0)/30)+1,模板计算相关数据!$O$35:$V$40,8,0)</f>
        <v>0</v>
      </c>
      <c r="AU891" s="2"/>
    </row>
    <row r="892" spans="1:47" x14ac:dyDescent="0.2">
      <c r="A892" s="86">
        <v>51005012</v>
      </c>
      <c r="B892" s="86"/>
      <c r="C892" s="69" t="s">
        <v>1448</v>
      </c>
      <c r="D892" s="2" t="s">
        <v>1441</v>
      </c>
      <c r="E892" s="2"/>
      <c r="F892" s="3">
        <v>3</v>
      </c>
      <c r="G892" s="3">
        <v>105101</v>
      </c>
      <c r="H892" s="3">
        <v>1</v>
      </c>
      <c r="I892" s="2">
        <v>5</v>
      </c>
      <c r="J892" s="3">
        <v>2</v>
      </c>
      <c r="K892" s="3">
        <v>2</v>
      </c>
      <c r="L892" s="69" t="s">
        <v>1522</v>
      </c>
      <c r="M892" s="2"/>
      <c r="N892" s="2">
        <v>1</v>
      </c>
      <c r="O892" s="2"/>
      <c r="P892" s="3" t="s">
        <v>1615</v>
      </c>
      <c r="Q892" s="95">
        <f t="shared" si="76"/>
        <v>7.0676078431372558</v>
      </c>
      <c r="R892" s="133">
        <f>IF(P892=模板计算相关数据!$AB$24,VLOOKUP(X892,模板计算相关数据!$P$47:$T$50,2,0),VLOOKUP(X892,模板计算相关数据!$P$4:$U$7,3,0))*VLOOKUP(Y892,模板计算相关数据!$P$22:$X$30,8,0)</f>
        <v>7.0676078431372558</v>
      </c>
      <c r="S892" s="62">
        <v>3.7</v>
      </c>
      <c r="T892" s="133">
        <f>IF(P892=模板计算相关数据!$AB$24,VLOOKUP(X892,模板计算相关数据!$P$47:$T$50,5,0),VLOOKUP(X892,模板计算相关数据!$P$4:$U$7,6,0))*VLOOKUP(Y892,模板计算相关数据!$P$22:$X$30,9,0)</f>
        <v>3.7582116925482176</v>
      </c>
      <c r="U892" s="98">
        <v>62</v>
      </c>
      <c r="V892" s="95">
        <f t="shared" si="78"/>
        <v>50</v>
      </c>
      <c r="W892" s="29">
        <f>VLOOKUP(U892,模板计算相关数据!A:N,2,0)</f>
        <v>47</v>
      </c>
      <c r="X892" s="3" t="s">
        <v>158</v>
      </c>
      <c r="Y892" s="3" t="s">
        <v>152</v>
      </c>
      <c r="Z892" s="95">
        <v>1</v>
      </c>
      <c r="AA892" s="95">
        <v>1</v>
      </c>
      <c r="AB892" s="95">
        <v>1</v>
      </c>
      <c r="AC892" s="95">
        <v>1</v>
      </c>
      <c r="AD892" s="95">
        <v>0</v>
      </c>
      <c r="AE892" s="95">
        <v>0</v>
      </c>
      <c r="AF892" s="95">
        <v>0</v>
      </c>
      <c r="AG892" s="95">
        <v>0</v>
      </c>
      <c r="AH892" s="95">
        <v>0</v>
      </c>
      <c r="AI892" s="95">
        <v>2000</v>
      </c>
      <c r="AJ892" s="3">
        <f>INT(VLOOKUP(U892,模板计算相关数据!A:N,4,0)*VLOOKUP(U892,模板计算相关数据!A:N,14,0)*(1+MAX(0,(VLOOKUP(U892,模板计算相关数据!A:N,7,0)-AQ892))*VLOOKUP(U892,模板计算相关数据!A:N,8,0))*(1-(AL892+AM892)*0.5/((AL892+AM892)*0.5+(VLOOKUP(U892,模板计算相关数据!A:N,2,0)+模板计算相关数据!$AC$27)*模板计算相关数据!$AC$28))*Q892*Z892)</f>
        <v>7779</v>
      </c>
      <c r="AK892" s="3">
        <f>INT(VLOOKUP(U892,模板计算相关数据!A:N,3,0)/模板计算相关数据!$W$35/(1+MAX(0,(AO892/10000-VLOOKUP(U892,模板计算相关数据!A:N,9,0)))*AP892/10000)/(1-VLOOKUP(U892,模板计算相关数据!A:N,5,0)/(VLOOKUP(U892,模板计算相关数据!A:N,5,0)+(VLOOKUP(U892,模板计算相关数据!A:N,2,0)+模板计算相关数据!$AC$27)*模板计算相关数据!$AC$28))/S892*AA892)</f>
        <v>2934</v>
      </c>
      <c r="AL892" s="3">
        <f>INT(VLOOKUP(U892,模板计算相关数据!A:N,5,0)*VLOOKUP(X892,模板计算相关数据!$P$4:$T$7,4,0)*VLOOKUP(Y892,模板计算相关数据!$P$22:$U$30,4,0)*AB892)</f>
        <v>4878</v>
      </c>
      <c r="AM892" s="3">
        <f>INT(VLOOKUP(U892,模板计算相关数据!A:N,6,0)*VLOOKUP(X892,模板计算相关数据!$P$4:$T$7,4,0)*VLOOKUP(Y892,模板计算相关数据!$P$22:$U$30,5,0)*AC892)</f>
        <v>2880</v>
      </c>
      <c r="AN892" s="3">
        <f>VLOOKUP(U892,模板计算相关数据!A:N,10,0)*0.5*VLOOKUP(Y892,模板计算相关数据!$P$22:$U$30,6,0)+AD892</f>
        <v>250</v>
      </c>
      <c r="AO892" s="3">
        <f>VLOOKUP(INT(VLOOKUP(U892,模板计算相关数据!A:N,2,0)/30)+1,模板计算相关数据!$O$35:$U$40,3,0)+AE892</f>
        <v>0</v>
      </c>
      <c r="AP892" s="3">
        <f>VLOOKUP(INT(VLOOKUP(U892,模板计算相关数据!A:N,2,0)/30)+1,模板计算相关数据!$O$35:$U$40,4,0)+AF892</f>
        <v>5000</v>
      </c>
      <c r="AQ892" s="3">
        <f>VLOOKUP(INT(VLOOKUP(U892,模板计算相关数据!A:N,2,0)/30)+1,模板计算相关数据!$O$35:$U$40,5,0)+AG892</f>
        <v>0</v>
      </c>
      <c r="AR892" s="3">
        <f>VLOOKUP(INT(VLOOKUP(U892,模板计算相关数据!A:N,2,0)/30)+1,模板计算相关数据!$O$35:$U$40,6,0)+AH892</f>
        <v>0</v>
      </c>
      <c r="AS892" s="3">
        <f>VLOOKUP(INT(VLOOKUP(U892,模板计算相关数据!A:N,2,0)/30)+1,模板计算相关数据!$O$35:$U$40,7,0)+AI892</f>
        <v>2000</v>
      </c>
      <c r="AT892" s="3">
        <f>VLOOKUP(INT(VLOOKUP(U892,模板计算相关数据!A:N,2,0)/30)+1,模板计算相关数据!$O$35:$V$40,8,0)</f>
        <v>0</v>
      </c>
      <c r="AU892" s="2"/>
    </row>
    <row r="893" spans="1:47" x14ac:dyDescent="0.2">
      <c r="A893" s="86">
        <v>51005022</v>
      </c>
      <c r="B893" s="86"/>
      <c r="C893" s="69" t="s">
        <v>1448</v>
      </c>
      <c r="D893" s="2" t="s">
        <v>1442</v>
      </c>
      <c r="E893" s="2"/>
      <c r="F893" s="3">
        <v>3</v>
      </c>
      <c r="G893" s="3">
        <v>105101</v>
      </c>
      <c r="H893" s="3">
        <v>1</v>
      </c>
      <c r="I893" s="2">
        <v>5</v>
      </c>
      <c r="J893" s="3">
        <v>2</v>
      </c>
      <c r="K893" s="3">
        <v>2</v>
      </c>
      <c r="L893" s="69" t="s">
        <v>1522</v>
      </c>
      <c r="M893" s="2"/>
      <c r="N893" s="2">
        <v>1</v>
      </c>
      <c r="O893" s="2"/>
      <c r="P893" s="3" t="s">
        <v>1615</v>
      </c>
      <c r="Q893" s="95">
        <f t="shared" si="76"/>
        <v>7.0676078431372558</v>
      </c>
      <c r="R893" s="133">
        <f>IF(P893=模板计算相关数据!$AB$24,VLOOKUP(X893,模板计算相关数据!$P$47:$T$50,2,0),VLOOKUP(X893,模板计算相关数据!$P$4:$U$7,3,0))*VLOOKUP(Y893,模板计算相关数据!$P$22:$X$30,8,0)</f>
        <v>7.0676078431372558</v>
      </c>
      <c r="S893" s="62">
        <v>3.6</v>
      </c>
      <c r="T893" s="133">
        <f>IF(P893=模板计算相关数据!$AB$24,VLOOKUP(X893,模板计算相关数据!$P$47:$T$50,5,0),VLOOKUP(X893,模板计算相关数据!$P$4:$U$7,6,0))*VLOOKUP(Y893,模板计算相关数据!$P$22:$X$30,9,0)</f>
        <v>3.7582116925482176</v>
      </c>
      <c r="U893" s="98">
        <v>62</v>
      </c>
      <c r="V893" s="95">
        <f t="shared" si="78"/>
        <v>50</v>
      </c>
      <c r="W893" s="29">
        <f>VLOOKUP(U893,模板计算相关数据!A:N,2,0)</f>
        <v>47</v>
      </c>
      <c r="X893" s="3" t="s">
        <v>158</v>
      </c>
      <c r="Y893" s="3" t="s">
        <v>152</v>
      </c>
      <c r="Z893" s="95">
        <v>1</v>
      </c>
      <c r="AA893" s="95">
        <v>1</v>
      </c>
      <c r="AB893" s="95">
        <v>1</v>
      </c>
      <c r="AC893" s="95">
        <v>1</v>
      </c>
      <c r="AD893" s="95">
        <v>0</v>
      </c>
      <c r="AE893" s="95">
        <v>0</v>
      </c>
      <c r="AF893" s="95">
        <v>0</v>
      </c>
      <c r="AG893" s="95">
        <v>0</v>
      </c>
      <c r="AH893" s="95">
        <v>0</v>
      </c>
      <c r="AI893" s="95">
        <v>2000</v>
      </c>
      <c r="AJ893" s="3">
        <f>INT(VLOOKUP(U893,模板计算相关数据!A:N,4,0)*VLOOKUP(U893,模板计算相关数据!A:N,14,0)*(1+MAX(0,(VLOOKUP(U893,模板计算相关数据!A:N,7,0)-AQ893))*VLOOKUP(U893,模板计算相关数据!A:N,8,0))*(1-(AL893+AM893)*0.5/((AL893+AM893)*0.5+(VLOOKUP(U893,模板计算相关数据!A:N,2,0)+模板计算相关数据!$AC$27)*模板计算相关数据!$AC$28))*Q893*Z893)</f>
        <v>7779</v>
      </c>
      <c r="AK893" s="3">
        <f>INT(VLOOKUP(U893,模板计算相关数据!A:N,3,0)/模板计算相关数据!$W$35/(1+MAX(0,(AO893/10000-VLOOKUP(U893,模板计算相关数据!A:N,9,0)))*AP893/10000)/(1-VLOOKUP(U893,模板计算相关数据!A:N,5,0)/(VLOOKUP(U893,模板计算相关数据!A:N,5,0)+(VLOOKUP(U893,模板计算相关数据!A:N,2,0)+模板计算相关数据!$AC$27)*模板计算相关数据!$AC$28))/S893*AA893)</f>
        <v>3016</v>
      </c>
      <c r="AL893" s="3">
        <f>INT(VLOOKUP(U893,模板计算相关数据!A:N,5,0)*VLOOKUP(X893,模板计算相关数据!$P$4:$T$7,4,0)*VLOOKUP(Y893,模板计算相关数据!$P$22:$U$30,4,0)*AB893)</f>
        <v>4878</v>
      </c>
      <c r="AM893" s="3">
        <f>INT(VLOOKUP(U893,模板计算相关数据!A:N,6,0)*VLOOKUP(X893,模板计算相关数据!$P$4:$T$7,4,0)*VLOOKUP(Y893,模板计算相关数据!$P$22:$U$30,5,0)*AC893)</f>
        <v>2880</v>
      </c>
      <c r="AN893" s="3">
        <f>VLOOKUP(U893,模板计算相关数据!A:N,10,0)*0.5*VLOOKUP(Y893,模板计算相关数据!$P$22:$U$30,6,0)+AD893</f>
        <v>250</v>
      </c>
      <c r="AO893" s="3">
        <f>VLOOKUP(INT(VLOOKUP(U893,模板计算相关数据!A:N,2,0)/30)+1,模板计算相关数据!$O$35:$U$40,3,0)+AE893</f>
        <v>0</v>
      </c>
      <c r="AP893" s="3">
        <f>VLOOKUP(INT(VLOOKUP(U893,模板计算相关数据!A:N,2,0)/30)+1,模板计算相关数据!$O$35:$U$40,4,0)+AF893</f>
        <v>5000</v>
      </c>
      <c r="AQ893" s="3">
        <f>VLOOKUP(INT(VLOOKUP(U893,模板计算相关数据!A:N,2,0)/30)+1,模板计算相关数据!$O$35:$U$40,5,0)+AG893</f>
        <v>0</v>
      </c>
      <c r="AR893" s="3">
        <f>VLOOKUP(INT(VLOOKUP(U893,模板计算相关数据!A:N,2,0)/30)+1,模板计算相关数据!$O$35:$U$40,6,0)+AH893</f>
        <v>0</v>
      </c>
      <c r="AS893" s="3">
        <f>VLOOKUP(INT(VLOOKUP(U893,模板计算相关数据!A:N,2,0)/30)+1,模板计算相关数据!$O$35:$U$40,7,0)+AI893</f>
        <v>2000</v>
      </c>
      <c r="AT893" s="3">
        <f>VLOOKUP(INT(VLOOKUP(U893,模板计算相关数据!A:N,2,0)/30)+1,模板计算相关数据!$O$35:$V$40,8,0)</f>
        <v>0</v>
      </c>
      <c r="AU893" s="2"/>
    </row>
    <row r="894" spans="1:47" x14ac:dyDescent="0.2">
      <c r="A894" s="86">
        <v>51005032</v>
      </c>
      <c r="B894" s="86"/>
      <c r="C894" s="69" t="s">
        <v>1448</v>
      </c>
      <c r="D894" s="2" t="s">
        <v>1443</v>
      </c>
      <c r="E894" s="2"/>
      <c r="F894" s="3">
        <v>3</v>
      </c>
      <c r="G894" s="3">
        <v>105101</v>
      </c>
      <c r="H894" s="3">
        <v>1</v>
      </c>
      <c r="I894" s="2">
        <v>5</v>
      </c>
      <c r="J894" s="3">
        <v>2</v>
      </c>
      <c r="K894" s="3">
        <v>2</v>
      </c>
      <c r="L894" s="69" t="s">
        <v>1522</v>
      </c>
      <c r="M894" s="2"/>
      <c r="N894" s="2">
        <v>1</v>
      </c>
      <c r="O894" s="2"/>
      <c r="P894" s="3" t="s">
        <v>1615</v>
      </c>
      <c r="Q894" s="95">
        <f t="shared" si="76"/>
        <v>7.0676078431372558</v>
      </c>
      <c r="R894" s="133">
        <f>IF(P894=模板计算相关数据!$AB$24,VLOOKUP(X894,模板计算相关数据!$P$47:$T$50,2,0),VLOOKUP(X894,模板计算相关数据!$P$4:$U$7,3,0))*VLOOKUP(Y894,模板计算相关数据!$P$22:$X$30,8,0)</f>
        <v>7.0676078431372558</v>
      </c>
      <c r="S894" s="62">
        <v>3.5</v>
      </c>
      <c r="T894" s="133">
        <f>IF(P894=模板计算相关数据!$AB$24,VLOOKUP(X894,模板计算相关数据!$P$47:$T$50,5,0),VLOOKUP(X894,模板计算相关数据!$P$4:$U$7,6,0))*VLOOKUP(Y894,模板计算相关数据!$P$22:$X$30,9,0)</f>
        <v>3.7582116925482176</v>
      </c>
      <c r="U894" s="98">
        <v>62</v>
      </c>
      <c r="V894" s="95">
        <f t="shared" si="78"/>
        <v>50</v>
      </c>
      <c r="W894" s="29">
        <f>VLOOKUP(U894,模板计算相关数据!A:N,2,0)</f>
        <v>47</v>
      </c>
      <c r="X894" s="3" t="s">
        <v>158</v>
      </c>
      <c r="Y894" s="3" t="s">
        <v>152</v>
      </c>
      <c r="Z894" s="95">
        <v>1</v>
      </c>
      <c r="AA894" s="95">
        <v>1</v>
      </c>
      <c r="AB894" s="95">
        <v>1</v>
      </c>
      <c r="AC894" s="95">
        <v>1</v>
      </c>
      <c r="AD894" s="95">
        <v>0</v>
      </c>
      <c r="AE894" s="95">
        <v>0</v>
      </c>
      <c r="AF894" s="95">
        <v>0</v>
      </c>
      <c r="AG894" s="95">
        <v>0</v>
      </c>
      <c r="AH894" s="95">
        <v>0</v>
      </c>
      <c r="AI894" s="95">
        <v>2000</v>
      </c>
      <c r="AJ894" s="3">
        <f>INT(VLOOKUP(U894,模板计算相关数据!A:N,4,0)*VLOOKUP(U894,模板计算相关数据!A:N,14,0)*(1+MAX(0,(VLOOKUP(U894,模板计算相关数据!A:N,7,0)-AQ894))*VLOOKUP(U894,模板计算相关数据!A:N,8,0))*(1-(AL894+AM894)*0.5/((AL894+AM894)*0.5+(VLOOKUP(U894,模板计算相关数据!A:N,2,0)+模板计算相关数据!$AC$27)*模板计算相关数据!$AC$28))*Q894*Z894)</f>
        <v>7779</v>
      </c>
      <c r="AK894" s="3">
        <f>INT(VLOOKUP(U894,模板计算相关数据!A:N,3,0)/模板计算相关数据!$W$35/(1+MAX(0,(AO894/10000-VLOOKUP(U894,模板计算相关数据!A:N,9,0)))*AP894/10000)/(1-VLOOKUP(U894,模板计算相关数据!A:N,5,0)/(VLOOKUP(U894,模板计算相关数据!A:N,5,0)+(VLOOKUP(U894,模板计算相关数据!A:N,2,0)+模板计算相关数据!$AC$27)*模板计算相关数据!$AC$28))/S894*AA894)</f>
        <v>3102</v>
      </c>
      <c r="AL894" s="3">
        <f>INT(VLOOKUP(U894,模板计算相关数据!A:N,5,0)*VLOOKUP(X894,模板计算相关数据!$P$4:$T$7,4,0)*VLOOKUP(Y894,模板计算相关数据!$P$22:$U$30,4,0)*AB894)</f>
        <v>4878</v>
      </c>
      <c r="AM894" s="3">
        <f>INT(VLOOKUP(U894,模板计算相关数据!A:N,6,0)*VLOOKUP(X894,模板计算相关数据!$P$4:$T$7,4,0)*VLOOKUP(Y894,模板计算相关数据!$P$22:$U$30,5,0)*AC894)</f>
        <v>2880</v>
      </c>
      <c r="AN894" s="3">
        <f>VLOOKUP(U894,模板计算相关数据!A:N,10,0)*0.5*VLOOKUP(Y894,模板计算相关数据!$P$22:$U$30,6,0)+AD894</f>
        <v>250</v>
      </c>
      <c r="AO894" s="3">
        <f>VLOOKUP(INT(VLOOKUP(U894,模板计算相关数据!A:N,2,0)/30)+1,模板计算相关数据!$O$35:$U$40,3,0)+AE894</f>
        <v>0</v>
      </c>
      <c r="AP894" s="3">
        <f>VLOOKUP(INT(VLOOKUP(U894,模板计算相关数据!A:N,2,0)/30)+1,模板计算相关数据!$O$35:$U$40,4,0)+AF894</f>
        <v>5000</v>
      </c>
      <c r="AQ894" s="3">
        <f>VLOOKUP(INT(VLOOKUP(U894,模板计算相关数据!A:N,2,0)/30)+1,模板计算相关数据!$O$35:$U$40,5,0)+AG894</f>
        <v>0</v>
      </c>
      <c r="AR894" s="3">
        <f>VLOOKUP(INT(VLOOKUP(U894,模板计算相关数据!A:N,2,0)/30)+1,模板计算相关数据!$O$35:$U$40,6,0)+AH894</f>
        <v>0</v>
      </c>
      <c r="AS894" s="3">
        <f>VLOOKUP(INT(VLOOKUP(U894,模板计算相关数据!A:N,2,0)/30)+1,模板计算相关数据!$O$35:$U$40,7,0)+AI894</f>
        <v>2000</v>
      </c>
      <c r="AT894" s="3">
        <f>VLOOKUP(INT(VLOOKUP(U894,模板计算相关数据!A:N,2,0)/30)+1,模板计算相关数据!$O$35:$V$40,8,0)</f>
        <v>0</v>
      </c>
      <c r="AU894" s="2"/>
    </row>
    <row r="895" spans="1:47" x14ac:dyDescent="0.2">
      <c r="A895" s="86">
        <v>51005042</v>
      </c>
      <c r="B895" s="86"/>
      <c r="C895" s="69" t="s">
        <v>1448</v>
      </c>
      <c r="D895" s="2" t="s">
        <v>1444</v>
      </c>
      <c r="E895" s="2"/>
      <c r="F895" s="3">
        <v>3</v>
      </c>
      <c r="G895" s="3">
        <v>105101</v>
      </c>
      <c r="H895" s="3">
        <v>1</v>
      </c>
      <c r="I895" s="2">
        <v>5</v>
      </c>
      <c r="J895" s="3">
        <v>2</v>
      </c>
      <c r="K895" s="3">
        <v>2</v>
      </c>
      <c r="L895" s="69" t="s">
        <v>1522</v>
      </c>
      <c r="M895" s="2"/>
      <c r="N895" s="2">
        <v>1</v>
      </c>
      <c r="O895" s="2"/>
      <c r="P895" s="3" t="s">
        <v>1615</v>
      </c>
      <c r="Q895" s="95">
        <f t="shared" si="76"/>
        <v>7.0676078431372558</v>
      </c>
      <c r="R895" s="133">
        <f>IF(P895=模板计算相关数据!$AB$24,VLOOKUP(X895,模板计算相关数据!$P$47:$T$50,2,0),VLOOKUP(X895,模板计算相关数据!$P$4:$U$7,3,0))*VLOOKUP(Y895,模板计算相关数据!$P$22:$X$30,8,0)</f>
        <v>7.0676078431372558</v>
      </c>
      <c r="S895" s="62">
        <v>3.4</v>
      </c>
      <c r="T895" s="133">
        <f>IF(P895=模板计算相关数据!$AB$24,VLOOKUP(X895,模板计算相关数据!$P$47:$T$50,5,0),VLOOKUP(X895,模板计算相关数据!$P$4:$U$7,6,0))*VLOOKUP(Y895,模板计算相关数据!$P$22:$X$30,9,0)</f>
        <v>3.7582116925482176</v>
      </c>
      <c r="U895" s="98">
        <v>62</v>
      </c>
      <c r="V895" s="95">
        <f t="shared" si="78"/>
        <v>50</v>
      </c>
      <c r="W895" s="29">
        <f>VLOOKUP(U895,模板计算相关数据!A:N,2,0)</f>
        <v>47</v>
      </c>
      <c r="X895" s="3" t="s">
        <v>158</v>
      </c>
      <c r="Y895" s="3" t="s">
        <v>152</v>
      </c>
      <c r="Z895" s="95">
        <v>1</v>
      </c>
      <c r="AA895" s="95">
        <v>1</v>
      </c>
      <c r="AB895" s="95">
        <v>1</v>
      </c>
      <c r="AC895" s="95">
        <v>1</v>
      </c>
      <c r="AD895" s="95">
        <v>0</v>
      </c>
      <c r="AE895" s="95">
        <v>0</v>
      </c>
      <c r="AF895" s="95">
        <v>0</v>
      </c>
      <c r="AG895" s="95">
        <v>0</v>
      </c>
      <c r="AH895" s="95">
        <v>0</v>
      </c>
      <c r="AI895" s="95">
        <v>2000</v>
      </c>
      <c r="AJ895" s="3">
        <f>INT(VLOOKUP(U895,模板计算相关数据!A:N,4,0)*VLOOKUP(U895,模板计算相关数据!A:N,14,0)*(1+MAX(0,(VLOOKUP(U895,模板计算相关数据!A:N,7,0)-AQ895))*VLOOKUP(U895,模板计算相关数据!A:N,8,0))*(1-(AL895+AM895)*0.5/((AL895+AM895)*0.5+(VLOOKUP(U895,模板计算相关数据!A:N,2,0)+模板计算相关数据!$AC$27)*模板计算相关数据!$AC$28))*Q895*Z895)</f>
        <v>7779</v>
      </c>
      <c r="AK895" s="3">
        <f>INT(VLOOKUP(U895,模板计算相关数据!A:N,3,0)/模板计算相关数据!$W$35/(1+MAX(0,(AO895/10000-VLOOKUP(U895,模板计算相关数据!A:N,9,0)))*AP895/10000)/(1-VLOOKUP(U895,模板计算相关数据!A:N,5,0)/(VLOOKUP(U895,模板计算相关数据!A:N,5,0)+(VLOOKUP(U895,模板计算相关数据!A:N,2,0)+模板计算相关数据!$AC$27)*模板计算相关数据!$AC$28))/S895*AA895)</f>
        <v>3193</v>
      </c>
      <c r="AL895" s="3">
        <f>INT(VLOOKUP(U895,模板计算相关数据!A:N,5,0)*VLOOKUP(X895,模板计算相关数据!$P$4:$T$7,4,0)*VLOOKUP(Y895,模板计算相关数据!$P$22:$U$30,4,0)*AB895)</f>
        <v>4878</v>
      </c>
      <c r="AM895" s="3">
        <f>INT(VLOOKUP(U895,模板计算相关数据!A:N,6,0)*VLOOKUP(X895,模板计算相关数据!$P$4:$T$7,4,0)*VLOOKUP(Y895,模板计算相关数据!$P$22:$U$30,5,0)*AC895)</f>
        <v>2880</v>
      </c>
      <c r="AN895" s="3">
        <f>VLOOKUP(U895,模板计算相关数据!A:N,10,0)*0.5*VLOOKUP(Y895,模板计算相关数据!$P$22:$U$30,6,0)+AD895</f>
        <v>250</v>
      </c>
      <c r="AO895" s="3">
        <f>VLOOKUP(INT(VLOOKUP(U895,模板计算相关数据!A:N,2,0)/30)+1,模板计算相关数据!$O$35:$U$40,3,0)+AE895</f>
        <v>0</v>
      </c>
      <c r="AP895" s="3">
        <f>VLOOKUP(INT(VLOOKUP(U895,模板计算相关数据!A:N,2,0)/30)+1,模板计算相关数据!$O$35:$U$40,4,0)+AF895</f>
        <v>5000</v>
      </c>
      <c r="AQ895" s="3">
        <f>VLOOKUP(INT(VLOOKUP(U895,模板计算相关数据!A:N,2,0)/30)+1,模板计算相关数据!$O$35:$U$40,5,0)+AG895</f>
        <v>0</v>
      </c>
      <c r="AR895" s="3">
        <f>VLOOKUP(INT(VLOOKUP(U895,模板计算相关数据!A:N,2,0)/30)+1,模板计算相关数据!$O$35:$U$40,6,0)+AH895</f>
        <v>0</v>
      </c>
      <c r="AS895" s="3">
        <f>VLOOKUP(INT(VLOOKUP(U895,模板计算相关数据!A:N,2,0)/30)+1,模板计算相关数据!$O$35:$U$40,7,0)+AI895</f>
        <v>2000</v>
      </c>
      <c r="AT895" s="3">
        <f>VLOOKUP(INT(VLOOKUP(U895,模板计算相关数据!A:N,2,0)/30)+1,模板计算相关数据!$O$35:$V$40,8,0)</f>
        <v>0</v>
      </c>
      <c r="AU895" s="2"/>
    </row>
    <row r="896" spans="1:47" x14ac:dyDescent="0.2">
      <c r="A896" s="86">
        <v>51005052</v>
      </c>
      <c r="B896" s="86"/>
      <c r="C896" s="69" t="s">
        <v>1448</v>
      </c>
      <c r="D896" s="2" t="s">
        <v>1445</v>
      </c>
      <c r="E896" s="2"/>
      <c r="F896" s="3">
        <v>2</v>
      </c>
      <c r="G896" s="3">
        <v>105101</v>
      </c>
      <c r="H896" s="3">
        <v>1</v>
      </c>
      <c r="I896" s="2">
        <v>5</v>
      </c>
      <c r="J896" s="3">
        <v>2</v>
      </c>
      <c r="K896" s="3">
        <v>2</v>
      </c>
      <c r="L896" s="69" t="s">
        <v>1522</v>
      </c>
      <c r="M896" s="2"/>
      <c r="N896" s="2">
        <v>1</v>
      </c>
      <c r="O896" s="2"/>
      <c r="P896" s="3" t="s">
        <v>1615</v>
      </c>
      <c r="Q896" s="95">
        <f t="shared" si="76"/>
        <v>7.0676078431372558</v>
      </c>
      <c r="R896" s="133">
        <f>IF(P896=模板计算相关数据!$AB$24,VLOOKUP(X896,模板计算相关数据!$P$47:$T$50,2,0),VLOOKUP(X896,模板计算相关数据!$P$4:$U$7,3,0))*VLOOKUP(Y896,模板计算相关数据!$P$22:$X$30,8,0)</f>
        <v>7.0676078431372558</v>
      </c>
      <c r="S896" s="62">
        <v>3.2</v>
      </c>
      <c r="T896" s="133">
        <f>IF(P896=模板计算相关数据!$AB$24,VLOOKUP(X896,模板计算相关数据!$P$47:$T$50,5,0),VLOOKUP(X896,模板计算相关数据!$P$4:$U$7,6,0))*VLOOKUP(Y896,模板计算相关数据!$P$22:$X$30,9,0)</f>
        <v>3.7582116925482176</v>
      </c>
      <c r="U896" s="98">
        <v>62</v>
      </c>
      <c r="V896" s="95">
        <f t="shared" si="78"/>
        <v>50</v>
      </c>
      <c r="W896" s="29">
        <f>VLOOKUP(U896,模板计算相关数据!A:N,2,0)</f>
        <v>47</v>
      </c>
      <c r="X896" s="3" t="s">
        <v>158</v>
      </c>
      <c r="Y896" s="3" t="s">
        <v>152</v>
      </c>
      <c r="Z896" s="95">
        <v>1</v>
      </c>
      <c r="AA896" s="95">
        <v>1</v>
      </c>
      <c r="AB896" s="95">
        <v>1</v>
      </c>
      <c r="AC896" s="95">
        <v>1</v>
      </c>
      <c r="AD896" s="95">
        <v>0</v>
      </c>
      <c r="AE896" s="95">
        <v>0</v>
      </c>
      <c r="AF896" s="95">
        <v>0</v>
      </c>
      <c r="AG896" s="95">
        <v>0</v>
      </c>
      <c r="AH896" s="95">
        <v>0</v>
      </c>
      <c r="AI896" s="95">
        <v>2000</v>
      </c>
      <c r="AJ896" s="3">
        <f>INT(VLOOKUP(U896,模板计算相关数据!A:N,4,0)*VLOOKUP(U896,模板计算相关数据!A:N,14,0)*(1+MAX(0,(VLOOKUP(U896,模板计算相关数据!A:N,7,0)-AQ896))*VLOOKUP(U896,模板计算相关数据!A:N,8,0))*(1-(AL896+AM896)*0.5/((AL896+AM896)*0.5+(VLOOKUP(U896,模板计算相关数据!A:N,2,0)+模板计算相关数据!$AC$27)*模板计算相关数据!$AC$28))*Q896*Z896)</f>
        <v>7779</v>
      </c>
      <c r="AK896" s="3">
        <f>INT(VLOOKUP(U896,模板计算相关数据!A:N,3,0)/模板计算相关数据!$W$35/(1+MAX(0,(AO896/10000-VLOOKUP(U896,模板计算相关数据!A:N,9,0)))*AP896/10000)/(1-VLOOKUP(U896,模板计算相关数据!A:N,5,0)/(VLOOKUP(U896,模板计算相关数据!A:N,5,0)+(VLOOKUP(U896,模板计算相关数据!A:N,2,0)+模板计算相关数据!$AC$27)*模板计算相关数据!$AC$28))/S896*AA896)</f>
        <v>3393</v>
      </c>
      <c r="AL896" s="3">
        <f>INT(VLOOKUP(U896,模板计算相关数据!A:N,5,0)*VLOOKUP(X896,模板计算相关数据!$P$4:$T$7,4,0)*VLOOKUP(Y896,模板计算相关数据!$P$22:$U$30,4,0)*AB896)</f>
        <v>4878</v>
      </c>
      <c r="AM896" s="3">
        <f>INT(VLOOKUP(U896,模板计算相关数据!A:N,6,0)*VLOOKUP(X896,模板计算相关数据!$P$4:$T$7,4,0)*VLOOKUP(Y896,模板计算相关数据!$P$22:$U$30,5,0)*AC896)</f>
        <v>2880</v>
      </c>
      <c r="AN896" s="3">
        <f>VLOOKUP(U896,模板计算相关数据!A:N,10,0)*0.5*VLOOKUP(Y896,模板计算相关数据!$P$22:$U$30,6,0)+AD896</f>
        <v>250</v>
      </c>
      <c r="AO896" s="3">
        <f>VLOOKUP(INT(VLOOKUP(U896,模板计算相关数据!A:N,2,0)/30)+1,模板计算相关数据!$O$35:$U$40,3,0)+AE896</f>
        <v>0</v>
      </c>
      <c r="AP896" s="3">
        <f>VLOOKUP(INT(VLOOKUP(U896,模板计算相关数据!A:N,2,0)/30)+1,模板计算相关数据!$O$35:$U$40,4,0)+AF896</f>
        <v>5000</v>
      </c>
      <c r="AQ896" s="3">
        <f>VLOOKUP(INT(VLOOKUP(U896,模板计算相关数据!A:N,2,0)/30)+1,模板计算相关数据!$O$35:$U$40,5,0)+AG896</f>
        <v>0</v>
      </c>
      <c r="AR896" s="3">
        <f>VLOOKUP(INT(VLOOKUP(U896,模板计算相关数据!A:N,2,0)/30)+1,模板计算相关数据!$O$35:$U$40,6,0)+AH896</f>
        <v>0</v>
      </c>
      <c r="AS896" s="3">
        <f>VLOOKUP(INT(VLOOKUP(U896,模板计算相关数据!A:N,2,0)/30)+1,模板计算相关数据!$O$35:$U$40,7,0)+AI896</f>
        <v>2000</v>
      </c>
      <c r="AT896" s="3">
        <f>VLOOKUP(INT(VLOOKUP(U896,模板计算相关数据!A:N,2,0)/30)+1,模板计算相关数据!$O$35:$V$40,8,0)</f>
        <v>0</v>
      </c>
      <c r="AU896" s="2"/>
    </row>
    <row r="897" spans="1:47" x14ac:dyDescent="0.2">
      <c r="A897" s="35">
        <v>51003011</v>
      </c>
      <c r="B897" s="35"/>
      <c r="C897" s="34" t="s">
        <v>1440</v>
      </c>
      <c r="D897" s="2" t="s">
        <v>1449</v>
      </c>
      <c r="E897" s="2"/>
      <c r="F897" s="3">
        <v>5</v>
      </c>
      <c r="G897" s="3">
        <v>103101</v>
      </c>
      <c r="H897" s="3">
        <v>4</v>
      </c>
      <c r="I897" s="2">
        <v>5</v>
      </c>
      <c r="J897" s="3">
        <v>2</v>
      </c>
      <c r="K897" s="3">
        <v>2</v>
      </c>
      <c r="L897" s="69" t="s">
        <v>1519</v>
      </c>
      <c r="M897" s="2"/>
      <c r="N897" s="2">
        <v>1</v>
      </c>
      <c r="O897" s="2"/>
      <c r="P897" s="3" t="s">
        <v>1615</v>
      </c>
      <c r="Q897" s="95">
        <v>18</v>
      </c>
      <c r="R897" s="133">
        <f>IF(P897=模板计算相关数据!$AB$24,VLOOKUP(X897,模板计算相关数据!$P$47:$T$50,2,0),VLOOKUP(X897,模板计算相关数据!$P$4:$U$7,3,0))*VLOOKUP(Y897,模板计算相关数据!$P$22:$X$30,8,0)</f>
        <v>17.869803921568629</v>
      </c>
      <c r="S897" s="62">
        <v>2.6</v>
      </c>
      <c r="T897" s="133">
        <f>IF(P897=模板计算相关数据!$AB$24,VLOOKUP(X897,模板计算相关数据!$P$47:$T$50,5,0),VLOOKUP(X897,模板计算相关数据!$P$4:$U$7,6,0))*VLOOKUP(Y897,模板计算相关数据!$P$22:$X$30,9,0)</f>
        <v>2.9858143958055283</v>
      </c>
      <c r="U897" s="98">
        <v>58</v>
      </c>
      <c r="V897" s="95">
        <f t="shared" si="78"/>
        <v>36</v>
      </c>
      <c r="W897" s="29">
        <f>VLOOKUP(U897,模板计算相关数据!A:N,2,0)</f>
        <v>33</v>
      </c>
      <c r="X897" s="3" t="s">
        <v>178</v>
      </c>
      <c r="Y897" s="3" t="s">
        <v>162</v>
      </c>
      <c r="Z897" s="95">
        <v>1</v>
      </c>
      <c r="AA897" s="95">
        <v>1</v>
      </c>
      <c r="AB897" s="95">
        <v>1</v>
      </c>
      <c r="AC897" s="95">
        <v>1</v>
      </c>
      <c r="AD897" s="95">
        <v>0</v>
      </c>
      <c r="AE897" s="95">
        <v>0</v>
      </c>
      <c r="AF897" s="95">
        <v>0</v>
      </c>
      <c r="AG897" s="95">
        <v>0</v>
      </c>
      <c r="AH897" s="95">
        <v>0</v>
      </c>
      <c r="AI897" s="95">
        <v>4000</v>
      </c>
      <c r="AJ897" s="3">
        <f>INT(VLOOKUP(U897,模板计算相关数据!A:N,4,0)*VLOOKUP(U897,模板计算相关数据!A:N,14,0)*(1+MAX(0,(VLOOKUP(U897,模板计算相关数据!A:N,7,0)-AQ897))*VLOOKUP(U897,模板计算相关数据!A:N,8,0))*(1-(AL897+AM897)*0.5/((AL897+AM897)*0.5+(VLOOKUP(U897,模板计算相关数据!A:N,2,0)+模板计算相关数据!$AC$27)*模板计算相关数据!$AC$28))*Q897*Z897)</f>
        <v>11734</v>
      </c>
      <c r="AK897" s="3">
        <f>INT(VLOOKUP(U897,模板计算相关数据!A:N,3,0)/模板计算相关数据!$W$35/(1+MAX(0,(AO897/10000-VLOOKUP(U897,模板计算相关数据!A:N,9,0)))*AP897/10000)/(1-VLOOKUP(U897,模板计算相关数据!A:N,5,0)/(VLOOKUP(U897,模板计算相关数据!A:N,5,0)+(VLOOKUP(U897,模板计算相关数据!A:N,2,0)+模板计算相关数据!$AC$27)*模板计算相关数据!$AC$28))/S897*AA897)</f>
        <v>2518</v>
      </c>
      <c r="AL897" s="3">
        <f>INT(VLOOKUP(U897,模板计算相关数据!A:N,5,0)*VLOOKUP(X897,模板计算相关数据!$P$4:$T$7,4,0)*VLOOKUP(Y897,模板计算相关数据!$P$22:$U$30,4,0)*AB897)</f>
        <v>2185</v>
      </c>
      <c r="AM897" s="3">
        <f>INT(VLOOKUP(U897,模板计算相关数据!A:N,6,0)*VLOOKUP(X897,模板计算相关数据!$P$4:$T$7,4,0)*VLOOKUP(Y897,模板计算相关数据!$P$22:$U$30,5,0)*AC897)</f>
        <v>3688</v>
      </c>
      <c r="AN897" s="3">
        <f>VLOOKUP(U897,模板计算相关数据!A:N,10,0)*0.5*VLOOKUP(Y897,模板计算相关数据!$P$22:$U$30,6,0)+AD897</f>
        <v>250</v>
      </c>
      <c r="AO897" s="3">
        <f>VLOOKUP(INT(VLOOKUP(U897,模板计算相关数据!A:N,2,0)/30)+1,模板计算相关数据!$O$35:$U$40,3,0)+AE897</f>
        <v>0</v>
      </c>
      <c r="AP897" s="3">
        <f>VLOOKUP(INT(VLOOKUP(U897,模板计算相关数据!A:N,2,0)/30)+1,模板计算相关数据!$O$35:$U$40,4,0)+AF897</f>
        <v>5000</v>
      </c>
      <c r="AQ897" s="3">
        <f>VLOOKUP(INT(VLOOKUP(U897,模板计算相关数据!A:N,2,0)/30)+1,模板计算相关数据!$O$35:$U$40,5,0)+AG897</f>
        <v>0</v>
      </c>
      <c r="AR897" s="3">
        <f>VLOOKUP(INT(VLOOKUP(U897,模板计算相关数据!A:N,2,0)/30)+1,模板计算相关数据!$O$35:$U$40,6,0)+AH897</f>
        <v>0</v>
      </c>
      <c r="AS897" s="3">
        <f>VLOOKUP(INT(VLOOKUP(U897,模板计算相关数据!A:N,2,0)/30)+1,模板计算相关数据!$O$35:$U$40,7,0)+AI897</f>
        <v>4000</v>
      </c>
      <c r="AT897" s="3">
        <f>VLOOKUP(INT(VLOOKUP(U897,模板计算相关数据!A:N,2,0)/30)+1,模板计算相关数据!$O$35:$V$40,8,0)</f>
        <v>0</v>
      </c>
      <c r="AU897" s="2"/>
    </row>
    <row r="898" spans="1:47" x14ac:dyDescent="0.2">
      <c r="A898" s="86">
        <v>51003021</v>
      </c>
      <c r="B898" s="86"/>
      <c r="C898" s="69" t="s">
        <v>1440</v>
      </c>
      <c r="D898" s="2" t="s">
        <v>1450</v>
      </c>
      <c r="E898" s="2"/>
      <c r="F898" s="3">
        <v>5</v>
      </c>
      <c r="G898" s="3">
        <v>103101</v>
      </c>
      <c r="H898" s="3">
        <v>4</v>
      </c>
      <c r="I898" s="2">
        <v>5</v>
      </c>
      <c r="J898" s="3">
        <v>2</v>
      </c>
      <c r="K898" s="3">
        <v>2</v>
      </c>
      <c r="L898" s="69" t="s">
        <v>1519</v>
      </c>
      <c r="M898" s="2"/>
      <c r="N898" s="2">
        <v>1</v>
      </c>
      <c r="O898" s="2"/>
      <c r="P898" s="3" t="s">
        <v>1615</v>
      </c>
      <c r="Q898" s="95">
        <v>18.5</v>
      </c>
      <c r="R898" s="133">
        <f>IF(P898=模板计算相关数据!$AB$24,VLOOKUP(X898,模板计算相关数据!$P$47:$T$50,2,0),VLOOKUP(X898,模板计算相关数据!$P$4:$U$7,3,0))*VLOOKUP(Y898,模板计算相关数据!$P$22:$X$30,8,0)</f>
        <v>17.869803921568629</v>
      </c>
      <c r="S898" s="62">
        <v>2.5499999999999998</v>
      </c>
      <c r="T898" s="133">
        <f>IF(P898=模板计算相关数据!$AB$24,VLOOKUP(X898,模板计算相关数据!$P$47:$T$50,5,0),VLOOKUP(X898,模板计算相关数据!$P$4:$U$7,6,0))*VLOOKUP(Y898,模板计算相关数据!$P$22:$X$30,9,0)</f>
        <v>2.9858143958055283</v>
      </c>
      <c r="U898" s="98">
        <v>58</v>
      </c>
      <c r="V898" s="95">
        <f t="shared" si="78"/>
        <v>36</v>
      </c>
      <c r="W898" s="29">
        <f>VLOOKUP(U898,模板计算相关数据!A:N,2,0)</f>
        <v>33</v>
      </c>
      <c r="X898" s="3" t="s">
        <v>178</v>
      </c>
      <c r="Y898" s="3" t="s">
        <v>162</v>
      </c>
      <c r="Z898" s="95">
        <v>1</v>
      </c>
      <c r="AA898" s="95">
        <v>1</v>
      </c>
      <c r="AB898" s="95">
        <v>1</v>
      </c>
      <c r="AC898" s="95">
        <v>1</v>
      </c>
      <c r="AD898" s="95">
        <v>0</v>
      </c>
      <c r="AE898" s="95">
        <v>0</v>
      </c>
      <c r="AF898" s="95">
        <v>0</v>
      </c>
      <c r="AG898" s="95">
        <v>0</v>
      </c>
      <c r="AH898" s="95">
        <v>0</v>
      </c>
      <c r="AI898" s="95">
        <v>4000</v>
      </c>
      <c r="AJ898" s="3">
        <f>INT(VLOOKUP(U898,模板计算相关数据!A:N,4,0)*VLOOKUP(U898,模板计算相关数据!A:N,14,0)*(1+MAX(0,(VLOOKUP(U898,模板计算相关数据!A:N,7,0)-AQ898))*VLOOKUP(U898,模板计算相关数据!A:N,8,0))*(1-(AL898+AM898)*0.5/((AL898+AM898)*0.5+(VLOOKUP(U898,模板计算相关数据!A:N,2,0)+模板计算相关数据!$AC$27)*模板计算相关数据!$AC$28))*Q898*Z898)</f>
        <v>12060</v>
      </c>
      <c r="AK898" s="3">
        <f>INT(VLOOKUP(U898,模板计算相关数据!A:N,3,0)/模板计算相关数据!$W$35/(1+MAX(0,(AO898/10000-VLOOKUP(U898,模板计算相关数据!A:N,9,0)))*AP898/10000)/(1-VLOOKUP(U898,模板计算相关数据!A:N,5,0)/(VLOOKUP(U898,模板计算相关数据!A:N,5,0)+(VLOOKUP(U898,模板计算相关数据!A:N,2,0)+模板计算相关数据!$AC$27)*模板计算相关数据!$AC$28))/S898*AA898)</f>
        <v>2567</v>
      </c>
      <c r="AL898" s="3">
        <f>INT(VLOOKUP(U898,模板计算相关数据!A:N,5,0)*VLOOKUP(X898,模板计算相关数据!$P$4:$T$7,4,0)*VLOOKUP(Y898,模板计算相关数据!$P$22:$U$30,4,0)*AB898)</f>
        <v>2185</v>
      </c>
      <c r="AM898" s="3">
        <f>INT(VLOOKUP(U898,模板计算相关数据!A:N,6,0)*VLOOKUP(X898,模板计算相关数据!$P$4:$T$7,4,0)*VLOOKUP(Y898,模板计算相关数据!$P$22:$U$30,5,0)*AC898)</f>
        <v>3688</v>
      </c>
      <c r="AN898" s="3">
        <f>VLOOKUP(U898,模板计算相关数据!A:N,10,0)*0.5*VLOOKUP(Y898,模板计算相关数据!$P$22:$U$30,6,0)+AD898</f>
        <v>250</v>
      </c>
      <c r="AO898" s="3">
        <f>VLOOKUP(INT(VLOOKUP(U898,模板计算相关数据!A:N,2,0)/30)+1,模板计算相关数据!$O$35:$U$40,3,0)+AE898</f>
        <v>0</v>
      </c>
      <c r="AP898" s="3">
        <f>VLOOKUP(INT(VLOOKUP(U898,模板计算相关数据!A:N,2,0)/30)+1,模板计算相关数据!$O$35:$U$40,4,0)+AF898</f>
        <v>5000</v>
      </c>
      <c r="AQ898" s="3">
        <f>VLOOKUP(INT(VLOOKUP(U898,模板计算相关数据!A:N,2,0)/30)+1,模板计算相关数据!$O$35:$U$40,5,0)+AG898</f>
        <v>0</v>
      </c>
      <c r="AR898" s="3">
        <f>VLOOKUP(INT(VLOOKUP(U898,模板计算相关数据!A:N,2,0)/30)+1,模板计算相关数据!$O$35:$U$40,6,0)+AH898</f>
        <v>0</v>
      </c>
      <c r="AS898" s="3">
        <f>VLOOKUP(INT(VLOOKUP(U898,模板计算相关数据!A:N,2,0)/30)+1,模板计算相关数据!$O$35:$U$40,7,0)+AI898</f>
        <v>4000</v>
      </c>
      <c r="AT898" s="3">
        <f>VLOOKUP(INT(VLOOKUP(U898,模板计算相关数据!A:N,2,0)/30)+1,模板计算相关数据!$O$35:$V$40,8,0)</f>
        <v>0</v>
      </c>
      <c r="AU898" s="2"/>
    </row>
    <row r="899" spans="1:47" x14ac:dyDescent="0.2">
      <c r="A899" s="86">
        <v>51003031</v>
      </c>
      <c r="B899" s="86"/>
      <c r="C899" s="69" t="s">
        <v>1440</v>
      </c>
      <c r="D899" s="2" t="s">
        <v>1451</v>
      </c>
      <c r="E899" s="2"/>
      <c r="F899" s="3">
        <v>5</v>
      </c>
      <c r="G899" s="3">
        <v>103101</v>
      </c>
      <c r="H899" s="3">
        <v>4</v>
      </c>
      <c r="I899" s="2">
        <v>5</v>
      </c>
      <c r="J899" s="3">
        <v>2</v>
      </c>
      <c r="K899" s="3">
        <v>2</v>
      </c>
      <c r="L899" s="69" t="s">
        <v>1519</v>
      </c>
      <c r="M899" s="2"/>
      <c r="N899" s="2">
        <v>1</v>
      </c>
      <c r="O899" s="2"/>
      <c r="P899" s="3" t="s">
        <v>1615</v>
      </c>
      <c r="Q899" s="95">
        <v>19</v>
      </c>
      <c r="R899" s="133">
        <f>IF(P899=模板计算相关数据!$AB$24,VLOOKUP(X899,模板计算相关数据!$P$47:$T$50,2,0),VLOOKUP(X899,模板计算相关数据!$P$4:$U$7,3,0))*VLOOKUP(Y899,模板计算相关数据!$P$22:$X$30,8,0)</f>
        <v>17.869803921568629</v>
      </c>
      <c r="S899" s="62">
        <v>2.5</v>
      </c>
      <c r="T899" s="133">
        <f>IF(P899=模板计算相关数据!$AB$24,VLOOKUP(X899,模板计算相关数据!$P$47:$T$50,5,0),VLOOKUP(X899,模板计算相关数据!$P$4:$U$7,6,0))*VLOOKUP(Y899,模板计算相关数据!$P$22:$X$30,9,0)</f>
        <v>2.9858143958055283</v>
      </c>
      <c r="U899" s="98">
        <v>58</v>
      </c>
      <c r="V899" s="95">
        <f t="shared" si="78"/>
        <v>36</v>
      </c>
      <c r="W899" s="29">
        <f>VLOOKUP(U899,模板计算相关数据!A:N,2,0)</f>
        <v>33</v>
      </c>
      <c r="X899" s="3" t="s">
        <v>178</v>
      </c>
      <c r="Y899" s="3" t="s">
        <v>162</v>
      </c>
      <c r="Z899" s="95">
        <v>1</v>
      </c>
      <c r="AA899" s="95">
        <v>1</v>
      </c>
      <c r="AB899" s="95">
        <v>1</v>
      </c>
      <c r="AC899" s="95">
        <v>1</v>
      </c>
      <c r="AD899" s="95">
        <v>0</v>
      </c>
      <c r="AE899" s="95">
        <v>0</v>
      </c>
      <c r="AF899" s="95">
        <v>0</v>
      </c>
      <c r="AG899" s="95">
        <v>0</v>
      </c>
      <c r="AH899" s="95">
        <v>0</v>
      </c>
      <c r="AI899" s="95">
        <v>4000</v>
      </c>
      <c r="AJ899" s="3">
        <f>INT(VLOOKUP(U899,模板计算相关数据!A:N,4,0)*VLOOKUP(U899,模板计算相关数据!A:N,14,0)*(1+MAX(0,(VLOOKUP(U899,模板计算相关数据!A:N,7,0)-AQ899))*VLOOKUP(U899,模板计算相关数据!A:N,8,0))*(1-(AL899+AM899)*0.5/((AL899+AM899)*0.5+(VLOOKUP(U899,模板计算相关数据!A:N,2,0)+模板计算相关数据!$AC$27)*模板计算相关数据!$AC$28))*Q899*Z899)</f>
        <v>12386</v>
      </c>
      <c r="AK899" s="3">
        <f>INT(VLOOKUP(U899,模板计算相关数据!A:N,3,0)/模板计算相关数据!$W$35/(1+MAX(0,(AO899/10000-VLOOKUP(U899,模板计算相关数据!A:N,9,0)))*AP899/10000)/(1-VLOOKUP(U899,模板计算相关数据!A:N,5,0)/(VLOOKUP(U899,模板计算相关数据!A:N,5,0)+(VLOOKUP(U899,模板计算相关数据!A:N,2,0)+模板计算相关数据!$AC$27)*模板计算相关数据!$AC$28))/S899*AA899)</f>
        <v>2619</v>
      </c>
      <c r="AL899" s="3">
        <f>INT(VLOOKUP(U899,模板计算相关数据!A:N,5,0)*VLOOKUP(X899,模板计算相关数据!$P$4:$T$7,4,0)*VLOOKUP(Y899,模板计算相关数据!$P$22:$U$30,4,0)*AB899)</f>
        <v>2185</v>
      </c>
      <c r="AM899" s="3">
        <f>INT(VLOOKUP(U899,模板计算相关数据!A:N,6,0)*VLOOKUP(X899,模板计算相关数据!$P$4:$T$7,4,0)*VLOOKUP(Y899,模板计算相关数据!$P$22:$U$30,5,0)*AC899)</f>
        <v>3688</v>
      </c>
      <c r="AN899" s="3">
        <f>VLOOKUP(U899,模板计算相关数据!A:N,10,0)*0.5*VLOOKUP(Y899,模板计算相关数据!$P$22:$U$30,6,0)+AD899</f>
        <v>250</v>
      </c>
      <c r="AO899" s="3">
        <f>VLOOKUP(INT(VLOOKUP(U899,模板计算相关数据!A:N,2,0)/30)+1,模板计算相关数据!$O$35:$U$40,3,0)+AE899</f>
        <v>0</v>
      </c>
      <c r="AP899" s="3">
        <f>VLOOKUP(INT(VLOOKUP(U899,模板计算相关数据!A:N,2,0)/30)+1,模板计算相关数据!$O$35:$U$40,4,0)+AF899</f>
        <v>5000</v>
      </c>
      <c r="AQ899" s="3">
        <f>VLOOKUP(INT(VLOOKUP(U899,模板计算相关数据!A:N,2,0)/30)+1,模板计算相关数据!$O$35:$U$40,5,0)+AG899</f>
        <v>0</v>
      </c>
      <c r="AR899" s="3">
        <f>VLOOKUP(INT(VLOOKUP(U899,模板计算相关数据!A:N,2,0)/30)+1,模板计算相关数据!$O$35:$U$40,6,0)+AH899</f>
        <v>0</v>
      </c>
      <c r="AS899" s="3">
        <f>VLOOKUP(INT(VLOOKUP(U899,模板计算相关数据!A:N,2,0)/30)+1,模板计算相关数据!$O$35:$U$40,7,0)+AI899</f>
        <v>4000</v>
      </c>
      <c r="AT899" s="3">
        <f>VLOOKUP(INT(VLOOKUP(U899,模板计算相关数据!A:N,2,0)/30)+1,模板计算相关数据!$O$35:$V$40,8,0)</f>
        <v>0</v>
      </c>
      <c r="AU899" s="2"/>
    </row>
    <row r="900" spans="1:47" x14ac:dyDescent="0.2">
      <c r="A900" s="86">
        <v>51003041</v>
      </c>
      <c r="B900" s="86"/>
      <c r="C900" s="69" t="s">
        <v>1440</v>
      </c>
      <c r="D900" s="2" t="s">
        <v>1452</v>
      </c>
      <c r="E900" s="2"/>
      <c r="F900" s="3">
        <v>5</v>
      </c>
      <c r="G900" s="3">
        <v>103101</v>
      </c>
      <c r="H900" s="3">
        <v>4</v>
      </c>
      <c r="I900" s="2">
        <v>5</v>
      </c>
      <c r="J900" s="3">
        <v>2</v>
      </c>
      <c r="K900" s="3">
        <v>2</v>
      </c>
      <c r="L900" s="69" t="s">
        <v>1519</v>
      </c>
      <c r="M900" s="2"/>
      <c r="N900" s="2">
        <v>1</v>
      </c>
      <c r="O900" s="2"/>
      <c r="P900" s="3" t="s">
        <v>1615</v>
      </c>
      <c r="Q900" s="95">
        <v>19.5</v>
      </c>
      <c r="R900" s="133">
        <f>IF(P900=模板计算相关数据!$AB$24,VLOOKUP(X900,模板计算相关数据!$P$47:$T$50,2,0),VLOOKUP(X900,模板计算相关数据!$P$4:$U$7,3,0))*VLOOKUP(Y900,模板计算相关数据!$P$22:$X$30,8,0)</f>
        <v>17.869803921568629</v>
      </c>
      <c r="S900" s="62">
        <v>2.4500000000000002</v>
      </c>
      <c r="T900" s="133">
        <f>IF(P900=模板计算相关数据!$AB$24,VLOOKUP(X900,模板计算相关数据!$P$47:$T$50,5,0),VLOOKUP(X900,模板计算相关数据!$P$4:$U$7,6,0))*VLOOKUP(Y900,模板计算相关数据!$P$22:$X$30,9,0)</f>
        <v>2.9858143958055283</v>
      </c>
      <c r="U900" s="98">
        <v>58</v>
      </c>
      <c r="V900" s="95">
        <f t="shared" si="78"/>
        <v>36</v>
      </c>
      <c r="W900" s="29">
        <f>VLOOKUP(U900,模板计算相关数据!A:N,2,0)</f>
        <v>33</v>
      </c>
      <c r="X900" s="3" t="s">
        <v>178</v>
      </c>
      <c r="Y900" s="3" t="s">
        <v>162</v>
      </c>
      <c r="Z900" s="95">
        <v>1</v>
      </c>
      <c r="AA900" s="95">
        <v>1</v>
      </c>
      <c r="AB900" s="95">
        <v>1</v>
      </c>
      <c r="AC900" s="95">
        <v>1</v>
      </c>
      <c r="AD900" s="95">
        <v>0</v>
      </c>
      <c r="AE900" s="95">
        <v>0</v>
      </c>
      <c r="AF900" s="95">
        <v>0</v>
      </c>
      <c r="AG900" s="95">
        <v>0</v>
      </c>
      <c r="AH900" s="95">
        <v>0</v>
      </c>
      <c r="AI900" s="95">
        <v>4000</v>
      </c>
      <c r="AJ900" s="3">
        <f>INT(VLOOKUP(U900,模板计算相关数据!A:N,4,0)*VLOOKUP(U900,模板计算相关数据!A:N,14,0)*(1+MAX(0,(VLOOKUP(U900,模板计算相关数据!A:N,7,0)-AQ900))*VLOOKUP(U900,模板计算相关数据!A:N,8,0))*(1-(AL900+AM900)*0.5/((AL900+AM900)*0.5+(VLOOKUP(U900,模板计算相关数据!A:N,2,0)+模板计算相关数据!$AC$27)*模板计算相关数据!$AC$28))*Q900*Z900)</f>
        <v>12712</v>
      </c>
      <c r="AK900" s="3">
        <f>INT(VLOOKUP(U900,模板计算相关数据!A:N,3,0)/模板计算相关数据!$W$35/(1+MAX(0,(AO900/10000-VLOOKUP(U900,模板计算相关数据!A:N,9,0)))*AP900/10000)/(1-VLOOKUP(U900,模板计算相关数据!A:N,5,0)/(VLOOKUP(U900,模板计算相关数据!A:N,5,0)+(VLOOKUP(U900,模板计算相关数据!A:N,2,0)+模板计算相关数据!$AC$27)*模板计算相关数据!$AC$28))/S900*AA900)</f>
        <v>2672</v>
      </c>
      <c r="AL900" s="3">
        <f>INT(VLOOKUP(U900,模板计算相关数据!A:N,5,0)*VLOOKUP(X900,模板计算相关数据!$P$4:$T$7,4,0)*VLOOKUP(Y900,模板计算相关数据!$P$22:$U$30,4,0)*AB900)</f>
        <v>2185</v>
      </c>
      <c r="AM900" s="3">
        <f>INT(VLOOKUP(U900,模板计算相关数据!A:N,6,0)*VLOOKUP(X900,模板计算相关数据!$P$4:$T$7,4,0)*VLOOKUP(Y900,模板计算相关数据!$P$22:$U$30,5,0)*AC900)</f>
        <v>3688</v>
      </c>
      <c r="AN900" s="3">
        <f>VLOOKUP(U900,模板计算相关数据!A:N,10,0)*0.5*VLOOKUP(Y900,模板计算相关数据!$P$22:$U$30,6,0)+AD900</f>
        <v>250</v>
      </c>
      <c r="AO900" s="3">
        <f>VLOOKUP(INT(VLOOKUP(U900,模板计算相关数据!A:N,2,0)/30)+1,模板计算相关数据!$O$35:$U$40,3,0)+AE900</f>
        <v>0</v>
      </c>
      <c r="AP900" s="3">
        <f>VLOOKUP(INT(VLOOKUP(U900,模板计算相关数据!A:N,2,0)/30)+1,模板计算相关数据!$O$35:$U$40,4,0)+AF900</f>
        <v>5000</v>
      </c>
      <c r="AQ900" s="3">
        <f>VLOOKUP(INT(VLOOKUP(U900,模板计算相关数据!A:N,2,0)/30)+1,模板计算相关数据!$O$35:$U$40,5,0)+AG900</f>
        <v>0</v>
      </c>
      <c r="AR900" s="3">
        <f>VLOOKUP(INT(VLOOKUP(U900,模板计算相关数据!A:N,2,0)/30)+1,模板计算相关数据!$O$35:$U$40,6,0)+AH900</f>
        <v>0</v>
      </c>
      <c r="AS900" s="3">
        <f>VLOOKUP(INT(VLOOKUP(U900,模板计算相关数据!A:N,2,0)/30)+1,模板计算相关数据!$O$35:$U$40,7,0)+AI900</f>
        <v>4000</v>
      </c>
      <c r="AT900" s="3">
        <f>VLOOKUP(INT(VLOOKUP(U900,模板计算相关数据!A:N,2,0)/30)+1,模板计算相关数据!$O$35:$V$40,8,0)</f>
        <v>0</v>
      </c>
      <c r="AU900" s="2"/>
    </row>
    <row r="901" spans="1:47" x14ac:dyDescent="0.2">
      <c r="A901" s="86">
        <v>51003051</v>
      </c>
      <c r="B901" s="86"/>
      <c r="C901" s="69" t="s">
        <v>1440</v>
      </c>
      <c r="D901" s="2" t="s">
        <v>1453</v>
      </c>
      <c r="E901" s="2"/>
      <c r="F901" s="3">
        <v>5</v>
      </c>
      <c r="G901" s="3">
        <v>103101</v>
      </c>
      <c r="H901" s="3">
        <v>4</v>
      </c>
      <c r="I901" s="2">
        <v>5</v>
      </c>
      <c r="J901" s="3">
        <v>2</v>
      </c>
      <c r="K901" s="3">
        <v>2</v>
      </c>
      <c r="L901" s="69" t="s">
        <v>1520</v>
      </c>
      <c r="M901" s="2"/>
      <c r="N901" s="2">
        <v>1</v>
      </c>
      <c r="O901" s="2"/>
      <c r="P901" s="3" t="s">
        <v>1615</v>
      </c>
      <c r="Q901" s="95">
        <v>20</v>
      </c>
      <c r="R901" s="133">
        <f>IF(P901=模板计算相关数据!$AB$24,VLOOKUP(X901,模板计算相关数据!$P$47:$T$50,2,0),VLOOKUP(X901,模板计算相关数据!$P$4:$U$7,3,0))*VLOOKUP(Y901,模板计算相关数据!$P$22:$X$30,8,0)</f>
        <v>17.869803921568629</v>
      </c>
      <c r="S901" s="62">
        <v>2.4</v>
      </c>
      <c r="T901" s="133">
        <f>IF(P901=模板计算相关数据!$AB$24,VLOOKUP(X901,模板计算相关数据!$P$47:$T$50,5,0),VLOOKUP(X901,模板计算相关数据!$P$4:$U$7,6,0))*VLOOKUP(Y901,模板计算相关数据!$P$22:$X$30,9,0)</f>
        <v>2.9858143958055283</v>
      </c>
      <c r="U901" s="98">
        <v>58</v>
      </c>
      <c r="V901" s="95">
        <f t="shared" si="78"/>
        <v>36</v>
      </c>
      <c r="W901" s="29">
        <f>VLOOKUP(U901,模板计算相关数据!A:N,2,0)</f>
        <v>33</v>
      </c>
      <c r="X901" s="3" t="s">
        <v>178</v>
      </c>
      <c r="Y901" s="3" t="s">
        <v>162</v>
      </c>
      <c r="Z901" s="95">
        <v>1</v>
      </c>
      <c r="AA901" s="95">
        <v>1</v>
      </c>
      <c r="AB901" s="95">
        <v>1</v>
      </c>
      <c r="AC901" s="95">
        <v>1</v>
      </c>
      <c r="AD901" s="95">
        <v>0</v>
      </c>
      <c r="AE901" s="95">
        <v>0</v>
      </c>
      <c r="AF901" s="95">
        <v>0</v>
      </c>
      <c r="AG901" s="95">
        <v>0</v>
      </c>
      <c r="AH901" s="95">
        <v>0</v>
      </c>
      <c r="AI901" s="95">
        <v>4000</v>
      </c>
      <c r="AJ901" s="3">
        <f>INT(VLOOKUP(U901,模板计算相关数据!A:N,4,0)*VLOOKUP(U901,模板计算相关数据!A:N,14,0)*(1+MAX(0,(VLOOKUP(U901,模板计算相关数据!A:N,7,0)-AQ901))*VLOOKUP(U901,模板计算相关数据!A:N,8,0))*(1-(AL901+AM901)*0.5/((AL901+AM901)*0.5+(VLOOKUP(U901,模板计算相关数据!A:N,2,0)+模板计算相关数据!$AC$27)*模板计算相关数据!$AC$28))*Q901*Z901)</f>
        <v>13038</v>
      </c>
      <c r="AK901" s="3">
        <f>INT(VLOOKUP(U901,模板计算相关数据!A:N,3,0)/模板计算相关数据!$W$35/(1+MAX(0,(AO901/10000-VLOOKUP(U901,模板计算相关数据!A:N,9,0)))*AP901/10000)/(1-VLOOKUP(U901,模板计算相关数据!A:N,5,0)/(VLOOKUP(U901,模板计算相关数据!A:N,5,0)+(VLOOKUP(U901,模板计算相关数据!A:N,2,0)+模板计算相关数据!$AC$27)*模板计算相关数据!$AC$28))/S901*AA901)</f>
        <v>2728</v>
      </c>
      <c r="AL901" s="3">
        <f>INT(VLOOKUP(U901,模板计算相关数据!A:N,5,0)*VLOOKUP(X901,模板计算相关数据!$P$4:$T$7,4,0)*VLOOKUP(Y901,模板计算相关数据!$P$22:$U$30,4,0)*AB901)</f>
        <v>2185</v>
      </c>
      <c r="AM901" s="3">
        <f>INT(VLOOKUP(U901,模板计算相关数据!A:N,6,0)*VLOOKUP(X901,模板计算相关数据!$P$4:$T$7,4,0)*VLOOKUP(Y901,模板计算相关数据!$P$22:$U$30,5,0)*AC901)</f>
        <v>3688</v>
      </c>
      <c r="AN901" s="3">
        <f>VLOOKUP(U901,模板计算相关数据!A:N,10,0)*0.5*VLOOKUP(Y901,模板计算相关数据!$P$22:$U$30,6,0)+AD901</f>
        <v>250</v>
      </c>
      <c r="AO901" s="3">
        <f>VLOOKUP(INT(VLOOKUP(U901,模板计算相关数据!A:N,2,0)/30)+1,模板计算相关数据!$O$35:$U$40,3,0)+AE901</f>
        <v>0</v>
      </c>
      <c r="AP901" s="3">
        <f>VLOOKUP(INT(VLOOKUP(U901,模板计算相关数据!A:N,2,0)/30)+1,模板计算相关数据!$O$35:$U$40,4,0)+AF901</f>
        <v>5000</v>
      </c>
      <c r="AQ901" s="3">
        <f>VLOOKUP(INT(VLOOKUP(U901,模板计算相关数据!A:N,2,0)/30)+1,模板计算相关数据!$O$35:$U$40,5,0)+AG901</f>
        <v>0</v>
      </c>
      <c r="AR901" s="3">
        <f>VLOOKUP(INT(VLOOKUP(U901,模板计算相关数据!A:N,2,0)/30)+1,模板计算相关数据!$O$35:$U$40,6,0)+AH901</f>
        <v>0</v>
      </c>
      <c r="AS901" s="3">
        <f>VLOOKUP(INT(VLOOKUP(U901,模板计算相关数据!A:N,2,0)/30)+1,模板计算相关数据!$O$35:$U$40,7,0)+AI901</f>
        <v>4000</v>
      </c>
      <c r="AT901" s="3">
        <f>VLOOKUP(INT(VLOOKUP(U901,模板计算相关数据!A:N,2,0)/30)+1,模板计算相关数据!$O$35:$V$40,8,0)</f>
        <v>0</v>
      </c>
      <c r="AU901" s="2"/>
    </row>
    <row r="902" spans="1:47" x14ac:dyDescent="0.2">
      <c r="A902" s="35">
        <v>5100401</v>
      </c>
      <c r="B902" s="35"/>
      <c r="C902" s="34" t="s">
        <v>1459</v>
      </c>
      <c r="D902" s="2" t="s">
        <v>1454</v>
      </c>
      <c r="E902" s="2"/>
      <c r="F902" s="3">
        <v>2</v>
      </c>
      <c r="G902" s="3">
        <v>100701</v>
      </c>
      <c r="H902" s="3">
        <v>3</v>
      </c>
      <c r="I902" s="2">
        <v>6</v>
      </c>
      <c r="J902" s="3">
        <v>5</v>
      </c>
      <c r="K902" s="3">
        <v>2</v>
      </c>
      <c r="L902" s="69" t="s">
        <v>1523</v>
      </c>
      <c r="M902" s="2"/>
      <c r="N902" s="2">
        <v>1</v>
      </c>
      <c r="O902" s="2"/>
      <c r="P902" s="3" t="s">
        <v>1615</v>
      </c>
      <c r="Q902" s="95">
        <v>22</v>
      </c>
      <c r="R902" s="133">
        <f>IF(P902=模板计算相关数据!$AB$24,VLOOKUP(X902,模板计算相关数据!$P$47:$T$50,2,0),VLOOKUP(X902,模板计算相关数据!$P$4:$U$7,3,0))*VLOOKUP(Y902,模板计算相关数据!$P$22:$X$30,8,0)</f>
        <v>22.400000000000006</v>
      </c>
      <c r="S902" s="62">
        <f>T902</f>
        <v>3.6378187638691841</v>
      </c>
      <c r="T902" s="133">
        <f>IF(P902=模板计算相关数据!$AB$24,VLOOKUP(X902,模板计算相关数据!$P$47:$T$50,5,0),VLOOKUP(X902,模板计算相关数据!$P$4:$U$7,6,0))*VLOOKUP(Y902,模板计算相关数据!$P$22:$X$30,9,0)</f>
        <v>3.6378187638691841</v>
      </c>
      <c r="U902" s="98">
        <v>54</v>
      </c>
      <c r="V902" s="95">
        <f t="shared" si="78"/>
        <v>18</v>
      </c>
      <c r="W902" s="29">
        <f>VLOOKUP(U902,模板计算相关数据!A:N,2,0)</f>
        <v>15</v>
      </c>
      <c r="X902" s="3" t="s">
        <v>178</v>
      </c>
      <c r="Y902" s="3" t="s">
        <v>170</v>
      </c>
      <c r="Z902" s="95">
        <v>1</v>
      </c>
      <c r="AA902" s="95">
        <v>1</v>
      </c>
      <c r="AB902" s="95">
        <v>1</v>
      </c>
      <c r="AC902" s="95">
        <v>1</v>
      </c>
      <c r="AD902" s="95">
        <v>0</v>
      </c>
      <c r="AE902" s="95">
        <v>0</v>
      </c>
      <c r="AF902" s="95">
        <v>0</v>
      </c>
      <c r="AG902" s="95">
        <v>0</v>
      </c>
      <c r="AH902" s="95">
        <v>0</v>
      </c>
      <c r="AI902" s="95">
        <v>4000</v>
      </c>
      <c r="AJ902" s="3">
        <f>INT(VLOOKUP(U902,模板计算相关数据!A:N,4,0)*VLOOKUP(U902,模板计算相关数据!A:N,14,0)*(1+MAX(0,(VLOOKUP(U902,模板计算相关数据!A:N,7,0)-AQ902))*VLOOKUP(U902,模板计算相关数据!A:N,8,0))*(1-(AL902+AM902)*0.5/((AL902+AM902)*0.5+(VLOOKUP(U902,模板计算相关数据!A:N,2,0)+模板计算相关数据!$AC$27)*模板计算相关数据!$AC$28))*Q902*Z902)</f>
        <v>5543</v>
      </c>
      <c r="AK902" s="3">
        <f>INT(VLOOKUP(U902,模板计算相关数据!A:N,3,0)/模板计算相关数据!$W$35/(1+MAX(0,(AO902/10000-VLOOKUP(U902,模板计算相关数据!A:N,9,0)))*AP902/10000)/(1-VLOOKUP(U902,模板计算相关数据!A:N,5,0)/(VLOOKUP(U902,模板计算相关数据!A:N,5,0)+(VLOOKUP(U902,模板计算相关数据!A:N,2,0)+模板计算相关数据!$AC$27)*模板计算相关数据!$AC$28))/S902*AA902)</f>
        <v>562</v>
      </c>
      <c r="AL902" s="3">
        <f>INT(VLOOKUP(U902,模板计算相关数据!A:N,5,0)*VLOOKUP(X902,模板计算相关数据!$P$4:$T$7,4,0)*VLOOKUP(Y902,模板计算相关数据!$P$22:$U$30,4,0)*AB902)</f>
        <v>1539</v>
      </c>
      <c r="AM902" s="3">
        <f>INT(VLOOKUP(U902,模板计算相关数据!A:N,6,0)*VLOOKUP(X902,模板计算相关数据!$P$4:$T$7,4,0)*VLOOKUP(Y902,模板计算相关数据!$P$22:$U$30,5,0)*AC902)</f>
        <v>829</v>
      </c>
      <c r="AN902" s="3">
        <f>VLOOKUP(U902,模板计算相关数据!A:N,10,0)*0.5*VLOOKUP(Y902,模板计算相关数据!$P$22:$U$30,6,0)+AD902</f>
        <v>225</v>
      </c>
      <c r="AO902" s="3">
        <f>VLOOKUP(INT(VLOOKUP(U902,模板计算相关数据!A:N,2,0)/30)+1,模板计算相关数据!$O$35:$U$40,3,0)+AE902</f>
        <v>0</v>
      </c>
      <c r="AP902" s="3">
        <f>VLOOKUP(INT(VLOOKUP(U902,模板计算相关数据!A:N,2,0)/30)+1,模板计算相关数据!$O$35:$U$40,4,0)+AF902</f>
        <v>5000</v>
      </c>
      <c r="AQ902" s="3">
        <f>VLOOKUP(INT(VLOOKUP(U902,模板计算相关数据!A:N,2,0)/30)+1,模板计算相关数据!$O$35:$U$40,5,0)+AG902</f>
        <v>0</v>
      </c>
      <c r="AR902" s="3">
        <f>VLOOKUP(INT(VLOOKUP(U902,模板计算相关数据!A:N,2,0)/30)+1,模板计算相关数据!$O$35:$U$40,6,0)+AH902</f>
        <v>0</v>
      </c>
      <c r="AS902" s="3">
        <f>VLOOKUP(INT(VLOOKUP(U902,模板计算相关数据!A:N,2,0)/30)+1,模板计算相关数据!$O$35:$U$40,7,0)+AI902</f>
        <v>4000</v>
      </c>
      <c r="AT902" s="3">
        <f>VLOOKUP(INT(VLOOKUP(U902,模板计算相关数据!A:N,2,0)/30)+1,模板计算相关数据!$O$35:$V$40,8,0)</f>
        <v>0</v>
      </c>
      <c r="AU902" s="2"/>
    </row>
    <row r="903" spans="1:47" x14ac:dyDescent="0.2">
      <c r="A903" s="86">
        <v>5100402</v>
      </c>
      <c r="B903" s="86"/>
      <c r="C903" s="69" t="s">
        <v>1459</v>
      </c>
      <c r="D903" s="2" t="s">
        <v>1455</v>
      </c>
      <c r="E903" s="2"/>
      <c r="F903" s="3">
        <v>2</v>
      </c>
      <c r="G903" s="3">
        <v>100701</v>
      </c>
      <c r="H903" s="3">
        <v>3</v>
      </c>
      <c r="I903" s="2">
        <v>6</v>
      </c>
      <c r="J903" s="3">
        <v>5</v>
      </c>
      <c r="K903" s="3">
        <v>2</v>
      </c>
      <c r="L903" s="69" t="s">
        <v>1523</v>
      </c>
      <c r="M903" s="2"/>
      <c r="N903" s="2">
        <v>1</v>
      </c>
      <c r="O903" s="2"/>
      <c r="P903" s="3" t="s">
        <v>1615</v>
      </c>
      <c r="Q903" s="95">
        <v>23</v>
      </c>
      <c r="R903" s="133">
        <f>IF(P903=模板计算相关数据!$AB$24,VLOOKUP(X903,模板计算相关数据!$P$47:$T$50,2,0),VLOOKUP(X903,模板计算相关数据!$P$4:$U$7,3,0))*VLOOKUP(Y903,模板计算相关数据!$P$22:$X$30,8,0)</f>
        <v>22.400000000000006</v>
      </c>
      <c r="S903" s="62">
        <v>3.5</v>
      </c>
      <c r="T903" s="133">
        <f>IF(P903=模板计算相关数据!$AB$24,VLOOKUP(X903,模板计算相关数据!$P$47:$T$50,5,0),VLOOKUP(X903,模板计算相关数据!$P$4:$U$7,6,0))*VLOOKUP(Y903,模板计算相关数据!$P$22:$X$30,9,0)</f>
        <v>3.6378187638691841</v>
      </c>
      <c r="U903" s="98">
        <v>54</v>
      </c>
      <c r="V903" s="95">
        <f t="shared" si="78"/>
        <v>18</v>
      </c>
      <c r="W903" s="29">
        <f>VLOOKUP(U903,模板计算相关数据!A:N,2,0)</f>
        <v>15</v>
      </c>
      <c r="X903" s="3" t="s">
        <v>178</v>
      </c>
      <c r="Y903" s="3" t="s">
        <v>170</v>
      </c>
      <c r="Z903" s="95">
        <v>1</v>
      </c>
      <c r="AA903" s="95">
        <v>1</v>
      </c>
      <c r="AB903" s="95">
        <v>1</v>
      </c>
      <c r="AC903" s="95">
        <v>1</v>
      </c>
      <c r="AD903" s="95">
        <v>0</v>
      </c>
      <c r="AE903" s="95">
        <v>0</v>
      </c>
      <c r="AF903" s="95">
        <v>0</v>
      </c>
      <c r="AG903" s="95">
        <v>0</v>
      </c>
      <c r="AH903" s="95">
        <v>0</v>
      </c>
      <c r="AI903" s="95">
        <v>4000</v>
      </c>
      <c r="AJ903" s="3">
        <f>INT(VLOOKUP(U903,模板计算相关数据!A:N,4,0)*VLOOKUP(U903,模板计算相关数据!A:N,14,0)*(1+MAX(0,(VLOOKUP(U903,模板计算相关数据!A:N,7,0)-AQ903))*VLOOKUP(U903,模板计算相关数据!A:N,8,0))*(1-(AL903+AM903)*0.5/((AL903+AM903)*0.5+(VLOOKUP(U903,模板计算相关数据!A:N,2,0)+模板计算相关数据!$AC$27)*模板计算相关数据!$AC$28))*Q903*Z903)</f>
        <v>5795</v>
      </c>
      <c r="AK903" s="3">
        <f>INT(VLOOKUP(U903,模板计算相关数据!A:N,3,0)/模板计算相关数据!$W$35/(1+MAX(0,(AO903/10000-VLOOKUP(U903,模板计算相关数据!A:N,9,0)))*AP903/10000)/(1-VLOOKUP(U903,模板计算相关数据!A:N,5,0)/(VLOOKUP(U903,模板计算相关数据!A:N,5,0)+(VLOOKUP(U903,模板计算相关数据!A:N,2,0)+模板计算相关数据!$AC$27)*模板计算相关数据!$AC$28))/S903*AA903)</f>
        <v>584</v>
      </c>
      <c r="AL903" s="3">
        <f>INT(VLOOKUP(U903,模板计算相关数据!A:N,5,0)*VLOOKUP(X903,模板计算相关数据!$P$4:$T$7,4,0)*VLOOKUP(Y903,模板计算相关数据!$P$22:$U$30,4,0)*AB903)</f>
        <v>1539</v>
      </c>
      <c r="AM903" s="3">
        <f>INT(VLOOKUP(U903,模板计算相关数据!A:N,6,0)*VLOOKUP(X903,模板计算相关数据!$P$4:$T$7,4,0)*VLOOKUP(Y903,模板计算相关数据!$P$22:$U$30,5,0)*AC903)</f>
        <v>829</v>
      </c>
      <c r="AN903" s="3">
        <f>VLOOKUP(U903,模板计算相关数据!A:N,10,0)*0.5*VLOOKUP(Y903,模板计算相关数据!$P$22:$U$30,6,0)+AD903</f>
        <v>225</v>
      </c>
      <c r="AO903" s="3">
        <f>VLOOKUP(INT(VLOOKUP(U903,模板计算相关数据!A:N,2,0)/30)+1,模板计算相关数据!$O$35:$U$40,3,0)+AE903</f>
        <v>0</v>
      </c>
      <c r="AP903" s="3">
        <f>VLOOKUP(INT(VLOOKUP(U903,模板计算相关数据!A:N,2,0)/30)+1,模板计算相关数据!$O$35:$U$40,4,0)+AF903</f>
        <v>5000</v>
      </c>
      <c r="AQ903" s="3">
        <f>VLOOKUP(INT(VLOOKUP(U903,模板计算相关数据!A:N,2,0)/30)+1,模板计算相关数据!$O$35:$U$40,5,0)+AG903</f>
        <v>0</v>
      </c>
      <c r="AR903" s="3">
        <f>VLOOKUP(INT(VLOOKUP(U903,模板计算相关数据!A:N,2,0)/30)+1,模板计算相关数据!$O$35:$U$40,6,0)+AH903</f>
        <v>0</v>
      </c>
      <c r="AS903" s="3">
        <f>VLOOKUP(INT(VLOOKUP(U903,模板计算相关数据!A:N,2,0)/30)+1,模板计算相关数据!$O$35:$U$40,7,0)+AI903</f>
        <v>4000</v>
      </c>
      <c r="AT903" s="3">
        <f>VLOOKUP(INT(VLOOKUP(U903,模板计算相关数据!A:N,2,0)/30)+1,模板计算相关数据!$O$35:$V$40,8,0)</f>
        <v>0</v>
      </c>
      <c r="AU903" s="2"/>
    </row>
    <row r="904" spans="1:47" x14ac:dyDescent="0.2">
      <c r="A904" s="86">
        <v>5100403</v>
      </c>
      <c r="B904" s="86"/>
      <c r="C904" s="69" t="s">
        <v>1459</v>
      </c>
      <c r="D904" s="2" t="s">
        <v>1456</v>
      </c>
      <c r="E904" s="2"/>
      <c r="F904" s="3">
        <v>2</v>
      </c>
      <c r="G904" s="3">
        <v>100701</v>
      </c>
      <c r="H904" s="3">
        <v>3</v>
      </c>
      <c r="I904" s="2">
        <v>6</v>
      </c>
      <c r="J904" s="3">
        <v>5</v>
      </c>
      <c r="K904" s="3">
        <v>2</v>
      </c>
      <c r="L904" s="69" t="s">
        <v>1523</v>
      </c>
      <c r="M904" s="2"/>
      <c r="N904" s="2">
        <v>1</v>
      </c>
      <c r="O904" s="2"/>
      <c r="P904" s="3" t="s">
        <v>1615</v>
      </c>
      <c r="Q904" s="95">
        <v>24</v>
      </c>
      <c r="R904" s="133">
        <f>IF(P904=模板计算相关数据!$AB$24,VLOOKUP(X904,模板计算相关数据!$P$47:$T$50,2,0),VLOOKUP(X904,模板计算相关数据!$P$4:$U$7,3,0))*VLOOKUP(Y904,模板计算相关数据!$P$22:$X$30,8,0)</f>
        <v>22.400000000000006</v>
      </c>
      <c r="S904" s="62">
        <v>3.4</v>
      </c>
      <c r="T904" s="133">
        <f>IF(P904=模板计算相关数据!$AB$24,VLOOKUP(X904,模板计算相关数据!$P$47:$T$50,5,0),VLOOKUP(X904,模板计算相关数据!$P$4:$U$7,6,0))*VLOOKUP(Y904,模板计算相关数据!$P$22:$X$30,9,0)</f>
        <v>3.6378187638691841</v>
      </c>
      <c r="U904" s="98">
        <v>54</v>
      </c>
      <c r="V904" s="95">
        <f t="shared" si="78"/>
        <v>18</v>
      </c>
      <c r="W904" s="29">
        <f>VLOOKUP(U904,模板计算相关数据!A:N,2,0)</f>
        <v>15</v>
      </c>
      <c r="X904" s="3" t="s">
        <v>178</v>
      </c>
      <c r="Y904" s="3" t="s">
        <v>170</v>
      </c>
      <c r="Z904" s="95">
        <v>1</v>
      </c>
      <c r="AA904" s="95">
        <v>1</v>
      </c>
      <c r="AB904" s="95">
        <v>1</v>
      </c>
      <c r="AC904" s="95">
        <v>1</v>
      </c>
      <c r="AD904" s="95">
        <v>0</v>
      </c>
      <c r="AE904" s="95">
        <v>0</v>
      </c>
      <c r="AF904" s="95">
        <v>0</v>
      </c>
      <c r="AG904" s="95">
        <v>0</v>
      </c>
      <c r="AH904" s="95">
        <v>0</v>
      </c>
      <c r="AI904" s="95">
        <v>4000</v>
      </c>
      <c r="AJ904" s="3">
        <f>INT(VLOOKUP(U904,模板计算相关数据!A:N,4,0)*VLOOKUP(U904,模板计算相关数据!A:N,14,0)*(1+MAX(0,(VLOOKUP(U904,模板计算相关数据!A:N,7,0)-AQ904))*VLOOKUP(U904,模板计算相关数据!A:N,8,0))*(1-(AL904+AM904)*0.5/((AL904+AM904)*0.5+(VLOOKUP(U904,模板计算相关数据!A:N,2,0)+模板计算相关数据!$AC$27)*模板计算相关数据!$AC$28))*Q904*Z904)</f>
        <v>6047</v>
      </c>
      <c r="AK904" s="3">
        <f>INT(VLOOKUP(U904,模板计算相关数据!A:N,3,0)/模板计算相关数据!$W$35/(1+MAX(0,(AO904/10000-VLOOKUP(U904,模板计算相关数据!A:N,9,0)))*AP904/10000)/(1-VLOOKUP(U904,模板计算相关数据!A:N,5,0)/(VLOOKUP(U904,模板计算相关数据!A:N,5,0)+(VLOOKUP(U904,模板计算相关数据!A:N,2,0)+模板计算相关数据!$AC$27)*模板计算相关数据!$AC$28))/S904*AA904)</f>
        <v>601</v>
      </c>
      <c r="AL904" s="3">
        <f>INT(VLOOKUP(U904,模板计算相关数据!A:N,5,0)*VLOOKUP(X904,模板计算相关数据!$P$4:$T$7,4,0)*VLOOKUP(Y904,模板计算相关数据!$P$22:$U$30,4,0)*AB904)</f>
        <v>1539</v>
      </c>
      <c r="AM904" s="3">
        <f>INT(VLOOKUP(U904,模板计算相关数据!A:N,6,0)*VLOOKUP(X904,模板计算相关数据!$P$4:$T$7,4,0)*VLOOKUP(Y904,模板计算相关数据!$P$22:$U$30,5,0)*AC904)</f>
        <v>829</v>
      </c>
      <c r="AN904" s="3">
        <f>VLOOKUP(U904,模板计算相关数据!A:N,10,0)*0.5*VLOOKUP(Y904,模板计算相关数据!$P$22:$U$30,6,0)+AD904</f>
        <v>225</v>
      </c>
      <c r="AO904" s="3">
        <f>VLOOKUP(INT(VLOOKUP(U904,模板计算相关数据!A:N,2,0)/30)+1,模板计算相关数据!$O$35:$U$40,3,0)+AE904</f>
        <v>0</v>
      </c>
      <c r="AP904" s="3">
        <f>VLOOKUP(INT(VLOOKUP(U904,模板计算相关数据!A:N,2,0)/30)+1,模板计算相关数据!$O$35:$U$40,4,0)+AF904</f>
        <v>5000</v>
      </c>
      <c r="AQ904" s="3">
        <f>VLOOKUP(INT(VLOOKUP(U904,模板计算相关数据!A:N,2,0)/30)+1,模板计算相关数据!$O$35:$U$40,5,0)+AG904</f>
        <v>0</v>
      </c>
      <c r="AR904" s="3">
        <f>VLOOKUP(INT(VLOOKUP(U904,模板计算相关数据!A:N,2,0)/30)+1,模板计算相关数据!$O$35:$U$40,6,0)+AH904</f>
        <v>0</v>
      </c>
      <c r="AS904" s="3">
        <f>VLOOKUP(INT(VLOOKUP(U904,模板计算相关数据!A:N,2,0)/30)+1,模板计算相关数据!$O$35:$U$40,7,0)+AI904</f>
        <v>4000</v>
      </c>
      <c r="AT904" s="3">
        <f>VLOOKUP(INT(VLOOKUP(U904,模板计算相关数据!A:N,2,0)/30)+1,模板计算相关数据!$O$35:$V$40,8,0)</f>
        <v>0</v>
      </c>
      <c r="AU904" s="2"/>
    </row>
    <row r="905" spans="1:47" x14ac:dyDescent="0.2">
      <c r="A905" s="86">
        <v>5100404</v>
      </c>
      <c r="B905" s="86"/>
      <c r="C905" s="69" t="s">
        <v>1459</v>
      </c>
      <c r="D905" s="2" t="s">
        <v>1457</v>
      </c>
      <c r="E905" s="2"/>
      <c r="F905" s="3">
        <v>2</v>
      </c>
      <c r="G905" s="3">
        <v>100701</v>
      </c>
      <c r="H905" s="3">
        <v>3</v>
      </c>
      <c r="I905" s="2">
        <v>6</v>
      </c>
      <c r="J905" s="3">
        <v>5</v>
      </c>
      <c r="K905" s="3">
        <v>2</v>
      </c>
      <c r="L905" s="69" t="s">
        <v>1523</v>
      </c>
      <c r="M905" s="2"/>
      <c r="N905" s="2">
        <v>1</v>
      </c>
      <c r="O905" s="2"/>
      <c r="P905" s="3" t="s">
        <v>1615</v>
      </c>
      <c r="Q905" s="95">
        <v>25</v>
      </c>
      <c r="R905" s="133">
        <f>IF(P905=模板计算相关数据!$AB$24,VLOOKUP(X905,模板计算相关数据!$P$47:$T$50,2,0),VLOOKUP(X905,模板计算相关数据!$P$4:$U$7,3,0))*VLOOKUP(Y905,模板计算相关数据!$P$22:$X$30,8,0)</f>
        <v>22.400000000000006</v>
      </c>
      <c r="S905" s="62">
        <v>3.3</v>
      </c>
      <c r="T905" s="133">
        <f>IF(P905=模板计算相关数据!$AB$24,VLOOKUP(X905,模板计算相关数据!$P$47:$T$50,5,0),VLOOKUP(X905,模板计算相关数据!$P$4:$U$7,6,0))*VLOOKUP(Y905,模板计算相关数据!$P$22:$X$30,9,0)</f>
        <v>3.6378187638691841</v>
      </c>
      <c r="U905" s="98">
        <v>54</v>
      </c>
      <c r="V905" s="95">
        <f t="shared" si="78"/>
        <v>18</v>
      </c>
      <c r="W905" s="29">
        <f>VLOOKUP(U905,模板计算相关数据!A:N,2,0)</f>
        <v>15</v>
      </c>
      <c r="X905" s="3" t="s">
        <v>178</v>
      </c>
      <c r="Y905" s="3" t="s">
        <v>170</v>
      </c>
      <c r="Z905" s="95">
        <v>1</v>
      </c>
      <c r="AA905" s="95">
        <v>1</v>
      </c>
      <c r="AB905" s="95">
        <v>1</v>
      </c>
      <c r="AC905" s="95">
        <v>1</v>
      </c>
      <c r="AD905" s="95">
        <v>0</v>
      </c>
      <c r="AE905" s="95">
        <v>0</v>
      </c>
      <c r="AF905" s="95">
        <v>0</v>
      </c>
      <c r="AG905" s="95">
        <v>0</v>
      </c>
      <c r="AH905" s="95">
        <v>0</v>
      </c>
      <c r="AI905" s="95">
        <v>4000</v>
      </c>
      <c r="AJ905" s="3">
        <f>INT(VLOOKUP(U905,模板计算相关数据!A:N,4,0)*VLOOKUP(U905,模板计算相关数据!A:N,14,0)*(1+MAX(0,(VLOOKUP(U905,模板计算相关数据!A:N,7,0)-AQ905))*VLOOKUP(U905,模板计算相关数据!A:N,8,0))*(1-(AL905+AM905)*0.5/((AL905+AM905)*0.5+(VLOOKUP(U905,模板计算相关数据!A:N,2,0)+模板计算相关数据!$AC$27)*模板计算相关数据!$AC$28))*Q905*Z905)</f>
        <v>6299</v>
      </c>
      <c r="AK905" s="3">
        <f>INT(VLOOKUP(U905,模板计算相关数据!A:N,3,0)/模板计算相关数据!$W$35/(1+MAX(0,(AO905/10000-VLOOKUP(U905,模板计算相关数据!A:N,9,0)))*AP905/10000)/(1-VLOOKUP(U905,模板计算相关数据!A:N,5,0)/(VLOOKUP(U905,模板计算相关数据!A:N,5,0)+(VLOOKUP(U905,模板计算相关数据!A:N,2,0)+模板计算相关数据!$AC$27)*模板计算相关数据!$AC$28))/S905*AA905)</f>
        <v>619</v>
      </c>
      <c r="AL905" s="3">
        <f>INT(VLOOKUP(U905,模板计算相关数据!A:N,5,0)*VLOOKUP(X905,模板计算相关数据!$P$4:$T$7,4,0)*VLOOKUP(Y905,模板计算相关数据!$P$22:$U$30,4,0)*AB905)</f>
        <v>1539</v>
      </c>
      <c r="AM905" s="3">
        <f>INT(VLOOKUP(U905,模板计算相关数据!A:N,6,0)*VLOOKUP(X905,模板计算相关数据!$P$4:$T$7,4,0)*VLOOKUP(Y905,模板计算相关数据!$P$22:$U$30,5,0)*AC905)</f>
        <v>829</v>
      </c>
      <c r="AN905" s="3">
        <f>VLOOKUP(U905,模板计算相关数据!A:N,10,0)*0.5*VLOOKUP(Y905,模板计算相关数据!$P$22:$U$30,6,0)+AD905</f>
        <v>225</v>
      </c>
      <c r="AO905" s="3">
        <f>VLOOKUP(INT(VLOOKUP(U905,模板计算相关数据!A:N,2,0)/30)+1,模板计算相关数据!$O$35:$U$40,3,0)+AE905</f>
        <v>0</v>
      </c>
      <c r="AP905" s="3">
        <f>VLOOKUP(INT(VLOOKUP(U905,模板计算相关数据!A:N,2,0)/30)+1,模板计算相关数据!$O$35:$U$40,4,0)+AF905</f>
        <v>5000</v>
      </c>
      <c r="AQ905" s="3">
        <f>VLOOKUP(INT(VLOOKUP(U905,模板计算相关数据!A:N,2,0)/30)+1,模板计算相关数据!$O$35:$U$40,5,0)+AG905</f>
        <v>0</v>
      </c>
      <c r="AR905" s="3">
        <f>VLOOKUP(INT(VLOOKUP(U905,模板计算相关数据!A:N,2,0)/30)+1,模板计算相关数据!$O$35:$U$40,6,0)+AH905</f>
        <v>0</v>
      </c>
      <c r="AS905" s="3">
        <f>VLOOKUP(INT(VLOOKUP(U905,模板计算相关数据!A:N,2,0)/30)+1,模板计算相关数据!$O$35:$U$40,7,0)+AI905</f>
        <v>4000</v>
      </c>
      <c r="AT905" s="3">
        <f>VLOOKUP(INT(VLOOKUP(U905,模板计算相关数据!A:N,2,0)/30)+1,模板计算相关数据!$O$35:$V$40,8,0)</f>
        <v>0</v>
      </c>
      <c r="AU905" s="2"/>
    </row>
    <row r="906" spans="1:47" x14ac:dyDescent="0.2">
      <c r="A906" s="86">
        <v>5100405</v>
      </c>
      <c r="B906" s="86"/>
      <c r="C906" s="69" t="s">
        <v>1459</v>
      </c>
      <c r="D906" s="2" t="s">
        <v>1458</v>
      </c>
      <c r="E906" s="2"/>
      <c r="F906" s="3">
        <v>2</v>
      </c>
      <c r="G906" s="3">
        <v>100701</v>
      </c>
      <c r="H906" s="3">
        <v>3</v>
      </c>
      <c r="I906" s="2">
        <v>6</v>
      </c>
      <c r="J906" s="3">
        <v>5</v>
      </c>
      <c r="K906" s="3">
        <v>2</v>
      </c>
      <c r="L906" s="69" t="s">
        <v>1524</v>
      </c>
      <c r="M906" s="2"/>
      <c r="N906" s="2">
        <v>1</v>
      </c>
      <c r="O906" s="2"/>
      <c r="P906" s="3" t="s">
        <v>1615</v>
      </c>
      <c r="Q906" s="95">
        <v>26</v>
      </c>
      <c r="R906" s="133">
        <f>IF(P906=模板计算相关数据!$AB$24,VLOOKUP(X906,模板计算相关数据!$P$47:$T$50,2,0),VLOOKUP(X906,模板计算相关数据!$P$4:$U$7,3,0))*VLOOKUP(Y906,模板计算相关数据!$P$22:$X$30,8,0)</f>
        <v>22.400000000000006</v>
      </c>
      <c r="S906" s="62">
        <v>3.2</v>
      </c>
      <c r="T906" s="133">
        <f>IF(P906=模板计算相关数据!$AB$24,VLOOKUP(X906,模板计算相关数据!$P$47:$T$50,5,0),VLOOKUP(X906,模板计算相关数据!$P$4:$U$7,6,0))*VLOOKUP(Y906,模板计算相关数据!$P$22:$X$30,9,0)</f>
        <v>3.6378187638691841</v>
      </c>
      <c r="U906" s="98">
        <v>54</v>
      </c>
      <c r="V906" s="95">
        <f t="shared" si="78"/>
        <v>18</v>
      </c>
      <c r="W906" s="29">
        <f>VLOOKUP(U906,模板计算相关数据!A:N,2,0)</f>
        <v>15</v>
      </c>
      <c r="X906" s="3" t="s">
        <v>178</v>
      </c>
      <c r="Y906" s="3" t="s">
        <v>170</v>
      </c>
      <c r="Z906" s="95">
        <v>1</v>
      </c>
      <c r="AA906" s="95">
        <v>1</v>
      </c>
      <c r="AB906" s="95">
        <v>1</v>
      </c>
      <c r="AC906" s="95">
        <v>1</v>
      </c>
      <c r="AD906" s="95">
        <v>0</v>
      </c>
      <c r="AE906" s="95">
        <v>0</v>
      </c>
      <c r="AF906" s="95">
        <v>0</v>
      </c>
      <c r="AG906" s="95">
        <v>0</v>
      </c>
      <c r="AH906" s="95">
        <v>0</v>
      </c>
      <c r="AI906" s="95">
        <v>4000</v>
      </c>
      <c r="AJ906" s="3">
        <f>INT(VLOOKUP(U906,模板计算相关数据!A:N,4,0)*VLOOKUP(U906,模板计算相关数据!A:N,14,0)*(1+MAX(0,(VLOOKUP(U906,模板计算相关数据!A:N,7,0)-AQ906))*VLOOKUP(U906,模板计算相关数据!A:N,8,0))*(1-(AL906+AM906)*0.5/((AL906+AM906)*0.5+(VLOOKUP(U906,模板计算相关数据!A:N,2,0)+模板计算相关数据!$AC$27)*模板计算相关数据!$AC$28))*Q906*Z906)</f>
        <v>6551</v>
      </c>
      <c r="AK906" s="3">
        <f>INT(VLOOKUP(U906,模板计算相关数据!A:N,3,0)/模板计算相关数据!$W$35/(1+MAX(0,(AO906/10000-VLOOKUP(U906,模板计算相关数据!A:N,9,0)))*AP906/10000)/(1-VLOOKUP(U906,模板计算相关数据!A:N,5,0)/(VLOOKUP(U906,模板计算相关数据!A:N,5,0)+(VLOOKUP(U906,模板计算相关数据!A:N,2,0)+模板计算相关数据!$AC$27)*模板计算相关数据!$AC$28))/S906*AA906)</f>
        <v>639</v>
      </c>
      <c r="AL906" s="3">
        <f>INT(VLOOKUP(U906,模板计算相关数据!A:N,5,0)*VLOOKUP(X906,模板计算相关数据!$P$4:$T$7,4,0)*VLOOKUP(Y906,模板计算相关数据!$P$22:$U$30,4,0)*AB906)</f>
        <v>1539</v>
      </c>
      <c r="AM906" s="3">
        <f>INT(VLOOKUP(U906,模板计算相关数据!A:N,6,0)*VLOOKUP(X906,模板计算相关数据!$P$4:$T$7,4,0)*VLOOKUP(Y906,模板计算相关数据!$P$22:$U$30,5,0)*AC906)</f>
        <v>829</v>
      </c>
      <c r="AN906" s="3">
        <f>VLOOKUP(U906,模板计算相关数据!A:N,10,0)*0.5*VLOOKUP(Y906,模板计算相关数据!$P$22:$U$30,6,0)+AD906</f>
        <v>225</v>
      </c>
      <c r="AO906" s="3">
        <f>VLOOKUP(INT(VLOOKUP(U906,模板计算相关数据!A:N,2,0)/30)+1,模板计算相关数据!$O$35:$U$40,3,0)+AE906</f>
        <v>0</v>
      </c>
      <c r="AP906" s="3">
        <f>VLOOKUP(INT(VLOOKUP(U906,模板计算相关数据!A:N,2,0)/30)+1,模板计算相关数据!$O$35:$U$40,4,0)+AF906</f>
        <v>5000</v>
      </c>
      <c r="AQ906" s="3">
        <f>VLOOKUP(INT(VLOOKUP(U906,模板计算相关数据!A:N,2,0)/30)+1,模板计算相关数据!$O$35:$U$40,5,0)+AG906</f>
        <v>0</v>
      </c>
      <c r="AR906" s="3">
        <f>VLOOKUP(INT(VLOOKUP(U906,模板计算相关数据!A:N,2,0)/30)+1,模板计算相关数据!$O$35:$U$40,6,0)+AH906</f>
        <v>0</v>
      </c>
      <c r="AS906" s="3">
        <f>VLOOKUP(INT(VLOOKUP(U906,模板计算相关数据!A:N,2,0)/30)+1,模板计算相关数据!$O$35:$U$40,7,0)+AI906</f>
        <v>4000</v>
      </c>
      <c r="AT906" s="3">
        <f>VLOOKUP(INT(VLOOKUP(U906,模板计算相关数据!A:N,2,0)/30)+1,模板计算相关数据!$O$35:$V$40,8,0)</f>
        <v>0</v>
      </c>
      <c r="AU906" s="2"/>
    </row>
    <row r="907" spans="1:47" x14ac:dyDescent="0.2">
      <c r="A907" s="35">
        <v>51016011</v>
      </c>
      <c r="B907" s="35"/>
      <c r="C907" s="34" t="s">
        <v>1460</v>
      </c>
      <c r="D907" s="69" t="s">
        <v>1842</v>
      </c>
      <c r="E907" s="2"/>
      <c r="F907" s="3">
        <v>1</v>
      </c>
      <c r="G907" s="3">
        <v>102101</v>
      </c>
      <c r="H907" s="3">
        <v>1</v>
      </c>
      <c r="I907" s="2">
        <v>3</v>
      </c>
      <c r="J907" s="3">
        <v>5</v>
      </c>
      <c r="K907" s="3">
        <v>2</v>
      </c>
      <c r="L907" s="69" t="s">
        <v>1927</v>
      </c>
      <c r="M907" s="2"/>
      <c r="N907" s="2">
        <v>1</v>
      </c>
      <c r="O907" s="2"/>
      <c r="P907" s="3" t="s">
        <v>1615</v>
      </c>
      <c r="Q907" s="95">
        <f t="shared" si="76"/>
        <v>7.0676078431372558</v>
      </c>
      <c r="R907" s="133">
        <f>IF(P907=模板计算相关数据!$AB$24,VLOOKUP(X907,模板计算相关数据!$P$47:$T$50,2,0),VLOOKUP(X907,模板计算相关数据!$P$4:$U$7,3,0))*VLOOKUP(Y907,模板计算相关数据!$P$22:$X$30,8,0)</f>
        <v>7.0676078431372558</v>
      </c>
      <c r="S907" s="62">
        <f t="shared" si="77"/>
        <v>3.7582116925482176</v>
      </c>
      <c r="T907" s="133">
        <f>IF(P907=模板计算相关数据!$AB$24,VLOOKUP(X907,模板计算相关数据!$P$47:$T$50,5,0),VLOOKUP(X907,模板计算相关数据!$P$4:$U$7,6,0))*VLOOKUP(Y907,模板计算相关数据!$P$22:$X$30,9,0)</f>
        <v>3.7582116925482176</v>
      </c>
      <c r="U907" s="98">
        <v>57</v>
      </c>
      <c r="V907" s="95">
        <f t="shared" si="78"/>
        <v>31</v>
      </c>
      <c r="W907" s="29">
        <f>VLOOKUP(U907,模板计算相关数据!A:N,2,0)</f>
        <v>28</v>
      </c>
      <c r="X907" s="3" t="s">
        <v>158</v>
      </c>
      <c r="Y907" s="3" t="s">
        <v>152</v>
      </c>
      <c r="Z907" s="95">
        <v>1</v>
      </c>
      <c r="AA907" s="95">
        <v>1</v>
      </c>
      <c r="AB907" s="95">
        <v>1</v>
      </c>
      <c r="AC907" s="95">
        <v>1</v>
      </c>
      <c r="AD907" s="95">
        <v>0</v>
      </c>
      <c r="AE907" s="95">
        <v>0</v>
      </c>
      <c r="AF907" s="95">
        <v>0</v>
      </c>
      <c r="AG907" s="95">
        <v>0</v>
      </c>
      <c r="AH907" s="95">
        <v>0</v>
      </c>
      <c r="AI907" s="95">
        <v>2000</v>
      </c>
      <c r="AJ907" s="3">
        <f>INT(VLOOKUP(U907,模板计算相关数据!A:N,4,0)*VLOOKUP(U907,模板计算相关数据!A:N,14,0)*(1+MAX(0,(VLOOKUP(U907,模板计算相关数据!A:N,7,0)-AQ907))*VLOOKUP(U907,模板计算相关数据!A:N,8,0))*(1-(AL907+AM907)*0.5/((AL907+AM907)*0.5+(VLOOKUP(U907,模板计算相关数据!A:N,2,0)+模板计算相关数据!$AC$27)*模板计算相关数据!$AC$28))*Q907*Z907)</f>
        <v>4312</v>
      </c>
      <c r="AK907" s="3">
        <f>INT(VLOOKUP(U907,模板计算相关数据!A:N,3,0)/模板计算相关数据!$W$35/(1+MAX(0,(AO907/10000-VLOOKUP(U907,模板计算相关数据!A:N,9,0)))*AP907/10000)/(1-VLOOKUP(U907,模板计算相关数据!A:N,5,0)/(VLOOKUP(U907,模板计算相关数据!A:N,5,0)+(VLOOKUP(U907,模板计算相关数据!A:N,2,0)+模板计算相关数据!$AC$27)*模板计算相关数据!$AC$28))/S907*AA907)</f>
        <v>1556</v>
      </c>
      <c r="AL907" s="3">
        <f>INT(VLOOKUP(U907,模板计算相关数据!A:N,5,0)*VLOOKUP(X907,模板计算相关数据!$P$4:$T$7,4,0)*VLOOKUP(Y907,模板计算相关数据!$P$22:$U$30,4,0)*AB907)</f>
        <v>2718</v>
      </c>
      <c r="AM907" s="3">
        <f>INT(VLOOKUP(U907,模板计算相关数据!A:N,6,0)*VLOOKUP(X907,模板计算相关数据!$P$4:$T$7,4,0)*VLOOKUP(Y907,模板计算相关数据!$P$22:$U$30,5,0)*AC907)</f>
        <v>1610</v>
      </c>
      <c r="AN907" s="3">
        <f>VLOOKUP(U907,模板计算相关数据!A:N,10,0)*0.5*VLOOKUP(Y907,模板计算相关数据!$P$22:$U$30,6,0)+AD907</f>
        <v>250</v>
      </c>
      <c r="AO907" s="3">
        <f>VLOOKUP(INT(VLOOKUP(U907,模板计算相关数据!A:N,2,0)/30)+1,模板计算相关数据!$O$35:$U$40,3,0)+AE907</f>
        <v>0</v>
      </c>
      <c r="AP907" s="3">
        <f>VLOOKUP(INT(VLOOKUP(U907,模板计算相关数据!A:N,2,0)/30)+1,模板计算相关数据!$O$35:$U$40,4,0)+AF907</f>
        <v>5000</v>
      </c>
      <c r="AQ907" s="3">
        <f>VLOOKUP(INT(VLOOKUP(U907,模板计算相关数据!A:N,2,0)/30)+1,模板计算相关数据!$O$35:$U$40,5,0)+AG907</f>
        <v>0</v>
      </c>
      <c r="AR907" s="3">
        <f>VLOOKUP(INT(VLOOKUP(U907,模板计算相关数据!A:N,2,0)/30)+1,模板计算相关数据!$O$35:$U$40,6,0)+AH907</f>
        <v>0</v>
      </c>
      <c r="AS907" s="3">
        <f>VLOOKUP(INT(VLOOKUP(U907,模板计算相关数据!A:N,2,0)/30)+1,模板计算相关数据!$O$35:$U$40,7,0)+AI907</f>
        <v>2000</v>
      </c>
      <c r="AT907" s="3">
        <f>VLOOKUP(INT(VLOOKUP(U907,模板计算相关数据!A:N,2,0)/30)+1,模板计算相关数据!$O$35:$V$40,8,0)</f>
        <v>0</v>
      </c>
      <c r="AU907" s="2"/>
    </row>
    <row r="908" spans="1:47" x14ac:dyDescent="0.2">
      <c r="A908" s="86">
        <v>51016021</v>
      </c>
      <c r="B908" s="86"/>
      <c r="C908" s="69" t="s">
        <v>1460</v>
      </c>
      <c r="D908" s="69" t="s">
        <v>1843</v>
      </c>
      <c r="E908" s="2"/>
      <c r="F908" s="3">
        <v>1</v>
      </c>
      <c r="G908" s="3">
        <v>102101</v>
      </c>
      <c r="H908" s="3">
        <v>1</v>
      </c>
      <c r="I908" s="2">
        <v>3</v>
      </c>
      <c r="J908" s="3">
        <v>5</v>
      </c>
      <c r="K908" s="3">
        <v>2</v>
      </c>
      <c r="L908" s="69" t="s">
        <v>1927</v>
      </c>
      <c r="M908" s="2"/>
      <c r="N908" s="2">
        <v>1</v>
      </c>
      <c r="O908" s="2"/>
      <c r="P908" s="3" t="s">
        <v>1615</v>
      </c>
      <c r="Q908" s="95">
        <f t="shared" si="76"/>
        <v>7.0676078431372558</v>
      </c>
      <c r="R908" s="133">
        <f>IF(P908=模板计算相关数据!$AB$24,VLOOKUP(X908,模板计算相关数据!$P$47:$T$50,2,0),VLOOKUP(X908,模板计算相关数据!$P$4:$U$7,3,0))*VLOOKUP(Y908,模板计算相关数据!$P$22:$X$30,8,0)</f>
        <v>7.0676078431372558</v>
      </c>
      <c r="S908" s="62">
        <f t="shared" si="77"/>
        <v>3.7582116925482176</v>
      </c>
      <c r="T908" s="133">
        <f>IF(P908=模板计算相关数据!$AB$24,VLOOKUP(X908,模板计算相关数据!$P$47:$T$50,5,0),VLOOKUP(X908,模板计算相关数据!$P$4:$U$7,6,0))*VLOOKUP(Y908,模板计算相关数据!$P$22:$X$30,9,0)</f>
        <v>3.7582116925482176</v>
      </c>
      <c r="U908" s="98">
        <v>57</v>
      </c>
      <c r="V908" s="95">
        <f t="shared" si="78"/>
        <v>31</v>
      </c>
      <c r="W908" s="29">
        <f>VLOOKUP(U908,模板计算相关数据!A:N,2,0)</f>
        <v>28</v>
      </c>
      <c r="X908" s="3" t="s">
        <v>158</v>
      </c>
      <c r="Y908" s="3" t="s">
        <v>152</v>
      </c>
      <c r="Z908" s="95">
        <v>1</v>
      </c>
      <c r="AA908" s="95">
        <v>1</v>
      </c>
      <c r="AB908" s="95">
        <v>1</v>
      </c>
      <c r="AC908" s="95">
        <v>1</v>
      </c>
      <c r="AD908" s="95">
        <v>0</v>
      </c>
      <c r="AE908" s="95">
        <v>0</v>
      </c>
      <c r="AF908" s="95">
        <v>0</v>
      </c>
      <c r="AG908" s="95">
        <v>0</v>
      </c>
      <c r="AH908" s="95">
        <v>0</v>
      </c>
      <c r="AI908" s="95">
        <v>2000</v>
      </c>
      <c r="AJ908" s="3">
        <f>INT(VLOOKUP(U908,模板计算相关数据!A:N,4,0)*VLOOKUP(U908,模板计算相关数据!A:N,14,0)*(1+MAX(0,(VLOOKUP(U908,模板计算相关数据!A:N,7,0)-AQ908))*VLOOKUP(U908,模板计算相关数据!A:N,8,0))*(1-(AL908+AM908)*0.5/((AL908+AM908)*0.5+(VLOOKUP(U908,模板计算相关数据!A:N,2,0)+模板计算相关数据!$AC$27)*模板计算相关数据!$AC$28))*Q908*Z908)</f>
        <v>4312</v>
      </c>
      <c r="AK908" s="3">
        <f>INT(VLOOKUP(U908,模板计算相关数据!A:N,3,0)/模板计算相关数据!$W$35/(1+MAX(0,(AO908/10000-VLOOKUP(U908,模板计算相关数据!A:N,9,0)))*AP908/10000)/(1-VLOOKUP(U908,模板计算相关数据!A:N,5,0)/(VLOOKUP(U908,模板计算相关数据!A:N,5,0)+(VLOOKUP(U908,模板计算相关数据!A:N,2,0)+模板计算相关数据!$AC$27)*模板计算相关数据!$AC$28))/S908*AA908)</f>
        <v>1556</v>
      </c>
      <c r="AL908" s="3">
        <f>INT(VLOOKUP(U908,模板计算相关数据!A:N,5,0)*VLOOKUP(X908,模板计算相关数据!$P$4:$T$7,4,0)*VLOOKUP(Y908,模板计算相关数据!$P$22:$U$30,4,0)*AB908)</f>
        <v>2718</v>
      </c>
      <c r="AM908" s="3">
        <f>INT(VLOOKUP(U908,模板计算相关数据!A:N,6,0)*VLOOKUP(X908,模板计算相关数据!$P$4:$T$7,4,0)*VLOOKUP(Y908,模板计算相关数据!$P$22:$U$30,5,0)*AC908)</f>
        <v>1610</v>
      </c>
      <c r="AN908" s="3">
        <f>VLOOKUP(U908,模板计算相关数据!A:N,10,0)*0.5*VLOOKUP(Y908,模板计算相关数据!$P$22:$U$30,6,0)+AD908</f>
        <v>250</v>
      </c>
      <c r="AO908" s="3">
        <f>VLOOKUP(INT(VLOOKUP(U908,模板计算相关数据!A:N,2,0)/30)+1,模板计算相关数据!$O$35:$U$40,3,0)+AE908</f>
        <v>0</v>
      </c>
      <c r="AP908" s="3">
        <f>VLOOKUP(INT(VLOOKUP(U908,模板计算相关数据!A:N,2,0)/30)+1,模板计算相关数据!$O$35:$U$40,4,0)+AF908</f>
        <v>5000</v>
      </c>
      <c r="AQ908" s="3">
        <f>VLOOKUP(INT(VLOOKUP(U908,模板计算相关数据!A:N,2,0)/30)+1,模板计算相关数据!$O$35:$U$40,5,0)+AG908</f>
        <v>0</v>
      </c>
      <c r="AR908" s="3">
        <f>VLOOKUP(INT(VLOOKUP(U908,模板计算相关数据!A:N,2,0)/30)+1,模板计算相关数据!$O$35:$U$40,6,0)+AH908</f>
        <v>0</v>
      </c>
      <c r="AS908" s="3">
        <f>VLOOKUP(INT(VLOOKUP(U908,模板计算相关数据!A:N,2,0)/30)+1,模板计算相关数据!$O$35:$U$40,7,0)+AI908</f>
        <v>2000</v>
      </c>
      <c r="AT908" s="3">
        <f>VLOOKUP(INT(VLOOKUP(U908,模板计算相关数据!A:N,2,0)/30)+1,模板计算相关数据!$O$35:$V$40,8,0)</f>
        <v>0</v>
      </c>
      <c r="AU908" s="2"/>
    </row>
    <row r="909" spans="1:47" x14ac:dyDescent="0.2">
      <c r="A909" s="86">
        <v>51016031</v>
      </c>
      <c r="B909" s="86"/>
      <c r="C909" s="69" t="s">
        <v>1460</v>
      </c>
      <c r="D909" s="69" t="s">
        <v>1844</v>
      </c>
      <c r="E909" s="2"/>
      <c r="F909" s="3">
        <v>1</v>
      </c>
      <c r="G909" s="3">
        <v>102101</v>
      </c>
      <c r="H909" s="3">
        <v>1</v>
      </c>
      <c r="I909" s="2">
        <v>3</v>
      </c>
      <c r="J909" s="3">
        <v>5</v>
      </c>
      <c r="K909" s="3">
        <v>2</v>
      </c>
      <c r="L909" s="69" t="s">
        <v>1927</v>
      </c>
      <c r="M909" s="2"/>
      <c r="N909" s="2">
        <v>1</v>
      </c>
      <c r="O909" s="2"/>
      <c r="P909" s="3" t="s">
        <v>1615</v>
      </c>
      <c r="Q909" s="95">
        <f t="shared" si="76"/>
        <v>7.0676078431372558</v>
      </c>
      <c r="R909" s="133">
        <f>IF(P909=模板计算相关数据!$AB$24,VLOOKUP(X909,模板计算相关数据!$P$47:$T$50,2,0),VLOOKUP(X909,模板计算相关数据!$P$4:$U$7,3,0))*VLOOKUP(Y909,模板计算相关数据!$P$22:$X$30,8,0)</f>
        <v>7.0676078431372558</v>
      </c>
      <c r="S909" s="62">
        <f t="shared" si="77"/>
        <v>3.7582116925482176</v>
      </c>
      <c r="T909" s="133">
        <f>IF(P909=模板计算相关数据!$AB$24,VLOOKUP(X909,模板计算相关数据!$P$47:$T$50,5,0),VLOOKUP(X909,模板计算相关数据!$P$4:$U$7,6,0))*VLOOKUP(Y909,模板计算相关数据!$P$22:$X$30,9,0)</f>
        <v>3.7582116925482176</v>
      </c>
      <c r="U909" s="98">
        <v>57</v>
      </c>
      <c r="V909" s="95">
        <f t="shared" si="78"/>
        <v>31</v>
      </c>
      <c r="W909" s="29">
        <f>VLOOKUP(U909,模板计算相关数据!A:N,2,0)</f>
        <v>28</v>
      </c>
      <c r="X909" s="3" t="s">
        <v>158</v>
      </c>
      <c r="Y909" s="3" t="s">
        <v>152</v>
      </c>
      <c r="Z909" s="95">
        <v>1</v>
      </c>
      <c r="AA909" s="95">
        <v>1</v>
      </c>
      <c r="AB909" s="95">
        <v>1</v>
      </c>
      <c r="AC909" s="95">
        <v>1</v>
      </c>
      <c r="AD909" s="95">
        <v>0</v>
      </c>
      <c r="AE909" s="95">
        <v>0</v>
      </c>
      <c r="AF909" s="95">
        <v>0</v>
      </c>
      <c r="AG909" s="95">
        <v>0</v>
      </c>
      <c r="AH909" s="95">
        <v>0</v>
      </c>
      <c r="AI909" s="95">
        <v>2000</v>
      </c>
      <c r="AJ909" s="3">
        <f>INT(VLOOKUP(U909,模板计算相关数据!A:N,4,0)*VLOOKUP(U909,模板计算相关数据!A:N,14,0)*(1+MAX(0,(VLOOKUP(U909,模板计算相关数据!A:N,7,0)-AQ909))*VLOOKUP(U909,模板计算相关数据!A:N,8,0))*(1-(AL909+AM909)*0.5/((AL909+AM909)*0.5+(VLOOKUP(U909,模板计算相关数据!A:N,2,0)+模板计算相关数据!$AC$27)*模板计算相关数据!$AC$28))*Q909*Z909)</f>
        <v>4312</v>
      </c>
      <c r="AK909" s="3">
        <f>INT(VLOOKUP(U909,模板计算相关数据!A:N,3,0)/模板计算相关数据!$W$35/(1+MAX(0,(AO909/10000-VLOOKUP(U909,模板计算相关数据!A:N,9,0)))*AP909/10000)/(1-VLOOKUP(U909,模板计算相关数据!A:N,5,0)/(VLOOKUP(U909,模板计算相关数据!A:N,5,0)+(VLOOKUP(U909,模板计算相关数据!A:N,2,0)+模板计算相关数据!$AC$27)*模板计算相关数据!$AC$28))/S909*AA909)</f>
        <v>1556</v>
      </c>
      <c r="AL909" s="3">
        <f>INT(VLOOKUP(U909,模板计算相关数据!A:N,5,0)*VLOOKUP(X909,模板计算相关数据!$P$4:$T$7,4,0)*VLOOKUP(Y909,模板计算相关数据!$P$22:$U$30,4,0)*AB909)</f>
        <v>2718</v>
      </c>
      <c r="AM909" s="3">
        <f>INT(VLOOKUP(U909,模板计算相关数据!A:N,6,0)*VLOOKUP(X909,模板计算相关数据!$P$4:$T$7,4,0)*VLOOKUP(Y909,模板计算相关数据!$P$22:$U$30,5,0)*AC909)</f>
        <v>1610</v>
      </c>
      <c r="AN909" s="3">
        <f>VLOOKUP(U909,模板计算相关数据!A:N,10,0)*0.5*VLOOKUP(Y909,模板计算相关数据!$P$22:$U$30,6,0)+AD909</f>
        <v>250</v>
      </c>
      <c r="AO909" s="3">
        <f>VLOOKUP(INT(VLOOKUP(U909,模板计算相关数据!A:N,2,0)/30)+1,模板计算相关数据!$O$35:$U$40,3,0)+AE909</f>
        <v>0</v>
      </c>
      <c r="AP909" s="3">
        <f>VLOOKUP(INT(VLOOKUP(U909,模板计算相关数据!A:N,2,0)/30)+1,模板计算相关数据!$O$35:$U$40,4,0)+AF909</f>
        <v>5000</v>
      </c>
      <c r="AQ909" s="3">
        <f>VLOOKUP(INT(VLOOKUP(U909,模板计算相关数据!A:N,2,0)/30)+1,模板计算相关数据!$O$35:$U$40,5,0)+AG909</f>
        <v>0</v>
      </c>
      <c r="AR909" s="3">
        <f>VLOOKUP(INT(VLOOKUP(U909,模板计算相关数据!A:N,2,0)/30)+1,模板计算相关数据!$O$35:$U$40,6,0)+AH909</f>
        <v>0</v>
      </c>
      <c r="AS909" s="3">
        <f>VLOOKUP(INT(VLOOKUP(U909,模板计算相关数据!A:N,2,0)/30)+1,模板计算相关数据!$O$35:$U$40,7,0)+AI909</f>
        <v>2000</v>
      </c>
      <c r="AT909" s="3">
        <f>VLOOKUP(INT(VLOOKUP(U909,模板计算相关数据!A:N,2,0)/30)+1,模板计算相关数据!$O$35:$V$40,8,0)</f>
        <v>0</v>
      </c>
      <c r="AU909" s="2"/>
    </row>
    <row r="910" spans="1:47" x14ac:dyDescent="0.2">
      <c r="A910" s="86">
        <v>51016041</v>
      </c>
      <c r="B910" s="86"/>
      <c r="C910" s="69" t="s">
        <v>1460</v>
      </c>
      <c r="D910" s="69" t="s">
        <v>1845</v>
      </c>
      <c r="E910" s="2"/>
      <c r="F910" s="3">
        <v>1</v>
      </c>
      <c r="G910" s="3">
        <v>102101</v>
      </c>
      <c r="H910" s="3">
        <v>1</v>
      </c>
      <c r="I910" s="2">
        <v>3</v>
      </c>
      <c r="J910" s="3">
        <v>5</v>
      </c>
      <c r="K910" s="3">
        <v>2</v>
      </c>
      <c r="L910" s="69" t="s">
        <v>1927</v>
      </c>
      <c r="M910" s="2"/>
      <c r="N910" s="2">
        <v>1</v>
      </c>
      <c r="O910" s="2"/>
      <c r="P910" s="3" t="s">
        <v>1615</v>
      </c>
      <c r="Q910" s="95">
        <f t="shared" si="76"/>
        <v>7.0676078431372558</v>
      </c>
      <c r="R910" s="133">
        <f>IF(P910=模板计算相关数据!$AB$24,VLOOKUP(X910,模板计算相关数据!$P$47:$T$50,2,0),VLOOKUP(X910,模板计算相关数据!$P$4:$U$7,3,0))*VLOOKUP(Y910,模板计算相关数据!$P$22:$X$30,8,0)</f>
        <v>7.0676078431372558</v>
      </c>
      <c r="S910" s="62">
        <f t="shared" si="77"/>
        <v>3.7582116925482176</v>
      </c>
      <c r="T910" s="133">
        <f>IF(P910=模板计算相关数据!$AB$24,VLOOKUP(X910,模板计算相关数据!$P$47:$T$50,5,0),VLOOKUP(X910,模板计算相关数据!$P$4:$U$7,6,0))*VLOOKUP(Y910,模板计算相关数据!$P$22:$X$30,9,0)</f>
        <v>3.7582116925482176</v>
      </c>
      <c r="U910" s="98">
        <v>57</v>
      </c>
      <c r="V910" s="95">
        <f t="shared" si="78"/>
        <v>31</v>
      </c>
      <c r="W910" s="29">
        <f>VLOOKUP(U910,模板计算相关数据!A:N,2,0)</f>
        <v>28</v>
      </c>
      <c r="X910" s="3" t="s">
        <v>158</v>
      </c>
      <c r="Y910" s="3" t="s">
        <v>152</v>
      </c>
      <c r="Z910" s="95">
        <v>1</v>
      </c>
      <c r="AA910" s="95">
        <v>1</v>
      </c>
      <c r="AB910" s="95">
        <v>1</v>
      </c>
      <c r="AC910" s="95">
        <v>1</v>
      </c>
      <c r="AD910" s="95">
        <v>0</v>
      </c>
      <c r="AE910" s="95">
        <v>0</v>
      </c>
      <c r="AF910" s="95">
        <v>0</v>
      </c>
      <c r="AG910" s="95">
        <v>0</v>
      </c>
      <c r="AH910" s="95">
        <v>0</v>
      </c>
      <c r="AI910" s="95">
        <v>2000</v>
      </c>
      <c r="AJ910" s="3">
        <f>INT(VLOOKUP(U910,模板计算相关数据!A:N,4,0)*VLOOKUP(U910,模板计算相关数据!A:N,14,0)*(1+MAX(0,(VLOOKUP(U910,模板计算相关数据!A:N,7,0)-AQ910))*VLOOKUP(U910,模板计算相关数据!A:N,8,0))*(1-(AL910+AM910)*0.5/((AL910+AM910)*0.5+(VLOOKUP(U910,模板计算相关数据!A:N,2,0)+模板计算相关数据!$AC$27)*模板计算相关数据!$AC$28))*Q910*Z910)</f>
        <v>4312</v>
      </c>
      <c r="AK910" s="3">
        <f>INT(VLOOKUP(U910,模板计算相关数据!A:N,3,0)/模板计算相关数据!$W$35/(1+MAX(0,(AO910/10000-VLOOKUP(U910,模板计算相关数据!A:N,9,0)))*AP910/10000)/(1-VLOOKUP(U910,模板计算相关数据!A:N,5,0)/(VLOOKUP(U910,模板计算相关数据!A:N,5,0)+(VLOOKUP(U910,模板计算相关数据!A:N,2,0)+模板计算相关数据!$AC$27)*模板计算相关数据!$AC$28))/S910*AA910)</f>
        <v>1556</v>
      </c>
      <c r="AL910" s="3">
        <f>INT(VLOOKUP(U910,模板计算相关数据!A:N,5,0)*VLOOKUP(X910,模板计算相关数据!$P$4:$T$7,4,0)*VLOOKUP(Y910,模板计算相关数据!$P$22:$U$30,4,0)*AB910)</f>
        <v>2718</v>
      </c>
      <c r="AM910" s="3">
        <f>INT(VLOOKUP(U910,模板计算相关数据!A:N,6,0)*VLOOKUP(X910,模板计算相关数据!$P$4:$T$7,4,0)*VLOOKUP(Y910,模板计算相关数据!$P$22:$U$30,5,0)*AC910)</f>
        <v>1610</v>
      </c>
      <c r="AN910" s="3">
        <f>VLOOKUP(U910,模板计算相关数据!A:N,10,0)*0.5*VLOOKUP(Y910,模板计算相关数据!$P$22:$U$30,6,0)+AD910</f>
        <v>250</v>
      </c>
      <c r="AO910" s="3">
        <f>VLOOKUP(INT(VLOOKUP(U910,模板计算相关数据!A:N,2,0)/30)+1,模板计算相关数据!$O$35:$U$40,3,0)+AE910</f>
        <v>0</v>
      </c>
      <c r="AP910" s="3">
        <f>VLOOKUP(INT(VLOOKUP(U910,模板计算相关数据!A:N,2,0)/30)+1,模板计算相关数据!$O$35:$U$40,4,0)+AF910</f>
        <v>5000</v>
      </c>
      <c r="AQ910" s="3">
        <f>VLOOKUP(INT(VLOOKUP(U910,模板计算相关数据!A:N,2,0)/30)+1,模板计算相关数据!$O$35:$U$40,5,0)+AG910</f>
        <v>0</v>
      </c>
      <c r="AR910" s="3">
        <f>VLOOKUP(INT(VLOOKUP(U910,模板计算相关数据!A:N,2,0)/30)+1,模板计算相关数据!$O$35:$U$40,6,0)+AH910</f>
        <v>0</v>
      </c>
      <c r="AS910" s="3">
        <f>VLOOKUP(INT(VLOOKUP(U910,模板计算相关数据!A:N,2,0)/30)+1,模板计算相关数据!$O$35:$U$40,7,0)+AI910</f>
        <v>2000</v>
      </c>
      <c r="AT910" s="3">
        <f>VLOOKUP(INT(VLOOKUP(U910,模板计算相关数据!A:N,2,0)/30)+1,模板计算相关数据!$O$35:$V$40,8,0)</f>
        <v>0</v>
      </c>
      <c r="AU910" s="2"/>
    </row>
    <row r="911" spans="1:47" x14ac:dyDescent="0.2">
      <c r="A911" s="86">
        <v>51016051</v>
      </c>
      <c r="B911" s="86"/>
      <c r="C911" s="69" t="s">
        <v>1460</v>
      </c>
      <c r="D911" s="69" t="s">
        <v>1846</v>
      </c>
      <c r="E911" s="2"/>
      <c r="F911" s="3">
        <v>1</v>
      </c>
      <c r="G911" s="3">
        <v>102101</v>
      </c>
      <c r="H911" s="3">
        <v>1</v>
      </c>
      <c r="I911" s="2">
        <v>3</v>
      </c>
      <c r="J911" s="3">
        <v>5</v>
      </c>
      <c r="K911" s="3">
        <v>2</v>
      </c>
      <c r="L911" s="69" t="s">
        <v>1928</v>
      </c>
      <c r="M911" s="2"/>
      <c r="N911" s="2">
        <v>1</v>
      </c>
      <c r="O911" s="2"/>
      <c r="P911" s="3" t="s">
        <v>1615</v>
      </c>
      <c r="Q911" s="95">
        <f t="shared" si="76"/>
        <v>7.0676078431372558</v>
      </c>
      <c r="R911" s="133">
        <f>IF(P911=模板计算相关数据!$AB$24,VLOOKUP(X911,模板计算相关数据!$P$47:$T$50,2,0),VLOOKUP(X911,模板计算相关数据!$P$4:$U$7,3,0))*VLOOKUP(Y911,模板计算相关数据!$P$22:$X$30,8,0)</f>
        <v>7.0676078431372558</v>
      </c>
      <c r="S911" s="62">
        <f t="shared" si="77"/>
        <v>3.7582116925482176</v>
      </c>
      <c r="T911" s="133">
        <f>IF(P911=模板计算相关数据!$AB$24,VLOOKUP(X911,模板计算相关数据!$P$47:$T$50,5,0),VLOOKUP(X911,模板计算相关数据!$P$4:$U$7,6,0))*VLOOKUP(Y911,模板计算相关数据!$P$22:$X$30,9,0)</f>
        <v>3.7582116925482176</v>
      </c>
      <c r="U911" s="98">
        <v>57</v>
      </c>
      <c r="V911" s="95">
        <f t="shared" si="78"/>
        <v>31</v>
      </c>
      <c r="W911" s="29">
        <f>VLOOKUP(U911,模板计算相关数据!A:N,2,0)</f>
        <v>28</v>
      </c>
      <c r="X911" s="3" t="s">
        <v>158</v>
      </c>
      <c r="Y911" s="3" t="s">
        <v>152</v>
      </c>
      <c r="Z911" s="95">
        <v>1</v>
      </c>
      <c r="AA911" s="95">
        <v>1</v>
      </c>
      <c r="AB911" s="95">
        <v>1</v>
      </c>
      <c r="AC911" s="95">
        <v>1</v>
      </c>
      <c r="AD911" s="95">
        <v>0</v>
      </c>
      <c r="AE911" s="95">
        <v>0</v>
      </c>
      <c r="AF911" s="95">
        <v>0</v>
      </c>
      <c r="AG911" s="95">
        <v>0</v>
      </c>
      <c r="AH911" s="95">
        <v>0</v>
      </c>
      <c r="AI911" s="95">
        <v>2000</v>
      </c>
      <c r="AJ911" s="3">
        <f>INT(VLOOKUP(U911,模板计算相关数据!A:N,4,0)*VLOOKUP(U911,模板计算相关数据!A:N,14,0)*(1+MAX(0,(VLOOKUP(U911,模板计算相关数据!A:N,7,0)-AQ911))*VLOOKUP(U911,模板计算相关数据!A:N,8,0))*(1-(AL911+AM911)*0.5/((AL911+AM911)*0.5+(VLOOKUP(U911,模板计算相关数据!A:N,2,0)+模板计算相关数据!$AC$27)*模板计算相关数据!$AC$28))*Q911*Z911)</f>
        <v>4312</v>
      </c>
      <c r="AK911" s="3">
        <f>INT(VLOOKUP(U911,模板计算相关数据!A:N,3,0)/模板计算相关数据!$W$35/(1+MAX(0,(AO911/10000-VLOOKUP(U911,模板计算相关数据!A:N,9,0)))*AP911/10000)/(1-VLOOKUP(U911,模板计算相关数据!A:N,5,0)/(VLOOKUP(U911,模板计算相关数据!A:N,5,0)+(VLOOKUP(U911,模板计算相关数据!A:N,2,0)+模板计算相关数据!$AC$27)*模板计算相关数据!$AC$28))/S911*AA911)</f>
        <v>1556</v>
      </c>
      <c r="AL911" s="3">
        <f>INT(VLOOKUP(U911,模板计算相关数据!A:N,5,0)*VLOOKUP(X911,模板计算相关数据!$P$4:$T$7,4,0)*VLOOKUP(Y911,模板计算相关数据!$P$22:$U$30,4,0)*AB911)</f>
        <v>2718</v>
      </c>
      <c r="AM911" s="3">
        <f>INT(VLOOKUP(U911,模板计算相关数据!A:N,6,0)*VLOOKUP(X911,模板计算相关数据!$P$4:$T$7,4,0)*VLOOKUP(Y911,模板计算相关数据!$P$22:$U$30,5,0)*AC911)</f>
        <v>1610</v>
      </c>
      <c r="AN911" s="3">
        <f>VLOOKUP(U911,模板计算相关数据!A:N,10,0)*0.5*VLOOKUP(Y911,模板计算相关数据!$P$22:$U$30,6,0)+AD911</f>
        <v>250</v>
      </c>
      <c r="AO911" s="3">
        <f>VLOOKUP(INT(VLOOKUP(U911,模板计算相关数据!A:N,2,0)/30)+1,模板计算相关数据!$O$35:$U$40,3,0)+AE911</f>
        <v>0</v>
      </c>
      <c r="AP911" s="3">
        <f>VLOOKUP(INT(VLOOKUP(U911,模板计算相关数据!A:N,2,0)/30)+1,模板计算相关数据!$O$35:$U$40,4,0)+AF911</f>
        <v>5000</v>
      </c>
      <c r="AQ911" s="3">
        <f>VLOOKUP(INT(VLOOKUP(U911,模板计算相关数据!A:N,2,0)/30)+1,模板计算相关数据!$O$35:$U$40,5,0)+AG911</f>
        <v>0</v>
      </c>
      <c r="AR911" s="3">
        <f>VLOOKUP(INT(VLOOKUP(U911,模板计算相关数据!A:N,2,0)/30)+1,模板计算相关数据!$O$35:$U$40,6,0)+AH911</f>
        <v>0</v>
      </c>
      <c r="AS911" s="3">
        <f>VLOOKUP(INT(VLOOKUP(U911,模板计算相关数据!A:N,2,0)/30)+1,模板计算相关数据!$O$35:$U$40,7,0)+AI911</f>
        <v>2000</v>
      </c>
      <c r="AT911" s="3">
        <f>VLOOKUP(INT(VLOOKUP(U911,模板计算相关数据!A:N,2,0)/30)+1,模板计算相关数据!$O$35:$V$40,8,0)</f>
        <v>0</v>
      </c>
      <c r="AU911" s="2"/>
    </row>
    <row r="912" spans="1:47" x14ac:dyDescent="0.2">
      <c r="A912" s="86">
        <v>51016012</v>
      </c>
      <c r="B912" s="86"/>
      <c r="C912" s="69" t="s">
        <v>1461</v>
      </c>
      <c r="D912" s="69" t="s">
        <v>1842</v>
      </c>
      <c r="E912" s="2"/>
      <c r="F912" s="3">
        <v>2</v>
      </c>
      <c r="G912" s="3">
        <v>101801</v>
      </c>
      <c r="H912" s="3">
        <v>2</v>
      </c>
      <c r="I912" s="2">
        <v>3</v>
      </c>
      <c r="J912" s="3">
        <v>5</v>
      </c>
      <c r="K912" s="3">
        <v>2</v>
      </c>
      <c r="L912" s="69" t="s">
        <v>1929</v>
      </c>
      <c r="M912" s="2"/>
      <c r="N912" s="2">
        <v>1</v>
      </c>
      <c r="O912" s="2"/>
      <c r="P912" s="3" t="s">
        <v>1615</v>
      </c>
      <c r="Q912" s="95">
        <v>12</v>
      </c>
      <c r="R912" s="133">
        <f>IF(P912=模板计算相关数据!$AB$24,VLOOKUP(X912,模板计算相关数据!$P$47:$T$50,2,0),VLOOKUP(X912,模板计算相关数据!$P$4:$U$7,3,0))*VLOOKUP(Y912,模板计算相关数据!$P$22:$X$30,8,0)</f>
        <v>11.105882352941178</v>
      </c>
      <c r="S912" s="62">
        <f t="shared" si="77"/>
        <v>5.7422422307462622</v>
      </c>
      <c r="T912" s="133">
        <f>IF(P912=模板计算相关数据!$AB$24,VLOOKUP(X912,模板计算相关数据!$P$47:$T$50,5,0),VLOOKUP(X912,模板计算相关数据!$P$4:$U$7,6,0))*VLOOKUP(Y912,模板计算相关数据!$P$22:$X$30,9,0)</f>
        <v>5.7422422307462622</v>
      </c>
      <c r="U912" s="98">
        <v>57</v>
      </c>
      <c r="V912" s="95">
        <f t="shared" si="78"/>
        <v>31</v>
      </c>
      <c r="W912" s="29">
        <f>VLOOKUP(U912,模板计算相关数据!A:N,2,0)</f>
        <v>28</v>
      </c>
      <c r="X912" s="3" t="s">
        <v>158</v>
      </c>
      <c r="Y912" s="3" t="s">
        <v>234</v>
      </c>
      <c r="Z912" s="95">
        <v>1</v>
      </c>
      <c r="AA912" s="95">
        <v>1</v>
      </c>
      <c r="AB912" s="95">
        <v>1</v>
      </c>
      <c r="AC912" s="95">
        <v>1</v>
      </c>
      <c r="AD912" s="95">
        <v>0</v>
      </c>
      <c r="AE912" s="95">
        <v>0</v>
      </c>
      <c r="AF912" s="95">
        <v>0</v>
      </c>
      <c r="AG912" s="95">
        <v>0</v>
      </c>
      <c r="AH912" s="95">
        <v>0</v>
      </c>
      <c r="AI912" s="95">
        <v>2000</v>
      </c>
      <c r="AJ912" s="3">
        <f>INT(VLOOKUP(U912,模板计算相关数据!A:N,4,0)*VLOOKUP(U912,模板计算相关数据!A:N,14,0)*(1+MAX(0,(VLOOKUP(U912,模板计算相关数据!A:N,7,0)-AQ912))*VLOOKUP(U912,模板计算相关数据!A:N,8,0))*(1-(AL912+AM912)*0.5/((AL912+AM912)*0.5+(VLOOKUP(U912,模板计算相关数据!A:N,2,0)+模板计算相关数据!$AC$27)*模板计算相关数据!$AC$28))*Q912*Z912)</f>
        <v>6828</v>
      </c>
      <c r="AK912" s="3">
        <f>INT(VLOOKUP(U912,模板计算相关数据!A:N,3,0)/模板计算相关数据!$W$35/(1+MAX(0,(AO912/10000-VLOOKUP(U912,模板计算相关数据!A:N,9,0)))*AP912/10000)/(1-VLOOKUP(U912,模板计算相关数据!A:N,5,0)/(VLOOKUP(U912,模板计算相关数据!A:N,5,0)+(VLOOKUP(U912,模板计算相关数据!A:N,2,0)+模板计算相关数据!$AC$27)*模板计算相关数据!$AC$28))/S912*AA912)</f>
        <v>1018</v>
      </c>
      <c r="AL912" s="3">
        <f>INT(VLOOKUP(U912,模板计算相关数据!A:N,5,0)*VLOOKUP(X912,模板计算相关数据!$P$4:$T$7,4,0)*VLOOKUP(Y912,模板计算相关数据!$P$22:$U$30,4,0)*AB912)</f>
        <v>1812</v>
      </c>
      <c r="AM912" s="3">
        <f>INT(VLOOKUP(U912,模板计算相关数据!A:N,6,0)*VLOOKUP(X912,模板计算相关数据!$P$4:$T$7,4,0)*VLOOKUP(Y912,模板计算相关数据!$P$22:$U$30,5,0)*AC912)</f>
        <v>3272</v>
      </c>
      <c r="AN912" s="3">
        <f>VLOOKUP(U912,模板计算相关数据!A:N,10,0)*0.5*VLOOKUP(Y912,模板计算相关数据!$P$22:$U$30,6,0)+AD912</f>
        <v>225</v>
      </c>
      <c r="AO912" s="3">
        <f>VLOOKUP(INT(VLOOKUP(U912,模板计算相关数据!A:N,2,0)/30)+1,模板计算相关数据!$O$35:$U$40,3,0)+AE912</f>
        <v>0</v>
      </c>
      <c r="AP912" s="3">
        <f>VLOOKUP(INT(VLOOKUP(U912,模板计算相关数据!A:N,2,0)/30)+1,模板计算相关数据!$O$35:$U$40,4,0)+AF912</f>
        <v>5000</v>
      </c>
      <c r="AQ912" s="3">
        <f>VLOOKUP(INT(VLOOKUP(U912,模板计算相关数据!A:N,2,0)/30)+1,模板计算相关数据!$O$35:$U$40,5,0)+AG912</f>
        <v>0</v>
      </c>
      <c r="AR912" s="3">
        <f>VLOOKUP(INT(VLOOKUP(U912,模板计算相关数据!A:N,2,0)/30)+1,模板计算相关数据!$O$35:$U$40,6,0)+AH912</f>
        <v>0</v>
      </c>
      <c r="AS912" s="3">
        <f>VLOOKUP(INT(VLOOKUP(U912,模板计算相关数据!A:N,2,0)/30)+1,模板计算相关数据!$O$35:$U$40,7,0)+AI912</f>
        <v>2000</v>
      </c>
      <c r="AT912" s="3">
        <f>VLOOKUP(INT(VLOOKUP(U912,模板计算相关数据!A:N,2,0)/30)+1,模板计算相关数据!$O$35:$V$40,8,0)</f>
        <v>0</v>
      </c>
      <c r="AU912" s="2"/>
    </row>
    <row r="913" spans="1:47" x14ac:dyDescent="0.2">
      <c r="A913" s="86">
        <v>51016022</v>
      </c>
      <c r="B913" s="86"/>
      <c r="C913" s="69" t="s">
        <v>1461</v>
      </c>
      <c r="D913" s="69" t="s">
        <v>1843</v>
      </c>
      <c r="E913" s="2"/>
      <c r="F913" s="3">
        <v>2</v>
      </c>
      <c r="G913" s="3">
        <v>101801</v>
      </c>
      <c r="H913" s="3">
        <v>2</v>
      </c>
      <c r="I913" s="2">
        <v>3</v>
      </c>
      <c r="J913" s="3">
        <v>5</v>
      </c>
      <c r="K913" s="3">
        <v>2</v>
      </c>
      <c r="L913" s="69" t="s">
        <v>1929</v>
      </c>
      <c r="M913" s="2"/>
      <c r="N913" s="2">
        <v>1</v>
      </c>
      <c r="O913" s="2"/>
      <c r="P913" s="3" t="s">
        <v>1615</v>
      </c>
      <c r="Q913" s="95">
        <v>12.5</v>
      </c>
      <c r="R913" s="133">
        <f>IF(P913=模板计算相关数据!$AB$24,VLOOKUP(X913,模板计算相关数据!$P$47:$T$50,2,0),VLOOKUP(X913,模板计算相关数据!$P$4:$U$7,3,0))*VLOOKUP(Y913,模板计算相关数据!$P$22:$X$30,8,0)</f>
        <v>11.105882352941178</v>
      </c>
      <c r="S913" s="62">
        <f t="shared" si="77"/>
        <v>5.7422422307462622</v>
      </c>
      <c r="T913" s="133">
        <f>IF(P913=模板计算相关数据!$AB$24,VLOOKUP(X913,模板计算相关数据!$P$47:$T$50,5,0),VLOOKUP(X913,模板计算相关数据!$P$4:$U$7,6,0))*VLOOKUP(Y913,模板计算相关数据!$P$22:$X$30,9,0)</f>
        <v>5.7422422307462622</v>
      </c>
      <c r="U913" s="98">
        <v>57</v>
      </c>
      <c r="V913" s="95">
        <f t="shared" si="78"/>
        <v>31</v>
      </c>
      <c r="W913" s="29">
        <f>VLOOKUP(U913,模板计算相关数据!A:N,2,0)</f>
        <v>28</v>
      </c>
      <c r="X913" s="3" t="s">
        <v>158</v>
      </c>
      <c r="Y913" s="3" t="s">
        <v>234</v>
      </c>
      <c r="Z913" s="95">
        <v>1</v>
      </c>
      <c r="AA913" s="95">
        <v>1</v>
      </c>
      <c r="AB913" s="95">
        <v>1</v>
      </c>
      <c r="AC913" s="95">
        <v>1</v>
      </c>
      <c r="AD913" s="95">
        <v>0</v>
      </c>
      <c r="AE913" s="95">
        <v>0</v>
      </c>
      <c r="AF913" s="95">
        <v>0</v>
      </c>
      <c r="AG913" s="95">
        <v>0</v>
      </c>
      <c r="AH913" s="95">
        <v>0</v>
      </c>
      <c r="AI913" s="95">
        <v>2000</v>
      </c>
      <c r="AJ913" s="3">
        <f>INT(VLOOKUP(U913,模板计算相关数据!A:N,4,0)*VLOOKUP(U913,模板计算相关数据!A:N,14,0)*(1+MAX(0,(VLOOKUP(U913,模板计算相关数据!A:N,7,0)-AQ913))*VLOOKUP(U913,模板计算相关数据!A:N,8,0))*(1-(AL913+AM913)*0.5/((AL913+AM913)*0.5+(VLOOKUP(U913,模板计算相关数据!A:N,2,0)+模板计算相关数据!$AC$27)*模板计算相关数据!$AC$28))*Q913*Z913)</f>
        <v>7112</v>
      </c>
      <c r="AK913" s="3">
        <f>INT(VLOOKUP(U913,模板计算相关数据!A:N,3,0)/模板计算相关数据!$W$35/(1+MAX(0,(AO913/10000-VLOOKUP(U913,模板计算相关数据!A:N,9,0)))*AP913/10000)/(1-VLOOKUP(U913,模板计算相关数据!A:N,5,0)/(VLOOKUP(U913,模板计算相关数据!A:N,5,0)+(VLOOKUP(U913,模板计算相关数据!A:N,2,0)+模板计算相关数据!$AC$27)*模板计算相关数据!$AC$28))/S913*AA913)</f>
        <v>1018</v>
      </c>
      <c r="AL913" s="3">
        <f>INT(VLOOKUP(U913,模板计算相关数据!A:N,5,0)*VLOOKUP(X913,模板计算相关数据!$P$4:$T$7,4,0)*VLOOKUP(Y913,模板计算相关数据!$P$22:$U$30,4,0)*AB913)</f>
        <v>1812</v>
      </c>
      <c r="AM913" s="3">
        <f>INT(VLOOKUP(U913,模板计算相关数据!A:N,6,0)*VLOOKUP(X913,模板计算相关数据!$P$4:$T$7,4,0)*VLOOKUP(Y913,模板计算相关数据!$P$22:$U$30,5,0)*AC913)</f>
        <v>3272</v>
      </c>
      <c r="AN913" s="3">
        <f>VLOOKUP(U913,模板计算相关数据!A:N,10,0)*0.5*VLOOKUP(Y913,模板计算相关数据!$P$22:$U$30,6,0)+AD913</f>
        <v>225</v>
      </c>
      <c r="AO913" s="3">
        <f>VLOOKUP(INT(VLOOKUP(U913,模板计算相关数据!A:N,2,0)/30)+1,模板计算相关数据!$O$35:$U$40,3,0)+AE913</f>
        <v>0</v>
      </c>
      <c r="AP913" s="3">
        <f>VLOOKUP(INT(VLOOKUP(U913,模板计算相关数据!A:N,2,0)/30)+1,模板计算相关数据!$O$35:$U$40,4,0)+AF913</f>
        <v>5000</v>
      </c>
      <c r="AQ913" s="3">
        <f>VLOOKUP(INT(VLOOKUP(U913,模板计算相关数据!A:N,2,0)/30)+1,模板计算相关数据!$O$35:$U$40,5,0)+AG913</f>
        <v>0</v>
      </c>
      <c r="AR913" s="3">
        <f>VLOOKUP(INT(VLOOKUP(U913,模板计算相关数据!A:N,2,0)/30)+1,模板计算相关数据!$O$35:$U$40,6,0)+AH913</f>
        <v>0</v>
      </c>
      <c r="AS913" s="3">
        <f>VLOOKUP(INT(VLOOKUP(U913,模板计算相关数据!A:N,2,0)/30)+1,模板计算相关数据!$O$35:$U$40,7,0)+AI913</f>
        <v>2000</v>
      </c>
      <c r="AT913" s="3">
        <f>VLOOKUP(INT(VLOOKUP(U913,模板计算相关数据!A:N,2,0)/30)+1,模板计算相关数据!$O$35:$V$40,8,0)</f>
        <v>0</v>
      </c>
      <c r="AU913" s="2"/>
    </row>
    <row r="914" spans="1:47" x14ac:dyDescent="0.2">
      <c r="A914" s="86">
        <v>51016032</v>
      </c>
      <c r="B914" s="86"/>
      <c r="C914" s="69" t="s">
        <v>1461</v>
      </c>
      <c r="D914" s="69" t="s">
        <v>1844</v>
      </c>
      <c r="E914" s="2"/>
      <c r="F914" s="3">
        <v>2</v>
      </c>
      <c r="G914" s="3">
        <v>101801</v>
      </c>
      <c r="H914" s="3">
        <v>2</v>
      </c>
      <c r="I914" s="2">
        <v>3</v>
      </c>
      <c r="J914" s="3">
        <v>5</v>
      </c>
      <c r="K914" s="3">
        <v>2</v>
      </c>
      <c r="L914" s="69" t="s">
        <v>1929</v>
      </c>
      <c r="M914" s="2"/>
      <c r="N914" s="2">
        <v>1</v>
      </c>
      <c r="O914" s="2"/>
      <c r="P914" s="3" t="s">
        <v>1615</v>
      </c>
      <c r="Q914" s="95">
        <v>13</v>
      </c>
      <c r="R914" s="133">
        <f>IF(P914=模板计算相关数据!$AB$24,VLOOKUP(X914,模板计算相关数据!$P$47:$T$50,2,0),VLOOKUP(X914,模板计算相关数据!$P$4:$U$7,3,0))*VLOOKUP(Y914,模板计算相关数据!$P$22:$X$30,8,0)</f>
        <v>11.105882352941178</v>
      </c>
      <c r="S914" s="62">
        <f t="shared" si="77"/>
        <v>5.7422422307462622</v>
      </c>
      <c r="T914" s="133">
        <f>IF(P914=模板计算相关数据!$AB$24,VLOOKUP(X914,模板计算相关数据!$P$47:$T$50,5,0),VLOOKUP(X914,模板计算相关数据!$P$4:$U$7,6,0))*VLOOKUP(Y914,模板计算相关数据!$P$22:$X$30,9,0)</f>
        <v>5.7422422307462622</v>
      </c>
      <c r="U914" s="98">
        <v>57</v>
      </c>
      <c r="V914" s="95">
        <f t="shared" si="78"/>
        <v>31</v>
      </c>
      <c r="W914" s="29">
        <f>VLOOKUP(U914,模板计算相关数据!A:N,2,0)</f>
        <v>28</v>
      </c>
      <c r="X914" s="3" t="s">
        <v>158</v>
      </c>
      <c r="Y914" s="3" t="s">
        <v>234</v>
      </c>
      <c r="Z914" s="95">
        <v>1</v>
      </c>
      <c r="AA914" s="95">
        <v>1</v>
      </c>
      <c r="AB914" s="95">
        <v>1</v>
      </c>
      <c r="AC914" s="95">
        <v>1</v>
      </c>
      <c r="AD914" s="95">
        <v>0</v>
      </c>
      <c r="AE914" s="95">
        <v>0</v>
      </c>
      <c r="AF914" s="95">
        <v>0</v>
      </c>
      <c r="AG914" s="95">
        <v>0</v>
      </c>
      <c r="AH914" s="95">
        <v>0</v>
      </c>
      <c r="AI914" s="95">
        <v>2000</v>
      </c>
      <c r="AJ914" s="3">
        <f>INT(VLOOKUP(U914,模板计算相关数据!A:N,4,0)*VLOOKUP(U914,模板计算相关数据!A:N,14,0)*(1+MAX(0,(VLOOKUP(U914,模板计算相关数据!A:N,7,0)-AQ914))*VLOOKUP(U914,模板计算相关数据!A:N,8,0))*(1-(AL914+AM914)*0.5/((AL914+AM914)*0.5+(VLOOKUP(U914,模板计算相关数据!A:N,2,0)+模板计算相关数据!$AC$27)*模板计算相关数据!$AC$28))*Q914*Z914)</f>
        <v>7397</v>
      </c>
      <c r="AK914" s="3">
        <f>INT(VLOOKUP(U914,模板计算相关数据!A:N,3,0)/模板计算相关数据!$W$35/(1+MAX(0,(AO914/10000-VLOOKUP(U914,模板计算相关数据!A:N,9,0)))*AP914/10000)/(1-VLOOKUP(U914,模板计算相关数据!A:N,5,0)/(VLOOKUP(U914,模板计算相关数据!A:N,5,0)+(VLOOKUP(U914,模板计算相关数据!A:N,2,0)+模板计算相关数据!$AC$27)*模板计算相关数据!$AC$28))/S914*AA914)</f>
        <v>1018</v>
      </c>
      <c r="AL914" s="3">
        <f>INT(VLOOKUP(U914,模板计算相关数据!A:N,5,0)*VLOOKUP(X914,模板计算相关数据!$P$4:$T$7,4,0)*VLOOKUP(Y914,模板计算相关数据!$P$22:$U$30,4,0)*AB914)</f>
        <v>1812</v>
      </c>
      <c r="AM914" s="3">
        <f>INT(VLOOKUP(U914,模板计算相关数据!A:N,6,0)*VLOOKUP(X914,模板计算相关数据!$P$4:$T$7,4,0)*VLOOKUP(Y914,模板计算相关数据!$P$22:$U$30,5,0)*AC914)</f>
        <v>3272</v>
      </c>
      <c r="AN914" s="3">
        <f>VLOOKUP(U914,模板计算相关数据!A:N,10,0)*0.5*VLOOKUP(Y914,模板计算相关数据!$P$22:$U$30,6,0)+AD914</f>
        <v>225</v>
      </c>
      <c r="AO914" s="3">
        <f>VLOOKUP(INT(VLOOKUP(U914,模板计算相关数据!A:N,2,0)/30)+1,模板计算相关数据!$O$35:$U$40,3,0)+AE914</f>
        <v>0</v>
      </c>
      <c r="AP914" s="3">
        <f>VLOOKUP(INT(VLOOKUP(U914,模板计算相关数据!A:N,2,0)/30)+1,模板计算相关数据!$O$35:$U$40,4,0)+AF914</f>
        <v>5000</v>
      </c>
      <c r="AQ914" s="3">
        <f>VLOOKUP(INT(VLOOKUP(U914,模板计算相关数据!A:N,2,0)/30)+1,模板计算相关数据!$O$35:$U$40,5,0)+AG914</f>
        <v>0</v>
      </c>
      <c r="AR914" s="3">
        <f>VLOOKUP(INT(VLOOKUP(U914,模板计算相关数据!A:N,2,0)/30)+1,模板计算相关数据!$O$35:$U$40,6,0)+AH914</f>
        <v>0</v>
      </c>
      <c r="AS914" s="3">
        <f>VLOOKUP(INT(VLOOKUP(U914,模板计算相关数据!A:N,2,0)/30)+1,模板计算相关数据!$O$35:$U$40,7,0)+AI914</f>
        <v>2000</v>
      </c>
      <c r="AT914" s="3">
        <f>VLOOKUP(INT(VLOOKUP(U914,模板计算相关数据!A:N,2,0)/30)+1,模板计算相关数据!$O$35:$V$40,8,0)</f>
        <v>0</v>
      </c>
      <c r="AU914" s="2"/>
    </row>
    <row r="915" spans="1:47" x14ac:dyDescent="0.2">
      <c r="A915" s="86">
        <v>51016042</v>
      </c>
      <c r="B915" s="86"/>
      <c r="C915" s="69" t="s">
        <v>1461</v>
      </c>
      <c r="D915" s="69" t="s">
        <v>1845</v>
      </c>
      <c r="E915" s="2"/>
      <c r="F915" s="3">
        <v>2</v>
      </c>
      <c r="G915" s="3">
        <v>101801</v>
      </c>
      <c r="H915" s="3">
        <v>2</v>
      </c>
      <c r="I915" s="2">
        <v>3</v>
      </c>
      <c r="J915" s="3">
        <v>5</v>
      </c>
      <c r="K915" s="3">
        <v>2</v>
      </c>
      <c r="L915" s="69" t="s">
        <v>1929</v>
      </c>
      <c r="M915" s="2"/>
      <c r="N915" s="2">
        <v>1</v>
      </c>
      <c r="O915" s="2"/>
      <c r="P915" s="3" t="s">
        <v>1615</v>
      </c>
      <c r="Q915" s="95">
        <v>13.5</v>
      </c>
      <c r="R915" s="133">
        <f>IF(P915=模板计算相关数据!$AB$24,VLOOKUP(X915,模板计算相关数据!$P$47:$T$50,2,0),VLOOKUP(X915,模板计算相关数据!$P$4:$U$7,3,0))*VLOOKUP(Y915,模板计算相关数据!$P$22:$X$30,8,0)</f>
        <v>11.105882352941178</v>
      </c>
      <c r="S915" s="62">
        <f t="shared" si="77"/>
        <v>5.7422422307462622</v>
      </c>
      <c r="T915" s="133">
        <f>IF(P915=模板计算相关数据!$AB$24,VLOOKUP(X915,模板计算相关数据!$P$47:$T$50,5,0),VLOOKUP(X915,模板计算相关数据!$P$4:$U$7,6,0))*VLOOKUP(Y915,模板计算相关数据!$P$22:$X$30,9,0)</f>
        <v>5.7422422307462622</v>
      </c>
      <c r="U915" s="98">
        <v>57</v>
      </c>
      <c r="V915" s="95">
        <f t="shared" si="78"/>
        <v>31</v>
      </c>
      <c r="W915" s="29">
        <f>VLOOKUP(U915,模板计算相关数据!A:N,2,0)</f>
        <v>28</v>
      </c>
      <c r="X915" s="3" t="s">
        <v>158</v>
      </c>
      <c r="Y915" s="3" t="s">
        <v>234</v>
      </c>
      <c r="Z915" s="95">
        <v>1</v>
      </c>
      <c r="AA915" s="95">
        <v>1</v>
      </c>
      <c r="AB915" s="95">
        <v>1</v>
      </c>
      <c r="AC915" s="95">
        <v>1</v>
      </c>
      <c r="AD915" s="95">
        <v>0</v>
      </c>
      <c r="AE915" s="95">
        <v>0</v>
      </c>
      <c r="AF915" s="95">
        <v>0</v>
      </c>
      <c r="AG915" s="95">
        <v>0</v>
      </c>
      <c r="AH915" s="95">
        <v>0</v>
      </c>
      <c r="AI915" s="95">
        <v>2000</v>
      </c>
      <c r="AJ915" s="3">
        <f>INT(VLOOKUP(U915,模板计算相关数据!A:N,4,0)*VLOOKUP(U915,模板计算相关数据!A:N,14,0)*(1+MAX(0,(VLOOKUP(U915,模板计算相关数据!A:N,7,0)-AQ915))*VLOOKUP(U915,模板计算相关数据!A:N,8,0))*(1-(AL915+AM915)*0.5/((AL915+AM915)*0.5+(VLOOKUP(U915,模板计算相关数据!A:N,2,0)+模板计算相关数据!$AC$27)*模板计算相关数据!$AC$28))*Q915*Z915)</f>
        <v>7681</v>
      </c>
      <c r="AK915" s="3">
        <f>INT(VLOOKUP(U915,模板计算相关数据!A:N,3,0)/模板计算相关数据!$W$35/(1+MAX(0,(AO915/10000-VLOOKUP(U915,模板计算相关数据!A:N,9,0)))*AP915/10000)/(1-VLOOKUP(U915,模板计算相关数据!A:N,5,0)/(VLOOKUP(U915,模板计算相关数据!A:N,5,0)+(VLOOKUP(U915,模板计算相关数据!A:N,2,0)+模板计算相关数据!$AC$27)*模板计算相关数据!$AC$28))/S915*AA915)</f>
        <v>1018</v>
      </c>
      <c r="AL915" s="3">
        <f>INT(VLOOKUP(U915,模板计算相关数据!A:N,5,0)*VLOOKUP(X915,模板计算相关数据!$P$4:$T$7,4,0)*VLOOKUP(Y915,模板计算相关数据!$P$22:$U$30,4,0)*AB915)</f>
        <v>1812</v>
      </c>
      <c r="AM915" s="3">
        <f>INT(VLOOKUP(U915,模板计算相关数据!A:N,6,0)*VLOOKUP(X915,模板计算相关数据!$P$4:$T$7,4,0)*VLOOKUP(Y915,模板计算相关数据!$P$22:$U$30,5,0)*AC915)</f>
        <v>3272</v>
      </c>
      <c r="AN915" s="3">
        <f>VLOOKUP(U915,模板计算相关数据!A:N,10,0)*0.5*VLOOKUP(Y915,模板计算相关数据!$P$22:$U$30,6,0)+AD915</f>
        <v>225</v>
      </c>
      <c r="AO915" s="3">
        <f>VLOOKUP(INT(VLOOKUP(U915,模板计算相关数据!A:N,2,0)/30)+1,模板计算相关数据!$O$35:$U$40,3,0)+AE915</f>
        <v>0</v>
      </c>
      <c r="AP915" s="3">
        <f>VLOOKUP(INT(VLOOKUP(U915,模板计算相关数据!A:N,2,0)/30)+1,模板计算相关数据!$O$35:$U$40,4,0)+AF915</f>
        <v>5000</v>
      </c>
      <c r="AQ915" s="3">
        <f>VLOOKUP(INT(VLOOKUP(U915,模板计算相关数据!A:N,2,0)/30)+1,模板计算相关数据!$O$35:$U$40,5,0)+AG915</f>
        <v>0</v>
      </c>
      <c r="AR915" s="3">
        <f>VLOOKUP(INT(VLOOKUP(U915,模板计算相关数据!A:N,2,0)/30)+1,模板计算相关数据!$O$35:$U$40,6,0)+AH915</f>
        <v>0</v>
      </c>
      <c r="AS915" s="3">
        <f>VLOOKUP(INT(VLOOKUP(U915,模板计算相关数据!A:N,2,0)/30)+1,模板计算相关数据!$O$35:$U$40,7,0)+AI915</f>
        <v>2000</v>
      </c>
      <c r="AT915" s="3">
        <f>VLOOKUP(INT(VLOOKUP(U915,模板计算相关数据!A:N,2,0)/30)+1,模板计算相关数据!$O$35:$V$40,8,0)</f>
        <v>0</v>
      </c>
      <c r="AU915" s="2"/>
    </row>
    <row r="916" spans="1:47" x14ac:dyDescent="0.2">
      <c r="A916" s="86">
        <v>51016052</v>
      </c>
      <c r="B916" s="86"/>
      <c r="C916" s="69" t="s">
        <v>1461</v>
      </c>
      <c r="D916" s="69" t="s">
        <v>1846</v>
      </c>
      <c r="E916" s="2"/>
      <c r="F916" s="3">
        <v>2</v>
      </c>
      <c r="G916" s="3">
        <v>101801</v>
      </c>
      <c r="H916" s="3">
        <v>2</v>
      </c>
      <c r="I916" s="2">
        <v>3</v>
      </c>
      <c r="J916" s="3">
        <v>5</v>
      </c>
      <c r="K916" s="3">
        <v>2</v>
      </c>
      <c r="L916" s="69" t="s">
        <v>1930</v>
      </c>
      <c r="M916" s="2"/>
      <c r="N916" s="2">
        <v>1</v>
      </c>
      <c r="O916" s="2"/>
      <c r="P916" s="3" t="s">
        <v>1615</v>
      </c>
      <c r="Q916" s="95">
        <v>14</v>
      </c>
      <c r="R916" s="133">
        <f>IF(P916=模板计算相关数据!$AB$24,VLOOKUP(X916,模板计算相关数据!$P$47:$T$50,2,0),VLOOKUP(X916,模板计算相关数据!$P$4:$U$7,3,0))*VLOOKUP(Y916,模板计算相关数据!$P$22:$X$30,8,0)</f>
        <v>11.105882352941178</v>
      </c>
      <c r="S916" s="62">
        <f t="shared" si="77"/>
        <v>5.7422422307462622</v>
      </c>
      <c r="T916" s="133">
        <f>IF(P916=模板计算相关数据!$AB$24,VLOOKUP(X916,模板计算相关数据!$P$47:$T$50,5,0),VLOOKUP(X916,模板计算相关数据!$P$4:$U$7,6,0))*VLOOKUP(Y916,模板计算相关数据!$P$22:$X$30,9,0)</f>
        <v>5.7422422307462622</v>
      </c>
      <c r="U916" s="98">
        <v>57</v>
      </c>
      <c r="V916" s="95">
        <f t="shared" si="78"/>
        <v>31</v>
      </c>
      <c r="W916" s="29">
        <f>VLOOKUP(U916,模板计算相关数据!A:N,2,0)</f>
        <v>28</v>
      </c>
      <c r="X916" s="3" t="s">
        <v>158</v>
      </c>
      <c r="Y916" s="3" t="s">
        <v>234</v>
      </c>
      <c r="Z916" s="95">
        <v>1</v>
      </c>
      <c r="AA916" s="95">
        <v>1</v>
      </c>
      <c r="AB916" s="95">
        <v>1</v>
      </c>
      <c r="AC916" s="95">
        <v>1</v>
      </c>
      <c r="AD916" s="95">
        <v>0</v>
      </c>
      <c r="AE916" s="95">
        <v>0</v>
      </c>
      <c r="AF916" s="95">
        <v>0</v>
      </c>
      <c r="AG916" s="95">
        <v>0</v>
      </c>
      <c r="AH916" s="95">
        <v>0</v>
      </c>
      <c r="AI916" s="95">
        <v>2000</v>
      </c>
      <c r="AJ916" s="3">
        <f>INT(VLOOKUP(U916,模板计算相关数据!A:N,4,0)*VLOOKUP(U916,模板计算相关数据!A:N,14,0)*(1+MAX(0,(VLOOKUP(U916,模板计算相关数据!A:N,7,0)-AQ916))*VLOOKUP(U916,模板计算相关数据!A:N,8,0))*(1-(AL916+AM916)*0.5/((AL916+AM916)*0.5+(VLOOKUP(U916,模板计算相关数据!A:N,2,0)+模板计算相关数据!$AC$27)*模板计算相关数据!$AC$28))*Q916*Z916)</f>
        <v>7966</v>
      </c>
      <c r="AK916" s="3">
        <f>INT(VLOOKUP(U916,模板计算相关数据!A:N,3,0)/模板计算相关数据!$W$35/(1+MAX(0,(AO916/10000-VLOOKUP(U916,模板计算相关数据!A:N,9,0)))*AP916/10000)/(1-VLOOKUP(U916,模板计算相关数据!A:N,5,0)/(VLOOKUP(U916,模板计算相关数据!A:N,5,0)+(VLOOKUP(U916,模板计算相关数据!A:N,2,0)+模板计算相关数据!$AC$27)*模板计算相关数据!$AC$28))/S916*AA916)</f>
        <v>1018</v>
      </c>
      <c r="AL916" s="3">
        <f>INT(VLOOKUP(U916,模板计算相关数据!A:N,5,0)*VLOOKUP(X916,模板计算相关数据!$P$4:$T$7,4,0)*VLOOKUP(Y916,模板计算相关数据!$P$22:$U$30,4,0)*AB916)</f>
        <v>1812</v>
      </c>
      <c r="AM916" s="3">
        <f>INT(VLOOKUP(U916,模板计算相关数据!A:N,6,0)*VLOOKUP(X916,模板计算相关数据!$P$4:$T$7,4,0)*VLOOKUP(Y916,模板计算相关数据!$P$22:$U$30,5,0)*AC916)</f>
        <v>3272</v>
      </c>
      <c r="AN916" s="3">
        <f>VLOOKUP(U916,模板计算相关数据!A:N,10,0)*0.5*VLOOKUP(Y916,模板计算相关数据!$P$22:$U$30,6,0)+AD916</f>
        <v>225</v>
      </c>
      <c r="AO916" s="3">
        <f>VLOOKUP(INT(VLOOKUP(U916,模板计算相关数据!A:N,2,0)/30)+1,模板计算相关数据!$O$35:$U$40,3,0)+AE916</f>
        <v>0</v>
      </c>
      <c r="AP916" s="3">
        <f>VLOOKUP(INT(VLOOKUP(U916,模板计算相关数据!A:N,2,0)/30)+1,模板计算相关数据!$O$35:$U$40,4,0)+AF916</f>
        <v>5000</v>
      </c>
      <c r="AQ916" s="3">
        <f>VLOOKUP(INT(VLOOKUP(U916,模板计算相关数据!A:N,2,0)/30)+1,模板计算相关数据!$O$35:$U$40,5,0)+AG916</f>
        <v>0</v>
      </c>
      <c r="AR916" s="3">
        <f>VLOOKUP(INT(VLOOKUP(U916,模板计算相关数据!A:N,2,0)/30)+1,模板计算相关数据!$O$35:$U$40,6,0)+AH916</f>
        <v>0</v>
      </c>
      <c r="AS916" s="3">
        <f>VLOOKUP(INT(VLOOKUP(U916,模板计算相关数据!A:N,2,0)/30)+1,模板计算相关数据!$O$35:$U$40,7,0)+AI916</f>
        <v>2000</v>
      </c>
      <c r="AT916" s="3">
        <f>VLOOKUP(INT(VLOOKUP(U916,模板计算相关数据!A:N,2,0)/30)+1,模板计算相关数据!$O$35:$V$40,8,0)</f>
        <v>0</v>
      </c>
      <c r="AU916" s="2"/>
    </row>
    <row r="917" spans="1:47" x14ac:dyDescent="0.2">
      <c r="A917" s="35">
        <v>51017012</v>
      </c>
      <c r="B917" s="35"/>
      <c r="C917" s="34" t="s">
        <v>1462</v>
      </c>
      <c r="D917" s="69" t="s">
        <v>1847</v>
      </c>
      <c r="E917" s="2"/>
      <c r="F917" s="3">
        <v>1</v>
      </c>
      <c r="G917" s="3">
        <v>101601</v>
      </c>
      <c r="H917" s="3">
        <v>5</v>
      </c>
      <c r="I917" s="2">
        <v>3</v>
      </c>
      <c r="J917" s="3">
        <v>5</v>
      </c>
      <c r="K917" s="3">
        <v>2</v>
      </c>
      <c r="L917" s="69" t="s">
        <v>1527</v>
      </c>
      <c r="M917" s="2"/>
      <c r="N917" s="2">
        <v>1</v>
      </c>
      <c r="O917" s="2"/>
      <c r="P917" s="3" t="s">
        <v>1615</v>
      </c>
      <c r="Q917" s="95">
        <f t="shared" si="76"/>
        <v>9.2335686274509801</v>
      </c>
      <c r="R917" s="133">
        <f>IF(P917=模板计算相关数据!$AB$24,VLOOKUP(X917,模板计算相关数据!$P$47:$T$50,2,0),VLOOKUP(X917,模板计算相关数据!$P$4:$U$7,3,0))*VLOOKUP(Y917,模板计算相关数据!$P$22:$X$30,8,0)</f>
        <v>9.2335686274509801</v>
      </c>
      <c r="S917" s="62">
        <f t="shared" si="77"/>
        <v>4.4361636057137765</v>
      </c>
      <c r="T917" s="133">
        <f>IF(P917=模板计算相关数据!$AB$24,VLOOKUP(X917,模板计算相关数据!$P$47:$T$50,5,0),VLOOKUP(X917,模板计算相关数据!$P$4:$U$7,6,0))*VLOOKUP(Y917,模板计算相关数据!$P$22:$X$30,9,0)</f>
        <v>4.4361636057137765</v>
      </c>
      <c r="U917" s="98">
        <v>59</v>
      </c>
      <c r="V917" s="95">
        <f t="shared" si="78"/>
        <v>38</v>
      </c>
      <c r="W917" s="29">
        <f>VLOOKUP(U917,模板计算相关数据!A:N,2,0)</f>
        <v>35</v>
      </c>
      <c r="X917" s="3" t="s">
        <v>158</v>
      </c>
      <c r="Y917" s="3" t="s">
        <v>159</v>
      </c>
      <c r="Z917" s="95">
        <v>1</v>
      </c>
      <c r="AA917" s="95">
        <v>1</v>
      </c>
      <c r="AB917" s="95">
        <v>1</v>
      </c>
      <c r="AC917" s="95">
        <v>1</v>
      </c>
      <c r="AD917" s="95">
        <v>0</v>
      </c>
      <c r="AE917" s="95">
        <v>0</v>
      </c>
      <c r="AF917" s="95">
        <v>0</v>
      </c>
      <c r="AG917" s="95">
        <v>0</v>
      </c>
      <c r="AH917" s="95">
        <v>0</v>
      </c>
      <c r="AI917" s="95">
        <v>2000</v>
      </c>
      <c r="AJ917" s="3">
        <f>INT(VLOOKUP(U917,模板计算相关数据!A:N,4,0)*VLOOKUP(U917,模板计算相关数据!A:N,14,0)*(1+MAX(0,(VLOOKUP(U917,模板计算相关数据!A:N,7,0)-AQ917))*VLOOKUP(U917,模板计算相关数据!A:N,8,0))*(1-(AL917+AM917)*0.5/((AL917+AM917)*0.5+(VLOOKUP(U917,模板计算相关数据!A:N,2,0)+模板计算相关数据!$AC$27)*模板计算相关数据!$AC$28))*Q917*Z917)</f>
        <v>6693</v>
      </c>
      <c r="AK917" s="3">
        <f>INT(VLOOKUP(U917,模板计算相关数据!A:N,3,0)/模板计算相关数据!$W$35/(1+MAX(0,(AO917/10000-VLOOKUP(U917,模板计算相关数据!A:N,9,0)))*AP917/10000)/(1-VLOOKUP(U917,模板计算相关数据!A:N,5,0)/(VLOOKUP(U917,模板计算相关数据!A:N,5,0)+(VLOOKUP(U917,模板计算相关数据!A:N,2,0)+模板计算相关数据!$AC$27)*模板计算相关数据!$AC$28))/S917*AA917)</f>
        <v>1591</v>
      </c>
      <c r="AL917" s="3">
        <f>INT(VLOOKUP(U917,模板计算相关数据!A:N,5,0)*VLOOKUP(X917,模板计算相关数据!$P$4:$T$7,4,0)*VLOOKUP(Y917,模板计算相关数据!$P$22:$U$30,4,0)*AB917)</f>
        <v>3793</v>
      </c>
      <c r="AM917" s="3">
        <f>INT(VLOOKUP(U917,模板计算相关数据!A:N,6,0)*VLOOKUP(X917,模板计算相关数据!$P$4:$T$7,4,0)*VLOOKUP(Y917,模板计算相关数据!$P$22:$U$30,5,0)*AC917)</f>
        <v>2071</v>
      </c>
      <c r="AN917" s="3">
        <f>VLOOKUP(U917,模板计算相关数据!A:N,10,0)*0.5*VLOOKUP(Y917,模板计算相关数据!$P$22:$U$30,6,0)+AD917</f>
        <v>275</v>
      </c>
      <c r="AO917" s="3">
        <f>VLOOKUP(INT(VLOOKUP(U917,模板计算相关数据!A:N,2,0)/30)+1,模板计算相关数据!$O$35:$U$40,3,0)+AE917</f>
        <v>0</v>
      </c>
      <c r="AP917" s="3">
        <f>VLOOKUP(INT(VLOOKUP(U917,模板计算相关数据!A:N,2,0)/30)+1,模板计算相关数据!$O$35:$U$40,4,0)+AF917</f>
        <v>5000</v>
      </c>
      <c r="AQ917" s="3">
        <f>VLOOKUP(INT(VLOOKUP(U917,模板计算相关数据!A:N,2,0)/30)+1,模板计算相关数据!$O$35:$U$40,5,0)+AG917</f>
        <v>0</v>
      </c>
      <c r="AR917" s="3">
        <f>VLOOKUP(INT(VLOOKUP(U917,模板计算相关数据!A:N,2,0)/30)+1,模板计算相关数据!$O$35:$U$40,6,0)+AH917</f>
        <v>0</v>
      </c>
      <c r="AS917" s="3">
        <f>VLOOKUP(INT(VLOOKUP(U917,模板计算相关数据!A:N,2,0)/30)+1,模板计算相关数据!$O$35:$U$40,7,0)+AI917</f>
        <v>2000</v>
      </c>
      <c r="AT917" s="3">
        <f>VLOOKUP(INT(VLOOKUP(U917,模板计算相关数据!A:N,2,0)/30)+1,模板计算相关数据!$O$35:$V$40,8,0)</f>
        <v>0</v>
      </c>
      <c r="AU917" s="2"/>
    </row>
    <row r="918" spans="1:47" x14ac:dyDescent="0.2">
      <c r="A918" s="86">
        <v>51017022</v>
      </c>
      <c r="B918" s="86"/>
      <c r="C918" s="69" t="s">
        <v>1462</v>
      </c>
      <c r="D918" s="69" t="s">
        <v>1848</v>
      </c>
      <c r="E918" s="2"/>
      <c r="F918" s="3">
        <v>1</v>
      </c>
      <c r="G918" s="3">
        <v>101601</v>
      </c>
      <c r="H918" s="3">
        <v>5</v>
      </c>
      <c r="I918" s="2">
        <v>3</v>
      </c>
      <c r="J918" s="3">
        <v>5</v>
      </c>
      <c r="K918" s="3">
        <v>2</v>
      </c>
      <c r="L918" s="69" t="s">
        <v>1527</v>
      </c>
      <c r="M918" s="2"/>
      <c r="N918" s="2">
        <v>1</v>
      </c>
      <c r="O918" s="2"/>
      <c r="P918" s="3" t="s">
        <v>1615</v>
      </c>
      <c r="Q918" s="95">
        <f t="shared" si="76"/>
        <v>9.2335686274509801</v>
      </c>
      <c r="R918" s="133">
        <f>IF(P918=模板计算相关数据!$AB$24,VLOOKUP(X918,模板计算相关数据!$P$47:$T$50,2,0),VLOOKUP(X918,模板计算相关数据!$P$4:$U$7,3,0))*VLOOKUP(Y918,模板计算相关数据!$P$22:$X$30,8,0)</f>
        <v>9.2335686274509801</v>
      </c>
      <c r="S918" s="62">
        <f t="shared" si="77"/>
        <v>4.4361636057137765</v>
      </c>
      <c r="T918" s="133">
        <f>IF(P918=模板计算相关数据!$AB$24,VLOOKUP(X918,模板计算相关数据!$P$47:$T$50,5,0),VLOOKUP(X918,模板计算相关数据!$P$4:$U$7,6,0))*VLOOKUP(Y918,模板计算相关数据!$P$22:$X$30,9,0)</f>
        <v>4.4361636057137765</v>
      </c>
      <c r="U918" s="98">
        <v>59</v>
      </c>
      <c r="V918" s="95">
        <f t="shared" si="78"/>
        <v>38</v>
      </c>
      <c r="W918" s="29">
        <f>VLOOKUP(U918,模板计算相关数据!A:N,2,0)</f>
        <v>35</v>
      </c>
      <c r="X918" s="3" t="s">
        <v>158</v>
      </c>
      <c r="Y918" s="3" t="s">
        <v>159</v>
      </c>
      <c r="Z918" s="95">
        <v>1</v>
      </c>
      <c r="AA918" s="95">
        <v>1</v>
      </c>
      <c r="AB918" s="95">
        <v>1</v>
      </c>
      <c r="AC918" s="95">
        <v>1</v>
      </c>
      <c r="AD918" s="95">
        <v>0</v>
      </c>
      <c r="AE918" s="95">
        <v>0</v>
      </c>
      <c r="AF918" s="95">
        <v>0</v>
      </c>
      <c r="AG918" s="95">
        <v>0</v>
      </c>
      <c r="AH918" s="95">
        <v>0</v>
      </c>
      <c r="AI918" s="95">
        <v>2000</v>
      </c>
      <c r="AJ918" s="3">
        <f>INT(VLOOKUP(U918,模板计算相关数据!A:N,4,0)*VLOOKUP(U918,模板计算相关数据!A:N,14,0)*(1+MAX(0,(VLOOKUP(U918,模板计算相关数据!A:N,7,0)-AQ918))*VLOOKUP(U918,模板计算相关数据!A:N,8,0))*(1-(AL918+AM918)*0.5/((AL918+AM918)*0.5+(VLOOKUP(U918,模板计算相关数据!A:N,2,0)+模板计算相关数据!$AC$27)*模板计算相关数据!$AC$28))*Q918*Z918)</f>
        <v>6693</v>
      </c>
      <c r="AK918" s="3">
        <f>INT(VLOOKUP(U918,模板计算相关数据!A:N,3,0)/模板计算相关数据!$W$35/(1+MAX(0,(AO918/10000-VLOOKUP(U918,模板计算相关数据!A:N,9,0)))*AP918/10000)/(1-VLOOKUP(U918,模板计算相关数据!A:N,5,0)/(VLOOKUP(U918,模板计算相关数据!A:N,5,0)+(VLOOKUP(U918,模板计算相关数据!A:N,2,0)+模板计算相关数据!$AC$27)*模板计算相关数据!$AC$28))/S918*AA918)</f>
        <v>1591</v>
      </c>
      <c r="AL918" s="3">
        <f>INT(VLOOKUP(U918,模板计算相关数据!A:N,5,0)*VLOOKUP(X918,模板计算相关数据!$P$4:$T$7,4,0)*VLOOKUP(Y918,模板计算相关数据!$P$22:$U$30,4,0)*AB918)</f>
        <v>3793</v>
      </c>
      <c r="AM918" s="3">
        <f>INT(VLOOKUP(U918,模板计算相关数据!A:N,6,0)*VLOOKUP(X918,模板计算相关数据!$P$4:$T$7,4,0)*VLOOKUP(Y918,模板计算相关数据!$P$22:$U$30,5,0)*AC918)</f>
        <v>2071</v>
      </c>
      <c r="AN918" s="3">
        <f>VLOOKUP(U918,模板计算相关数据!A:N,10,0)*0.5*VLOOKUP(Y918,模板计算相关数据!$P$22:$U$30,6,0)+AD918</f>
        <v>275</v>
      </c>
      <c r="AO918" s="3">
        <f>VLOOKUP(INT(VLOOKUP(U918,模板计算相关数据!A:N,2,0)/30)+1,模板计算相关数据!$O$35:$U$40,3,0)+AE918</f>
        <v>0</v>
      </c>
      <c r="AP918" s="3">
        <f>VLOOKUP(INT(VLOOKUP(U918,模板计算相关数据!A:N,2,0)/30)+1,模板计算相关数据!$O$35:$U$40,4,0)+AF918</f>
        <v>5000</v>
      </c>
      <c r="AQ918" s="3">
        <f>VLOOKUP(INT(VLOOKUP(U918,模板计算相关数据!A:N,2,0)/30)+1,模板计算相关数据!$O$35:$U$40,5,0)+AG918</f>
        <v>0</v>
      </c>
      <c r="AR918" s="3">
        <f>VLOOKUP(INT(VLOOKUP(U918,模板计算相关数据!A:N,2,0)/30)+1,模板计算相关数据!$O$35:$U$40,6,0)+AH918</f>
        <v>0</v>
      </c>
      <c r="AS918" s="3">
        <f>VLOOKUP(INT(VLOOKUP(U918,模板计算相关数据!A:N,2,0)/30)+1,模板计算相关数据!$O$35:$U$40,7,0)+AI918</f>
        <v>2000</v>
      </c>
      <c r="AT918" s="3">
        <f>VLOOKUP(INT(VLOOKUP(U918,模板计算相关数据!A:N,2,0)/30)+1,模板计算相关数据!$O$35:$V$40,8,0)</f>
        <v>0</v>
      </c>
      <c r="AU918" s="2"/>
    </row>
    <row r="919" spans="1:47" x14ac:dyDescent="0.2">
      <c r="A919" s="86">
        <v>51017032</v>
      </c>
      <c r="B919" s="86"/>
      <c r="C919" s="69" t="s">
        <v>1462</v>
      </c>
      <c r="D919" s="69" t="s">
        <v>1849</v>
      </c>
      <c r="E919" s="2"/>
      <c r="F919" s="3">
        <v>1</v>
      </c>
      <c r="G919" s="3">
        <v>101601</v>
      </c>
      <c r="H919" s="3">
        <v>5</v>
      </c>
      <c r="I919" s="2">
        <v>3</v>
      </c>
      <c r="J919" s="3">
        <v>5</v>
      </c>
      <c r="K919" s="3">
        <v>2</v>
      </c>
      <c r="L919" s="69" t="s">
        <v>1527</v>
      </c>
      <c r="M919" s="2"/>
      <c r="N919" s="2">
        <v>1</v>
      </c>
      <c r="O919" s="2"/>
      <c r="P919" s="3" t="s">
        <v>1615</v>
      </c>
      <c r="Q919" s="95">
        <f t="shared" ref="Q919:Q971" si="79">R919</f>
        <v>9.2335686274509801</v>
      </c>
      <c r="R919" s="133">
        <f>IF(P919=模板计算相关数据!$AB$24,VLOOKUP(X919,模板计算相关数据!$P$47:$T$50,2,0),VLOOKUP(X919,模板计算相关数据!$P$4:$U$7,3,0))*VLOOKUP(Y919,模板计算相关数据!$P$22:$X$30,8,0)</f>
        <v>9.2335686274509801</v>
      </c>
      <c r="S919" s="62">
        <f t="shared" ref="S919:S991" si="80">T919</f>
        <v>4.4361636057137765</v>
      </c>
      <c r="T919" s="133">
        <f>IF(P919=模板计算相关数据!$AB$24,VLOOKUP(X919,模板计算相关数据!$P$47:$T$50,5,0),VLOOKUP(X919,模板计算相关数据!$P$4:$U$7,6,0))*VLOOKUP(Y919,模板计算相关数据!$P$22:$X$30,9,0)</f>
        <v>4.4361636057137765</v>
      </c>
      <c r="U919" s="98">
        <v>59</v>
      </c>
      <c r="V919" s="95">
        <f t="shared" si="78"/>
        <v>38</v>
      </c>
      <c r="W919" s="29">
        <f>VLOOKUP(U919,模板计算相关数据!A:N,2,0)</f>
        <v>35</v>
      </c>
      <c r="X919" s="3" t="s">
        <v>158</v>
      </c>
      <c r="Y919" s="3" t="s">
        <v>159</v>
      </c>
      <c r="Z919" s="95">
        <v>1</v>
      </c>
      <c r="AA919" s="95">
        <v>1</v>
      </c>
      <c r="AB919" s="95">
        <v>1</v>
      </c>
      <c r="AC919" s="95">
        <v>1</v>
      </c>
      <c r="AD919" s="95">
        <v>0</v>
      </c>
      <c r="AE919" s="95">
        <v>0</v>
      </c>
      <c r="AF919" s="95">
        <v>0</v>
      </c>
      <c r="AG919" s="95">
        <v>0</v>
      </c>
      <c r="AH919" s="95">
        <v>0</v>
      </c>
      <c r="AI919" s="95">
        <v>2000</v>
      </c>
      <c r="AJ919" s="3">
        <f>INT(VLOOKUP(U919,模板计算相关数据!A:N,4,0)*VLOOKUP(U919,模板计算相关数据!A:N,14,0)*(1+MAX(0,(VLOOKUP(U919,模板计算相关数据!A:N,7,0)-AQ919))*VLOOKUP(U919,模板计算相关数据!A:N,8,0))*(1-(AL919+AM919)*0.5/((AL919+AM919)*0.5+(VLOOKUP(U919,模板计算相关数据!A:N,2,0)+模板计算相关数据!$AC$27)*模板计算相关数据!$AC$28))*Q919*Z919)</f>
        <v>6693</v>
      </c>
      <c r="AK919" s="3">
        <f>INT(VLOOKUP(U919,模板计算相关数据!A:N,3,0)/模板计算相关数据!$W$35/(1+MAX(0,(AO919/10000-VLOOKUP(U919,模板计算相关数据!A:N,9,0)))*AP919/10000)/(1-VLOOKUP(U919,模板计算相关数据!A:N,5,0)/(VLOOKUP(U919,模板计算相关数据!A:N,5,0)+(VLOOKUP(U919,模板计算相关数据!A:N,2,0)+模板计算相关数据!$AC$27)*模板计算相关数据!$AC$28))/S919*AA919)</f>
        <v>1591</v>
      </c>
      <c r="AL919" s="3">
        <f>INT(VLOOKUP(U919,模板计算相关数据!A:N,5,0)*VLOOKUP(X919,模板计算相关数据!$P$4:$T$7,4,0)*VLOOKUP(Y919,模板计算相关数据!$P$22:$U$30,4,0)*AB919)</f>
        <v>3793</v>
      </c>
      <c r="AM919" s="3">
        <f>INT(VLOOKUP(U919,模板计算相关数据!A:N,6,0)*VLOOKUP(X919,模板计算相关数据!$P$4:$T$7,4,0)*VLOOKUP(Y919,模板计算相关数据!$P$22:$U$30,5,0)*AC919)</f>
        <v>2071</v>
      </c>
      <c r="AN919" s="3">
        <f>VLOOKUP(U919,模板计算相关数据!A:N,10,0)*0.5*VLOOKUP(Y919,模板计算相关数据!$P$22:$U$30,6,0)+AD919</f>
        <v>275</v>
      </c>
      <c r="AO919" s="3">
        <f>VLOOKUP(INT(VLOOKUP(U919,模板计算相关数据!A:N,2,0)/30)+1,模板计算相关数据!$O$35:$U$40,3,0)+AE919</f>
        <v>0</v>
      </c>
      <c r="AP919" s="3">
        <f>VLOOKUP(INT(VLOOKUP(U919,模板计算相关数据!A:N,2,0)/30)+1,模板计算相关数据!$O$35:$U$40,4,0)+AF919</f>
        <v>5000</v>
      </c>
      <c r="AQ919" s="3">
        <f>VLOOKUP(INT(VLOOKUP(U919,模板计算相关数据!A:N,2,0)/30)+1,模板计算相关数据!$O$35:$U$40,5,0)+AG919</f>
        <v>0</v>
      </c>
      <c r="AR919" s="3">
        <f>VLOOKUP(INT(VLOOKUP(U919,模板计算相关数据!A:N,2,0)/30)+1,模板计算相关数据!$O$35:$U$40,6,0)+AH919</f>
        <v>0</v>
      </c>
      <c r="AS919" s="3">
        <f>VLOOKUP(INT(VLOOKUP(U919,模板计算相关数据!A:N,2,0)/30)+1,模板计算相关数据!$O$35:$U$40,7,0)+AI919</f>
        <v>2000</v>
      </c>
      <c r="AT919" s="3">
        <f>VLOOKUP(INT(VLOOKUP(U919,模板计算相关数据!A:N,2,0)/30)+1,模板计算相关数据!$O$35:$V$40,8,0)</f>
        <v>0</v>
      </c>
      <c r="AU919" s="2"/>
    </row>
    <row r="920" spans="1:47" x14ac:dyDescent="0.2">
      <c r="A920" s="86">
        <v>51017042</v>
      </c>
      <c r="B920" s="86"/>
      <c r="C920" s="69" t="s">
        <v>1462</v>
      </c>
      <c r="D920" s="69" t="s">
        <v>1850</v>
      </c>
      <c r="E920" s="2"/>
      <c r="F920" s="3">
        <v>1</v>
      </c>
      <c r="G920" s="3">
        <v>101601</v>
      </c>
      <c r="H920" s="3">
        <v>5</v>
      </c>
      <c r="I920" s="2">
        <v>3</v>
      </c>
      <c r="J920" s="3">
        <v>5</v>
      </c>
      <c r="K920" s="3">
        <v>2</v>
      </c>
      <c r="L920" s="69" t="s">
        <v>1527</v>
      </c>
      <c r="M920" s="2"/>
      <c r="N920" s="2">
        <v>1</v>
      </c>
      <c r="O920" s="2"/>
      <c r="P920" s="3" t="s">
        <v>1615</v>
      </c>
      <c r="Q920" s="95">
        <f t="shared" si="79"/>
        <v>9.2335686274509801</v>
      </c>
      <c r="R920" s="133">
        <f>IF(P920=模板计算相关数据!$AB$24,VLOOKUP(X920,模板计算相关数据!$P$47:$T$50,2,0),VLOOKUP(X920,模板计算相关数据!$P$4:$U$7,3,0))*VLOOKUP(Y920,模板计算相关数据!$P$22:$X$30,8,0)</f>
        <v>9.2335686274509801</v>
      </c>
      <c r="S920" s="62">
        <f t="shared" si="80"/>
        <v>4.4361636057137765</v>
      </c>
      <c r="T920" s="133">
        <f>IF(P920=模板计算相关数据!$AB$24,VLOOKUP(X920,模板计算相关数据!$P$47:$T$50,5,0),VLOOKUP(X920,模板计算相关数据!$P$4:$U$7,6,0))*VLOOKUP(Y920,模板计算相关数据!$P$22:$X$30,9,0)</f>
        <v>4.4361636057137765</v>
      </c>
      <c r="U920" s="98">
        <v>59</v>
      </c>
      <c r="V920" s="95">
        <f t="shared" si="78"/>
        <v>38</v>
      </c>
      <c r="W920" s="29">
        <f>VLOOKUP(U920,模板计算相关数据!A:N,2,0)</f>
        <v>35</v>
      </c>
      <c r="X920" s="3" t="s">
        <v>158</v>
      </c>
      <c r="Y920" s="3" t="s">
        <v>159</v>
      </c>
      <c r="Z920" s="95">
        <v>1</v>
      </c>
      <c r="AA920" s="95">
        <v>1</v>
      </c>
      <c r="AB920" s="95">
        <v>1</v>
      </c>
      <c r="AC920" s="95">
        <v>1</v>
      </c>
      <c r="AD920" s="95">
        <v>0</v>
      </c>
      <c r="AE920" s="95">
        <v>0</v>
      </c>
      <c r="AF920" s="95">
        <v>0</v>
      </c>
      <c r="AG920" s="95">
        <v>0</v>
      </c>
      <c r="AH920" s="95">
        <v>0</v>
      </c>
      <c r="AI920" s="95">
        <v>2000</v>
      </c>
      <c r="AJ920" s="3">
        <f>INT(VLOOKUP(U920,模板计算相关数据!A:N,4,0)*VLOOKUP(U920,模板计算相关数据!A:N,14,0)*(1+MAX(0,(VLOOKUP(U920,模板计算相关数据!A:N,7,0)-AQ920))*VLOOKUP(U920,模板计算相关数据!A:N,8,0))*(1-(AL920+AM920)*0.5/((AL920+AM920)*0.5+(VLOOKUP(U920,模板计算相关数据!A:N,2,0)+模板计算相关数据!$AC$27)*模板计算相关数据!$AC$28))*Q920*Z920)</f>
        <v>6693</v>
      </c>
      <c r="AK920" s="3">
        <f>INT(VLOOKUP(U920,模板计算相关数据!A:N,3,0)/模板计算相关数据!$W$35/(1+MAX(0,(AO920/10000-VLOOKUP(U920,模板计算相关数据!A:N,9,0)))*AP920/10000)/(1-VLOOKUP(U920,模板计算相关数据!A:N,5,0)/(VLOOKUP(U920,模板计算相关数据!A:N,5,0)+(VLOOKUP(U920,模板计算相关数据!A:N,2,0)+模板计算相关数据!$AC$27)*模板计算相关数据!$AC$28))/S920*AA920)</f>
        <v>1591</v>
      </c>
      <c r="AL920" s="3">
        <f>INT(VLOOKUP(U920,模板计算相关数据!A:N,5,0)*VLOOKUP(X920,模板计算相关数据!$P$4:$T$7,4,0)*VLOOKUP(Y920,模板计算相关数据!$P$22:$U$30,4,0)*AB920)</f>
        <v>3793</v>
      </c>
      <c r="AM920" s="3">
        <f>INT(VLOOKUP(U920,模板计算相关数据!A:N,6,0)*VLOOKUP(X920,模板计算相关数据!$P$4:$T$7,4,0)*VLOOKUP(Y920,模板计算相关数据!$P$22:$U$30,5,0)*AC920)</f>
        <v>2071</v>
      </c>
      <c r="AN920" s="3">
        <f>VLOOKUP(U920,模板计算相关数据!A:N,10,0)*0.5*VLOOKUP(Y920,模板计算相关数据!$P$22:$U$30,6,0)+AD920</f>
        <v>275</v>
      </c>
      <c r="AO920" s="3">
        <f>VLOOKUP(INT(VLOOKUP(U920,模板计算相关数据!A:N,2,0)/30)+1,模板计算相关数据!$O$35:$U$40,3,0)+AE920</f>
        <v>0</v>
      </c>
      <c r="AP920" s="3">
        <f>VLOOKUP(INT(VLOOKUP(U920,模板计算相关数据!A:N,2,0)/30)+1,模板计算相关数据!$O$35:$U$40,4,0)+AF920</f>
        <v>5000</v>
      </c>
      <c r="AQ920" s="3">
        <f>VLOOKUP(INT(VLOOKUP(U920,模板计算相关数据!A:N,2,0)/30)+1,模板计算相关数据!$O$35:$U$40,5,0)+AG920</f>
        <v>0</v>
      </c>
      <c r="AR920" s="3">
        <f>VLOOKUP(INT(VLOOKUP(U920,模板计算相关数据!A:N,2,0)/30)+1,模板计算相关数据!$O$35:$U$40,6,0)+AH920</f>
        <v>0</v>
      </c>
      <c r="AS920" s="3">
        <f>VLOOKUP(INT(VLOOKUP(U920,模板计算相关数据!A:N,2,0)/30)+1,模板计算相关数据!$O$35:$U$40,7,0)+AI920</f>
        <v>2000</v>
      </c>
      <c r="AT920" s="3">
        <f>VLOOKUP(INT(VLOOKUP(U920,模板计算相关数据!A:N,2,0)/30)+1,模板计算相关数据!$O$35:$V$40,8,0)</f>
        <v>0</v>
      </c>
      <c r="AU920" s="2"/>
    </row>
    <row r="921" spans="1:47" x14ac:dyDescent="0.2">
      <c r="A921" s="86">
        <v>51017052</v>
      </c>
      <c r="B921" s="86"/>
      <c r="C921" s="69" t="s">
        <v>1462</v>
      </c>
      <c r="D921" s="69" t="s">
        <v>1851</v>
      </c>
      <c r="E921" s="2"/>
      <c r="F921" s="3">
        <v>1</v>
      </c>
      <c r="G921" s="3">
        <v>101601</v>
      </c>
      <c r="H921" s="3">
        <v>5</v>
      </c>
      <c r="I921" s="2">
        <v>3</v>
      </c>
      <c r="J921" s="3">
        <v>5</v>
      </c>
      <c r="K921" s="3">
        <v>2</v>
      </c>
      <c r="L921" s="69" t="s">
        <v>1527</v>
      </c>
      <c r="M921" s="2"/>
      <c r="N921" s="2">
        <v>1</v>
      </c>
      <c r="O921" s="2"/>
      <c r="P921" s="3" t="s">
        <v>1615</v>
      </c>
      <c r="Q921" s="95">
        <f t="shared" si="79"/>
        <v>9.2335686274509801</v>
      </c>
      <c r="R921" s="133">
        <f>IF(P921=模板计算相关数据!$AB$24,VLOOKUP(X921,模板计算相关数据!$P$47:$T$50,2,0),VLOOKUP(X921,模板计算相关数据!$P$4:$U$7,3,0))*VLOOKUP(Y921,模板计算相关数据!$P$22:$X$30,8,0)</f>
        <v>9.2335686274509801</v>
      </c>
      <c r="S921" s="62">
        <f t="shared" si="80"/>
        <v>4.4361636057137765</v>
      </c>
      <c r="T921" s="133">
        <f>IF(P921=模板计算相关数据!$AB$24,VLOOKUP(X921,模板计算相关数据!$P$47:$T$50,5,0),VLOOKUP(X921,模板计算相关数据!$P$4:$U$7,6,0))*VLOOKUP(Y921,模板计算相关数据!$P$22:$X$30,9,0)</f>
        <v>4.4361636057137765</v>
      </c>
      <c r="U921" s="98">
        <v>59</v>
      </c>
      <c r="V921" s="95">
        <f t="shared" si="78"/>
        <v>38</v>
      </c>
      <c r="W921" s="29">
        <f>VLOOKUP(U921,模板计算相关数据!A:N,2,0)</f>
        <v>35</v>
      </c>
      <c r="X921" s="3" t="s">
        <v>158</v>
      </c>
      <c r="Y921" s="3" t="s">
        <v>159</v>
      </c>
      <c r="Z921" s="95">
        <v>1</v>
      </c>
      <c r="AA921" s="95">
        <v>1</v>
      </c>
      <c r="AB921" s="95">
        <v>1</v>
      </c>
      <c r="AC921" s="95">
        <v>1</v>
      </c>
      <c r="AD921" s="95">
        <v>0</v>
      </c>
      <c r="AE921" s="95">
        <v>0</v>
      </c>
      <c r="AF921" s="95">
        <v>0</v>
      </c>
      <c r="AG921" s="95">
        <v>0</v>
      </c>
      <c r="AH921" s="95">
        <v>0</v>
      </c>
      <c r="AI921" s="95">
        <v>2000</v>
      </c>
      <c r="AJ921" s="3">
        <f>INT(VLOOKUP(U921,模板计算相关数据!A:N,4,0)*VLOOKUP(U921,模板计算相关数据!A:N,14,0)*(1+MAX(0,(VLOOKUP(U921,模板计算相关数据!A:N,7,0)-AQ921))*VLOOKUP(U921,模板计算相关数据!A:N,8,0))*(1-(AL921+AM921)*0.5/((AL921+AM921)*0.5+(VLOOKUP(U921,模板计算相关数据!A:N,2,0)+模板计算相关数据!$AC$27)*模板计算相关数据!$AC$28))*Q921*Z921)</f>
        <v>6693</v>
      </c>
      <c r="AK921" s="3">
        <f>INT(VLOOKUP(U921,模板计算相关数据!A:N,3,0)/模板计算相关数据!$W$35/(1+MAX(0,(AO921/10000-VLOOKUP(U921,模板计算相关数据!A:N,9,0)))*AP921/10000)/(1-VLOOKUP(U921,模板计算相关数据!A:N,5,0)/(VLOOKUP(U921,模板计算相关数据!A:N,5,0)+(VLOOKUP(U921,模板计算相关数据!A:N,2,0)+模板计算相关数据!$AC$27)*模板计算相关数据!$AC$28))/S921*AA921)</f>
        <v>1591</v>
      </c>
      <c r="AL921" s="3">
        <f>INT(VLOOKUP(U921,模板计算相关数据!A:N,5,0)*VLOOKUP(X921,模板计算相关数据!$P$4:$T$7,4,0)*VLOOKUP(Y921,模板计算相关数据!$P$22:$U$30,4,0)*AB921)</f>
        <v>3793</v>
      </c>
      <c r="AM921" s="3">
        <f>INT(VLOOKUP(U921,模板计算相关数据!A:N,6,0)*VLOOKUP(X921,模板计算相关数据!$P$4:$T$7,4,0)*VLOOKUP(Y921,模板计算相关数据!$P$22:$U$30,5,0)*AC921)</f>
        <v>2071</v>
      </c>
      <c r="AN921" s="3">
        <f>VLOOKUP(U921,模板计算相关数据!A:N,10,0)*0.5*VLOOKUP(Y921,模板计算相关数据!$P$22:$U$30,6,0)+AD921</f>
        <v>275</v>
      </c>
      <c r="AO921" s="3">
        <f>VLOOKUP(INT(VLOOKUP(U921,模板计算相关数据!A:N,2,0)/30)+1,模板计算相关数据!$O$35:$U$40,3,0)+AE921</f>
        <v>0</v>
      </c>
      <c r="AP921" s="3">
        <f>VLOOKUP(INT(VLOOKUP(U921,模板计算相关数据!A:N,2,0)/30)+1,模板计算相关数据!$O$35:$U$40,4,0)+AF921</f>
        <v>5000</v>
      </c>
      <c r="AQ921" s="3">
        <f>VLOOKUP(INT(VLOOKUP(U921,模板计算相关数据!A:N,2,0)/30)+1,模板计算相关数据!$O$35:$U$40,5,0)+AG921</f>
        <v>0</v>
      </c>
      <c r="AR921" s="3">
        <f>VLOOKUP(INT(VLOOKUP(U921,模板计算相关数据!A:N,2,0)/30)+1,模板计算相关数据!$O$35:$U$40,6,0)+AH921</f>
        <v>0</v>
      </c>
      <c r="AS921" s="3">
        <f>VLOOKUP(INT(VLOOKUP(U921,模板计算相关数据!A:N,2,0)/30)+1,模板计算相关数据!$O$35:$U$40,7,0)+AI921</f>
        <v>2000</v>
      </c>
      <c r="AT921" s="3">
        <f>VLOOKUP(INT(VLOOKUP(U921,模板计算相关数据!A:N,2,0)/30)+1,模板计算相关数据!$O$35:$V$40,8,0)</f>
        <v>0</v>
      </c>
      <c r="AU921" s="2"/>
    </row>
    <row r="922" spans="1:47" x14ac:dyDescent="0.2">
      <c r="A922" s="86">
        <v>51017013</v>
      </c>
      <c r="B922" s="86"/>
      <c r="C922" s="69" t="s">
        <v>1705</v>
      </c>
      <c r="D922" s="69" t="s">
        <v>1847</v>
      </c>
      <c r="E922" s="2"/>
      <c r="F922" s="3">
        <v>3</v>
      </c>
      <c r="G922" s="3">
        <v>1002601</v>
      </c>
      <c r="H922" s="3">
        <v>5</v>
      </c>
      <c r="I922" s="2">
        <v>3</v>
      </c>
      <c r="J922" s="3">
        <v>5</v>
      </c>
      <c r="K922" s="2"/>
      <c r="L922" s="69" t="s">
        <v>1528</v>
      </c>
      <c r="M922" s="2"/>
      <c r="N922" s="2">
        <v>1</v>
      </c>
      <c r="O922" s="2"/>
      <c r="P922" s="3" t="s">
        <v>1615</v>
      </c>
      <c r="Q922" s="95">
        <f t="shared" si="79"/>
        <v>5.7709803921568623</v>
      </c>
      <c r="R922" s="133">
        <f>IF(P922=模板计算相关数据!$AB$24,VLOOKUP(X922,模板计算相关数据!$P$47:$T$50,2,0),VLOOKUP(X922,模板计算相关数据!$P$4:$U$7,3,0))*VLOOKUP(Y922,模板计算相关数据!$P$22:$X$30,8,0)</f>
        <v>5.7709803921568623</v>
      </c>
      <c r="S922" s="62">
        <f t="shared" si="80"/>
        <v>6.4077918749198997</v>
      </c>
      <c r="T922" s="133">
        <f>IF(P922=模板计算相关数据!$AB$24,VLOOKUP(X922,模板计算相关数据!$P$47:$T$50,5,0),VLOOKUP(X922,模板计算相关数据!$P$4:$U$7,6,0))*VLOOKUP(Y922,模板计算相关数据!$P$22:$X$30,9,0)</f>
        <v>6.4077918749198997</v>
      </c>
      <c r="U922" s="98">
        <v>59</v>
      </c>
      <c r="V922" s="95">
        <f t="shared" si="78"/>
        <v>38</v>
      </c>
      <c r="W922" s="29">
        <f>VLOOKUP(U922,模板计算相关数据!A:N,2,0)</f>
        <v>35</v>
      </c>
      <c r="X922" s="3" t="s">
        <v>151</v>
      </c>
      <c r="Y922" s="3" t="s">
        <v>159</v>
      </c>
      <c r="Z922" s="95">
        <v>1</v>
      </c>
      <c r="AA922" s="95">
        <v>1</v>
      </c>
      <c r="AB922" s="95">
        <v>1</v>
      </c>
      <c r="AC922" s="95">
        <v>1</v>
      </c>
      <c r="AD922" s="95">
        <v>0</v>
      </c>
      <c r="AE922" s="95">
        <v>0</v>
      </c>
      <c r="AF922" s="95">
        <v>0</v>
      </c>
      <c r="AG922" s="95">
        <v>0</v>
      </c>
      <c r="AH922" s="95">
        <v>0</v>
      </c>
      <c r="AI922" s="95">
        <v>0</v>
      </c>
      <c r="AJ922" s="3">
        <f>INT(VLOOKUP(U922,模板计算相关数据!A:N,4,0)*VLOOKUP(U922,模板计算相关数据!A:N,14,0)*(1+MAX(0,(VLOOKUP(U922,模板计算相关数据!A:N,7,0)-AQ922))*VLOOKUP(U922,模板计算相关数据!A:N,8,0))*(1-(AL922+AM922)*0.5/((AL922+AM922)*0.5+(VLOOKUP(U922,模板计算相关数据!A:N,2,0)+模板计算相关数据!$AC$27)*模板计算相关数据!$AC$28))*Q922*Z922)</f>
        <v>4586</v>
      </c>
      <c r="AK922" s="3">
        <f>INT(VLOOKUP(U922,模板计算相关数据!A:N,3,0)/模板计算相关数据!$W$35/(1+MAX(0,(AO922/10000-VLOOKUP(U922,模板计算相关数据!A:N,9,0)))*AP922/10000)/(1-VLOOKUP(U922,模板计算相关数据!A:N,5,0)/(VLOOKUP(U922,模板计算相关数据!A:N,5,0)+(VLOOKUP(U922,模板计算相关数据!A:N,2,0)+模板计算相关数据!$AC$27)*模板计算相关数据!$AC$28))/S922*AA922)</f>
        <v>1101</v>
      </c>
      <c r="AL922" s="3">
        <f>INT(VLOOKUP(U922,模板计算相关数据!A:N,5,0)*VLOOKUP(X922,模板计算相关数据!$P$4:$T$7,4,0)*VLOOKUP(Y922,模板计算相关数据!$P$22:$U$30,4,0)*AB922)</f>
        <v>3034</v>
      </c>
      <c r="AM922" s="3">
        <f>INT(VLOOKUP(U922,模板计算相关数据!A:N,6,0)*VLOOKUP(X922,模板计算相关数据!$P$4:$T$7,4,0)*VLOOKUP(Y922,模板计算相关数据!$P$22:$U$30,5,0)*AC922)</f>
        <v>1657</v>
      </c>
      <c r="AN922" s="3">
        <f>VLOOKUP(U922,模板计算相关数据!A:N,10,0)*0.5*VLOOKUP(Y922,模板计算相关数据!$P$22:$U$30,6,0)+AD922</f>
        <v>275</v>
      </c>
      <c r="AO922" s="3">
        <f>VLOOKUP(INT(VLOOKUP(U922,模板计算相关数据!A:N,2,0)/30)+1,模板计算相关数据!$O$35:$U$40,3,0)+AE922</f>
        <v>0</v>
      </c>
      <c r="AP922" s="3">
        <f>VLOOKUP(INT(VLOOKUP(U922,模板计算相关数据!A:N,2,0)/30)+1,模板计算相关数据!$O$35:$U$40,4,0)+AF922</f>
        <v>5000</v>
      </c>
      <c r="AQ922" s="3">
        <f>VLOOKUP(INT(VLOOKUP(U922,模板计算相关数据!A:N,2,0)/30)+1,模板计算相关数据!$O$35:$U$40,5,0)+AG922</f>
        <v>0</v>
      </c>
      <c r="AR922" s="3">
        <f>VLOOKUP(INT(VLOOKUP(U922,模板计算相关数据!A:N,2,0)/30)+1,模板计算相关数据!$O$35:$U$40,6,0)+AH922</f>
        <v>0</v>
      </c>
      <c r="AS922" s="3">
        <f>VLOOKUP(INT(VLOOKUP(U922,模板计算相关数据!A:N,2,0)/30)+1,模板计算相关数据!$O$35:$U$40,7,0)+AI922</f>
        <v>0</v>
      </c>
      <c r="AT922" s="3">
        <f>VLOOKUP(INT(VLOOKUP(U922,模板计算相关数据!A:N,2,0)/30)+1,模板计算相关数据!$O$35:$V$40,8,0)</f>
        <v>0</v>
      </c>
      <c r="AU922" s="2"/>
    </row>
    <row r="923" spans="1:47" x14ac:dyDescent="0.2">
      <c r="A923" s="86">
        <v>51017023</v>
      </c>
      <c r="B923" s="86"/>
      <c r="C923" s="69" t="s">
        <v>1705</v>
      </c>
      <c r="D923" s="69" t="s">
        <v>1848</v>
      </c>
      <c r="E923" s="2"/>
      <c r="F923" s="3">
        <v>3</v>
      </c>
      <c r="G923" s="3">
        <v>1002601</v>
      </c>
      <c r="H923" s="3">
        <v>5</v>
      </c>
      <c r="I923" s="2">
        <v>3</v>
      </c>
      <c r="J923" s="3">
        <v>5</v>
      </c>
      <c r="K923" s="2"/>
      <c r="L923" s="69" t="s">
        <v>1528</v>
      </c>
      <c r="M923" s="2"/>
      <c r="N923" s="2">
        <v>1</v>
      </c>
      <c r="O923" s="2"/>
      <c r="P923" s="3" t="s">
        <v>1615</v>
      </c>
      <c r="Q923" s="95">
        <f t="shared" si="79"/>
        <v>5.7709803921568623</v>
      </c>
      <c r="R923" s="133">
        <f>IF(P923=模板计算相关数据!$AB$24,VLOOKUP(X923,模板计算相关数据!$P$47:$T$50,2,0),VLOOKUP(X923,模板计算相关数据!$P$4:$U$7,3,0))*VLOOKUP(Y923,模板计算相关数据!$P$22:$X$30,8,0)</f>
        <v>5.7709803921568623</v>
      </c>
      <c r="S923" s="62">
        <f t="shared" si="80"/>
        <v>6.4077918749198997</v>
      </c>
      <c r="T923" s="133">
        <f>IF(P923=模板计算相关数据!$AB$24,VLOOKUP(X923,模板计算相关数据!$P$47:$T$50,5,0),VLOOKUP(X923,模板计算相关数据!$P$4:$U$7,6,0))*VLOOKUP(Y923,模板计算相关数据!$P$22:$X$30,9,0)</f>
        <v>6.4077918749198997</v>
      </c>
      <c r="U923" s="98">
        <v>59</v>
      </c>
      <c r="V923" s="95">
        <f t="shared" si="78"/>
        <v>38</v>
      </c>
      <c r="W923" s="29">
        <f>VLOOKUP(U923,模板计算相关数据!A:N,2,0)</f>
        <v>35</v>
      </c>
      <c r="X923" s="3" t="s">
        <v>151</v>
      </c>
      <c r="Y923" s="3" t="s">
        <v>159</v>
      </c>
      <c r="Z923" s="95">
        <v>1</v>
      </c>
      <c r="AA923" s="95">
        <v>1</v>
      </c>
      <c r="AB923" s="95">
        <v>1</v>
      </c>
      <c r="AC923" s="95">
        <v>1</v>
      </c>
      <c r="AD923" s="95">
        <v>0</v>
      </c>
      <c r="AE923" s="95">
        <v>0</v>
      </c>
      <c r="AF923" s="95">
        <v>0</v>
      </c>
      <c r="AG923" s="95">
        <v>0</v>
      </c>
      <c r="AH923" s="95">
        <v>0</v>
      </c>
      <c r="AI923" s="95">
        <v>0</v>
      </c>
      <c r="AJ923" s="3">
        <f>INT(VLOOKUP(U923,模板计算相关数据!A:N,4,0)*VLOOKUP(U923,模板计算相关数据!A:N,14,0)*(1+MAX(0,(VLOOKUP(U923,模板计算相关数据!A:N,7,0)-AQ923))*VLOOKUP(U923,模板计算相关数据!A:N,8,0))*(1-(AL923+AM923)*0.5/((AL923+AM923)*0.5+(VLOOKUP(U923,模板计算相关数据!A:N,2,0)+模板计算相关数据!$AC$27)*模板计算相关数据!$AC$28))*Q923*Z923)</f>
        <v>4586</v>
      </c>
      <c r="AK923" s="3">
        <f>INT(VLOOKUP(U923,模板计算相关数据!A:N,3,0)/模板计算相关数据!$W$35/(1+MAX(0,(AO923/10000-VLOOKUP(U923,模板计算相关数据!A:N,9,0)))*AP923/10000)/(1-VLOOKUP(U923,模板计算相关数据!A:N,5,0)/(VLOOKUP(U923,模板计算相关数据!A:N,5,0)+(VLOOKUP(U923,模板计算相关数据!A:N,2,0)+模板计算相关数据!$AC$27)*模板计算相关数据!$AC$28))/S923*AA923)</f>
        <v>1101</v>
      </c>
      <c r="AL923" s="3">
        <f>INT(VLOOKUP(U923,模板计算相关数据!A:N,5,0)*VLOOKUP(X923,模板计算相关数据!$P$4:$T$7,4,0)*VLOOKUP(Y923,模板计算相关数据!$P$22:$U$30,4,0)*AB923)</f>
        <v>3034</v>
      </c>
      <c r="AM923" s="3">
        <f>INT(VLOOKUP(U923,模板计算相关数据!A:N,6,0)*VLOOKUP(X923,模板计算相关数据!$P$4:$T$7,4,0)*VLOOKUP(Y923,模板计算相关数据!$P$22:$U$30,5,0)*AC923)</f>
        <v>1657</v>
      </c>
      <c r="AN923" s="3">
        <f>VLOOKUP(U923,模板计算相关数据!A:N,10,0)*0.5*VLOOKUP(Y923,模板计算相关数据!$P$22:$U$30,6,0)+AD923</f>
        <v>275</v>
      </c>
      <c r="AO923" s="3">
        <f>VLOOKUP(INT(VLOOKUP(U923,模板计算相关数据!A:N,2,0)/30)+1,模板计算相关数据!$O$35:$U$40,3,0)+AE923</f>
        <v>0</v>
      </c>
      <c r="AP923" s="3">
        <f>VLOOKUP(INT(VLOOKUP(U923,模板计算相关数据!A:N,2,0)/30)+1,模板计算相关数据!$O$35:$U$40,4,0)+AF923</f>
        <v>5000</v>
      </c>
      <c r="AQ923" s="3">
        <f>VLOOKUP(INT(VLOOKUP(U923,模板计算相关数据!A:N,2,0)/30)+1,模板计算相关数据!$O$35:$U$40,5,0)+AG923</f>
        <v>0</v>
      </c>
      <c r="AR923" s="3">
        <f>VLOOKUP(INT(VLOOKUP(U923,模板计算相关数据!A:N,2,0)/30)+1,模板计算相关数据!$O$35:$U$40,6,0)+AH923</f>
        <v>0</v>
      </c>
      <c r="AS923" s="3">
        <f>VLOOKUP(INT(VLOOKUP(U923,模板计算相关数据!A:N,2,0)/30)+1,模板计算相关数据!$O$35:$U$40,7,0)+AI923</f>
        <v>0</v>
      </c>
      <c r="AT923" s="3">
        <f>VLOOKUP(INT(VLOOKUP(U923,模板计算相关数据!A:N,2,0)/30)+1,模板计算相关数据!$O$35:$V$40,8,0)</f>
        <v>0</v>
      </c>
      <c r="AU923" s="2"/>
    </row>
    <row r="924" spans="1:47" x14ac:dyDescent="0.2">
      <c r="A924" s="86">
        <v>51017033</v>
      </c>
      <c r="B924" s="86"/>
      <c r="C924" s="69" t="s">
        <v>1705</v>
      </c>
      <c r="D924" s="69" t="s">
        <v>1849</v>
      </c>
      <c r="E924" s="2"/>
      <c r="F924" s="3">
        <v>3</v>
      </c>
      <c r="G924" s="3">
        <v>1002601</v>
      </c>
      <c r="H924" s="3">
        <v>5</v>
      </c>
      <c r="I924" s="2">
        <v>3</v>
      </c>
      <c r="J924" s="3">
        <v>5</v>
      </c>
      <c r="K924" s="2"/>
      <c r="L924" s="69" t="s">
        <v>1528</v>
      </c>
      <c r="M924" s="2"/>
      <c r="N924" s="2">
        <v>1</v>
      </c>
      <c r="O924" s="2"/>
      <c r="P924" s="3" t="s">
        <v>1615</v>
      </c>
      <c r="Q924" s="95">
        <f t="shared" si="79"/>
        <v>5.7709803921568623</v>
      </c>
      <c r="R924" s="133">
        <f>IF(P924=模板计算相关数据!$AB$24,VLOOKUP(X924,模板计算相关数据!$P$47:$T$50,2,0),VLOOKUP(X924,模板计算相关数据!$P$4:$U$7,3,0))*VLOOKUP(Y924,模板计算相关数据!$P$22:$X$30,8,0)</f>
        <v>5.7709803921568623</v>
      </c>
      <c r="S924" s="62">
        <f t="shared" si="80"/>
        <v>6.4077918749198997</v>
      </c>
      <c r="T924" s="133">
        <f>IF(P924=模板计算相关数据!$AB$24,VLOOKUP(X924,模板计算相关数据!$P$47:$T$50,5,0),VLOOKUP(X924,模板计算相关数据!$P$4:$U$7,6,0))*VLOOKUP(Y924,模板计算相关数据!$P$22:$X$30,9,0)</f>
        <v>6.4077918749198997</v>
      </c>
      <c r="U924" s="98">
        <v>59</v>
      </c>
      <c r="V924" s="95">
        <f t="shared" si="78"/>
        <v>38</v>
      </c>
      <c r="W924" s="29">
        <f>VLOOKUP(U924,模板计算相关数据!A:N,2,0)</f>
        <v>35</v>
      </c>
      <c r="X924" s="3" t="s">
        <v>151</v>
      </c>
      <c r="Y924" s="3" t="s">
        <v>159</v>
      </c>
      <c r="Z924" s="95">
        <v>1</v>
      </c>
      <c r="AA924" s="95">
        <v>1</v>
      </c>
      <c r="AB924" s="95">
        <v>1</v>
      </c>
      <c r="AC924" s="95">
        <v>1</v>
      </c>
      <c r="AD924" s="95">
        <v>0</v>
      </c>
      <c r="AE924" s="95">
        <v>0</v>
      </c>
      <c r="AF924" s="95">
        <v>0</v>
      </c>
      <c r="AG924" s="95">
        <v>0</v>
      </c>
      <c r="AH924" s="95">
        <v>0</v>
      </c>
      <c r="AI924" s="95">
        <v>0</v>
      </c>
      <c r="AJ924" s="3">
        <f>INT(VLOOKUP(U924,模板计算相关数据!A:N,4,0)*VLOOKUP(U924,模板计算相关数据!A:N,14,0)*(1+MAX(0,(VLOOKUP(U924,模板计算相关数据!A:N,7,0)-AQ924))*VLOOKUP(U924,模板计算相关数据!A:N,8,0))*(1-(AL924+AM924)*0.5/((AL924+AM924)*0.5+(VLOOKUP(U924,模板计算相关数据!A:N,2,0)+模板计算相关数据!$AC$27)*模板计算相关数据!$AC$28))*Q924*Z924)</f>
        <v>4586</v>
      </c>
      <c r="AK924" s="3">
        <f>INT(VLOOKUP(U924,模板计算相关数据!A:N,3,0)/模板计算相关数据!$W$35/(1+MAX(0,(AO924/10000-VLOOKUP(U924,模板计算相关数据!A:N,9,0)))*AP924/10000)/(1-VLOOKUP(U924,模板计算相关数据!A:N,5,0)/(VLOOKUP(U924,模板计算相关数据!A:N,5,0)+(VLOOKUP(U924,模板计算相关数据!A:N,2,0)+模板计算相关数据!$AC$27)*模板计算相关数据!$AC$28))/S924*AA924)</f>
        <v>1101</v>
      </c>
      <c r="AL924" s="3">
        <f>INT(VLOOKUP(U924,模板计算相关数据!A:N,5,0)*VLOOKUP(X924,模板计算相关数据!$P$4:$T$7,4,0)*VLOOKUP(Y924,模板计算相关数据!$P$22:$U$30,4,0)*AB924)</f>
        <v>3034</v>
      </c>
      <c r="AM924" s="3">
        <f>INT(VLOOKUP(U924,模板计算相关数据!A:N,6,0)*VLOOKUP(X924,模板计算相关数据!$P$4:$T$7,4,0)*VLOOKUP(Y924,模板计算相关数据!$P$22:$U$30,5,0)*AC924)</f>
        <v>1657</v>
      </c>
      <c r="AN924" s="3">
        <f>VLOOKUP(U924,模板计算相关数据!A:N,10,0)*0.5*VLOOKUP(Y924,模板计算相关数据!$P$22:$U$30,6,0)+AD924</f>
        <v>275</v>
      </c>
      <c r="AO924" s="3">
        <f>VLOOKUP(INT(VLOOKUP(U924,模板计算相关数据!A:N,2,0)/30)+1,模板计算相关数据!$O$35:$U$40,3,0)+AE924</f>
        <v>0</v>
      </c>
      <c r="AP924" s="3">
        <f>VLOOKUP(INT(VLOOKUP(U924,模板计算相关数据!A:N,2,0)/30)+1,模板计算相关数据!$O$35:$U$40,4,0)+AF924</f>
        <v>5000</v>
      </c>
      <c r="AQ924" s="3">
        <f>VLOOKUP(INT(VLOOKUP(U924,模板计算相关数据!A:N,2,0)/30)+1,模板计算相关数据!$O$35:$U$40,5,0)+AG924</f>
        <v>0</v>
      </c>
      <c r="AR924" s="3">
        <f>VLOOKUP(INT(VLOOKUP(U924,模板计算相关数据!A:N,2,0)/30)+1,模板计算相关数据!$O$35:$U$40,6,0)+AH924</f>
        <v>0</v>
      </c>
      <c r="AS924" s="3">
        <f>VLOOKUP(INT(VLOOKUP(U924,模板计算相关数据!A:N,2,0)/30)+1,模板计算相关数据!$O$35:$U$40,7,0)+AI924</f>
        <v>0</v>
      </c>
      <c r="AT924" s="3">
        <f>VLOOKUP(INT(VLOOKUP(U924,模板计算相关数据!A:N,2,0)/30)+1,模板计算相关数据!$O$35:$V$40,8,0)</f>
        <v>0</v>
      </c>
      <c r="AU924" s="2"/>
    </row>
    <row r="925" spans="1:47" x14ac:dyDescent="0.2">
      <c r="A925" s="86">
        <v>51017043</v>
      </c>
      <c r="B925" s="86"/>
      <c r="C925" s="69" t="s">
        <v>1705</v>
      </c>
      <c r="D925" s="69" t="s">
        <v>1850</v>
      </c>
      <c r="E925" s="2"/>
      <c r="F925" s="3">
        <v>3</v>
      </c>
      <c r="G925" s="3">
        <v>1002601</v>
      </c>
      <c r="H925" s="3">
        <v>5</v>
      </c>
      <c r="I925" s="2">
        <v>3</v>
      </c>
      <c r="J925" s="3">
        <v>5</v>
      </c>
      <c r="K925" s="2"/>
      <c r="L925" s="69" t="s">
        <v>1528</v>
      </c>
      <c r="M925" s="2"/>
      <c r="N925" s="2">
        <v>1</v>
      </c>
      <c r="O925" s="2"/>
      <c r="P925" s="3" t="s">
        <v>1615</v>
      </c>
      <c r="Q925" s="95">
        <f t="shared" si="79"/>
        <v>5.7709803921568623</v>
      </c>
      <c r="R925" s="133">
        <f>IF(P925=模板计算相关数据!$AB$24,VLOOKUP(X925,模板计算相关数据!$P$47:$T$50,2,0),VLOOKUP(X925,模板计算相关数据!$P$4:$U$7,3,0))*VLOOKUP(Y925,模板计算相关数据!$P$22:$X$30,8,0)</f>
        <v>5.7709803921568623</v>
      </c>
      <c r="S925" s="62">
        <f t="shared" si="80"/>
        <v>6.4077918749198997</v>
      </c>
      <c r="T925" s="133">
        <f>IF(P925=模板计算相关数据!$AB$24,VLOOKUP(X925,模板计算相关数据!$P$47:$T$50,5,0),VLOOKUP(X925,模板计算相关数据!$P$4:$U$7,6,0))*VLOOKUP(Y925,模板计算相关数据!$P$22:$X$30,9,0)</f>
        <v>6.4077918749198997</v>
      </c>
      <c r="U925" s="98">
        <v>59</v>
      </c>
      <c r="V925" s="95">
        <f t="shared" si="78"/>
        <v>38</v>
      </c>
      <c r="W925" s="29">
        <f>VLOOKUP(U925,模板计算相关数据!A:N,2,0)</f>
        <v>35</v>
      </c>
      <c r="X925" s="3" t="s">
        <v>151</v>
      </c>
      <c r="Y925" s="3" t="s">
        <v>159</v>
      </c>
      <c r="Z925" s="95">
        <v>1</v>
      </c>
      <c r="AA925" s="95">
        <v>1</v>
      </c>
      <c r="AB925" s="95">
        <v>1</v>
      </c>
      <c r="AC925" s="95">
        <v>1</v>
      </c>
      <c r="AD925" s="95">
        <v>0</v>
      </c>
      <c r="AE925" s="95">
        <v>0</v>
      </c>
      <c r="AF925" s="95">
        <v>0</v>
      </c>
      <c r="AG925" s="95">
        <v>0</v>
      </c>
      <c r="AH925" s="95">
        <v>0</v>
      </c>
      <c r="AI925" s="95">
        <v>0</v>
      </c>
      <c r="AJ925" s="3">
        <f>INT(VLOOKUP(U925,模板计算相关数据!A:N,4,0)*VLOOKUP(U925,模板计算相关数据!A:N,14,0)*(1+MAX(0,(VLOOKUP(U925,模板计算相关数据!A:N,7,0)-AQ925))*VLOOKUP(U925,模板计算相关数据!A:N,8,0))*(1-(AL925+AM925)*0.5/((AL925+AM925)*0.5+(VLOOKUP(U925,模板计算相关数据!A:N,2,0)+模板计算相关数据!$AC$27)*模板计算相关数据!$AC$28))*Q925*Z925)</f>
        <v>4586</v>
      </c>
      <c r="AK925" s="3">
        <f>INT(VLOOKUP(U925,模板计算相关数据!A:N,3,0)/模板计算相关数据!$W$35/(1+MAX(0,(AO925/10000-VLOOKUP(U925,模板计算相关数据!A:N,9,0)))*AP925/10000)/(1-VLOOKUP(U925,模板计算相关数据!A:N,5,0)/(VLOOKUP(U925,模板计算相关数据!A:N,5,0)+(VLOOKUP(U925,模板计算相关数据!A:N,2,0)+模板计算相关数据!$AC$27)*模板计算相关数据!$AC$28))/S925*AA925)</f>
        <v>1101</v>
      </c>
      <c r="AL925" s="3">
        <f>INT(VLOOKUP(U925,模板计算相关数据!A:N,5,0)*VLOOKUP(X925,模板计算相关数据!$P$4:$T$7,4,0)*VLOOKUP(Y925,模板计算相关数据!$P$22:$U$30,4,0)*AB925)</f>
        <v>3034</v>
      </c>
      <c r="AM925" s="3">
        <f>INT(VLOOKUP(U925,模板计算相关数据!A:N,6,0)*VLOOKUP(X925,模板计算相关数据!$P$4:$T$7,4,0)*VLOOKUP(Y925,模板计算相关数据!$P$22:$U$30,5,0)*AC925)</f>
        <v>1657</v>
      </c>
      <c r="AN925" s="3">
        <f>VLOOKUP(U925,模板计算相关数据!A:N,10,0)*0.5*VLOOKUP(Y925,模板计算相关数据!$P$22:$U$30,6,0)+AD925</f>
        <v>275</v>
      </c>
      <c r="AO925" s="3">
        <f>VLOOKUP(INT(VLOOKUP(U925,模板计算相关数据!A:N,2,0)/30)+1,模板计算相关数据!$O$35:$U$40,3,0)+AE925</f>
        <v>0</v>
      </c>
      <c r="AP925" s="3">
        <f>VLOOKUP(INT(VLOOKUP(U925,模板计算相关数据!A:N,2,0)/30)+1,模板计算相关数据!$O$35:$U$40,4,0)+AF925</f>
        <v>5000</v>
      </c>
      <c r="AQ925" s="3">
        <f>VLOOKUP(INT(VLOOKUP(U925,模板计算相关数据!A:N,2,0)/30)+1,模板计算相关数据!$O$35:$U$40,5,0)+AG925</f>
        <v>0</v>
      </c>
      <c r="AR925" s="3">
        <f>VLOOKUP(INT(VLOOKUP(U925,模板计算相关数据!A:N,2,0)/30)+1,模板计算相关数据!$O$35:$U$40,6,0)+AH925</f>
        <v>0</v>
      </c>
      <c r="AS925" s="3">
        <f>VLOOKUP(INT(VLOOKUP(U925,模板计算相关数据!A:N,2,0)/30)+1,模板计算相关数据!$O$35:$U$40,7,0)+AI925</f>
        <v>0</v>
      </c>
      <c r="AT925" s="3">
        <f>VLOOKUP(INT(VLOOKUP(U925,模板计算相关数据!A:N,2,0)/30)+1,模板计算相关数据!$O$35:$V$40,8,0)</f>
        <v>0</v>
      </c>
      <c r="AU925" s="2"/>
    </row>
    <row r="926" spans="1:47" x14ac:dyDescent="0.2">
      <c r="A926" s="86">
        <v>51017053</v>
      </c>
      <c r="B926" s="86"/>
      <c r="C926" s="69" t="s">
        <v>1705</v>
      </c>
      <c r="D926" s="69" t="s">
        <v>1851</v>
      </c>
      <c r="E926" s="2"/>
      <c r="F926" s="3">
        <v>3</v>
      </c>
      <c r="G926" s="3">
        <v>1002601</v>
      </c>
      <c r="H926" s="3">
        <v>5</v>
      </c>
      <c r="I926" s="2">
        <v>3</v>
      </c>
      <c r="J926" s="3">
        <v>5</v>
      </c>
      <c r="K926" s="2"/>
      <c r="L926" s="69" t="s">
        <v>1528</v>
      </c>
      <c r="M926" s="2"/>
      <c r="N926" s="2">
        <v>1</v>
      </c>
      <c r="O926" s="2"/>
      <c r="P926" s="3" t="s">
        <v>1615</v>
      </c>
      <c r="Q926" s="95">
        <f t="shared" si="79"/>
        <v>5.7709803921568623</v>
      </c>
      <c r="R926" s="133">
        <f>IF(P926=模板计算相关数据!$AB$24,VLOOKUP(X926,模板计算相关数据!$P$47:$T$50,2,0),VLOOKUP(X926,模板计算相关数据!$P$4:$U$7,3,0))*VLOOKUP(Y926,模板计算相关数据!$P$22:$X$30,8,0)</f>
        <v>5.7709803921568623</v>
      </c>
      <c r="S926" s="62">
        <f t="shared" si="80"/>
        <v>6.4077918749198997</v>
      </c>
      <c r="T926" s="133">
        <f>IF(P926=模板计算相关数据!$AB$24,VLOOKUP(X926,模板计算相关数据!$P$47:$T$50,5,0),VLOOKUP(X926,模板计算相关数据!$P$4:$U$7,6,0))*VLOOKUP(Y926,模板计算相关数据!$P$22:$X$30,9,0)</f>
        <v>6.4077918749198997</v>
      </c>
      <c r="U926" s="98">
        <v>59</v>
      </c>
      <c r="V926" s="95">
        <f t="shared" si="78"/>
        <v>38</v>
      </c>
      <c r="W926" s="29">
        <f>VLOOKUP(U926,模板计算相关数据!A:N,2,0)</f>
        <v>35</v>
      </c>
      <c r="X926" s="3" t="s">
        <v>151</v>
      </c>
      <c r="Y926" s="3" t="s">
        <v>159</v>
      </c>
      <c r="Z926" s="95">
        <v>1</v>
      </c>
      <c r="AA926" s="95">
        <v>1</v>
      </c>
      <c r="AB926" s="95">
        <v>1</v>
      </c>
      <c r="AC926" s="95">
        <v>1</v>
      </c>
      <c r="AD926" s="95">
        <v>0</v>
      </c>
      <c r="AE926" s="95">
        <v>0</v>
      </c>
      <c r="AF926" s="95">
        <v>0</v>
      </c>
      <c r="AG926" s="95">
        <v>0</v>
      </c>
      <c r="AH926" s="95">
        <v>0</v>
      </c>
      <c r="AI926" s="95">
        <v>0</v>
      </c>
      <c r="AJ926" s="3">
        <f>INT(VLOOKUP(U926,模板计算相关数据!A:N,4,0)*VLOOKUP(U926,模板计算相关数据!A:N,14,0)*(1+MAX(0,(VLOOKUP(U926,模板计算相关数据!A:N,7,0)-AQ926))*VLOOKUP(U926,模板计算相关数据!A:N,8,0))*(1-(AL926+AM926)*0.5/((AL926+AM926)*0.5+(VLOOKUP(U926,模板计算相关数据!A:N,2,0)+模板计算相关数据!$AC$27)*模板计算相关数据!$AC$28))*Q926*Z926)</f>
        <v>4586</v>
      </c>
      <c r="AK926" s="3">
        <f>INT(VLOOKUP(U926,模板计算相关数据!A:N,3,0)/模板计算相关数据!$W$35/(1+MAX(0,(AO926/10000-VLOOKUP(U926,模板计算相关数据!A:N,9,0)))*AP926/10000)/(1-VLOOKUP(U926,模板计算相关数据!A:N,5,0)/(VLOOKUP(U926,模板计算相关数据!A:N,5,0)+(VLOOKUP(U926,模板计算相关数据!A:N,2,0)+模板计算相关数据!$AC$27)*模板计算相关数据!$AC$28))/S926*AA926)</f>
        <v>1101</v>
      </c>
      <c r="AL926" s="3">
        <f>INT(VLOOKUP(U926,模板计算相关数据!A:N,5,0)*VLOOKUP(X926,模板计算相关数据!$P$4:$T$7,4,0)*VLOOKUP(Y926,模板计算相关数据!$P$22:$U$30,4,0)*AB926)</f>
        <v>3034</v>
      </c>
      <c r="AM926" s="3">
        <f>INT(VLOOKUP(U926,模板计算相关数据!A:N,6,0)*VLOOKUP(X926,模板计算相关数据!$P$4:$T$7,4,0)*VLOOKUP(Y926,模板计算相关数据!$P$22:$U$30,5,0)*AC926)</f>
        <v>1657</v>
      </c>
      <c r="AN926" s="3">
        <f>VLOOKUP(U926,模板计算相关数据!A:N,10,0)*0.5*VLOOKUP(Y926,模板计算相关数据!$P$22:$U$30,6,0)+AD926</f>
        <v>275</v>
      </c>
      <c r="AO926" s="3">
        <f>VLOOKUP(INT(VLOOKUP(U926,模板计算相关数据!A:N,2,0)/30)+1,模板计算相关数据!$O$35:$U$40,3,0)+AE926</f>
        <v>0</v>
      </c>
      <c r="AP926" s="3">
        <f>VLOOKUP(INT(VLOOKUP(U926,模板计算相关数据!A:N,2,0)/30)+1,模板计算相关数据!$O$35:$U$40,4,0)+AF926</f>
        <v>5000</v>
      </c>
      <c r="AQ926" s="3">
        <f>VLOOKUP(INT(VLOOKUP(U926,模板计算相关数据!A:N,2,0)/30)+1,模板计算相关数据!$O$35:$U$40,5,0)+AG926</f>
        <v>0</v>
      </c>
      <c r="AR926" s="3">
        <f>VLOOKUP(INT(VLOOKUP(U926,模板计算相关数据!A:N,2,0)/30)+1,模板计算相关数据!$O$35:$U$40,6,0)+AH926</f>
        <v>0</v>
      </c>
      <c r="AS926" s="3">
        <f>VLOOKUP(INT(VLOOKUP(U926,模板计算相关数据!A:N,2,0)/30)+1,模板计算相关数据!$O$35:$U$40,7,0)+AI926</f>
        <v>0</v>
      </c>
      <c r="AT926" s="3">
        <f>VLOOKUP(INT(VLOOKUP(U926,模板计算相关数据!A:N,2,0)/30)+1,模板计算相关数据!$O$35:$V$40,8,0)</f>
        <v>0</v>
      </c>
      <c r="AU926" s="2"/>
    </row>
    <row r="927" spans="1:47" x14ac:dyDescent="0.2">
      <c r="A927" s="35">
        <v>52001011</v>
      </c>
      <c r="B927" s="35"/>
      <c r="C927" s="34" t="s">
        <v>1463</v>
      </c>
      <c r="D927" s="69" t="s">
        <v>1852</v>
      </c>
      <c r="E927" s="2"/>
      <c r="F927" s="3">
        <v>4</v>
      </c>
      <c r="G927" s="3">
        <v>103401</v>
      </c>
      <c r="H927" s="3">
        <v>3</v>
      </c>
      <c r="I927" s="2">
        <v>1</v>
      </c>
      <c r="J927" s="3">
        <v>2</v>
      </c>
      <c r="K927" s="3">
        <v>2</v>
      </c>
      <c r="L927" s="69" t="s">
        <v>1529</v>
      </c>
      <c r="M927" s="2"/>
      <c r="N927" s="2">
        <v>1</v>
      </c>
      <c r="O927" s="2"/>
      <c r="P927" s="3" t="s">
        <v>1615</v>
      </c>
      <c r="Q927" s="95">
        <v>16</v>
      </c>
      <c r="R927" s="133">
        <f>IF(P927=模板计算相关数据!$AB$24,VLOOKUP(X927,模板计算相关数据!$P$47:$T$50,2,0),VLOOKUP(X927,模板计算相关数据!$P$4:$U$7,3,0))*VLOOKUP(Y927,模板计算相关数据!$P$22:$X$30,8,0)</f>
        <v>22.400000000000006</v>
      </c>
      <c r="S927" s="62">
        <f t="shared" si="80"/>
        <v>3.6378187638691841</v>
      </c>
      <c r="T927" s="133">
        <f>IF(P927=模板计算相关数据!$AB$24,VLOOKUP(X927,模板计算相关数据!$P$47:$T$50,5,0),VLOOKUP(X927,模板计算相关数据!$P$4:$U$7,6,0))*VLOOKUP(Y927,模板计算相关数据!$P$22:$X$30,9,0)</f>
        <v>3.6378187638691841</v>
      </c>
      <c r="U927" s="98">
        <v>60</v>
      </c>
      <c r="V927" s="95">
        <f t="shared" si="78"/>
        <v>42</v>
      </c>
      <c r="W927" s="29">
        <f>VLOOKUP(U927,模板计算相关数据!A:N,2,0)</f>
        <v>39</v>
      </c>
      <c r="X927" s="3" t="s">
        <v>178</v>
      </c>
      <c r="Y927" s="3" t="s">
        <v>255</v>
      </c>
      <c r="Z927" s="95">
        <v>1</v>
      </c>
      <c r="AA927" s="95">
        <v>1</v>
      </c>
      <c r="AB927" s="95">
        <v>1</v>
      </c>
      <c r="AC927" s="95">
        <v>1</v>
      </c>
      <c r="AD927" s="95">
        <v>0</v>
      </c>
      <c r="AE927" s="95">
        <v>0</v>
      </c>
      <c r="AF927" s="95">
        <v>0</v>
      </c>
      <c r="AG927" s="95">
        <v>0</v>
      </c>
      <c r="AH927" s="95">
        <v>0</v>
      </c>
      <c r="AI927" s="95">
        <v>4000</v>
      </c>
      <c r="AJ927" s="3">
        <f>INT(VLOOKUP(U927,模板计算相关数据!A:N,4,0)*VLOOKUP(U927,模板计算相关数据!A:N,14,0)*(1+MAX(0,(VLOOKUP(U927,模板计算相关数据!A:N,7,0)-AQ927))*VLOOKUP(U927,模板计算相关数据!A:N,8,0))*(1-(AL927+AM927)*0.5/((AL927+AM927)*0.5+(VLOOKUP(U927,模板计算相关数据!A:N,2,0)+模板计算相关数据!$AC$27)*模板计算相关数据!$AC$28))*Q927*Z927)</f>
        <v>11675</v>
      </c>
      <c r="AK927" s="3">
        <f>INT(VLOOKUP(U927,模板计算相关数据!A:N,3,0)/模板计算相关数据!$W$35/(1+MAX(0,(AO927/10000-VLOOKUP(U927,模板计算相关数据!A:N,9,0)))*AP927/10000)/(1-VLOOKUP(U927,模板计算相关数据!A:N,5,0)/(VLOOKUP(U927,模板计算相关数据!A:N,5,0)+(VLOOKUP(U927,模板计算相关数据!A:N,2,0)+模板计算相关数据!$AC$27)*模板计算相关数据!$AC$28))/S927*AA927)</f>
        <v>2155</v>
      </c>
      <c r="AL927" s="3">
        <f>INT(VLOOKUP(U927,模板计算相关数据!A:N,5,0)*VLOOKUP(X927,模板计算相关数据!$P$4:$T$7,4,0)*VLOOKUP(Y927,模板计算相关数据!$P$22:$U$30,4,0)*AB927)</f>
        <v>2847</v>
      </c>
      <c r="AM927" s="3">
        <f>INT(VLOOKUP(U927,模板计算相关数据!A:N,6,0)*VLOOKUP(X927,模板计算相关数据!$P$4:$T$7,4,0)*VLOOKUP(Y927,模板计算相关数据!$P$22:$U$30,5,0)*AC927)</f>
        <v>5268</v>
      </c>
      <c r="AN927" s="3">
        <f>VLOOKUP(U927,模板计算相关数据!A:N,10,0)*0.5*VLOOKUP(Y927,模板计算相关数据!$P$22:$U$30,6,0)+AD927</f>
        <v>225</v>
      </c>
      <c r="AO927" s="3">
        <f>VLOOKUP(INT(VLOOKUP(U927,模板计算相关数据!A:N,2,0)/30)+1,模板计算相关数据!$O$35:$U$40,3,0)+AE927</f>
        <v>0</v>
      </c>
      <c r="AP927" s="3">
        <f>VLOOKUP(INT(VLOOKUP(U927,模板计算相关数据!A:N,2,0)/30)+1,模板计算相关数据!$O$35:$U$40,4,0)+AF927</f>
        <v>5000</v>
      </c>
      <c r="AQ927" s="3">
        <f>VLOOKUP(INT(VLOOKUP(U927,模板计算相关数据!A:N,2,0)/30)+1,模板计算相关数据!$O$35:$U$40,5,0)+AG927</f>
        <v>0</v>
      </c>
      <c r="AR927" s="3">
        <f>VLOOKUP(INT(VLOOKUP(U927,模板计算相关数据!A:N,2,0)/30)+1,模板计算相关数据!$O$35:$U$40,6,0)+AH927</f>
        <v>0</v>
      </c>
      <c r="AS927" s="3">
        <f>VLOOKUP(INT(VLOOKUP(U927,模板计算相关数据!A:N,2,0)/30)+1,模板计算相关数据!$O$35:$U$40,7,0)+AI927</f>
        <v>4000</v>
      </c>
      <c r="AT927" s="3">
        <f>VLOOKUP(INT(VLOOKUP(U927,模板计算相关数据!A:N,2,0)/30)+1,模板计算相关数据!$O$35:$V$40,8,0)</f>
        <v>0</v>
      </c>
      <c r="AU927" s="2"/>
    </row>
    <row r="928" spans="1:47" x14ac:dyDescent="0.2">
      <c r="A928" s="86">
        <v>52001021</v>
      </c>
      <c r="B928" s="86"/>
      <c r="C928" s="69" t="s">
        <v>1463</v>
      </c>
      <c r="D928" s="69" t="s">
        <v>1853</v>
      </c>
      <c r="E928" s="2"/>
      <c r="F928" s="3">
        <v>4</v>
      </c>
      <c r="G928" s="3">
        <v>103401</v>
      </c>
      <c r="H928" s="3">
        <v>3</v>
      </c>
      <c r="I928" s="2">
        <v>1</v>
      </c>
      <c r="J928" s="3">
        <v>2</v>
      </c>
      <c r="K928" s="3">
        <v>2</v>
      </c>
      <c r="L928" s="69" t="s">
        <v>1529</v>
      </c>
      <c r="M928" s="2"/>
      <c r="N928" s="2">
        <v>1</v>
      </c>
      <c r="O928" s="2"/>
      <c r="P928" s="3" t="s">
        <v>1615</v>
      </c>
      <c r="Q928" s="95">
        <v>16</v>
      </c>
      <c r="R928" s="133">
        <f>IF(P928=模板计算相关数据!$AB$24,VLOOKUP(X928,模板计算相关数据!$P$47:$T$50,2,0),VLOOKUP(X928,模板计算相关数据!$P$4:$U$7,3,0))*VLOOKUP(Y928,模板计算相关数据!$P$22:$X$30,8,0)</f>
        <v>22.400000000000006</v>
      </c>
      <c r="S928" s="62">
        <f t="shared" si="80"/>
        <v>3.6378187638691841</v>
      </c>
      <c r="T928" s="133">
        <f>IF(P928=模板计算相关数据!$AB$24,VLOOKUP(X928,模板计算相关数据!$P$47:$T$50,5,0),VLOOKUP(X928,模板计算相关数据!$P$4:$U$7,6,0))*VLOOKUP(Y928,模板计算相关数据!$P$22:$X$30,9,0)</f>
        <v>3.6378187638691841</v>
      </c>
      <c r="U928" s="98">
        <v>60</v>
      </c>
      <c r="V928" s="95">
        <f t="shared" si="78"/>
        <v>42</v>
      </c>
      <c r="W928" s="29">
        <f>VLOOKUP(U928,模板计算相关数据!A:N,2,0)</f>
        <v>39</v>
      </c>
      <c r="X928" s="3" t="s">
        <v>178</v>
      </c>
      <c r="Y928" s="3" t="s">
        <v>255</v>
      </c>
      <c r="Z928" s="95">
        <v>1</v>
      </c>
      <c r="AA928" s="95">
        <v>1</v>
      </c>
      <c r="AB928" s="95">
        <v>1</v>
      </c>
      <c r="AC928" s="95">
        <v>1</v>
      </c>
      <c r="AD928" s="95">
        <v>0</v>
      </c>
      <c r="AE928" s="95">
        <v>0</v>
      </c>
      <c r="AF928" s="95">
        <v>0</v>
      </c>
      <c r="AG928" s="95">
        <v>0</v>
      </c>
      <c r="AH928" s="95">
        <v>0</v>
      </c>
      <c r="AI928" s="95">
        <v>4000</v>
      </c>
      <c r="AJ928" s="3">
        <f>INT(VLOOKUP(U928,模板计算相关数据!A:N,4,0)*VLOOKUP(U928,模板计算相关数据!A:N,14,0)*(1+MAX(0,(VLOOKUP(U928,模板计算相关数据!A:N,7,0)-AQ928))*VLOOKUP(U928,模板计算相关数据!A:N,8,0))*(1-(AL928+AM928)*0.5/((AL928+AM928)*0.5+(VLOOKUP(U928,模板计算相关数据!A:N,2,0)+模板计算相关数据!$AC$27)*模板计算相关数据!$AC$28))*Q928*Z928)</f>
        <v>11675</v>
      </c>
      <c r="AK928" s="3">
        <f>INT(VLOOKUP(U928,模板计算相关数据!A:N,3,0)/模板计算相关数据!$W$35/(1+MAX(0,(AO928/10000-VLOOKUP(U928,模板计算相关数据!A:N,9,0)))*AP928/10000)/(1-VLOOKUP(U928,模板计算相关数据!A:N,5,0)/(VLOOKUP(U928,模板计算相关数据!A:N,5,0)+(VLOOKUP(U928,模板计算相关数据!A:N,2,0)+模板计算相关数据!$AC$27)*模板计算相关数据!$AC$28))/S928*AA928)</f>
        <v>2155</v>
      </c>
      <c r="AL928" s="3">
        <f>INT(VLOOKUP(U928,模板计算相关数据!A:N,5,0)*VLOOKUP(X928,模板计算相关数据!$P$4:$T$7,4,0)*VLOOKUP(Y928,模板计算相关数据!$P$22:$U$30,4,0)*AB928)</f>
        <v>2847</v>
      </c>
      <c r="AM928" s="3">
        <f>INT(VLOOKUP(U928,模板计算相关数据!A:N,6,0)*VLOOKUP(X928,模板计算相关数据!$P$4:$T$7,4,0)*VLOOKUP(Y928,模板计算相关数据!$P$22:$U$30,5,0)*AC928)</f>
        <v>5268</v>
      </c>
      <c r="AN928" s="3">
        <f>VLOOKUP(U928,模板计算相关数据!A:N,10,0)*0.5*VLOOKUP(Y928,模板计算相关数据!$P$22:$U$30,6,0)+AD928</f>
        <v>225</v>
      </c>
      <c r="AO928" s="3">
        <f>VLOOKUP(INT(VLOOKUP(U928,模板计算相关数据!A:N,2,0)/30)+1,模板计算相关数据!$O$35:$U$40,3,0)+AE928</f>
        <v>0</v>
      </c>
      <c r="AP928" s="3">
        <f>VLOOKUP(INT(VLOOKUP(U928,模板计算相关数据!A:N,2,0)/30)+1,模板计算相关数据!$O$35:$U$40,4,0)+AF928</f>
        <v>5000</v>
      </c>
      <c r="AQ928" s="3">
        <f>VLOOKUP(INT(VLOOKUP(U928,模板计算相关数据!A:N,2,0)/30)+1,模板计算相关数据!$O$35:$U$40,5,0)+AG928</f>
        <v>0</v>
      </c>
      <c r="AR928" s="3">
        <f>VLOOKUP(INT(VLOOKUP(U928,模板计算相关数据!A:N,2,0)/30)+1,模板计算相关数据!$O$35:$U$40,6,0)+AH928</f>
        <v>0</v>
      </c>
      <c r="AS928" s="3">
        <f>VLOOKUP(INT(VLOOKUP(U928,模板计算相关数据!A:N,2,0)/30)+1,模板计算相关数据!$O$35:$U$40,7,0)+AI928</f>
        <v>4000</v>
      </c>
      <c r="AT928" s="3">
        <f>VLOOKUP(INT(VLOOKUP(U928,模板计算相关数据!A:N,2,0)/30)+1,模板计算相关数据!$O$35:$V$40,8,0)</f>
        <v>0</v>
      </c>
      <c r="AU928" s="2"/>
    </row>
    <row r="929" spans="1:47" x14ac:dyDescent="0.2">
      <c r="A929" s="86">
        <v>52001031</v>
      </c>
      <c r="B929" s="86"/>
      <c r="C929" s="69" t="s">
        <v>1463</v>
      </c>
      <c r="D929" s="69" t="s">
        <v>1854</v>
      </c>
      <c r="E929" s="2"/>
      <c r="F929" s="3">
        <v>4</v>
      </c>
      <c r="G929" s="3">
        <v>103401</v>
      </c>
      <c r="H929" s="3">
        <v>3</v>
      </c>
      <c r="I929" s="2">
        <v>1</v>
      </c>
      <c r="J929" s="3">
        <v>2</v>
      </c>
      <c r="K929" s="3">
        <v>2</v>
      </c>
      <c r="L929" s="69" t="s">
        <v>1529</v>
      </c>
      <c r="M929" s="2"/>
      <c r="N929" s="2">
        <v>1</v>
      </c>
      <c r="O929" s="2"/>
      <c r="P929" s="3" t="s">
        <v>1615</v>
      </c>
      <c r="Q929" s="95">
        <v>16</v>
      </c>
      <c r="R929" s="133">
        <f>IF(P929=模板计算相关数据!$AB$24,VLOOKUP(X929,模板计算相关数据!$P$47:$T$50,2,0),VLOOKUP(X929,模板计算相关数据!$P$4:$U$7,3,0))*VLOOKUP(Y929,模板计算相关数据!$P$22:$X$30,8,0)</f>
        <v>22.400000000000006</v>
      </c>
      <c r="S929" s="62">
        <f t="shared" si="80"/>
        <v>3.6378187638691841</v>
      </c>
      <c r="T929" s="133">
        <f>IF(P929=模板计算相关数据!$AB$24,VLOOKUP(X929,模板计算相关数据!$P$47:$T$50,5,0),VLOOKUP(X929,模板计算相关数据!$P$4:$U$7,6,0))*VLOOKUP(Y929,模板计算相关数据!$P$22:$X$30,9,0)</f>
        <v>3.6378187638691841</v>
      </c>
      <c r="U929" s="98">
        <v>60</v>
      </c>
      <c r="V929" s="95">
        <f t="shared" si="78"/>
        <v>42</v>
      </c>
      <c r="W929" s="29">
        <f>VLOOKUP(U929,模板计算相关数据!A:N,2,0)</f>
        <v>39</v>
      </c>
      <c r="X929" s="3" t="s">
        <v>178</v>
      </c>
      <c r="Y929" s="3" t="s">
        <v>255</v>
      </c>
      <c r="Z929" s="95">
        <v>1</v>
      </c>
      <c r="AA929" s="95">
        <v>1</v>
      </c>
      <c r="AB929" s="95">
        <v>1</v>
      </c>
      <c r="AC929" s="95">
        <v>1</v>
      </c>
      <c r="AD929" s="95">
        <v>0</v>
      </c>
      <c r="AE929" s="95">
        <v>0</v>
      </c>
      <c r="AF929" s="95">
        <v>0</v>
      </c>
      <c r="AG929" s="95">
        <v>0</v>
      </c>
      <c r="AH929" s="95">
        <v>0</v>
      </c>
      <c r="AI929" s="95">
        <v>4000</v>
      </c>
      <c r="AJ929" s="3">
        <f>INT(VLOOKUP(U929,模板计算相关数据!A:N,4,0)*VLOOKUP(U929,模板计算相关数据!A:N,14,0)*(1+MAX(0,(VLOOKUP(U929,模板计算相关数据!A:N,7,0)-AQ929))*VLOOKUP(U929,模板计算相关数据!A:N,8,0))*(1-(AL929+AM929)*0.5/((AL929+AM929)*0.5+(VLOOKUP(U929,模板计算相关数据!A:N,2,0)+模板计算相关数据!$AC$27)*模板计算相关数据!$AC$28))*Q929*Z929)</f>
        <v>11675</v>
      </c>
      <c r="AK929" s="3">
        <f>INT(VLOOKUP(U929,模板计算相关数据!A:N,3,0)/模板计算相关数据!$W$35/(1+MAX(0,(AO929/10000-VLOOKUP(U929,模板计算相关数据!A:N,9,0)))*AP929/10000)/(1-VLOOKUP(U929,模板计算相关数据!A:N,5,0)/(VLOOKUP(U929,模板计算相关数据!A:N,5,0)+(VLOOKUP(U929,模板计算相关数据!A:N,2,0)+模板计算相关数据!$AC$27)*模板计算相关数据!$AC$28))/S929*AA929)</f>
        <v>2155</v>
      </c>
      <c r="AL929" s="3">
        <f>INT(VLOOKUP(U929,模板计算相关数据!A:N,5,0)*VLOOKUP(X929,模板计算相关数据!$P$4:$T$7,4,0)*VLOOKUP(Y929,模板计算相关数据!$P$22:$U$30,4,0)*AB929)</f>
        <v>2847</v>
      </c>
      <c r="AM929" s="3">
        <f>INT(VLOOKUP(U929,模板计算相关数据!A:N,6,0)*VLOOKUP(X929,模板计算相关数据!$P$4:$T$7,4,0)*VLOOKUP(Y929,模板计算相关数据!$P$22:$U$30,5,0)*AC929)</f>
        <v>5268</v>
      </c>
      <c r="AN929" s="3">
        <f>VLOOKUP(U929,模板计算相关数据!A:N,10,0)*0.5*VLOOKUP(Y929,模板计算相关数据!$P$22:$U$30,6,0)+AD929</f>
        <v>225</v>
      </c>
      <c r="AO929" s="3">
        <f>VLOOKUP(INT(VLOOKUP(U929,模板计算相关数据!A:N,2,0)/30)+1,模板计算相关数据!$O$35:$U$40,3,0)+AE929</f>
        <v>0</v>
      </c>
      <c r="AP929" s="3">
        <f>VLOOKUP(INT(VLOOKUP(U929,模板计算相关数据!A:N,2,0)/30)+1,模板计算相关数据!$O$35:$U$40,4,0)+AF929</f>
        <v>5000</v>
      </c>
      <c r="AQ929" s="3">
        <f>VLOOKUP(INT(VLOOKUP(U929,模板计算相关数据!A:N,2,0)/30)+1,模板计算相关数据!$O$35:$U$40,5,0)+AG929</f>
        <v>0</v>
      </c>
      <c r="AR929" s="3">
        <f>VLOOKUP(INT(VLOOKUP(U929,模板计算相关数据!A:N,2,0)/30)+1,模板计算相关数据!$O$35:$U$40,6,0)+AH929</f>
        <v>0</v>
      </c>
      <c r="AS929" s="3">
        <f>VLOOKUP(INT(VLOOKUP(U929,模板计算相关数据!A:N,2,0)/30)+1,模板计算相关数据!$O$35:$U$40,7,0)+AI929</f>
        <v>4000</v>
      </c>
      <c r="AT929" s="3">
        <f>VLOOKUP(INT(VLOOKUP(U929,模板计算相关数据!A:N,2,0)/30)+1,模板计算相关数据!$O$35:$V$40,8,0)</f>
        <v>0</v>
      </c>
      <c r="AU929" s="2"/>
    </row>
    <row r="930" spans="1:47" x14ac:dyDescent="0.2">
      <c r="A930" s="86">
        <v>52001041</v>
      </c>
      <c r="B930" s="86"/>
      <c r="C930" s="69" t="s">
        <v>1463</v>
      </c>
      <c r="D930" s="69" t="s">
        <v>1855</v>
      </c>
      <c r="E930" s="2"/>
      <c r="F930" s="3">
        <v>4</v>
      </c>
      <c r="G930" s="3">
        <v>103401</v>
      </c>
      <c r="H930" s="3">
        <v>3</v>
      </c>
      <c r="I930" s="2">
        <v>1</v>
      </c>
      <c r="J930" s="3">
        <v>2</v>
      </c>
      <c r="K930" s="3">
        <v>2</v>
      </c>
      <c r="L930" s="69" t="s">
        <v>1529</v>
      </c>
      <c r="M930" s="2"/>
      <c r="N930" s="2">
        <v>1</v>
      </c>
      <c r="O930" s="2"/>
      <c r="P930" s="3" t="s">
        <v>1615</v>
      </c>
      <c r="Q930" s="95">
        <v>16</v>
      </c>
      <c r="R930" s="133">
        <f>IF(P930=模板计算相关数据!$AB$24,VLOOKUP(X930,模板计算相关数据!$P$47:$T$50,2,0),VLOOKUP(X930,模板计算相关数据!$P$4:$U$7,3,0))*VLOOKUP(Y930,模板计算相关数据!$P$22:$X$30,8,0)</f>
        <v>22.400000000000006</v>
      </c>
      <c r="S930" s="62">
        <f t="shared" si="80"/>
        <v>3.6378187638691841</v>
      </c>
      <c r="T930" s="133">
        <f>IF(P930=模板计算相关数据!$AB$24,VLOOKUP(X930,模板计算相关数据!$P$47:$T$50,5,0),VLOOKUP(X930,模板计算相关数据!$P$4:$U$7,6,0))*VLOOKUP(Y930,模板计算相关数据!$P$22:$X$30,9,0)</f>
        <v>3.6378187638691841</v>
      </c>
      <c r="U930" s="98">
        <v>60</v>
      </c>
      <c r="V930" s="95">
        <f t="shared" si="78"/>
        <v>42</v>
      </c>
      <c r="W930" s="29">
        <f>VLOOKUP(U930,模板计算相关数据!A:N,2,0)</f>
        <v>39</v>
      </c>
      <c r="X930" s="3" t="s">
        <v>178</v>
      </c>
      <c r="Y930" s="3" t="s">
        <v>255</v>
      </c>
      <c r="Z930" s="95">
        <v>1</v>
      </c>
      <c r="AA930" s="95">
        <v>1</v>
      </c>
      <c r="AB930" s="95">
        <v>1</v>
      </c>
      <c r="AC930" s="95">
        <v>1</v>
      </c>
      <c r="AD930" s="95">
        <v>0</v>
      </c>
      <c r="AE930" s="95">
        <v>0</v>
      </c>
      <c r="AF930" s="95">
        <v>0</v>
      </c>
      <c r="AG930" s="95">
        <v>0</v>
      </c>
      <c r="AH930" s="95">
        <v>0</v>
      </c>
      <c r="AI930" s="95">
        <v>4000</v>
      </c>
      <c r="AJ930" s="3">
        <f>INT(VLOOKUP(U930,模板计算相关数据!A:N,4,0)*VLOOKUP(U930,模板计算相关数据!A:N,14,0)*(1+MAX(0,(VLOOKUP(U930,模板计算相关数据!A:N,7,0)-AQ930))*VLOOKUP(U930,模板计算相关数据!A:N,8,0))*(1-(AL930+AM930)*0.5/((AL930+AM930)*0.5+(VLOOKUP(U930,模板计算相关数据!A:N,2,0)+模板计算相关数据!$AC$27)*模板计算相关数据!$AC$28))*Q930*Z930)</f>
        <v>11675</v>
      </c>
      <c r="AK930" s="3">
        <f>INT(VLOOKUP(U930,模板计算相关数据!A:N,3,0)/模板计算相关数据!$W$35/(1+MAX(0,(AO930/10000-VLOOKUP(U930,模板计算相关数据!A:N,9,0)))*AP930/10000)/(1-VLOOKUP(U930,模板计算相关数据!A:N,5,0)/(VLOOKUP(U930,模板计算相关数据!A:N,5,0)+(VLOOKUP(U930,模板计算相关数据!A:N,2,0)+模板计算相关数据!$AC$27)*模板计算相关数据!$AC$28))/S930*AA930)</f>
        <v>2155</v>
      </c>
      <c r="AL930" s="3">
        <f>INT(VLOOKUP(U930,模板计算相关数据!A:N,5,0)*VLOOKUP(X930,模板计算相关数据!$P$4:$T$7,4,0)*VLOOKUP(Y930,模板计算相关数据!$P$22:$U$30,4,0)*AB930)</f>
        <v>2847</v>
      </c>
      <c r="AM930" s="3">
        <f>INT(VLOOKUP(U930,模板计算相关数据!A:N,6,0)*VLOOKUP(X930,模板计算相关数据!$P$4:$T$7,4,0)*VLOOKUP(Y930,模板计算相关数据!$P$22:$U$30,5,0)*AC930)</f>
        <v>5268</v>
      </c>
      <c r="AN930" s="3">
        <f>VLOOKUP(U930,模板计算相关数据!A:N,10,0)*0.5*VLOOKUP(Y930,模板计算相关数据!$P$22:$U$30,6,0)+AD930</f>
        <v>225</v>
      </c>
      <c r="AO930" s="3">
        <f>VLOOKUP(INT(VLOOKUP(U930,模板计算相关数据!A:N,2,0)/30)+1,模板计算相关数据!$O$35:$U$40,3,0)+AE930</f>
        <v>0</v>
      </c>
      <c r="AP930" s="3">
        <f>VLOOKUP(INT(VLOOKUP(U930,模板计算相关数据!A:N,2,0)/30)+1,模板计算相关数据!$O$35:$U$40,4,0)+AF930</f>
        <v>5000</v>
      </c>
      <c r="AQ930" s="3">
        <f>VLOOKUP(INT(VLOOKUP(U930,模板计算相关数据!A:N,2,0)/30)+1,模板计算相关数据!$O$35:$U$40,5,0)+AG930</f>
        <v>0</v>
      </c>
      <c r="AR930" s="3">
        <f>VLOOKUP(INT(VLOOKUP(U930,模板计算相关数据!A:N,2,0)/30)+1,模板计算相关数据!$O$35:$U$40,6,0)+AH930</f>
        <v>0</v>
      </c>
      <c r="AS930" s="3">
        <f>VLOOKUP(INT(VLOOKUP(U930,模板计算相关数据!A:N,2,0)/30)+1,模板计算相关数据!$O$35:$U$40,7,0)+AI930</f>
        <v>4000</v>
      </c>
      <c r="AT930" s="3">
        <f>VLOOKUP(INT(VLOOKUP(U930,模板计算相关数据!A:N,2,0)/30)+1,模板计算相关数据!$O$35:$V$40,8,0)</f>
        <v>0</v>
      </c>
      <c r="AU930" s="2"/>
    </row>
    <row r="931" spans="1:47" x14ac:dyDescent="0.2">
      <c r="A931" s="86">
        <v>52001051</v>
      </c>
      <c r="B931" s="86"/>
      <c r="C931" s="69" t="s">
        <v>1463</v>
      </c>
      <c r="D931" s="69" t="s">
        <v>1856</v>
      </c>
      <c r="E931" s="2"/>
      <c r="F931" s="3">
        <v>4</v>
      </c>
      <c r="G931" s="3">
        <v>103401</v>
      </c>
      <c r="H931" s="3">
        <v>3</v>
      </c>
      <c r="I931" s="2">
        <v>1</v>
      </c>
      <c r="J931" s="3">
        <v>2</v>
      </c>
      <c r="K931" s="3">
        <v>2</v>
      </c>
      <c r="L931" s="69" t="s">
        <v>1529</v>
      </c>
      <c r="M931" s="2"/>
      <c r="N931" s="2">
        <v>1</v>
      </c>
      <c r="O931" s="2"/>
      <c r="P931" s="3" t="s">
        <v>1615</v>
      </c>
      <c r="Q931" s="95">
        <v>16</v>
      </c>
      <c r="R931" s="133">
        <f>IF(P931=模板计算相关数据!$AB$24,VLOOKUP(X931,模板计算相关数据!$P$47:$T$50,2,0),VLOOKUP(X931,模板计算相关数据!$P$4:$U$7,3,0))*VLOOKUP(Y931,模板计算相关数据!$P$22:$X$30,8,0)</f>
        <v>22.400000000000006</v>
      </c>
      <c r="S931" s="62">
        <f t="shared" si="80"/>
        <v>3.6378187638691841</v>
      </c>
      <c r="T931" s="133">
        <f>IF(P931=模板计算相关数据!$AB$24,VLOOKUP(X931,模板计算相关数据!$P$47:$T$50,5,0),VLOOKUP(X931,模板计算相关数据!$P$4:$U$7,6,0))*VLOOKUP(Y931,模板计算相关数据!$P$22:$X$30,9,0)</f>
        <v>3.6378187638691841</v>
      </c>
      <c r="U931" s="98">
        <v>60</v>
      </c>
      <c r="V931" s="95">
        <f t="shared" si="78"/>
        <v>42</v>
      </c>
      <c r="W931" s="29">
        <f>VLOOKUP(U931,模板计算相关数据!A:N,2,0)</f>
        <v>39</v>
      </c>
      <c r="X931" s="3" t="s">
        <v>178</v>
      </c>
      <c r="Y931" s="3" t="s">
        <v>255</v>
      </c>
      <c r="Z931" s="95">
        <v>1</v>
      </c>
      <c r="AA931" s="95">
        <v>1</v>
      </c>
      <c r="AB931" s="95">
        <v>1</v>
      </c>
      <c r="AC931" s="95">
        <v>1</v>
      </c>
      <c r="AD931" s="95">
        <v>0</v>
      </c>
      <c r="AE931" s="95">
        <v>0</v>
      </c>
      <c r="AF931" s="95">
        <v>0</v>
      </c>
      <c r="AG931" s="95">
        <v>0</v>
      </c>
      <c r="AH931" s="95">
        <v>0</v>
      </c>
      <c r="AI931" s="95">
        <v>4000</v>
      </c>
      <c r="AJ931" s="3">
        <f>INT(VLOOKUP(U931,模板计算相关数据!A:N,4,0)*VLOOKUP(U931,模板计算相关数据!A:N,14,0)*(1+MAX(0,(VLOOKUP(U931,模板计算相关数据!A:N,7,0)-AQ931))*VLOOKUP(U931,模板计算相关数据!A:N,8,0))*(1-(AL931+AM931)*0.5/((AL931+AM931)*0.5+(VLOOKUP(U931,模板计算相关数据!A:N,2,0)+模板计算相关数据!$AC$27)*模板计算相关数据!$AC$28))*Q931*Z931)</f>
        <v>11675</v>
      </c>
      <c r="AK931" s="3">
        <f>INT(VLOOKUP(U931,模板计算相关数据!A:N,3,0)/模板计算相关数据!$W$35/(1+MAX(0,(AO931/10000-VLOOKUP(U931,模板计算相关数据!A:N,9,0)))*AP931/10000)/(1-VLOOKUP(U931,模板计算相关数据!A:N,5,0)/(VLOOKUP(U931,模板计算相关数据!A:N,5,0)+(VLOOKUP(U931,模板计算相关数据!A:N,2,0)+模板计算相关数据!$AC$27)*模板计算相关数据!$AC$28))/S931*AA931)</f>
        <v>2155</v>
      </c>
      <c r="AL931" s="3">
        <f>INT(VLOOKUP(U931,模板计算相关数据!A:N,5,0)*VLOOKUP(X931,模板计算相关数据!$P$4:$T$7,4,0)*VLOOKUP(Y931,模板计算相关数据!$P$22:$U$30,4,0)*AB931)</f>
        <v>2847</v>
      </c>
      <c r="AM931" s="3">
        <f>INT(VLOOKUP(U931,模板计算相关数据!A:N,6,0)*VLOOKUP(X931,模板计算相关数据!$P$4:$T$7,4,0)*VLOOKUP(Y931,模板计算相关数据!$P$22:$U$30,5,0)*AC931)</f>
        <v>5268</v>
      </c>
      <c r="AN931" s="3">
        <f>VLOOKUP(U931,模板计算相关数据!A:N,10,0)*0.5*VLOOKUP(Y931,模板计算相关数据!$P$22:$U$30,6,0)+AD931</f>
        <v>225</v>
      </c>
      <c r="AO931" s="3">
        <f>VLOOKUP(INT(VLOOKUP(U931,模板计算相关数据!A:N,2,0)/30)+1,模板计算相关数据!$O$35:$U$40,3,0)+AE931</f>
        <v>0</v>
      </c>
      <c r="AP931" s="3">
        <f>VLOOKUP(INT(VLOOKUP(U931,模板计算相关数据!A:N,2,0)/30)+1,模板计算相关数据!$O$35:$U$40,4,0)+AF931</f>
        <v>5000</v>
      </c>
      <c r="AQ931" s="3">
        <f>VLOOKUP(INT(VLOOKUP(U931,模板计算相关数据!A:N,2,0)/30)+1,模板计算相关数据!$O$35:$U$40,5,0)+AG931</f>
        <v>0</v>
      </c>
      <c r="AR931" s="3">
        <f>VLOOKUP(INT(VLOOKUP(U931,模板计算相关数据!A:N,2,0)/30)+1,模板计算相关数据!$O$35:$U$40,6,0)+AH931</f>
        <v>0</v>
      </c>
      <c r="AS931" s="3">
        <f>VLOOKUP(INT(VLOOKUP(U931,模板计算相关数据!A:N,2,0)/30)+1,模板计算相关数据!$O$35:$U$40,7,0)+AI931</f>
        <v>4000</v>
      </c>
      <c r="AT931" s="3">
        <f>VLOOKUP(INT(VLOOKUP(U931,模板计算相关数据!A:N,2,0)/30)+1,模板计算相关数据!$O$35:$V$40,8,0)</f>
        <v>0</v>
      </c>
      <c r="AU931" s="2"/>
    </row>
    <row r="932" spans="1:47" x14ac:dyDescent="0.2">
      <c r="A932" s="35">
        <v>52002011</v>
      </c>
      <c r="B932" s="35"/>
      <c r="C932" s="69" t="s">
        <v>944</v>
      </c>
      <c r="D932" s="2" t="s">
        <v>1464</v>
      </c>
      <c r="E932" s="2"/>
      <c r="F932" s="3">
        <v>1</v>
      </c>
      <c r="G932" s="3">
        <v>103001</v>
      </c>
      <c r="H932" s="3">
        <v>4</v>
      </c>
      <c r="I932" s="3">
        <v>4</v>
      </c>
      <c r="J932" s="3">
        <v>5</v>
      </c>
      <c r="K932" s="3">
        <v>2</v>
      </c>
      <c r="L932" s="91" t="s">
        <v>1839</v>
      </c>
      <c r="M932" s="2"/>
      <c r="N932" s="2">
        <v>1</v>
      </c>
      <c r="O932" s="2"/>
      <c r="P932" s="3" t="s">
        <v>1615</v>
      </c>
      <c r="Q932" s="95">
        <f t="shared" si="79"/>
        <v>7.1479215686274511</v>
      </c>
      <c r="R932" s="133">
        <f>IF(P932=模板计算相关数据!$AB$24,VLOOKUP(X932,模板计算相关数据!$P$47:$T$50,2,0),VLOOKUP(X932,模板计算相关数据!$P$4:$U$7,3,0))*VLOOKUP(Y932,模板计算相关数据!$P$22:$X$30,8,0)</f>
        <v>7.1479215686274511</v>
      </c>
      <c r="S932" s="62">
        <v>4.5</v>
      </c>
      <c r="T932" s="133">
        <f>IF(P932=模板计算相关数据!$AB$24,VLOOKUP(X932,模板计算相关数据!$P$47:$T$50,5,0),VLOOKUP(X932,模板计算相关数据!$P$4:$U$7,6,0))*VLOOKUP(Y932,模板计算相关数据!$P$22:$X$30,9,0)</f>
        <v>3.7896875023685541</v>
      </c>
      <c r="U932" s="98">
        <v>60</v>
      </c>
      <c r="V932" s="95">
        <f t="shared" si="78"/>
        <v>42</v>
      </c>
      <c r="W932" s="29">
        <f>VLOOKUP(U932,模板计算相关数据!A:N,2,0)</f>
        <v>39</v>
      </c>
      <c r="X932" s="3" t="s">
        <v>158</v>
      </c>
      <c r="Y932" s="3" t="s">
        <v>162</v>
      </c>
      <c r="Z932" s="95">
        <v>1</v>
      </c>
      <c r="AA932" s="95">
        <v>1</v>
      </c>
      <c r="AB932" s="95">
        <v>1</v>
      </c>
      <c r="AC932" s="95">
        <v>1</v>
      </c>
      <c r="AD932" s="95">
        <v>0</v>
      </c>
      <c r="AE932" s="95">
        <v>0</v>
      </c>
      <c r="AF932" s="95">
        <v>0</v>
      </c>
      <c r="AG932" s="95">
        <v>0</v>
      </c>
      <c r="AH932" s="95">
        <v>0</v>
      </c>
      <c r="AI932" s="95">
        <v>2000</v>
      </c>
      <c r="AJ932" s="3">
        <f>INT(VLOOKUP(U932,模板计算相关数据!A:N,4,0)*VLOOKUP(U932,模板计算相关数据!A:N,14,0)*(1+MAX(0,(VLOOKUP(U932,模板计算相关数据!A:N,7,0)-AQ932))*VLOOKUP(U932,模板计算相关数据!A:N,8,0))*(1-(AL932+AM932)*0.5/((AL932+AM932)*0.5+(VLOOKUP(U932,模板计算相关数据!A:N,2,0)+模板计算相关数据!$AC$27)*模板计算相关数据!$AC$28))*Q932*Z932)</f>
        <v>6068</v>
      </c>
      <c r="AK932" s="3">
        <f>INT(VLOOKUP(U932,模板计算相关数据!A:N,3,0)/模板计算相关数据!$W$35/(1+MAX(0,(AO932/10000-VLOOKUP(U932,模板计算相关数据!A:N,9,0)))*AP932/10000)/(1-VLOOKUP(U932,模板计算相关数据!A:N,5,0)/(VLOOKUP(U932,模板计算相关数据!A:N,5,0)+(VLOOKUP(U932,模板计算相关数据!A:N,2,0)+模板计算相关数据!$AC$27)*模板计算相关数据!$AC$28))/S932*AA932)</f>
        <v>1742</v>
      </c>
      <c r="AL932" s="3">
        <f>INT(VLOOKUP(U932,模板计算相关数据!A:N,5,0)*VLOOKUP(X932,模板计算相关数据!$P$4:$T$7,4,0)*VLOOKUP(Y932,模板计算相关数据!$P$22:$U$30,4,0)*AB932)</f>
        <v>2169</v>
      </c>
      <c r="AM932" s="3">
        <f>INT(VLOOKUP(U932,模板计算相关数据!A:N,6,0)*VLOOKUP(X932,模板计算相关数据!$P$4:$T$7,4,0)*VLOOKUP(Y932,模板计算相关数据!$P$22:$U$30,5,0)*AC932)</f>
        <v>3647</v>
      </c>
      <c r="AN932" s="3">
        <f>VLOOKUP(U932,模板计算相关数据!A:N,10,0)*0.5*VLOOKUP(Y932,模板计算相关数据!$P$22:$U$30,6,0)+AD932</f>
        <v>250</v>
      </c>
      <c r="AO932" s="3">
        <f>VLOOKUP(INT(VLOOKUP(U932,模板计算相关数据!A:N,2,0)/30)+1,模板计算相关数据!$O$35:$U$40,3,0)+AE932</f>
        <v>0</v>
      </c>
      <c r="AP932" s="3">
        <f>VLOOKUP(INT(VLOOKUP(U932,模板计算相关数据!A:N,2,0)/30)+1,模板计算相关数据!$O$35:$U$40,4,0)+AF932</f>
        <v>5000</v>
      </c>
      <c r="AQ932" s="3">
        <f>VLOOKUP(INT(VLOOKUP(U932,模板计算相关数据!A:N,2,0)/30)+1,模板计算相关数据!$O$35:$U$40,5,0)+AG932</f>
        <v>0</v>
      </c>
      <c r="AR932" s="3">
        <f>VLOOKUP(INT(VLOOKUP(U932,模板计算相关数据!A:N,2,0)/30)+1,模板计算相关数据!$O$35:$U$40,6,0)+AH932</f>
        <v>0</v>
      </c>
      <c r="AS932" s="3">
        <f>VLOOKUP(INT(VLOOKUP(U932,模板计算相关数据!A:N,2,0)/30)+1,模板计算相关数据!$O$35:$U$40,7,0)+AI932</f>
        <v>2000</v>
      </c>
      <c r="AT932" s="3">
        <f>VLOOKUP(INT(VLOOKUP(U932,模板计算相关数据!A:N,2,0)/30)+1,模板计算相关数据!$O$35:$V$40,8,0)</f>
        <v>0</v>
      </c>
      <c r="AU932" s="2"/>
    </row>
    <row r="933" spans="1:47" x14ac:dyDescent="0.2">
      <c r="A933" s="86">
        <v>52002021</v>
      </c>
      <c r="B933" s="86"/>
      <c r="C933" s="69" t="s">
        <v>944</v>
      </c>
      <c r="D933" s="2" t="s">
        <v>1465</v>
      </c>
      <c r="E933" s="2"/>
      <c r="F933" s="3">
        <v>1</v>
      </c>
      <c r="G933" s="3">
        <v>103001</v>
      </c>
      <c r="H933" s="3">
        <v>4</v>
      </c>
      <c r="I933" s="3">
        <v>4</v>
      </c>
      <c r="J933" s="3">
        <v>5</v>
      </c>
      <c r="K933" s="3">
        <v>2</v>
      </c>
      <c r="L933" s="91" t="s">
        <v>1839</v>
      </c>
      <c r="M933" s="2"/>
      <c r="N933" s="2">
        <v>1</v>
      </c>
      <c r="O933" s="2"/>
      <c r="P933" s="3" t="s">
        <v>1615</v>
      </c>
      <c r="Q933" s="95">
        <f t="shared" si="79"/>
        <v>7.1479215686274511</v>
      </c>
      <c r="R933" s="133">
        <f>IF(P933=模板计算相关数据!$AB$24,VLOOKUP(X933,模板计算相关数据!$P$47:$T$50,2,0),VLOOKUP(X933,模板计算相关数据!$P$4:$U$7,3,0))*VLOOKUP(Y933,模板计算相关数据!$P$22:$X$30,8,0)</f>
        <v>7.1479215686274511</v>
      </c>
      <c r="S933" s="62">
        <v>4.45</v>
      </c>
      <c r="T933" s="133">
        <f>IF(P933=模板计算相关数据!$AB$24,VLOOKUP(X933,模板计算相关数据!$P$47:$T$50,5,0),VLOOKUP(X933,模板计算相关数据!$P$4:$U$7,6,0))*VLOOKUP(Y933,模板计算相关数据!$P$22:$X$30,9,0)</f>
        <v>3.7896875023685541</v>
      </c>
      <c r="U933" s="98">
        <v>60</v>
      </c>
      <c r="V933" s="95">
        <f t="shared" si="78"/>
        <v>42</v>
      </c>
      <c r="W933" s="29">
        <f>VLOOKUP(U933,模板计算相关数据!A:N,2,0)</f>
        <v>39</v>
      </c>
      <c r="X933" s="3" t="s">
        <v>158</v>
      </c>
      <c r="Y933" s="3" t="s">
        <v>162</v>
      </c>
      <c r="Z933" s="95">
        <v>1</v>
      </c>
      <c r="AA933" s="95">
        <v>1</v>
      </c>
      <c r="AB933" s="95">
        <v>1</v>
      </c>
      <c r="AC933" s="95">
        <v>1</v>
      </c>
      <c r="AD933" s="95">
        <v>0</v>
      </c>
      <c r="AE933" s="95">
        <v>0</v>
      </c>
      <c r="AF933" s="95">
        <v>0</v>
      </c>
      <c r="AG933" s="95">
        <v>0</v>
      </c>
      <c r="AH933" s="95">
        <v>0</v>
      </c>
      <c r="AI933" s="95">
        <v>2000</v>
      </c>
      <c r="AJ933" s="3">
        <f>INT(VLOOKUP(U933,模板计算相关数据!A:N,4,0)*VLOOKUP(U933,模板计算相关数据!A:N,14,0)*(1+MAX(0,(VLOOKUP(U933,模板计算相关数据!A:N,7,0)-AQ933))*VLOOKUP(U933,模板计算相关数据!A:N,8,0))*(1-(AL933+AM933)*0.5/((AL933+AM933)*0.5+(VLOOKUP(U933,模板计算相关数据!A:N,2,0)+模板计算相关数据!$AC$27)*模板计算相关数据!$AC$28))*Q933*Z933)</f>
        <v>6068</v>
      </c>
      <c r="AK933" s="3">
        <f>INT(VLOOKUP(U933,模板计算相关数据!A:N,3,0)/模板计算相关数据!$W$35/(1+MAX(0,(AO933/10000-VLOOKUP(U933,模板计算相关数据!A:N,9,0)))*AP933/10000)/(1-VLOOKUP(U933,模板计算相关数据!A:N,5,0)/(VLOOKUP(U933,模板计算相关数据!A:N,5,0)+(VLOOKUP(U933,模板计算相关数据!A:N,2,0)+模板计算相关数据!$AC$27)*模板计算相关数据!$AC$28))/S933*AA933)</f>
        <v>1762</v>
      </c>
      <c r="AL933" s="3">
        <f>INT(VLOOKUP(U933,模板计算相关数据!A:N,5,0)*VLOOKUP(X933,模板计算相关数据!$P$4:$T$7,4,0)*VLOOKUP(Y933,模板计算相关数据!$P$22:$U$30,4,0)*AB933)</f>
        <v>2169</v>
      </c>
      <c r="AM933" s="3">
        <f>INT(VLOOKUP(U933,模板计算相关数据!A:N,6,0)*VLOOKUP(X933,模板计算相关数据!$P$4:$T$7,4,0)*VLOOKUP(Y933,模板计算相关数据!$P$22:$U$30,5,0)*AC933)</f>
        <v>3647</v>
      </c>
      <c r="AN933" s="3">
        <f>VLOOKUP(U933,模板计算相关数据!A:N,10,0)*0.5*VLOOKUP(Y933,模板计算相关数据!$P$22:$U$30,6,0)+AD933</f>
        <v>250</v>
      </c>
      <c r="AO933" s="3">
        <f>VLOOKUP(INT(VLOOKUP(U933,模板计算相关数据!A:N,2,0)/30)+1,模板计算相关数据!$O$35:$U$40,3,0)+AE933</f>
        <v>0</v>
      </c>
      <c r="AP933" s="3">
        <f>VLOOKUP(INT(VLOOKUP(U933,模板计算相关数据!A:N,2,0)/30)+1,模板计算相关数据!$O$35:$U$40,4,0)+AF933</f>
        <v>5000</v>
      </c>
      <c r="AQ933" s="3">
        <f>VLOOKUP(INT(VLOOKUP(U933,模板计算相关数据!A:N,2,0)/30)+1,模板计算相关数据!$O$35:$U$40,5,0)+AG933</f>
        <v>0</v>
      </c>
      <c r="AR933" s="3">
        <f>VLOOKUP(INT(VLOOKUP(U933,模板计算相关数据!A:N,2,0)/30)+1,模板计算相关数据!$O$35:$U$40,6,0)+AH933</f>
        <v>0</v>
      </c>
      <c r="AS933" s="3">
        <f>VLOOKUP(INT(VLOOKUP(U933,模板计算相关数据!A:N,2,0)/30)+1,模板计算相关数据!$O$35:$U$40,7,0)+AI933</f>
        <v>2000</v>
      </c>
      <c r="AT933" s="3">
        <f>VLOOKUP(INT(VLOOKUP(U933,模板计算相关数据!A:N,2,0)/30)+1,模板计算相关数据!$O$35:$V$40,8,0)</f>
        <v>0</v>
      </c>
      <c r="AU933" s="2"/>
    </row>
    <row r="934" spans="1:47" x14ac:dyDescent="0.2">
      <c r="A934" s="86">
        <v>52002031</v>
      </c>
      <c r="B934" s="86"/>
      <c r="C934" s="69" t="s">
        <v>944</v>
      </c>
      <c r="D934" s="2" t="s">
        <v>1466</v>
      </c>
      <c r="E934" s="2"/>
      <c r="F934" s="3">
        <v>1</v>
      </c>
      <c r="G934" s="3">
        <v>103001</v>
      </c>
      <c r="H934" s="3">
        <v>4</v>
      </c>
      <c r="I934" s="3">
        <v>4</v>
      </c>
      <c r="J934" s="3">
        <v>5</v>
      </c>
      <c r="K934" s="3">
        <v>2</v>
      </c>
      <c r="L934" s="91" t="s">
        <v>1839</v>
      </c>
      <c r="M934" s="2"/>
      <c r="N934" s="2">
        <v>1</v>
      </c>
      <c r="O934" s="2"/>
      <c r="P934" s="3" t="s">
        <v>1615</v>
      </c>
      <c r="Q934" s="95">
        <f t="shared" si="79"/>
        <v>7.1479215686274511</v>
      </c>
      <c r="R934" s="133">
        <f>IF(P934=模板计算相关数据!$AB$24,VLOOKUP(X934,模板计算相关数据!$P$47:$T$50,2,0),VLOOKUP(X934,模板计算相关数据!$P$4:$U$7,3,0))*VLOOKUP(Y934,模板计算相关数据!$P$22:$X$30,8,0)</f>
        <v>7.1479215686274511</v>
      </c>
      <c r="S934" s="62">
        <v>4.4000000000000004</v>
      </c>
      <c r="T934" s="133">
        <f>IF(P934=模板计算相关数据!$AB$24,VLOOKUP(X934,模板计算相关数据!$P$47:$T$50,5,0),VLOOKUP(X934,模板计算相关数据!$P$4:$U$7,6,0))*VLOOKUP(Y934,模板计算相关数据!$P$22:$X$30,9,0)</f>
        <v>3.7896875023685541</v>
      </c>
      <c r="U934" s="98">
        <v>60</v>
      </c>
      <c r="V934" s="95">
        <f t="shared" si="78"/>
        <v>42</v>
      </c>
      <c r="W934" s="29">
        <f>VLOOKUP(U934,模板计算相关数据!A:N,2,0)</f>
        <v>39</v>
      </c>
      <c r="X934" s="3" t="s">
        <v>158</v>
      </c>
      <c r="Y934" s="3" t="s">
        <v>162</v>
      </c>
      <c r="Z934" s="95">
        <v>1</v>
      </c>
      <c r="AA934" s="95">
        <v>1</v>
      </c>
      <c r="AB934" s="95">
        <v>1</v>
      </c>
      <c r="AC934" s="95">
        <v>1</v>
      </c>
      <c r="AD934" s="95">
        <v>0</v>
      </c>
      <c r="AE934" s="95">
        <v>0</v>
      </c>
      <c r="AF934" s="95">
        <v>0</v>
      </c>
      <c r="AG934" s="95">
        <v>0</v>
      </c>
      <c r="AH934" s="95">
        <v>0</v>
      </c>
      <c r="AI934" s="95">
        <v>2000</v>
      </c>
      <c r="AJ934" s="3">
        <f>INT(VLOOKUP(U934,模板计算相关数据!A:N,4,0)*VLOOKUP(U934,模板计算相关数据!A:N,14,0)*(1+MAX(0,(VLOOKUP(U934,模板计算相关数据!A:N,7,0)-AQ934))*VLOOKUP(U934,模板计算相关数据!A:N,8,0))*(1-(AL934+AM934)*0.5/((AL934+AM934)*0.5+(VLOOKUP(U934,模板计算相关数据!A:N,2,0)+模板计算相关数据!$AC$27)*模板计算相关数据!$AC$28))*Q934*Z934)</f>
        <v>6068</v>
      </c>
      <c r="AK934" s="3">
        <f>INT(VLOOKUP(U934,模板计算相关数据!A:N,3,0)/模板计算相关数据!$W$35/(1+MAX(0,(AO934/10000-VLOOKUP(U934,模板计算相关数据!A:N,9,0)))*AP934/10000)/(1-VLOOKUP(U934,模板计算相关数据!A:N,5,0)/(VLOOKUP(U934,模板计算相关数据!A:N,5,0)+(VLOOKUP(U934,模板计算相关数据!A:N,2,0)+模板计算相关数据!$AC$27)*模板计算相关数据!$AC$28))/S934*AA934)</f>
        <v>1782</v>
      </c>
      <c r="AL934" s="3">
        <f>INT(VLOOKUP(U934,模板计算相关数据!A:N,5,0)*VLOOKUP(X934,模板计算相关数据!$P$4:$T$7,4,0)*VLOOKUP(Y934,模板计算相关数据!$P$22:$U$30,4,0)*AB934)</f>
        <v>2169</v>
      </c>
      <c r="AM934" s="3">
        <f>INT(VLOOKUP(U934,模板计算相关数据!A:N,6,0)*VLOOKUP(X934,模板计算相关数据!$P$4:$T$7,4,0)*VLOOKUP(Y934,模板计算相关数据!$P$22:$U$30,5,0)*AC934)</f>
        <v>3647</v>
      </c>
      <c r="AN934" s="3">
        <f>VLOOKUP(U934,模板计算相关数据!A:N,10,0)*0.5*VLOOKUP(Y934,模板计算相关数据!$P$22:$U$30,6,0)+AD934</f>
        <v>250</v>
      </c>
      <c r="AO934" s="3">
        <f>VLOOKUP(INT(VLOOKUP(U934,模板计算相关数据!A:N,2,0)/30)+1,模板计算相关数据!$O$35:$U$40,3,0)+AE934</f>
        <v>0</v>
      </c>
      <c r="AP934" s="3">
        <f>VLOOKUP(INT(VLOOKUP(U934,模板计算相关数据!A:N,2,0)/30)+1,模板计算相关数据!$O$35:$U$40,4,0)+AF934</f>
        <v>5000</v>
      </c>
      <c r="AQ934" s="3">
        <f>VLOOKUP(INT(VLOOKUP(U934,模板计算相关数据!A:N,2,0)/30)+1,模板计算相关数据!$O$35:$U$40,5,0)+AG934</f>
        <v>0</v>
      </c>
      <c r="AR934" s="3">
        <f>VLOOKUP(INT(VLOOKUP(U934,模板计算相关数据!A:N,2,0)/30)+1,模板计算相关数据!$O$35:$U$40,6,0)+AH934</f>
        <v>0</v>
      </c>
      <c r="AS934" s="3">
        <f>VLOOKUP(INT(VLOOKUP(U934,模板计算相关数据!A:N,2,0)/30)+1,模板计算相关数据!$O$35:$U$40,7,0)+AI934</f>
        <v>2000</v>
      </c>
      <c r="AT934" s="3">
        <f>VLOOKUP(INT(VLOOKUP(U934,模板计算相关数据!A:N,2,0)/30)+1,模板计算相关数据!$O$35:$V$40,8,0)</f>
        <v>0</v>
      </c>
      <c r="AU934" s="2"/>
    </row>
    <row r="935" spans="1:47" x14ac:dyDescent="0.2">
      <c r="A935" s="86">
        <v>52002041</v>
      </c>
      <c r="B935" s="86"/>
      <c r="C935" s="69" t="s">
        <v>944</v>
      </c>
      <c r="D935" s="2" t="s">
        <v>1467</v>
      </c>
      <c r="E935" s="2"/>
      <c r="F935" s="3">
        <v>1</v>
      </c>
      <c r="G935" s="3">
        <v>103001</v>
      </c>
      <c r="H935" s="3">
        <v>4</v>
      </c>
      <c r="I935" s="3">
        <v>4</v>
      </c>
      <c r="J935" s="3">
        <v>5</v>
      </c>
      <c r="K935" s="3">
        <v>2</v>
      </c>
      <c r="L935" s="91" t="s">
        <v>1839</v>
      </c>
      <c r="M935" s="2"/>
      <c r="N935" s="2">
        <v>1</v>
      </c>
      <c r="O935" s="2"/>
      <c r="P935" s="3" t="s">
        <v>1615</v>
      </c>
      <c r="Q935" s="95">
        <f t="shared" si="79"/>
        <v>7.1479215686274511</v>
      </c>
      <c r="R935" s="133">
        <f>IF(P935=模板计算相关数据!$AB$24,VLOOKUP(X935,模板计算相关数据!$P$47:$T$50,2,0),VLOOKUP(X935,模板计算相关数据!$P$4:$U$7,3,0))*VLOOKUP(Y935,模板计算相关数据!$P$22:$X$30,8,0)</f>
        <v>7.1479215686274511</v>
      </c>
      <c r="S935" s="62">
        <v>4.3499999999999996</v>
      </c>
      <c r="T935" s="133">
        <f>IF(P935=模板计算相关数据!$AB$24,VLOOKUP(X935,模板计算相关数据!$P$47:$T$50,5,0),VLOOKUP(X935,模板计算相关数据!$P$4:$U$7,6,0))*VLOOKUP(Y935,模板计算相关数据!$P$22:$X$30,9,0)</f>
        <v>3.7896875023685541</v>
      </c>
      <c r="U935" s="98">
        <v>60</v>
      </c>
      <c r="V935" s="95">
        <f t="shared" si="78"/>
        <v>42</v>
      </c>
      <c r="W935" s="29">
        <f>VLOOKUP(U935,模板计算相关数据!A:N,2,0)</f>
        <v>39</v>
      </c>
      <c r="X935" s="3" t="s">
        <v>158</v>
      </c>
      <c r="Y935" s="3" t="s">
        <v>162</v>
      </c>
      <c r="Z935" s="95">
        <v>1</v>
      </c>
      <c r="AA935" s="95">
        <v>1</v>
      </c>
      <c r="AB935" s="95">
        <v>1</v>
      </c>
      <c r="AC935" s="95">
        <v>1</v>
      </c>
      <c r="AD935" s="95">
        <v>0</v>
      </c>
      <c r="AE935" s="95">
        <v>0</v>
      </c>
      <c r="AF935" s="95">
        <v>0</v>
      </c>
      <c r="AG935" s="95">
        <v>0</v>
      </c>
      <c r="AH935" s="95">
        <v>0</v>
      </c>
      <c r="AI935" s="95">
        <v>2000</v>
      </c>
      <c r="AJ935" s="3">
        <f>INT(VLOOKUP(U935,模板计算相关数据!A:N,4,0)*VLOOKUP(U935,模板计算相关数据!A:N,14,0)*(1+MAX(0,(VLOOKUP(U935,模板计算相关数据!A:N,7,0)-AQ935))*VLOOKUP(U935,模板计算相关数据!A:N,8,0))*(1-(AL935+AM935)*0.5/((AL935+AM935)*0.5+(VLOOKUP(U935,模板计算相关数据!A:N,2,0)+模板计算相关数据!$AC$27)*模板计算相关数据!$AC$28))*Q935*Z935)</f>
        <v>6068</v>
      </c>
      <c r="AK935" s="3">
        <f>INT(VLOOKUP(U935,模板计算相关数据!A:N,3,0)/模板计算相关数据!$W$35/(1+MAX(0,(AO935/10000-VLOOKUP(U935,模板计算相关数据!A:N,9,0)))*AP935/10000)/(1-VLOOKUP(U935,模板计算相关数据!A:N,5,0)/(VLOOKUP(U935,模板计算相关数据!A:N,5,0)+(VLOOKUP(U935,模板计算相关数据!A:N,2,0)+模板计算相关数据!$AC$27)*模板计算相关数据!$AC$28))/S935*AA935)</f>
        <v>1802</v>
      </c>
      <c r="AL935" s="3">
        <f>INT(VLOOKUP(U935,模板计算相关数据!A:N,5,0)*VLOOKUP(X935,模板计算相关数据!$P$4:$T$7,4,0)*VLOOKUP(Y935,模板计算相关数据!$P$22:$U$30,4,0)*AB935)</f>
        <v>2169</v>
      </c>
      <c r="AM935" s="3">
        <f>INT(VLOOKUP(U935,模板计算相关数据!A:N,6,0)*VLOOKUP(X935,模板计算相关数据!$P$4:$T$7,4,0)*VLOOKUP(Y935,模板计算相关数据!$P$22:$U$30,5,0)*AC935)</f>
        <v>3647</v>
      </c>
      <c r="AN935" s="3">
        <f>VLOOKUP(U935,模板计算相关数据!A:N,10,0)*0.5*VLOOKUP(Y935,模板计算相关数据!$P$22:$U$30,6,0)+AD935</f>
        <v>250</v>
      </c>
      <c r="AO935" s="3">
        <f>VLOOKUP(INT(VLOOKUP(U935,模板计算相关数据!A:N,2,0)/30)+1,模板计算相关数据!$O$35:$U$40,3,0)+AE935</f>
        <v>0</v>
      </c>
      <c r="AP935" s="3">
        <f>VLOOKUP(INT(VLOOKUP(U935,模板计算相关数据!A:N,2,0)/30)+1,模板计算相关数据!$O$35:$U$40,4,0)+AF935</f>
        <v>5000</v>
      </c>
      <c r="AQ935" s="3">
        <f>VLOOKUP(INT(VLOOKUP(U935,模板计算相关数据!A:N,2,0)/30)+1,模板计算相关数据!$O$35:$U$40,5,0)+AG935</f>
        <v>0</v>
      </c>
      <c r="AR935" s="3">
        <f>VLOOKUP(INT(VLOOKUP(U935,模板计算相关数据!A:N,2,0)/30)+1,模板计算相关数据!$O$35:$U$40,6,0)+AH935</f>
        <v>0</v>
      </c>
      <c r="AS935" s="3">
        <f>VLOOKUP(INT(VLOOKUP(U935,模板计算相关数据!A:N,2,0)/30)+1,模板计算相关数据!$O$35:$U$40,7,0)+AI935</f>
        <v>2000</v>
      </c>
      <c r="AT935" s="3">
        <f>VLOOKUP(INT(VLOOKUP(U935,模板计算相关数据!A:N,2,0)/30)+1,模板计算相关数据!$O$35:$V$40,8,0)</f>
        <v>0</v>
      </c>
      <c r="AU935" s="2"/>
    </row>
    <row r="936" spans="1:47" x14ac:dyDescent="0.2">
      <c r="A936" s="86">
        <v>52002051</v>
      </c>
      <c r="B936" s="86"/>
      <c r="C936" s="69" t="s">
        <v>944</v>
      </c>
      <c r="D936" s="2" t="s">
        <v>1468</v>
      </c>
      <c r="E936" s="2"/>
      <c r="F936" s="3">
        <v>1</v>
      </c>
      <c r="G936" s="3">
        <v>103001</v>
      </c>
      <c r="H936" s="3">
        <v>4</v>
      </c>
      <c r="I936" s="3">
        <v>4</v>
      </c>
      <c r="J936" s="3">
        <v>5</v>
      </c>
      <c r="K936" s="3">
        <v>2</v>
      </c>
      <c r="L936" s="91" t="s">
        <v>1839</v>
      </c>
      <c r="M936" s="2"/>
      <c r="N936" s="2">
        <v>1</v>
      </c>
      <c r="O936" s="2"/>
      <c r="P936" s="3" t="s">
        <v>1615</v>
      </c>
      <c r="Q936" s="95">
        <f t="shared" si="79"/>
        <v>7.1479215686274511</v>
      </c>
      <c r="R936" s="133">
        <f>IF(P936=模板计算相关数据!$AB$24,VLOOKUP(X936,模板计算相关数据!$P$47:$T$50,2,0),VLOOKUP(X936,模板计算相关数据!$P$4:$U$7,3,0))*VLOOKUP(Y936,模板计算相关数据!$P$22:$X$30,8,0)</f>
        <v>7.1479215686274511</v>
      </c>
      <c r="S936" s="62">
        <v>4.3</v>
      </c>
      <c r="T936" s="133">
        <f>IF(P936=模板计算相关数据!$AB$24,VLOOKUP(X936,模板计算相关数据!$P$47:$T$50,5,0),VLOOKUP(X936,模板计算相关数据!$P$4:$U$7,6,0))*VLOOKUP(Y936,模板计算相关数据!$P$22:$X$30,9,0)</f>
        <v>3.7896875023685541</v>
      </c>
      <c r="U936" s="98">
        <v>60</v>
      </c>
      <c r="V936" s="95">
        <f t="shared" si="78"/>
        <v>42</v>
      </c>
      <c r="W936" s="29">
        <f>VLOOKUP(U936,模板计算相关数据!A:N,2,0)</f>
        <v>39</v>
      </c>
      <c r="X936" s="3" t="s">
        <v>158</v>
      </c>
      <c r="Y936" s="3" t="s">
        <v>162</v>
      </c>
      <c r="Z936" s="95">
        <v>1</v>
      </c>
      <c r="AA936" s="95">
        <v>1</v>
      </c>
      <c r="AB936" s="95">
        <v>1</v>
      </c>
      <c r="AC936" s="95">
        <v>1</v>
      </c>
      <c r="AD936" s="95">
        <v>0</v>
      </c>
      <c r="AE936" s="95">
        <v>0</v>
      </c>
      <c r="AF936" s="95">
        <v>0</v>
      </c>
      <c r="AG936" s="95">
        <v>0</v>
      </c>
      <c r="AH936" s="95">
        <v>0</v>
      </c>
      <c r="AI936" s="95">
        <v>2000</v>
      </c>
      <c r="AJ936" s="3">
        <f>INT(VLOOKUP(U936,模板计算相关数据!A:N,4,0)*VLOOKUP(U936,模板计算相关数据!A:N,14,0)*(1+MAX(0,(VLOOKUP(U936,模板计算相关数据!A:N,7,0)-AQ936))*VLOOKUP(U936,模板计算相关数据!A:N,8,0))*(1-(AL936+AM936)*0.5/((AL936+AM936)*0.5+(VLOOKUP(U936,模板计算相关数据!A:N,2,0)+模板计算相关数据!$AC$27)*模板计算相关数据!$AC$28))*Q936*Z936)</f>
        <v>6068</v>
      </c>
      <c r="AK936" s="3">
        <f>INT(VLOOKUP(U936,模板计算相关数据!A:N,3,0)/模板计算相关数据!$W$35/(1+MAX(0,(AO936/10000-VLOOKUP(U936,模板计算相关数据!A:N,9,0)))*AP936/10000)/(1-VLOOKUP(U936,模板计算相关数据!A:N,5,0)/(VLOOKUP(U936,模板计算相关数据!A:N,5,0)+(VLOOKUP(U936,模板计算相关数据!A:N,2,0)+模板计算相关数据!$AC$27)*模板计算相关数据!$AC$28))/S936*AA936)</f>
        <v>1823</v>
      </c>
      <c r="AL936" s="3">
        <f>INT(VLOOKUP(U936,模板计算相关数据!A:N,5,0)*VLOOKUP(X936,模板计算相关数据!$P$4:$T$7,4,0)*VLOOKUP(Y936,模板计算相关数据!$P$22:$U$30,4,0)*AB936)</f>
        <v>2169</v>
      </c>
      <c r="AM936" s="3">
        <f>INT(VLOOKUP(U936,模板计算相关数据!A:N,6,0)*VLOOKUP(X936,模板计算相关数据!$P$4:$T$7,4,0)*VLOOKUP(Y936,模板计算相关数据!$P$22:$U$30,5,0)*AC936)</f>
        <v>3647</v>
      </c>
      <c r="AN936" s="3">
        <f>VLOOKUP(U936,模板计算相关数据!A:N,10,0)*0.5*VLOOKUP(Y936,模板计算相关数据!$P$22:$U$30,6,0)+AD936</f>
        <v>250</v>
      </c>
      <c r="AO936" s="3">
        <f>VLOOKUP(INT(VLOOKUP(U936,模板计算相关数据!A:N,2,0)/30)+1,模板计算相关数据!$O$35:$U$40,3,0)+AE936</f>
        <v>0</v>
      </c>
      <c r="AP936" s="3">
        <f>VLOOKUP(INT(VLOOKUP(U936,模板计算相关数据!A:N,2,0)/30)+1,模板计算相关数据!$O$35:$U$40,4,0)+AF936</f>
        <v>5000</v>
      </c>
      <c r="AQ936" s="3">
        <f>VLOOKUP(INT(VLOOKUP(U936,模板计算相关数据!A:N,2,0)/30)+1,模板计算相关数据!$O$35:$U$40,5,0)+AG936</f>
        <v>0</v>
      </c>
      <c r="AR936" s="3">
        <f>VLOOKUP(INT(VLOOKUP(U936,模板计算相关数据!A:N,2,0)/30)+1,模板计算相关数据!$O$35:$U$40,6,0)+AH936</f>
        <v>0</v>
      </c>
      <c r="AS936" s="3">
        <f>VLOOKUP(INT(VLOOKUP(U936,模板计算相关数据!A:N,2,0)/30)+1,模板计算相关数据!$O$35:$U$40,7,0)+AI936</f>
        <v>2000</v>
      </c>
      <c r="AT936" s="3">
        <f>VLOOKUP(INT(VLOOKUP(U936,模板计算相关数据!A:N,2,0)/30)+1,模板计算相关数据!$O$35:$V$40,8,0)</f>
        <v>0</v>
      </c>
      <c r="AU936" s="2"/>
    </row>
    <row r="937" spans="1:47" x14ac:dyDescent="0.2">
      <c r="A937" s="86">
        <v>52002012</v>
      </c>
      <c r="B937" s="86"/>
      <c r="C937" s="69" t="s">
        <v>1381</v>
      </c>
      <c r="D937" s="2" t="s">
        <v>1464</v>
      </c>
      <c r="E937" s="2"/>
      <c r="F937" s="2">
        <v>3</v>
      </c>
      <c r="G937" s="2">
        <v>1001801</v>
      </c>
      <c r="H937" s="3">
        <v>1</v>
      </c>
      <c r="I937" s="2">
        <v>4</v>
      </c>
      <c r="J937" s="3">
        <v>5</v>
      </c>
      <c r="K937" s="2"/>
      <c r="L937" s="69" t="s">
        <v>1533</v>
      </c>
      <c r="M937" s="2"/>
      <c r="N937" s="2">
        <v>1</v>
      </c>
      <c r="O937" s="2"/>
      <c r="P937" s="3" t="s">
        <v>1615</v>
      </c>
      <c r="Q937" s="95">
        <f t="shared" si="79"/>
        <v>4.417254901960785</v>
      </c>
      <c r="R937" s="133">
        <f>IF(P937=模板计算相关数据!$AB$24,VLOOKUP(X937,模板计算相关数据!$P$47:$T$50,2,0),VLOOKUP(X937,模板计算相关数据!$P$4:$U$7,3,0))*VLOOKUP(Y937,模板计算相关数据!$P$22:$X$30,8,0)</f>
        <v>4.417254901960785</v>
      </c>
      <c r="S937" s="62">
        <f t="shared" ref="S937:S941" si="81">T937</f>
        <v>5.4285280003474252</v>
      </c>
      <c r="T937" s="133">
        <f>IF(P937=模板计算相关数据!$AB$24,VLOOKUP(X937,模板计算相关数据!$P$47:$T$50,5,0),VLOOKUP(X937,模板计算相关数据!$P$4:$U$7,6,0))*VLOOKUP(Y937,模板计算相关数据!$P$22:$X$30,9,0)</f>
        <v>5.4285280003474252</v>
      </c>
      <c r="U937" s="98">
        <v>60</v>
      </c>
      <c r="V937" s="95">
        <f t="shared" si="78"/>
        <v>42</v>
      </c>
      <c r="W937" s="29">
        <f>VLOOKUP(U937,模板计算相关数据!A:N,2,0)</f>
        <v>39</v>
      </c>
      <c r="X937" s="3" t="s">
        <v>151</v>
      </c>
      <c r="Y937" s="3" t="s">
        <v>152</v>
      </c>
      <c r="Z937" s="95">
        <v>1</v>
      </c>
      <c r="AA937" s="95">
        <v>1</v>
      </c>
      <c r="AB937" s="95">
        <v>1</v>
      </c>
      <c r="AC937" s="95">
        <v>1</v>
      </c>
      <c r="AD937" s="95">
        <v>0</v>
      </c>
      <c r="AE937" s="95">
        <v>0</v>
      </c>
      <c r="AF937" s="95">
        <v>0</v>
      </c>
      <c r="AG937" s="95">
        <v>0</v>
      </c>
      <c r="AH937" s="95">
        <v>0</v>
      </c>
      <c r="AI937" s="95">
        <v>2000</v>
      </c>
      <c r="AJ937" s="3">
        <f>INT(VLOOKUP(U937,模板计算相关数据!A:N,4,0)*VLOOKUP(U937,模板计算相关数据!A:N,14,0)*(1+MAX(0,(VLOOKUP(U937,模板计算相关数据!A:N,7,0)-AQ937))*VLOOKUP(U937,模板计算相关数据!A:N,8,0))*(1-(AL937+AM937)*0.5/((AL937+AM937)*0.5+(VLOOKUP(U937,模板计算相关数据!A:N,2,0)+模板计算相关数据!$AC$27)*模板计算相关数据!$AC$28))*Q937*Z937)</f>
        <v>4086</v>
      </c>
      <c r="AK937" s="3">
        <f>INT(VLOOKUP(U937,模板计算相关数据!A:N,3,0)/模板计算相关数据!$W$35/(1+MAX(0,(AO937/10000-VLOOKUP(U937,模板计算相关数据!A:N,9,0)))*AP937/10000)/(1-VLOOKUP(U937,模板计算相关数据!A:N,5,0)/(VLOOKUP(U937,模板计算相关数据!A:N,5,0)+(VLOOKUP(U937,模板计算相关数据!A:N,2,0)+模板计算相关数据!$AC$27)*模板计算相关数据!$AC$28))/S937*AA937)</f>
        <v>1444</v>
      </c>
      <c r="AL937" s="3">
        <f>INT(VLOOKUP(U937,模板计算相关数据!A:N,5,0)*VLOOKUP(X937,模板计算相关数据!$P$4:$T$7,4,0)*VLOOKUP(Y937,模板计算相关数据!$P$22:$U$30,4,0)*AB937)</f>
        <v>2928</v>
      </c>
      <c r="AM937" s="3">
        <f>INT(VLOOKUP(U937,模板计算相关数据!A:N,6,0)*VLOOKUP(X937,模板计算相关数据!$P$4:$T$7,4,0)*VLOOKUP(Y937,模板计算相关数据!$P$22:$U$30,5,0)*AC937)</f>
        <v>1729</v>
      </c>
      <c r="AN937" s="3">
        <f>VLOOKUP(U937,模板计算相关数据!A:N,10,0)*0.5*VLOOKUP(Y937,模板计算相关数据!$P$22:$U$30,6,0)+AD937</f>
        <v>250</v>
      </c>
      <c r="AO937" s="3">
        <f>VLOOKUP(INT(VLOOKUP(U937,模板计算相关数据!A:N,2,0)/30)+1,模板计算相关数据!$O$35:$U$40,3,0)+AE937</f>
        <v>0</v>
      </c>
      <c r="AP937" s="3">
        <f>VLOOKUP(INT(VLOOKUP(U937,模板计算相关数据!A:N,2,0)/30)+1,模板计算相关数据!$O$35:$U$40,4,0)+AF937</f>
        <v>5000</v>
      </c>
      <c r="AQ937" s="3">
        <f>VLOOKUP(INT(VLOOKUP(U937,模板计算相关数据!A:N,2,0)/30)+1,模板计算相关数据!$O$35:$U$40,5,0)+AG937</f>
        <v>0</v>
      </c>
      <c r="AR937" s="3">
        <f>VLOOKUP(INT(VLOOKUP(U937,模板计算相关数据!A:N,2,0)/30)+1,模板计算相关数据!$O$35:$U$40,6,0)+AH937</f>
        <v>0</v>
      </c>
      <c r="AS937" s="3">
        <f>VLOOKUP(INT(VLOOKUP(U937,模板计算相关数据!A:N,2,0)/30)+1,模板计算相关数据!$O$35:$U$40,7,0)+AI937</f>
        <v>2000</v>
      </c>
      <c r="AT937" s="3">
        <f>VLOOKUP(INT(VLOOKUP(U937,模板计算相关数据!A:N,2,0)/30)+1,模板计算相关数据!$O$35:$V$40,8,0)</f>
        <v>0</v>
      </c>
      <c r="AU937" s="2"/>
    </row>
    <row r="938" spans="1:47" x14ac:dyDescent="0.2">
      <c r="A938" s="86">
        <v>52002022</v>
      </c>
      <c r="B938" s="86"/>
      <c r="C938" s="69" t="s">
        <v>1381</v>
      </c>
      <c r="D938" s="2" t="s">
        <v>1465</v>
      </c>
      <c r="E938" s="2"/>
      <c r="F938" s="2">
        <v>3</v>
      </c>
      <c r="G938" s="2">
        <v>1001801</v>
      </c>
      <c r="H938" s="3">
        <v>1</v>
      </c>
      <c r="I938" s="2">
        <v>4</v>
      </c>
      <c r="J938" s="3">
        <v>5</v>
      </c>
      <c r="K938" s="2"/>
      <c r="L938" s="69" t="s">
        <v>1533</v>
      </c>
      <c r="M938" s="2"/>
      <c r="N938" s="2">
        <v>1</v>
      </c>
      <c r="O938" s="2"/>
      <c r="P938" s="3" t="s">
        <v>1615</v>
      </c>
      <c r="Q938" s="95">
        <f t="shared" si="79"/>
        <v>4.417254901960785</v>
      </c>
      <c r="R938" s="133">
        <f>IF(P938=模板计算相关数据!$AB$24,VLOOKUP(X938,模板计算相关数据!$P$47:$T$50,2,0),VLOOKUP(X938,模板计算相关数据!$P$4:$U$7,3,0))*VLOOKUP(Y938,模板计算相关数据!$P$22:$X$30,8,0)</f>
        <v>4.417254901960785</v>
      </c>
      <c r="S938" s="62">
        <f t="shared" si="81"/>
        <v>5.4285280003474252</v>
      </c>
      <c r="T938" s="133">
        <f>IF(P938=模板计算相关数据!$AB$24,VLOOKUP(X938,模板计算相关数据!$P$47:$T$50,5,0),VLOOKUP(X938,模板计算相关数据!$P$4:$U$7,6,0))*VLOOKUP(Y938,模板计算相关数据!$P$22:$X$30,9,0)</f>
        <v>5.4285280003474252</v>
      </c>
      <c r="U938" s="98">
        <v>60</v>
      </c>
      <c r="V938" s="95">
        <f t="shared" si="78"/>
        <v>42</v>
      </c>
      <c r="W938" s="29">
        <f>VLOOKUP(U938,模板计算相关数据!A:N,2,0)</f>
        <v>39</v>
      </c>
      <c r="X938" s="3" t="s">
        <v>151</v>
      </c>
      <c r="Y938" s="3" t="s">
        <v>152</v>
      </c>
      <c r="Z938" s="95">
        <v>1</v>
      </c>
      <c r="AA938" s="95">
        <v>1</v>
      </c>
      <c r="AB938" s="95">
        <v>1</v>
      </c>
      <c r="AC938" s="95">
        <v>1</v>
      </c>
      <c r="AD938" s="95">
        <v>0</v>
      </c>
      <c r="AE938" s="95">
        <v>0</v>
      </c>
      <c r="AF938" s="95">
        <v>0</v>
      </c>
      <c r="AG938" s="95">
        <v>0</v>
      </c>
      <c r="AH938" s="95">
        <v>0</v>
      </c>
      <c r="AI938" s="95">
        <v>2000</v>
      </c>
      <c r="AJ938" s="3">
        <f>INT(VLOOKUP(U938,模板计算相关数据!A:N,4,0)*VLOOKUP(U938,模板计算相关数据!A:N,14,0)*(1+MAX(0,(VLOOKUP(U938,模板计算相关数据!A:N,7,0)-AQ938))*VLOOKUP(U938,模板计算相关数据!A:N,8,0))*(1-(AL938+AM938)*0.5/((AL938+AM938)*0.5+(VLOOKUP(U938,模板计算相关数据!A:N,2,0)+模板计算相关数据!$AC$27)*模板计算相关数据!$AC$28))*Q938*Z938)</f>
        <v>4086</v>
      </c>
      <c r="AK938" s="3">
        <f>INT(VLOOKUP(U938,模板计算相关数据!A:N,3,0)/模板计算相关数据!$W$35/(1+MAX(0,(AO938/10000-VLOOKUP(U938,模板计算相关数据!A:N,9,0)))*AP938/10000)/(1-VLOOKUP(U938,模板计算相关数据!A:N,5,0)/(VLOOKUP(U938,模板计算相关数据!A:N,5,0)+(VLOOKUP(U938,模板计算相关数据!A:N,2,0)+模板计算相关数据!$AC$27)*模板计算相关数据!$AC$28))/S938*AA938)</f>
        <v>1444</v>
      </c>
      <c r="AL938" s="3">
        <f>INT(VLOOKUP(U938,模板计算相关数据!A:N,5,0)*VLOOKUP(X938,模板计算相关数据!$P$4:$T$7,4,0)*VLOOKUP(Y938,模板计算相关数据!$P$22:$U$30,4,0)*AB938)</f>
        <v>2928</v>
      </c>
      <c r="AM938" s="3">
        <f>INT(VLOOKUP(U938,模板计算相关数据!A:N,6,0)*VLOOKUP(X938,模板计算相关数据!$P$4:$T$7,4,0)*VLOOKUP(Y938,模板计算相关数据!$P$22:$U$30,5,0)*AC938)</f>
        <v>1729</v>
      </c>
      <c r="AN938" s="3">
        <f>VLOOKUP(U938,模板计算相关数据!A:N,10,0)*0.5*VLOOKUP(Y938,模板计算相关数据!$P$22:$U$30,6,0)+AD938</f>
        <v>250</v>
      </c>
      <c r="AO938" s="3">
        <f>VLOOKUP(INT(VLOOKUP(U938,模板计算相关数据!A:N,2,0)/30)+1,模板计算相关数据!$O$35:$U$40,3,0)+AE938</f>
        <v>0</v>
      </c>
      <c r="AP938" s="3">
        <f>VLOOKUP(INT(VLOOKUP(U938,模板计算相关数据!A:N,2,0)/30)+1,模板计算相关数据!$O$35:$U$40,4,0)+AF938</f>
        <v>5000</v>
      </c>
      <c r="AQ938" s="3">
        <f>VLOOKUP(INT(VLOOKUP(U938,模板计算相关数据!A:N,2,0)/30)+1,模板计算相关数据!$O$35:$U$40,5,0)+AG938</f>
        <v>0</v>
      </c>
      <c r="AR938" s="3">
        <f>VLOOKUP(INT(VLOOKUP(U938,模板计算相关数据!A:N,2,0)/30)+1,模板计算相关数据!$O$35:$U$40,6,0)+AH938</f>
        <v>0</v>
      </c>
      <c r="AS938" s="3">
        <f>VLOOKUP(INT(VLOOKUP(U938,模板计算相关数据!A:N,2,0)/30)+1,模板计算相关数据!$O$35:$U$40,7,0)+AI938</f>
        <v>2000</v>
      </c>
      <c r="AT938" s="3">
        <f>VLOOKUP(INT(VLOOKUP(U938,模板计算相关数据!A:N,2,0)/30)+1,模板计算相关数据!$O$35:$V$40,8,0)</f>
        <v>0</v>
      </c>
      <c r="AU938" s="2"/>
    </row>
    <row r="939" spans="1:47" x14ac:dyDescent="0.2">
      <c r="A939" s="86">
        <v>52002032</v>
      </c>
      <c r="B939" s="86"/>
      <c r="C939" s="69" t="s">
        <v>1381</v>
      </c>
      <c r="D939" s="2" t="s">
        <v>1466</v>
      </c>
      <c r="E939" s="2"/>
      <c r="F939" s="2">
        <v>3</v>
      </c>
      <c r="G939" s="2">
        <v>1001801</v>
      </c>
      <c r="H939" s="3">
        <v>1</v>
      </c>
      <c r="I939" s="2">
        <v>4</v>
      </c>
      <c r="J939" s="3">
        <v>5</v>
      </c>
      <c r="K939" s="2"/>
      <c r="L939" s="69" t="s">
        <v>1533</v>
      </c>
      <c r="M939" s="2"/>
      <c r="N939" s="2">
        <v>1</v>
      </c>
      <c r="O939" s="2"/>
      <c r="P939" s="3" t="s">
        <v>1615</v>
      </c>
      <c r="Q939" s="95">
        <f t="shared" si="79"/>
        <v>4.417254901960785</v>
      </c>
      <c r="R939" s="133">
        <f>IF(P939=模板计算相关数据!$AB$24,VLOOKUP(X939,模板计算相关数据!$P$47:$T$50,2,0),VLOOKUP(X939,模板计算相关数据!$P$4:$U$7,3,0))*VLOOKUP(Y939,模板计算相关数据!$P$22:$X$30,8,0)</f>
        <v>4.417254901960785</v>
      </c>
      <c r="S939" s="62">
        <f t="shared" si="81"/>
        <v>5.4285280003474252</v>
      </c>
      <c r="T939" s="133">
        <f>IF(P939=模板计算相关数据!$AB$24,VLOOKUP(X939,模板计算相关数据!$P$47:$T$50,5,0),VLOOKUP(X939,模板计算相关数据!$P$4:$U$7,6,0))*VLOOKUP(Y939,模板计算相关数据!$P$22:$X$30,9,0)</f>
        <v>5.4285280003474252</v>
      </c>
      <c r="U939" s="98">
        <v>60</v>
      </c>
      <c r="V939" s="95">
        <f t="shared" si="78"/>
        <v>42</v>
      </c>
      <c r="W939" s="29">
        <f>VLOOKUP(U939,模板计算相关数据!A:N,2,0)</f>
        <v>39</v>
      </c>
      <c r="X939" s="3" t="s">
        <v>151</v>
      </c>
      <c r="Y939" s="3" t="s">
        <v>152</v>
      </c>
      <c r="Z939" s="95">
        <v>1</v>
      </c>
      <c r="AA939" s="95">
        <v>1</v>
      </c>
      <c r="AB939" s="95">
        <v>1</v>
      </c>
      <c r="AC939" s="95">
        <v>1</v>
      </c>
      <c r="AD939" s="95">
        <v>0</v>
      </c>
      <c r="AE939" s="95">
        <v>0</v>
      </c>
      <c r="AF939" s="95">
        <v>0</v>
      </c>
      <c r="AG939" s="95">
        <v>0</v>
      </c>
      <c r="AH939" s="95">
        <v>0</v>
      </c>
      <c r="AI939" s="95">
        <v>2000</v>
      </c>
      <c r="AJ939" s="3">
        <f>INT(VLOOKUP(U939,模板计算相关数据!A:N,4,0)*VLOOKUP(U939,模板计算相关数据!A:N,14,0)*(1+MAX(0,(VLOOKUP(U939,模板计算相关数据!A:N,7,0)-AQ939))*VLOOKUP(U939,模板计算相关数据!A:N,8,0))*(1-(AL939+AM939)*0.5/((AL939+AM939)*0.5+(VLOOKUP(U939,模板计算相关数据!A:N,2,0)+模板计算相关数据!$AC$27)*模板计算相关数据!$AC$28))*Q939*Z939)</f>
        <v>4086</v>
      </c>
      <c r="AK939" s="3">
        <f>INT(VLOOKUP(U939,模板计算相关数据!A:N,3,0)/模板计算相关数据!$W$35/(1+MAX(0,(AO939/10000-VLOOKUP(U939,模板计算相关数据!A:N,9,0)))*AP939/10000)/(1-VLOOKUP(U939,模板计算相关数据!A:N,5,0)/(VLOOKUP(U939,模板计算相关数据!A:N,5,0)+(VLOOKUP(U939,模板计算相关数据!A:N,2,0)+模板计算相关数据!$AC$27)*模板计算相关数据!$AC$28))/S939*AA939)</f>
        <v>1444</v>
      </c>
      <c r="AL939" s="3">
        <f>INT(VLOOKUP(U939,模板计算相关数据!A:N,5,0)*VLOOKUP(X939,模板计算相关数据!$P$4:$T$7,4,0)*VLOOKUP(Y939,模板计算相关数据!$P$22:$U$30,4,0)*AB939)</f>
        <v>2928</v>
      </c>
      <c r="AM939" s="3">
        <f>INT(VLOOKUP(U939,模板计算相关数据!A:N,6,0)*VLOOKUP(X939,模板计算相关数据!$P$4:$T$7,4,0)*VLOOKUP(Y939,模板计算相关数据!$P$22:$U$30,5,0)*AC939)</f>
        <v>1729</v>
      </c>
      <c r="AN939" s="3">
        <f>VLOOKUP(U939,模板计算相关数据!A:N,10,0)*0.5*VLOOKUP(Y939,模板计算相关数据!$P$22:$U$30,6,0)+AD939</f>
        <v>250</v>
      </c>
      <c r="AO939" s="3">
        <f>VLOOKUP(INT(VLOOKUP(U939,模板计算相关数据!A:N,2,0)/30)+1,模板计算相关数据!$O$35:$U$40,3,0)+AE939</f>
        <v>0</v>
      </c>
      <c r="AP939" s="3">
        <f>VLOOKUP(INT(VLOOKUP(U939,模板计算相关数据!A:N,2,0)/30)+1,模板计算相关数据!$O$35:$U$40,4,0)+AF939</f>
        <v>5000</v>
      </c>
      <c r="AQ939" s="3">
        <f>VLOOKUP(INT(VLOOKUP(U939,模板计算相关数据!A:N,2,0)/30)+1,模板计算相关数据!$O$35:$U$40,5,0)+AG939</f>
        <v>0</v>
      </c>
      <c r="AR939" s="3">
        <f>VLOOKUP(INT(VLOOKUP(U939,模板计算相关数据!A:N,2,0)/30)+1,模板计算相关数据!$O$35:$U$40,6,0)+AH939</f>
        <v>0</v>
      </c>
      <c r="AS939" s="3">
        <f>VLOOKUP(INT(VLOOKUP(U939,模板计算相关数据!A:N,2,0)/30)+1,模板计算相关数据!$O$35:$U$40,7,0)+AI939</f>
        <v>2000</v>
      </c>
      <c r="AT939" s="3">
        <f>VLOOKUP(INT(VLOOKUP(U939,模板计算相关数据!A:N,2,0)/30)+1,模板计算相关数据!$O$35:$V$40,8,0)</f>
        <v>0</v>
      </c>
      <c r="AU939" s="2"/>
    </row>
    <row r="940" spans="1:47" x14ac:dyDescent="0.2">
      <c r="A940" s="86">
        <v>52002042</v>
      </c>
      <c r="B940" s="86"/>
      <c r="C940" s="69" t="s">
        <v>1381</v>
      </c>
      <c r="D940" s="2" t="s">
        <v>1467</v>
      </c>
      <c r="E940" s="2"/>
      <c r="F940" s="2">
        <v>3</v>
      </c>
      <c r="G940" s="2">
        <v>1001801</v>
      </c>
      <c r="H940" s="3">
        <v>1</v>
      </c>
      <c r="I940" s="2">
        <v>4</v>
      </c>
      <c r="J940" s="3">
        <v>5</v>
      </c>
      <c r="K940" s="2"/>
      <c r="L940" s="69" t="s">
        <v>1533</v>
      </c>
      <c r="M940" s="2"/>
      <c r="N940" s="2">
        <v>1</v>
      </c>
      <c r="O940" s="2"/>
      <c r="P940" s="3" t="s">
        <v>1615</v>
      </c>
      <c r="Q940" s="95">
        <f t="shared" si="79"/>
        <v>4.417254901960785</v>
      </c>
      <c r="R940" s="133">
        <f>IF(P940=模板计算相关数据!$AB$24,VLOOKUP(X940,模板计算相关数据!$P$47:$T$50,2,0),VLOOKUP(X940,模板计算相关数据!$P$4:$U$7,3,0))*VLOOKUP(Y940,模板计算相关数据!$P$22:$X$30,8,0)</f>
        <v>4.417254901960785</v>
      </c>
      <c r="S940" s="62">
        <f t="shared" si="81"/>
        <v>5.4285280003474252</v>
      </c>
      <c r="T940" s="133">
        <f>IF(P940=模板计算相关数据!$AB$24,VLOOKUP(X940,模板计算相关数据!$P$47:$T$50,5,0),VLOOKUP(X940,模板计算相关数据!$P$4:$U$7,6,0))*VLOOKUP(Y940,模板计算相关数据!$P$22:$X$30,9,0)</f>
        <v>5.4285280003474252</v>
      </c>
      <c r="U940" s="98">
        <v>60</v>
      </c>
      <c r="V940" s="95">
        <f t="shared" si="78"/>
        <v>42</v>
      </c>
      <c r="W940" s="29">
        <f>VLOOKUP(U940,模板计算相关数据!A:N,2,0)</f>
        <v>39</v>
      </c>
      <c r="X940" s="3" t="s">
        <v>151</v>
      </c>
      <c r="Y940" s="3" t="s">
        <v>152</v>
      </c>
      <c r="Z940" s="95">
        <v>1</v>
      </c>
      <c r="AA940" s="95">
        <v>1</v>
      </c>
      <c r="AB940" s="95">
        <v>1</v>
      </c>
      <c r="AC940" s="95">
        <v>1</v>
      </c>
      <c r="AD940" s="95">
        <v>0</v>
      </c>
      <c r="AE940" s="95">
        <v>0</v>
      </c>
      <c r="AF940" s="95">
        <v>0</v>
      </c>
      <c r="AG940" s="95">
        <v>0</v>
      </c>
      <c r="AH940" s="95">
        <v>0</v>
      </c>
      <c r="AI940" s="95">
        <v>2000</v>
      </c>
      <c r="AJ940" s="3">
        <f>INT(VLOOKUP(U940,模板计算相关数据!A:N,4,0)*VLOOKUP(U940,模板计算相关数据!A:N,14,0)*(1+MAX(0,(VLOOKUP(U940,模板计算相关数据!A:N,7,0)-AQ940))*VLOOKUP(U940,模板计算相关数据!A:N,8,0))*(1-(AL940+AM940)*0.5/((AL940+AM940)*0.5+(VLOOKUP(U940,模板计算相关数据!A:N,2,0)+模板计算相关数据!$AC$27)*模板计算相关数据!$AC$28))*Q940*Z940)</f>
        <v>4086</v>
      </c>
      <c r="AK940" s="3">
        <f>INT(VLOOKUP(U940,模板计算相关数据!A:N,3,0)/模板计算相关数据!$W$35/(1+MAX(0,(AO940/10000-VLOOKUP(U940,模板计算相关数据!A:N,9,0)))*AP940/10000)/(1-VLOOKUP(U940,模板计算相关数据!A:N,5,0)/(VLOOKUP(U940,模板计算相关数据!A:N,5,0)+(VLOOKUP(U940,模板计算相关数据!A:N,2,0)+模板计算相关数据!$AC$27)*模板计算相关数据!$AC$28))/S940*AA940)</f>
        <v>1444</v>
      </c>
      <c r="AL940" s="3">
        <f>INT(VLOOKUP(U940,模板计算相关数据!A:N,5,0)*VLOOKUP(X940,模板计算相关数据!$P$4:$T$7,4,0)*VLOOKUP(Y940,模板计算相关数据!$P$22:$U$30,4,0)*AB940)</f>
        <v>2928</v>
      </c>
      <c r="AM940" s="3">
        <f>INT(VLOOKUP(U940,模板计算相关数据!A:N,6,0)*VLOOKUP(X940,模板计算相关数据!$P$4:$T$7,4,0)*VLOOKUP(Y940,模板计算相关数据!$P$22:$U$30,5,0)*AC940)</f>
        <v>1729</v>
      </c>
      <c r="AN940" s="3">
        <f>VLOOKUP(U940,模板计算相关数据!A:N,10,0)*0.5*VLOOKUP(Y940,模板计算相关数据!$P$22:$U$30,6,0)+AD940</f>
        <v>250</v>
      </c>
      <c r="AO940" s="3">
        <f>VLOOKUP(INT(VLOOKUP(U940,模板计算相关数据!A:N,2,0)/30)+1,模板计算相关数据!$O$35:$U$40,3,0)+AE940</f>
        <v>0</v>
      </c>
      <c r="AP940" s="3">
        <f>VLOOKUP(INT(VLOOKUP(U940,模板计算相关数据!A:N,2,0)/30)+1,模板计算相关数据!$O$35:$U$40,4,0)+AF940</f>
        <v>5000</v>
      </c>
      <c r="AQ940" s="3">
        <f>VLOOKUP(INT(VLOOKUP(U940,模板计算相关数据!A:N,2,0)/30)+1,模板计算相关数据!$O$35:$U$40,5,0)+AG940</f>
        <v>0</v>
      </c>
      <c r="AR940" s="3">
        <f>VLOOKUP(INT(VLOOKUP(U940,模板计算相关数据!A:N,2,0)/30)+1,模板计算相关数据!$O$35:$U$40,6,0)+AH940</f>
        <v>0</v>
      </c>
      <c r="AS940" s="3">
        <f>VLOOKUP(INT(VLOOKUP(U940,模板计算相关数据!A:N,2,0)/30)+1,模板计算相关数据!$O$35:$U$40,7,0)+AI940</f>
        <v>2000</v>
      </c>
      <c r="AT940" s="3">
        <f>VLOOKUP(INT(VLOOKUP(U940,模板计算相关数据!A:N,2,0)/30)+1,模板计算相关数据!$O$35:$V$40,8,0)</f>
        <v>0</v>
      </c>
      <c r="AU940" s="2"/>
    </row>
    <row r="941" spans="1:47" x14ac:dyDescent="0.2">
      <c r="A941" s="86">
        <v>52002052</v>
      </c>
      <c r="B941" s="86"/>
      <c r="C941" s="69" t="s">
        <v>1381</v>
      </c>
      <c r="D941" s="2" t="s">
        <v>1468</v>
      </c>
      <c r="E941" s="2"/>
      <c r="F941" s="2">
        <v>3</v>
      </c>
      <c r="G941" s="2">
        <v>1001801</v>
      </c>
      <c r="H941" s="3">
        <v>1</v>
      </c>
      <c r="I941" s="2">
        <v>4</v>
      </c>
      <c r="J941" s="3">
        <v>5</v>
      </c>
      <c r="K941" s="2"/>
      <c r="L941" s="69" t="s">
        <v>1533</v>
      </c>
      <c r="M941" s="2"/>
      <c r="N941" s="2">
        <v>1</v>
      </c>
      <c r="O941" s="2"/>
      <c r="P941" s="3" t="s">
        <v>1615</v>
      </c>
      <c r="Q941" s="95">
        <f t="shared" si="79"/>
        <v>4.417254901960785</v>
      </c>
      <c r="R941" s="133">
        <f>IF(P941=模板计算相关数据!$AB$24,VLOOKUP(X941,模板计算相关数据!$P$47:$T$50,2,0),VLOOKUP(X941,模板计算相关数据!$P$4:$U$7,3,0))*VLOOKUP(Y941,模板计算相关数据!$P$22:$X$30,8,0)</f>
        <v>4.417254901960785</v>
      </c>
      <c r="S941" s="62">
        <f t="shared" si="81"/>
        <v>5.4285280003474252</v>
      </c>
      <c r="T941" s="133">
        <f>IF(P941=模板计算相关数据!$AB$24,VLOOKUP(X941,模板计算相关数据!$P$47:$T$50,5,0),VLOOKUP(X941,模板计算相关数据!$P$4:$U$7,6,0))*VLOOKUP(Y941,模板计算相关数据!$P$22:$X$30,9,0)</f>
        <v>5.4285280003474252</v>
      </c>
      <c r="U941" s="98">
        <v>60</v>
      </c>
      <c r="V941" s="95">
        <f t="shared" si="78"/>
        <v>42</v>
      </c>
      <c r="W941" s="29">
        <f>VLOOKUP(U941,模板计算相关数据!A:N,2,0)</f>
        <v>39</v>
      </c>
      <c r="X941" s="3" t="s">
        <v>151</v>
      </c>
      <c r="Y941" s="3" t="s">
        <v>152</v>
      </c>
      <c r="Z941" s="95">
        <v>1</v>
      </c>
      <c r="AA941" s="95">
        <v>1</v>
      </c>
      <c r="AB941" s="95">
        <v>1</v>
      </c>
      <c r="AC941" s="95">
        <v>1</v>
      </c>
      <c r="AD941" s="95">
        <v>0</v>
      </c>
      <c r="AE941" s="95">
        <v>0</v>
      </c>
      <c r="AF941" s="95">
        <v>0</v>
      </c>
      <c r="AG941" s="95">
        <v>0</v>
      </c>
      <c r="AH941" s="95">
        <v>0</v>
      </c>
      <c r="AI941" s="95">
        <v>2000</v>
      </c>
      <c r="AJ941" s="3">
        <f>INT(VLOOKUP(U941,模板计算相关数据!A:N,4,0)*VLOOKUP(U941,模板计算相关数据!A:N,14,0)*(1+MAX(0,(VLOOKUP(U941,模板计算相关数据!A:N,7,0)-AQ941))*VLOOKUP(U941,模板计算相关数据!A:N,8,0))*(1-(AL941+AM941)*0.5/((AL941+AM941)*0.5+(VLOOKUP(U941,模板计算相关数据!A:N,2,0)+模板计算相关数据!$AC$27)*模板计算相关数据!$AC$28))*Q941*Z941)</f>
        <v>4086</v>
      </c>
      <c r="AK941" s="3">
        <f>INT(VLOOKUP(U941,模板计算相关数据!A:N,3,0)/模板计算相关数据!$W$35/(1+MAX(0,(AO941/10000-VLOOKUP(U941,模板计算相关数据!A:N,9,0)))*AP941/10000)/(1-VLOOKUP(U941,模板计算相关数据!A:N,5,0)/(VLOOKUP(U941,模板计算相关数据!A:N,5,0)+(VLOOKUP(U941,模板计算相关数据!A:N,2,0)+模板计算相关数据!$AC$27)*模板计算相关数据!$AC$28))/S941*AA941)</f>
        <v>1444</v>
      </c>
      <c r="AL941" s="3">
        <f>INT(VLOOKUP(U941,模板计算相关数据!A:N,5,0)*VLOOKUP(X941,模板计算相关数据!$P$4:$T$7,4,0)*VLOOKUP(Y941,模板计算相关数据!$P$22:$U$30,4,0)*AB941)</f>
        <v>2928</v>
      </c>
      <c r="AM941" s="3">
        <f>INT(VLOOKUP(U941,模板计算相关数据!A:N,6,0)*VLOOKUP(X941,模板计算相关数据!$P$4:$T$7,4,0)*VLOOKUP(Y941,模板计算相关数据!$P$22:$U$30,5,0)*AC941)</f>
        <v>1729</v>
      </c>
      <c r="AN941" s="3">
        <f>VLOOKUP(U941,模板计算相关数据!A:N,10,0)*0.5*VLOOKUP(Y941,模板计算相关数据!$P$22:$U$30,6,0)+AD941</f>
        <v>250</v>
      </c>
      <c r="AO941" s="3">
        <f>VLOOKUP(INT(VLOOKUP(U941,模板计算相关数据!A:N,2,0)/30)+1,模板计算相关数据!$O$35:$U$40,3,0)+AE941</f>
        <v>0</v>
      </c>
      <c r="AP941" s="3">
        <f>VLOOKUP(INT(VLOOKUP(U941,模板计算相关数据!A:N,2,0)/30)+1,模板计算相关数据!$O$35:$U$40,4,0)+AF941</f>
        <v>5000</v>
      </c>
      <c r="AQ941" s="3">
        <f>VLOOKUP(INT(VLOOKUP(U941,模板计算相关数据!A:N,2,0)/30)+1,模板计算相关数据!$O$35:$U$40,5,0)+AG941</f>
        <v>0</v>
      </c>
      <c r="AR941" s="3">
        <f>VLOOKUP(INT(VLOOKUP(U941,模板计算相关数据!A:N,2,0)/30)+1,模板计算相关数据!$O$35:$U$40,6,0)+AH941</f>
        <v>0</v>
      </c>
      <c r="AS941" s="3">
        <f>VLOOKUP(INT(VLOOKUP(U941,模板计算相关数据!A:N,2,0)/30)+1,模板计算相关数据!$O$35:$U$40,7,0)+AI941</f>
        <v>2000</v>
      </c>
      <c r="AT941" s="3">
        <f>VLOOKUP(INT(VLOOKUP(U941,模板计算相关数据!A:N,2,0)/30)+1,模板计算相关数据!$O$35:$V$40,8,0)</f>
        <v>0</v>
      </c>
      <c r="AU941" s="2"/>
    </row>
    <row r="942" spans="1:47" s="51" customFormat="1" x14ac:dyDescent="0.2">
      <c r="A942" s="58">
        <v>52003011</v>
      </c>
      <c r="B942" s="58"/>
      <c r="C942" s="47" t="s">
        <v>1460</v>
      </c>
      <c r="D942" s="46" t="s">
        <v>1713</v>
      </c>
      <c r="E942" s="46"/>
      <c r="F942" s="48">
        <v>1</v>
      </c>
      <c r="G942" s="48">
        <v>102101</v>
      </c>
      <c r="H942" s="48">
        <v>1</v>
      </c>
      <c r="I942" s="46">
        <v>3</v>
      </c>
      <c r="J942" s="48">
        <v>5</v>
      </c>
      <c r="K942" s="3">
        <v>2</v>
      </c>
      <c r="L942" s="47" t="s">
        <v>1525</v>
      </c>
      <c r="M942" s="46"/>
      <c r="N942" s="46">
        <v>1</v>
      </c>
      <c r="O942" s="46"/>
      <c r="P942" s="48" t="s">
        <v>1615</v>
      </c>
      <c r="Q942" s="49">
        <v>18.5</v>
      </c>
      <c r="R942" s="133">
        <f>IF(P942=模板计算相关数据!$AB$24,VLOOKUP(X942,模板计算相关数据!$P$47:$T$50,2,0),VLOOKUP(X942,模板计算相关数据!$P$4:$U$7,3,0))*VLOOKUP(Y942,模板计算相关数据!$P$22:$X$30,8,0)</f>
        <v>17.66901960784314</v>
      </c>
      <c r="S942" s="50">
        <v>2.8</v>
      </c>
      <c r="T942" s="133">
        <f>IF(P942=模板计算相关数据!$AB$24,VLOOKUP(X942,模板计算相关数据!$P$47:$T$50,5,0),VLOOKUP(X942,模板计算相关数据!$P$4:$U$7,6,0))*VLOOKUP(Y942,模板计算相关数据!$P$22:$X$30,9,0)</f>
        <v>2.9610152729167778</v>
      </c>
      <c r="U942" s="59">
        <v>54</v>
      </c>
      <c r="V942" s="95">
        <f t="shared" si="78"/>
        <v>18</v>
      </c>
      <c r="W942" s="29">
        <f>VLOOKUP(U942,模板计算相关数据!A:N,2,0)</f>
        <v>15</v>
      </c>
      <c r="X942" s="48" t="s">
        <v>178</v>
      </c>
      <c r="Y942" s="48" t="s">
        <v>152</v>
      </c>
      <c r="Z942" s="49">
        <v>1</v>
      </c>
      <c r="AA942" s="49">
        <v>1</v>
      </c>
      <c r="AB942" s="49">
        <v>1</v>
      </c>
      <c r="AC942" s="49">
        <v>1</v>
      </c>
      <c r="AD942" s="49">
        <v>0</v>
      </c>
      <c r="AE942" s="49">
        <v>0</v>
      </c>
      <c r="AF942" s="49">
        <v>0</v>
      </c>
      <c r="AG942" s="49">
        <v>0</v>
      </c>
      <c r="AH942" s="49">
        <v>0</v>
      </c>
      <c r="AI942" s="49">
        <v>4000</v>
      </c>
      <c r="AJ942" s="48">
        <f>INT(VLOOKUP(U942,模板计算相关数据!A:N,4,0)*VLOOKUP(U942,模板计算相关数据!A:N,14,0)*(1+MAX(0,(VLOOKUP(U942,模板计算相关数据!A:N,7,0)-AQ942))*VLOOKUP(U942,模板计算相关数据!A:N,8,0))*(1-(AL942+AM942)*0.5/((AL942+AM942)*0.5+(VLOOKUP(U942,模板计算相关数据!A:N,2,0)+模板计算相关数据!$AC$27)*模板计算相关数据!$AC$28))*Q942*Z942)</f>
        <v>4932</v>
      </c>
      <c r="AK942" s="48">
        <f>INT(VLOOKUP(U942,模板计算相关数据!A:N,3,0)/模板计算相关数据!$W$35/(1+MAX(0,(AO942/10000-VLOOKUP(U942,模板计算相关数据!A:N,9,0)))*AP942/10000)/(1-VLOOKUP(U942,模板计算相关数据!A:N,5,0)/(VLOOKUP(U942,模板计算相关数据!A:N,5,0)+(VLOOKUP(U942,模板计算相关数据!A:N,2,0)+模板计算相关数据!$AC$27)*模板计算相关数据!$AC$28))/S942*AA942)</f>
        <v>730</v>
      </c>
      <c r="AL942" s="48">
        <f>INT(VLOOKUP(U942,模板计算相关数据!A:N,5,0)*VLOOKUP(X942,模板计算相关数据!$P$4:$T$7,4,0)*VLOOKUP(Y942,模板计算相关数据!$P$22:$U$30,4,0)*AB942)</f>
        <v>1279</v>
      </c>
      <c r="AM942" s="48">
        <f>INT(VLOOKUP(U942,模板计算相关数据!A:N,6,0)*VLOOKUP(X942,模板计算相关数据!$P$4:$T$7,4,0)*VLOOKUP(Y942,模板计算相关数据!$P$22:$U$30,5,0)*AC942)</f>
        <v>758</v>
      </c>
      <c r="AN942" s="48">
        <f>VLOOKUP(U942,模板计算相关数据!A:N,10,0)*0.5*VLOOKUP(Y942,模板计算相关数据!$P$22:$U$30,6,0)+AD942</f>
        <v>250</v>
      </c>
      <c r="AO942" s="48">
        <f>VLOOKUP(INT(VLOOKUP(U942,模板计算相关数据!A:N,2,0)/30)+1,模板计算相关数据!$O$35:$U$40,3,0)+AE942</f>
        <v>0</v>
      </c>
      <c r="AP942" s="48">
        <f>VLOOKUP(INT(VLOOKUP(U942,模板计算相关数据!A:N,2,0)/30)+1,模板计算相关数据!$O$35:$U$40,4,0)+AF942</f>
        <v>5000</v>
      </c>
      <c r="AQ942" s="48">
        <f>VLOOKUP(INT(VLOOKUP(U942,模板计算相关数据!A:N,2,0)/30)+1,模板计算相关数据!$O$35:$U$40,5,0)+AG942</f>
        <v>0</v>
      </c>
      <c r="AR942" s="48">
        <f>VLOOKUP(INT(VLOOKUP(U942,模板计算相关数据!A:N,2,0)/30)+1,模板计算相关数据!$O$35:$U$40,6,0)+AH942</f>
        <v>0</v>
      </c>
      <c r="AS942" s="48">
        <f>VLOOKUP(INT(VLOOKUP(U942,模板计算相关数据!A:N,2,0)/30)+1,模板计算相关数据!$O$35:$U$40,7,0)+AI942</f>
        <v>4000</v>
      </c>
      <c r="AT942" s="48">
        <f>VLOOKUP(INT(VLOOKUP(U942,模板计算相关数据!A:N,2,0)/30)+1,模板计算相关数据!$O$35:$V$40,8,0)</f>
        <v>0</v>
      </c>
      <c r="AU942" s="46"/>
    </row>
    <row r="943" spans="1:47" s="51" customFormat="1" x14ac:dyDescent="0.2">
      <c r="A943" s="58">
        <v>52003021</v>
      </c>
      <c r="B943" s="58"/>
      <c r="C943" s="47" t="s">
        <v>1460</v>
      </c>
      <c r="D943" s="46" t="s">
        <v>1714</v>
      </c>
      <c r="E943" s="46"/>
      <c r="F943" s="48">
        <v>1</v>
      </c>
      <c r="G943" s="48">
        <v>102101</v>
      </c>
      <c r="H943" s="48">
        <v>1</v>
      </c>
      <c r="I943" s="46">
        <v>3</v>
      </c>
      <c r="J943" s="48">
        <v>5</v>
      </c>
      <c r="K943" s="3">
        <v>2</v>
      </c>
      <c r="L943" s="47" t="s">
        <v>1525</v>
      </c>
      <c r="M943" s="46"/>
      <c r="N943" s="46">
        <v>1</v>
      </c>
      <c r="O943" s="46"/>
      <c r="P943" s="48" t="s">
        <v>1615</v>
      </c>
      <c r="Q943" s="49">
        <v>19</v>
      </c>
      <c r="R943" s="133">
        <f>IF(P943=模板计算相关数据!$AB$24,VLOOKUP(X943,模板计算相关数据!$P$47:$T$50,2,0),VLOOKUP(X943,模板计算相关数据!$P$4:$U$7,3,0))*VLOOKUP(Y943,模板计算相关数据!$P$22:$X$30,8,0)</f>
        <v>17.66901960784314</v>
      </c>
      <c r="S943" s="50">
        <v>2.75</v>
      </c>
      <c r="T943" s="133">
        <f>IF(P943=模板计算相关数据!$AB$24,VLOOKUP(X943,模板计算相关数据!$P$47:$T$50,5,0),VLOOKUP(X943,模板计算相关数据!$P$4:$U$7,6,0))*VLOOKUP(Y943,模板计算相关数据!$P$22:$X$30,9,0)</f>
        <v>2.9610152729167778</v>
      </c>
      <c r="U943" s="59">
        <v>54</v>
      </c>
      <c r="V943" s="95">
        <f t="shared" si="78"/>
        <v>18</v>
      </c>
      <c r="W943" s="29">
        <f>VLOOKUP(U943,模板计算相关数据!A:N,2,0)</f>
        <v>15</v>
      </c>
      <c r="X943" s="48" t="s">
        <v>178</v>
      </c>
      <c r="Y943" s="48" t="s">
        <v>152</v>
      </c>
      <c r="Z943" s="49">
        <v>1</v>
      </c>
      <c r="AA943" s="49">
        <v>1</v>
      </c>
      <c r="AB943" s="49">
        <v>1</v>
      </c>
      <c r="AC943" s="49">
        <v>1</v>
      </c>
      <c r="AD943" s="49">
        <v>0</v>
      </c>
      <c r="AE943" s="49">
        <v>0</v>
      </c>
      <c r="AF943" s="49">
        <v>0</v>
      </c>
      <c r="AG943" s="49">
        <v>0</v>
      </c>
      <c r="AH943" s="49">
        <v>0</v>
      </c>
      <c r="AI943" s="49">
        <v>4000</v>
      </c>
      <c r="AJ943" s="48">
        <f>INT(VLOOKUP(U943,模板计算相关数据!A:N,4,0)*VLOOKUP(U943,模板计算相关数据!A:N,14,0)*(1+MAX(0,(VLOOKUP(U943,模板计算相关数据!A:N,7,0)-AQ943))*VLOOKUP(U943,模板计算相关数据!A:N,8,0))*(1-(AL943+AM943)*0.5/((AL943+AM943)*0.5+(VLOOKUP(U943,模板计算相关数据!A:N,2,0)+模板计算相关数据!$AC$27)*模板计算相关数据!$AC$28))*Q943*Z943)</f>
        <v>5066</v>
      </c>
      <c r="AK943" s="48">
        <f>INT(VLOOKUP(U943,模板计算相关数据!A:N,3,0)/模板计算相关数据!$W$35/(1+MAX(0,(AO943/10000-VLOOKUP(U943,模板计算相关数据!A:N,9,0)))*AP943/10000)/(1-VLOOKUP(U943,模板计算相关数据!A:N,5,0)/(VLOOKUP(U943,模板计算相关数据!A:N,5,0)+(VLOOKUP(U943,模板计算相关数据!A:N,2,0)+模板计算相关数据!$AC$27)*模板计算相关数据!$AC$28))/S943*AA943)</f>
        <v>743</v>
      </c>
      <c r="AL943" s="48">
        <f>INT(VLOOKUP(U943,模板计算相关数据!A:N,5,0)*VLOOKUP(X943,模板计算相关数据!$P$4:$T$7,4,0)*VLOOKUP(Y943,模板计算相关数据!$P$22:$U$30,4,0)*AB943)</f>
        <v>1279</v>
      </c>
      <c r="AM943" s="48">
        <f>INT(VLOOKUP(U943,模板计算相关数据!A:N,6,0)*VLOOKUP(X943,模板计算相关数据!$P$4:$T$7,4,0)*VLOOKUP(Y943,模板计算相关数据!$P$22:$U$30,5,0)*AC943)</f>
        <v>758</v>
      </c>
      <c r="AN943" s="48">
        <f>VLOOKUP(U943,模板计算相关数据!A:N,10,0)*0.5*VLOOKUP(Y943,模板计算相关数据!$P$22:$U$30,6,0)+AD943</f>
        <v>250</v>
      </c>
      <c r="AO943" s="48">
        <f>VLOOKUP(INT(VLOOKUP(U943,模板计算相关数据!A:N,2,0)/30)+1,模板计算相关数据!$O$35:$U$40,3,0)+AE943</f>
        <v>0</v>
      </c>
      <c r="AP943" s="48">
        <f>VLOOKUP(INT(VLOOKUP(U943,模板计算相关数据!A:N,2,0)/30)+1,模板计算相关数据!$O$35:$U$40,4,0)+AF943</f>
        <v>5000</v>
      </c>
      <c r="AQ943" s="48">
        <f>VLOOKUP(INT(VLOOKUP(U943,模板计算相关数据!A:N,2,0)/30)+1,模板计算相关数据!$O$35:$U$40,5,0)+AG943</f>
        <v>0</v>
      </c>
      <c r="AR943" s="48">
        <f>VLOOKUP(INT(VLOOKUP(U943,模板计算相关数据!A:N,2,0)/30)+1,模板计算相关数据!$O$35:$U$40,6,0)+AH943</f>
        <v>0</v>
      </c>
      <c r="AS943" s="48">
        <f>VLOOKUP(INT(VLOOKUP(U943,模板计算相关数据!A:N,2,0)/30)+1,模板计算相关数据!$O$35:$U$40,7,0)+AI943</f>
        <v>4000</v>
      </c>
      <c r="AT943" s="48">
        <f>VLOOKUP(INT(VLOOKUP(U943,模板计算相关数据!A:N,2,0)/30)+1,模板计算相关数据!$O$35:$V$40,8,0)</f>
        <v>0</v>
      </c>
      <c r="AU943" s="46"/>
    </row>
    <row r="944" spans="1:47" s="51" customFormat="1" x14ac:dyDescent="0.2">
      <c r="A944" s="58">
        <v>52003031</v>
      </c>
      <c r="B944" s="58"/>
      <c r="C944" s="47" t="s">
        <v>1460</v>
      </c>
      <c r="D944" s="46" t="s">
        <v>1715</v>
      </c>
      <c r="E944" s="46"/>
      <c r="F944" s="48">
        <v>1</v>
      </c>
      <c r="G944" s="48">
        <v>102101</v>
      </c>
      <c r="H944" s="48">
        <v>1</v>
      </c>
      <c r="I944" s="46">
        <v>3</v>
      </c>
      <c r="J944" s="48">
        <v>5</v>
      </c>
      <c r="K944" s="3">
        <v>2</v>
      </c>
      <c r="L944" s="47" t="s">
        <v>1525</v>
      </c>
      <c r="M944" s="46"/>
      <c r="N944" s="46">
        <v>1</v>
      </c>
      <c r="O944" s="46"/>
      <c r="P944" s="48" t="s">
        <v>1615</v>
      </c>
      <c r="Q944" s="49">
        <v>19.5</v>
      </c>
      <c r="R944" s="133">
        <f>IF(P944=模板计算相关数据!$AB$24,VLOOKUP(X944,模板计算相关数据!$P$47:$T$50,2,0),VLOOKUP(X944,模板计算相关数据!$P$4:$U$7,3,0))*VLOOKUP(Y944,模板计算相关数据!$P$22:$X$30,8,0)</f>
        <v>17.66901960784314</v>
      </c>
      <c r="S944" s="50">
        <v>2.7</v>
      </c>
      <c r="T944" s="133">
        <f>IF(P944=模板计算相关数据!$AB$24,VLOOKUP(X944,模板计算相关数据!$P$47:$T$50,5,0),VLOOKUP(X944,模板计算相关数据!$P$4:$U$7,6,0))*VLOOKUP(Y944,模板计算相关数据!$P$22:$X$30,9,0)</f>
        <v>2.9610152729167778</v>
      </c>
      <c r="U944" s="59">
        <v>54</v>
      </c>
      <c r="V944" s="95">
        <f t="shared" ref="V944:V1007" si="82">W944+3</f>
        <v>18</v>
      </c>
      <c r="W944" s="29">
        <f>VLOOKUP(U944,模板计算相关数据!A:N,2,0)</f>
        <v>15</v>
      </c>
      <c r="X944" s="48" t="s">
        <v>178</v>
      </c>
      <c r="Y944" s="48" t="s">
        <v>152</v>
      </c>
      <c r="Z944" s="49">
        <v>1</v>
      </c>
      <c r="AA944" s="49">
        <v>1</v>
      </c>
      <c r="AB944" s="49">
        <v>1</v>
      </c>
      <c r="AC944" s="49">
        <v>1</v>
      </c>
      <c r="AD944" s="49">
        <v>0</v>
      </c>
      <c r="AE944" s="49">
        <v>0</v>
      </c>
      <c r="AF944" s="49">
        <v>0</v>
      </c>
      <c r="AG944" s="49">
        <v>0</v>
      </c>
      <c r="AH944" s="49">
        <v>0</v>
      </c>
      <c r="AI944" s="49">
        <v>4000</v>
      </c>
      <c r="AJ944" s="48">
        <f>INT(VLOOKUP(U944,模板计算相关数据!A:N,4,0)*VLOOKUP(U944,模板计算相关数据!A:N,14,0)*(1+MAX(0,(VLOOKUP(U944,模板计算相关数据!A:N,7,0)-AQ944))*VLOOKUP(U944,模板计算相关数据!A:N,8,0))*(1-(AL944+AM944)*0.5/((AL944+AM944)*0.5+(VLOOKUP(U944,模板计算相关数据!A:N,2,0)+模板计算相关数据!$AC$27)*模板计算相关数据!$AC$28))*Q944*Z944)</f>
        <v>5199</v>
      </c>
      <c r="AK944" s="48">
        <f>INT(VLOOKUP(U944,模板计算相关数据!A:N,3,0)/模板计算相关数据!$W$35/(1+MAX(0,(AO944/10000-VLOOKUP(U944,模板计算相关数据!A:N,9,0)))*AP944/10000)/(1-VLOOKUP(U944,模板计算相关数据!A:N,5,0)/(VLOOKUP(U944,模板计算相关数据!A:N,5,0)+(VLOOKUP(U944,模板计算相关数据!A:N,2,0)+模板计算相关数据!$AC$27)*模板计算相关数据!$AC$28))/S944*AA944)</f>
        <v>757</v>
      </c>
      <c r="AL944" s="48">
        <f>INT(VLOOKUP(U944,模板计算相关数据!A:N,5,0)*VLOOKUP(X944,模板计算相关数据!$P$4:$T$7,4,0)*VLOOKUP(Y944,模板计算相关数据!$P$22:$U$30,4,0)*AB944)</f>
        <v>1279</v>
      </c>
      <c r="AM944" s="48">
        <f>INT(VLOOKUP(U944,模板计算相关数据!A:N,6,0)*VLOOKUP(X944,模板计算相关数据!$P$4:$T$7,4,0)*VLOOKUP(Y944,模板计算相关数据!$P$22:$U$30,5,0)*AC944)</f>
        <v>758</v>
      </c>
      <c r="AN944" s="48">
        <f>VLOOKUP(U944,模板计算相关数据!A:N,10,0)*0.5*VLOOKUP(Y944,模板计算相关数据!$P$22:$U$30,6,0)+AD944</f>
        <v>250</v>
      </c>
      <c r="AO944" s="48">
        <f>VLOOKUP(INT(VLOOKUP(U944,模板计算相关数据!A:N,2,0)/30)+1,模板计算相关数据!$O$35:$U$40,3,0)+AE944</f>
        <v>0</v>
      </c>
      <c r="AP944" s="48">
        <f>VLOOKUP(INT(VLOOKUP(U944,模板计算相关数据!A:N,2,0)/30)+1,模板计算相关数据!$O$35:$U$40,4,0)+AF944</f>
        <v>5000</v>
      </c>
      <c r="AQ944" s="48">
        <f>VLOOKUP(INT(VLOOKUP(U944,模板计算相关数据!A:N,2,0)/30)+1,模板计算相关数据!$O$35:$U$40,5,0)+AG944</f>
        <v>0</v>
      </c>
      <c r="AR944" s="48">
        <f>VLOOKUP(INT(VLOOKUP(U944,模板计算相关数据!A:N,2,0)/30)+1,模板计算相关数据!$O$35:$U$40,6,0)+AH944</f>
        <v>0</v>
      </c>
      <c r="AS944" s="48">
        <f>VLOOKUP(INT(VLOOKUP(U944,模板计算相关数据!A:N,2,0)/30)+1,模板计算相关数据!$O$35:$U$40,7,0)+AI944</f>
        <v>4000</v>
      </c>
      <c r="AT944" s="48">
        <f>VLOOKUP(INT(VLOOKUP(U944,模板计算相关数据!A:N,2,0)/30)+1,模板计算相关数据!$O$35:$V$40,8,0)</f>
        <v>0</v>
      </c>
      <c r="AU944" s="46"/>
    </row>
    <row r="945" spans="1:47" s="51" customFormat="1" x14ac:dyDescent="0.2">
      <c r="A945" s="58">
        <v>52003041</v>
      </c>
      <c r="B945" s="58"/>
      <c r="C945" s="47" t="s">
        <v>1460</v>
      </c>
      <c r="D945" s="46" t="s">
        <v>1716</v>
      </c>
      <c r="E945" s="46"/>
      <c r="F945" s="48">
        <v>1</v>
      </c>
      <c r="G945" s="48">
        <v>102101</v>
      </c>
      <c r="H945" s="48">
        <v>1</v>
      </c>
      <c r="I945" s="46">
        <v>3</v>
      </c>
      <c r="J945" s="48">
        <v>5</v>
      </c>
      <c r="K945" s="3">
        <v>2</v>
      </c>
      <c r="L945" s="47" t="s">
        <v>1525</v>
      </c>
      <c r="M945" s="46"/>
      <c r="N945" s="46">
        <v>1</v>
      </c>
      <c r="O945" s="46"/>
      <c r="P945" s="48" t="s">
        <v>1615</v>
      </c>
      <c r="Q945" s="49">
        <v>20</v>
      </c>
      <c r="R945" s="133">
        <f>IF(P945=模板计算相关数据!$AB$24,VLOOKUP(X945,模板计算相关数据!$P$47:$T$50,2,0),VLOOKUP(X945,模板计算相关数据!$P$4:$U$7,3,0))*VLOOKUP(Y945,模板计算相关数据!$P$22:$X$30,8,0)</f>
        <v>17.66901960784314</v>
      </c>
      <c r="S945" s="50">
        <v>2.65</v>
      </c>
      <c r="T945" s="133">
        <f>IF(P945=模板计算相关数据!$AB$24,VLOOKUP(X945,模板计算相关数据!$P$47:$T$50,5,0),VLOOKUP(X945,模板计算相关数据!$P$4:$U$7,6,0))*VLOOKUP(Y945,模板计算相关数据!$P$22:$X$30,9,0)</f>
        <v>2.9610152729167778</v>
      </c>
      <c r="U945" s="59">
        <v>54</v>
      </c>
      <c r="V945" s="95">
        <f t="shared" si="82"/>
        <v>18</v>
      </c>
      <c r="W945" s="29">
        <f>VLOOKUP(U945,模板计算相关数据!A:N,2,0)</f>
        <v>15</v>
      </c>
      <c r="X945" s="48" t="s">
        <v>178</v>
      </c>
      <c r="Y945" s="48" t="s">
        <v>152</v>
      </c>
      <c r="Z945" s="49">
        <v>1</v>
      </c>
      <c r="AA945" s="49">
        <v>1</v>
      </c>
      <c r="AB945" s="49">
        <v>1</v>
      </c>
      <c r="AC945" s="49">
        <v>1</v>
      </c>
      <c r="AD945" s="49">
        <v>0</v>
      </c>
      <c r="AE945" s="49">
        <v>0</v>
      </c>
      <c r="AF945" s="49">
        <v>0</v>
      </c>
      <c r="AG945" s="49">
        <v>0</v>
      </c>
      <c r="AH945" s="49">
        <v>0</v>
      </c>
      <c r="AI945" s="49">
        <v>4000</v>
      </c>
      <c r="AJ945" s="48">
        <f>INT(VLOOKUP(U945,模板计算相关数据!A:N,4,0)*VLOOKUP(U945,模板计算相关数据!A:N,14,0)*(1+MAX(0,(VLOOKUP(U945,模板计算相关数据!A:N,7,0)-AQ945))*VLOOKUP(U945,模板计算相关数据!A:N,8,0))*(1-(AL945+AM945)*0.5/((AL945+AM945)*0.5+(VLOOKUP(U945,模板计算相关数据!A:N,2,0)+模板计算相关数据!$AC$27)*模板计算相关数据!$AC$28))*Q945*Z945)</f>
        <v>5332</v>
      </c>
      <c r="AK945" s="48">
        <f>INT(VLOOKUP(U945,模板计算相关数据!A:N,3,0)/模板计算相关数据!$W$35/(1+MAX(0,(AO945/10000-VLOOKUP(U945,模板计算相关数据!A:N,9,0)))*AP945/10000)/(1-VLOOKUP(U945,模板计算相关数据!A:N,5,0)/(VLOOKUP(U945,模板计算相关数据!A:N,5,0)+(VLOOKUP(U945,模板计算相关数据!A:N,2,0)+模板计算相关数据!$AC$27)*模板计算相关数据!$AC$28))/S945*AA945)</f>
        <v>771</v>
      </c>
      <c r="AL945" s="48">
        <f>INT(VLOOKUP(U945,模板计算相关数据!A:N,5,0)*VLOOKUP(X945,模板计算相关数据!$P$4:$T$7,4,0)*VLOOKUP(Y945,模板计算相关数据!$P$22:$U$30,4,0)*AB945)</f>
        <v>1279</v>
      </c>
      <c r="AM945" s="48">
        <f>INT(VLOOKUP(U945,模板计算相关数据!A:N,6,0)*VLOOKUP(X945,模板计算相关数据!$P$4:$T$7,4,0)*VLOOKUP(Y945,模板计算相关数据!$P$22:$U$30,5,0)*AC945)</f>
        <v>758</v>
      </c>
      <c r="AN945" s="48">
        <f>VLOOKUP(U945,模板计算相关数据!A:N,10,0)*0.5*VLOOKUP(Y945,模板计算相关数据!$P$22:$U$30,6,0)+AD945</f>
        <v>250</v>
      </c>
      <c r="AO945" s="48">
        <f>VLOOKUP(INT(VLOOKUP(U945,模板计算相关数据!A:N,2,0)/30)+1,模板计算相关数据!$O$35:$U$40,3,0)+AE945</f>
        <v>0</v>
      </c>
      <c r="AP945" s="48">
        <f>VLOOKUP(INT(VLOOKUP(U945,模板计算相关数据!A:N,2,0)/30)+1,模板计算相关数据!$O$35:$U$40,4,0)+AF945</f>
        <v>5000</v>
      </c>
      <c r="AQ945" s="48">
        <f>VLOOKUP(INT(VLOOKUP(U945,模板计算相关数据!A:N,2,0)/30)+1,模板计算相关数据!$O$35:$U$40,5,0)+AG945</f>
        <v>0</v>
      </c>
      <c r="AR945" s="48">
        <f>VLOOKUP(INT(VLOOKUP(U945,模板计算相关数据!A:N,2,0)/30)+1,模板计算相关数据!$O$35:$U$40,6,0)+AH945</f>
        <v>0</v>
      </c>
      <c r="AS945" s="48">
        <f>VLOOKUP(INT(VLOOKUP(U945,模板计算相关数据!A:N,2,0)/30)+1,模板计算相关数据!$O$35:$U$40,7,0)+AI945</f>
        <v>4000</v>
      </c>
      <c r="AT945" s="48">
        <f>VLOOKUP(INT(VLOOKUP(U945,模板计算相关数据!A:N,2,0)/30)+1,模板计算相关数据!$O$35:$V$40,8,0)</f>
        <v>0</v>
      </c>
      <c r="AU945" s="46"/>
    </row>
    <row r="946" spans="1:47" s="51" customFormat="1" x14ac:dyDescent="0.2">
      <c r="A946" s="58">
        <v>52003051</v>
      </c>
      <c r="B946" s="58"/>
      <c r="C946" s="47" t="s">
        <v>1460</v>
      </c>
      <c r="D946" s="46" t="s">
        <v>1717</v>
      </c>
      <c r="E946" s="46"/>
      <c r="F946" s="48">
        <v>1</v>
      </c>
      <c r="G946" s="48">
        <v>102101</v>
      </c>
      <c r="H946" s="48">
        <v>1</v>
      </c>
      <c r="I946" s="46">
        <v>3</v>
      </c>
      <c r="J946" s="48">
        <v>5</v>
      </c>
      <c r="K946" s="3">
        <v>2</v>
      </c>
      <c r="L946" s="47" t="s">
        <v>1526</v>
      </c>
      <c r="M946" s="46"/>
      <c r="N946" s="46">
        <v>1</v>
      </c>
      <c r="O946" s="46"/>
      <c r="P946" s="48" t="s">
        <v>1615</v>
      </c>
      <c r="Q946" s="49">
        <v>21</v>
      </c>
      <c r="R946" s="133">
        <f>IF(P946=模板计算相关数据!$AB$24,VLOOKUP(X946,模板计算相关数据!$P$47:$T$50,2,0),VLOOKUP(X946,模板计算相关数据!$P$4:$U$7,3,0))*VLOOKUP(Y946,模板计算相关数据!$P$22:$X$30,8,0)</f>
        <v>17.66901960784314</v>
      </c>
      <c r="S946" s="50">
        <v>2.6</v>
      </c>
      <c r="T946" s="133">
        <f>IF(P946=模板计算相关数据!$AB$24,VLOOKUP(X946,模板计算相关数据!$P$47:$T$50,5,0),VLOOKUP(X946,模板计算相关数据!$P$4:$U$7,6,0))*VLOOKUP(Y946,模板计算相关数据!$P$22:$X$30,9,0)</f>
        <v>2.9610152729167778</v>
      </c>
      <c r="U946" s="59">
        <v>54</v>
      </c>
      <c r="V946" s="95">
        <f t="shared" si="82"/>
        <v>18</v>
      </c>
      <c r="W946" s="29">
        <f>VLOOKUP(U946,模板计算相关数据!A:N,2,0)</f>
        <v>15</v>
      </c>
      <c r="X946" s="48" t="s">
        <v>178</v>
      </c>
      <c r="Y946" s="48" t="s">
        <v>152</v>
      </c>
      <c r="Z946" s="49">
        <v>1</v>
      </c>
      <c r="AA946" s="49">
        <v>1</v>
      </c>
      <c r="AB946" s="49">
        <v>1</v>
      </c>
      <c r="AC946" s="49">
        <v>1</v>
      </c>
      <c r="AD946" s="49">
        <v>0</v>
      </c>
      <c r="AE946" s="49">
        <v>0</v>
      </c>
      <c r="AF946" s="49">
        <v>0</v>
      </c>
      <c r="AG946" s="49">
        <v>0</v>
      </c>
      <c r="AH946" s="49">
        <v>0</v>
      </c>
      <c r="AI946" s="49">
        <v>4000</v>
      </c>
      <c r="AJ946" s="48">
        <f>INT(VLOOKUP(U946,模板计算相关数据!A:N,4,0)*VLOOKUP(U946,模板计算相关数据!A:N,14,0)*(1+MAX(0,(VLOOKUP(U946,模板计算相关数据!A:N,7,0)-AQ946))*VLOOKUP(U946,模板计算相关数据!A:N,8,0))*(1-(AL946+AM946)*0.5/((AL946+AM946)*0.5+(VLOOKUP(U946,模板计算相关数据!A:N,2,0)+模板计算相关数据!$AC$27)*模板计算相关数据!$AC$28))*Q946*Z946)</f>
        <v>5599</v>
      </c>
      <c r="AK946" s="48">
        <f>INT(VLOOKUP(U946,模板计算相关数据!A:N,3,0)/模板计算相关数据!$W$35/(1+MAX(0,(AO946/10000-VLOOKUP(U946,模板计算相关数据!A:N,9,0)))*AP946/10000)/(1-VLOOKUP(U946,模板计算相关数据!A:N,5,0)/(VLOOKUP(U946,模板计算相关数据!A:N,5,0)+(VLOOKUP(U946,模板计算相关数据!A:N,2,0)+模板计算相关数据!$AC$27)*模板计算相关数据!$AC$28))/S946*AA946)</f>
        <v>786</v>
      </c>
      <c r="AL946" s="48">
        <f>INT(VLOOKUP(U946,模板计算相关数据!A:N,5,0)*VLOOKUP(X946,模板计算相关数据!$P$4:$T$7,4,0)*VLOOKUP(Y946,模板计算相关数据!$P$22:$U$30,4,0)*AB946)</f>
        <v>1279</v>
      </c>
      <c r="AM946" s="48">
        <f>INT(VLOOKUP(U946,模板计算相关数据!A:N,6,0)*VLOOKUP(X946,模板计算相关数据!$P$4:$T$7,4,0)*VLOOKUP(Y946,模板计算相关数据!$P$22:$U$30,5,0)*AC946)</f>
        <v>758</v>
      </c>
      <c r="AN946" s="48">
        <f>VLOOKUP(U946,模板计算相关数据!A:N,10,0)*0.5*VLOOKUP(Y946,模板计算相关数据!$P$22:$U$30,6,0)+AD946</f>
        <v>250</v>
      </c>
      <c r="AO946" s="48">
        <f>VLOOKUP(INT(VLOOKUP(U946,模板计算相关数据!A:N,2,0)/30)+1,模板计算相关数据!$O$35:$U$40,3,0)+AE946</f>
        <v>0</v>
      </c>
      <c r="AP946" s="48">
        <f>VLOOKUP(INT(VLOOKUP(U946,模板计算相关数据!A:N,2,0)/30)+1,模板计算相关数据!$O$35:$U$40,4,0)+AF946</f>
        <v>5000</v>
      </c>
      <c r="AQ946" s="48">
        <f>VLOOKUP(INT(VLOOKUP(U946,模板计算相关数据!A:N,2,0)/30)+1,模板计算相关数据!$O$35:$U$40,5,0)+AG946</f>
        <v>0</v>
      </c>
      <c r="AR946" s="48">
        <f>VLOOKUP(INT(VLOOKUP(U946,模板计算相关数据!A:N,2,0)/30)+1,模板计算相关数据!$O$35:$U$40,6,0)+AH946</f>
        <v>0</v>
      </c>
      <c r="AS946" s="48">
        <f>VLOOKUP(INT(VLOOKUP(U946,模板计算相关数据!A:N,2,0)/30)+1,模板计算相关数据!$O$35:$U$40,7,0)+AI946</f>
        <v>4000</v>
      </c>
      <c r="AT946" s="48">
        <f>VLOOKUP(INT(VLOOKUP(U946,模板计算相关数据!A:N,2,0)/30)+1,模板计算相关数据!$O$35:$V$40,8,0)</f>
        <v>0</v>
      </c>
      <c r="AU946" s="46"/>
    </row>
    <row r="947" spans="1:47" x14ac:dyDescent="0.2">
      <c r="A947" s="35">
        <v>52004011</v>
      </c>
      <c r="B947" s="35"/>
      <c r="C947" s="34" t="s">
        <v>1469</v>
      </c>
      <c r="D947" s="69" t="s">
        <v>1857</v>
      </c>
      <c r="E947" s="2"/>
      <c r="F947" s="3">
        <v>3</v>
      </c>
      <c r="G947" s="3">
        <v>101201</v>
      </c>
      <c r="H947" s="3">
        <v>1</v>
      </c>
      <c r="I947" s="2">
        <v>3</v>
      </c>
      <c r="J947" s="3">
        <v>2</v>
      </c>
      <c r="K947" s="3">
        <v>2</v>
      </c>
      <c r="L947" s="69" t="s">
        <v>1530</v>
      </c>
      <c r="M947" s="2"/>
      <c r="N947" s="2">
        <v>1</v>
      </c>
      <c r="O947" s="2"/>
      <c r="P947" s="3" t="s">
        <v>1615</v>
      </c>
      <c r="Q947" s="95">
        <f t="shared" si="79"/>
        <v>7.0676078431372558</v>
      </c>
      <c r="R947" s="133">
        <f>IF(P947=模板计算相关数据!$AB$24,VLOOKUP(X947,模板计算相关数据!$P$47:$T$50,2,0),VLOOKUP(X947,模板计算相关数据!$P$4:$U$7,3,0))*VLOOKUP(Y947,模板计算相关数据!$P$22:$X$30,8,0)</f>
        <v>7.0676078431372558</v>
      </c>
      <c r="S947" s="62">
        <f t="shared" si="80"/>
        <v>3.7582116925482176</v>
      </c>
      <c r="T947" s="133">
        <f>IF(P947=模板计算相关数据!$AB$24,VLOOKUP(X947,模板计算相关数据!$P$47:$T$50,5,0),VLOOKUP(X947,模板计算相关数据!$P$4:$U$7,6,0))*VLOOKUP(Y947,模板计算相关数据!$P$22:$X$30,9,0)</f>
        <v>3.7582116925482176</v>
      </c>
      <c r="U947" s="98">
        <v>55</v>
      </c>
      <c r="V947" s="95">
        <f t="shared" si="82"/>
        <v>22</v>
      </c>
      <c r="W947" s="29">
        <f>VLOOKUP(U947,模板计算相关数据!A:N,2,0)</f>
        <v>19</v>
      </c>
      <c r="X947" s="3" t="s">
        <v>158</v>
      </c>
      <c r="Y947" s="3" t="s">
        <v>152</v>
      </c>
      <c r="Z947" s="95">
        <v>1</v>
      </c>
      <c r="AA947" s="95">
        <v>1</v>
      </c>
      <c r="AB947" s="95">
        <v>1</v>
      </c>
      <c r="AC947" s="95">
        <v>1</v>
      </c>
      <c r="AD947" s="95">
        <v>0</v>
      </c>
      <c r="AE947" s="95">
        <v>0</v>
      </c>
      <c r="AF947" s="95">
        <v>0</v>
      </c>
      <c r="AG947" s="95">
        <v>0</v>
      </c>
      <c r="AH947" s="95">
        <v>0</v>
      </c>
      <c r="AI947" s="95">
        <v>2000</v>
      </c>
      <c r="AJ947" s="3">
        <f>INT(VLOOKUP(U947,模板计算相关数据!A:N,4,0)*VLOOKUP(U947,模板计算相关数据!A:N,14,0)*(1+MAX(0,(VLOOKUP(U947,模板计算相关数据!A:N,7,0)-AQ947))*VLOOKUP(U947,模板计算相关数据!A:N,8,0))*(1-(AL947+AM947)*0.5/((AL947+AM947)*0.5+(VLOOKUP(U947,模板计算相关数据!A:N,2,0)+模板计算相关数据!$AC$27)*模板计算相关数据!$AC$28))*Q947*Z947)</f>
        <v>3052</v>
      </c>
      <c r="AK947" s="3">
        <f>INT(VLOOKUP(U947,模板计算相关数据!A:N,3,0)/模板计算相关数据!$W$35/(1+MAX(0,(AO947/10000-VLOOKUP(U947,模板计算相关数据!A:N,9,0)))*AP947/10000)/(1-VLOOKUP(U947,模板计算相关数据!A:N,5,0)/(VLOOKUP(U947,模板计算相关数据!A:N,5,0)+(VLOOKUP(U947,模板计算相关数据!A:N,2,0)+模板计算相关数据!$AC$27)*模板计算相关数据!$AC$28))/S947*AA947)</f>
        <v>1047</v>
      </c>
      <c r="AL947" s="3">
        <f>INT(VLOOKUP(U947,模板计算相关数据!A:N,5,0)*VLOOKUP(X947,模板计算相关数据!$P$4:$T$7,4,0)*VLOOKUP(Y947,模板计算相关数据!$P$22:$U$30,4,0)*AB947)</f>
        <v>1767</v>
      </c>
      <c r="AM947" s="3">
        <f>INT(VLOOKUP(U947,模板计算相关数据!A:N,6,0)*VLOOKUP(X947,模板计算相关数据!$P$4:$T$7,4,0)*VLOOKUP(Y947,模板计算相关数据!$P$22:$U$30,5,0)*AC947)</f>
        <v>1036</v>
      </c>
      <c r="AN947" s="3">
        <f>VLOOKUP(U947,模板计算相关数据!A:N,10,0)*0.5*VLOOKUP(Y947,模板计算相关数据!$P$22:$U$30,6,0)+AD947</f>
        <v>250</v>
      </c>
      <c r="AO947" s="3">
        <f>VLOOKUP(INT(VLOOKUP(U947,模板计算相关数据!A:N,2,0)/30)+1,模板计算相关数据!$O$35:$U$40,3,0)+AE947</f>
        <v>0</v>
      </c>
      <c r="AP947" s="3">
        <f>VLOOKUP(INT(VLOOKUP(U947,模板计算相关数据!A:N,2,0)/30)+1,模板计算相关数据!$O$35:$U$40,4,0)+AF947</f>
        <v>5000</v>
      </c>
      <c r="AQ947" s="3">
        <f>VLOOKUP(INT(VLOOKUP(U947,模板计算相关数据!A:N,2,0)/30)+1,模板计算相关数据!$O$35:$U$40,5,0)+AG947</f>
        <v>0</v>
      </c>
      <c r="AR947" s="3">
        <f>VLOOKUP(INT(VLOOKUP(U947,模板计算相关数据!A:N,2,0)/30)+1,模板计算相关数据!$O$35:$U$40,6,0)+AH947</f>
        <v>0</v>
      </c>
      <c r="AS947" s="3">
        <f>VLOOKUP(INT(VLOOKUP(U947,模板计算相关数据!A:N,2,0)/30)+1,模板计算相关数据!$O$35:$U$40,7,0)+AI947</f>
        <v>2000</v>
      </c>
      <c r="AT947" s="3">
        <f>VLOOKUP(INT(VLOOKUP(U947,模板计算相关数据!A:N,2,0)/30)+1,模板计算相关数据!$O$35:$V$40,8,0)</f>
        <v>0</v>
      </c>
      <c r="AU947" s="2"/>
    </row>
    <row r="948" spans="1:47" x14ac:dyDescent="0.2">
      <c r="A948" s="86">
        <v>52004021</v>
      </c>
      <c r="B948" s="86"/>
      <c r="C948" s="69" t="s">
        <v>1469</v>
      </c>
      <c r="D948" s="69" t="s">
        <v>1858</v>
      </c>
      <c r="E948" s="2"/>
      <c r="F948" s="3">
        <v>3</v>
      </c>
      <c r="G948" s="3">
        <v>101201</v>
      </c>
      <c r="H948" s="3">
        <v>1</v>
      </c>
      <c r="I948" s="2">
        <v>3</v>
      </c>
      <c r="J948" s="3">
        <v>2</v>
      </c>
      <c r="K948" s="3">
        <v>2</v>
      </c>
      <c r="L948" s="69" t="s">
        <v>1530</v>
      </c>
      <c r="M948" s="2"/>
      <c r="N948" s="2">
        <v>1</v>
      </c>
      <c r="O948" s="2"/>
      <c r="P948" s="3" t="s">
        <v>1615</v>
      </c>
      <c r="Q948" s="95">
        <f t="shared" si="79"/>
        <v>7.0676078431372558</v>
      </c>
      <c r="R948" s="133">
        <f>IF(P948=模板计算相关数据!$AB$24,VLOOKUP(X948,模板计算相关数据!$P$47:$T$50,2,0),VLOOKUP(X948,模板计算相关数据!$P$4:$U$7,3,0))*VLOOKUP(Y948,模板计算相关数据!$P$22:$X$30,8,0)</f>
        <v>7.0676078431372558</v>
      </c>
      <c r="S948" s="62">
        <f t="shared" si="80"/>
        <v>3.7582116925482176</v>
      </c>
      <c r="T948" s="133">
        <f>IF(P948=模板计算相关数据!$AB$24,VLOOKUP(X948,模板计算相关数据!$P$47:$T$50,5,0),VLOOKUP(X948,模板计算相关数据!$P$4:$U$7,6,0))*VLOOKUP(Y948,模板计算相关数据!$P$22:$X$30,9,0)</f>
        <v>3.7582116925482176</v>
      </c>
      <c r="U948" s="98">
        <v>55</v>
      </c>
      <c r="V948" s="95">
        <f t="shared" si="82"/>
        <v>22</v>
      </c>
      <c r="W948" s="29">
        <f>VLOOKUP(U948,模板计算相关数据!A:N,2,0)</f>
        <v>19</v>
      </c>
      <c r="X948" s="3" t="s">
        <v>158</v>
      </c>
      <c r="Y948" s="3" t="s">
        <v>152</v>
      </c>
      <c r="Z948" s="95">
        <v>1</v>
      </c>
      <c r="AA948" s="95">
        <v>1</v>
      </c>
      <c r="AB948" s="95">
        <v>1</v>
      </c>
      <c r="AC948" s="95">
        <v>1</v>
      </c>
      <c r="AD948" s="95">
        <v>0</v>
      </c>
      <c r="AE948" s="95">
        <v>0</v>
      </c>
      <c r="AF948" s="95">
        <v>0</v>
      </c>
      <c r="AG948" s="95">
        <v>0</v>
      </c>
      <c r="AH948" s="95">
        <v>0</v>
      </c>
      <c r="AI948" s="95">
        <v>2000</v>
      </c>
      <c r="AJ948" s="3">
        <f>INT(VLOOKUP(U948,模板计算相关数据!A:N,4,0)*VLOOKUP(U948,模板计算相关数据!A:N,14,0)*(1+MAX(0,(VLOOKUP(U948,模板计算相关数据!A:N,7,0)-AQ948))*VLOOKUP(U948,模板计算相关数据!A:N,8,0))*(1-(AL948+AM948)*0.5/((AL948+AM948)*0.5+(VLOOKUP(U948,模板计算相关数据!A:N,2,0)+模板计算相关数据!$AC$27)*模板计算相关数据!$AC$28))*Q948*Z948)</f>
        <v>3052</v>
      </c>
      <c r="AK948" s="3">
        <f>INT(VLOOKUP(U948,模板计算相关数据!A:N,3,0)/模板计算相关数据!$W$35/(1+MAX(0,(AO948/10000-VLOOKUP(U948,模板计算相关数据!A:N,9,0)))*AP948/10000)/(1-VLOOKUP(U948,模板计算相关数据!A:N,5,0)/(VLOOKUP(U948,模板计算相关数据!A:N,5,0)+(VLOOKUP(U948,模板计算相关数据!A:N,2,0)+模板计算相关数据!$AC$27)*模板计算相关数据!$AC$28))/S948*AA948)</f>
        <v>1047</v>
      </c>
      <c r="AL948" s="3">
        <f>INT(VLOOKUP(U948,模板计算相关数据!A:N,5,0)*VLOOKUP(X948,模板计算相关数据!$P$4:$T$7,4,0)*VLOOKUP(Y948,模板计算相关数据!$P$22:$U$30,4,0)*AB948)</f>
        <v>1767</v>
      </c>
      <c r="AM948" s="3">
        <f>INT(VLOOKUP(U948,模板计算相关数据!A:N,6,0)*VLOOKUP(X948,模板计算相关数据!$P$4:$T$7,4,0)*VLOOKUP(Y948,模板计算相关数据!$P$22:$U$30,5,0)*AC948)</f>
        <v>1036</v>
      </c>
      <c r="AN948" s="3">
        <f>VLOOKUP(U948,模板计算相关数据!A:N,10,0)*0.5*VLOOKUP(Y948,模板计算相关数据!$P$22:$U$30,6,0)+AD948</f>
        <v>250</v>
      </c>
      <c r="AO948" s="3">
        <f>VLOOKUP(INT(VLOOKUP(U948,模板计算相关数据!A:N,2,0)/30)+1,模板计算相关数据!$O$35:$U$40,3,0)+AE948</f>
        <v>0</v>
      </c>
      <c r="AP948" s="3">
        <f>VLOOKUP(INT(VLOOKUP(U948,模板计算相关数据!A:N,2,0)/30)+1,模板计算相关数据!$O$35:$U$40,4,0)+AF948</f>
        <v>5000</v>
      </c>
      <c r="AQ948" s="3">
        <f>VLOOKUP(INT(VLOOKUP(U948,模板计算相关数据!A:N,2,0)/30)+1,模板计算相关数据!$O$35:$U$40,5,0)+AG948</f>
        <v>0</v>
      </c>
      <c r="AR948" s="3">
        <f>VLOOKUP(INT(VLOOKUP(U948,模板计算相关数据!A:N,2,0)/30)+1,模板计算相关数据!$O$35:$U$40,6,0)+AH948</f>
        <v>0</v>
      </c>
      <c r="AS948" s="3">
        <f>VLOOKUP(INT(VLOOKUP(U948,模板计算相关数据!A:N,2,0)/30)+1,模板计算相关数据!$O$35:$U$40,7,0)+AI948</f>
        <v>2000</v>
      </c>
      <c r="AT948" s="3">
        <f>VLOOKUP(INT(VLOOKUP(U948,模板计算相关数据!A:N,2,0)/30)+1,模板计算相关数据!$O$35:$V$40,8,0)</f>
        <v>0</v>
      </c>
      <c r="AU948" s="2"/>
    </row>
    <row r="949" spans="1:47" x14ac:dyDescent="0.2">
      <c r="A949" s="86">
        <v>52004031</v>
      </c>
      <c r="B949" s="86"/>
      <c r="C949" s="69" t="s">
        <v>1469</v>
      </c>
      <c r="D949" s="69" t="s">
        <v>1859</v>
      </c>
      <c r="E949" s="2"/>
      <c r="F949" s="3">
        <v>3</v>
      </c>
      <c r="G949" s="3">
        <v>101201</v>
      </c>
      <c r="H949" s="3">
        <v>1</v>
      </c>
      <c r="I949" s="2">
        <v>3</v>
      </c>
      <c r="J949" s="3">
        <v>2</v>
      </c>
      <c r="K949" s="3">
        <v>2</v>
      </c>
      <c r="L949" s="69" t="s">
        <v>1530</v>
      </c>
      <c r="M949" s="2"/>
      <c r="N949" s="2">
        <v>1</v>
      </c>
      <c r="O949" s="2"/>
      <c r="P949" s="3" t="s">
        <v>1615</v>
      </c>
      <c r="Q949" s="95">
        <f t="shared" si="79"/>
        <v>7.0676078431372558</v>
      </c>
      <c r="R949" s="133">
        <f>IF(P949=模板计算相关数据!$AB$24,VLOOKUP(X949,模板计算相关数据!$P$47:$T$50,2,0),VLOOKUP(X949,模板计算相关数据!$P$4:$U$7,3,0))*VLOOKUP(Y949,模板计算相关数据!$P$22:$X$30,8,0)</f>
        <v>7.0676078431372558</v>
      </c>
      <c r="S949" s="62">
        <f t="shared" si="80"/>
        <v>3.7582116925482176</v>
      </c>
      <c r="T949" s="133">
        <f>IF(P949=模板计算相关数据!$AB$24,VLOOKUP(X949,模板计算相关数据!$P$47:$T$50,5,0),VLOOKUP(X949,模板计算相关数据!$P$4:$U$7,6,0))*VLOOKUP(Y949,模板计算相关数据!$P$22:$X$30,9,0)</f>
        <v>3.7582116925482176</v>
      </c>
      <c r="U949" s="98">
        <v>55</v>
      </c>
      <c r="V949" s="95">
        <f t="shared" si="82"/>
        <v>22</v>
      </c>
      <c r="W949" s="29">
        <f>VLOOKUP(U949,模板计算相关数据!A:N,2,0)</f>
        <v>19</v>
      </c>
      <c r="X949" s="3" t="s">
        <v>158</v>
      </c>
      <c r="Y949" s="3" t="s">
        <v>152</v>
      </c>
      <c r="Z949" s="95">
        <v>1</v>
      </c>
      <c r="AA949" s="95">
        <v>1</v>
      </c>
      <c r="AB949" s="95">
        <v>1</v>
      </c>
      <c r="AC949" s="95">
        <v>1</v>
      </c>
      <c r="AD949" s="95">
        <v>0</v>
      </c>
      <c r="AE949" s="95">
        <v>0</v>
      </c>
      <c r="AF949" s="95">
        <v>0</v>
      </c>
      <c r="AG949" s="95">
        <v>0</v>
      </c>
      <c r="AH949" s="95">
        <v>0</v>
      </c>
      <c r="AI949" s="95">
        <v>2000</v>
      </c>
      <c r="AJ949" s="3">
        <f>INT(VLOOKUP(U949,模板计算相关数据!A:N,4,0)*VLOOKUP(U949,模板计算相关数据!A:N,14,0)*(1+MAX(0,(VLOOKUP(U949,模板计算相关数据!A:N,7,0)-AQ949))*VLOOKUP(U949,模板计算相关数据!A:N,8,0))*(1-(AL949+AM949)*0.5/((AL949+AM949)*0.5+(VLOOKUP(U949,模板计算相关数据!A:N,2,0)+模板计算相关数据!$AC$27)*模板计算相关数据!$AC$28))*Q949*Z949)</f>
        <v>3052</v>
      </c>
      <c r="AK949" s="3">
        <f>INT(VLOOKUP(U949,模板计算相关数据!A:N,3,0)/模板计算相关数据!$W$35/(1+MAX(0,(AO949/10000-VLOOKUP(U949,模板计算相关数据!A:N,9,0)))*AP949/10000)/(1-VLOOKUP(U949,模板计算相关数据!A:N,5,0)/(VLOOKUP(U949,模板计算相关数据!A:N,5,0)+(VLOOKUP(U949,模板计算相关数据!A:N,2,0)+模板计算相关数据!$AC$27)*模板计算相关数据!$AC$28))/S949*AA949)</f>
        <v>1047</v>
      </c>
      <c r="AL949" s="3">
        <f>INT(VLOOKUP(U949,模板计算相关数据!A:N,5,0)*VLOOKUP(X949,模板计算相关数据!$P$4:$T$7,4,0)*VLOOKUP(Y949,模板计算相关数据!$P$22:$U$30,4,0)*AB949)</f>
        <v>1767</v>
      </c>
      <c r="AM949" s="3">
        <f>INT(VLOOKUP(U949,模板计算相关数据!A:N,6,0)*VLOOKUP(X949,模板计算相关数据!$P$4:$T$7,4,0)*VLOOKUP(Y949,模板计算相关数据!$P$22:$U$30,5,0)*AC949)</f>
        <v>1036</v>
      </c>
      <c r="AN949" s="3">
        <f>VLOOKUP(U949,模板计算相关数据!A:N,10,0)*0.5*VLOOKUP(Y949,模板计算相关数据!$P$22:$U$30,6,0)+AD949</f>
        <v>250</v>
      </c>
      <c r="AO949" s="3">
        <f>VLOOKUP(INT(VLOOKUP(U949,模板计算相关数据!A:N,2,0)/30)+1,模板计算相关数据!$O$35:$U$40,3,0)+AE949</f>
        <v>0</v>
      </c>
      <c r="AP949" s="3">
        <f>VLOOKUP(INT(VLOOKUP(U949,模板计算相关数据!A:N,2,0)/30)+1,模板计算相关数据!$O$35:$U$40,4,0)+AF949</f>
        <v>5000</v>
      </c>
      <c r="AQ949" s="3">
        <f>VLOOKUP(INT(VLOOKUP(U949,模板计算相关数据!A:N,2,0)/30)+1,模板计算相关数据!$O$35:$U$40,5,0)+AG949</f>
        <v>0</v>
      </c>
      <c r="AR949" s="3">
        <f>VLOOKUP(INT(VLOOKUP(U949,模板计算相关数据!A:N,2,0)/30)+1,模板计算相关数据!$O$35:$U$40,6,0)+AH949</f>
        <v>0</v>
      </c>
      <c r="AS949" s="3">
        <f>VLOOKUP(INT(VLOOKUP(U949,模板计算相关数据!A:N,2,0)/30)+1,模板计算相关数据!$O$35:$U$40,7,0)+AI949</f>
        <v>2000</v>
      </c>
      <c r="AT949" s="3">
        <f>VLOOKUP(INT(VLOOKUP(U949,模板计算相关数据!A:N,2,0)/30)+1,模板计算相关数据!$O$35:$V$40,8,0)</f>
        <v>0</v>
      </c>
      <c r="AU949" s="2"/>
    </row>
    <row r="950" spans="1:47" x14ac:dyDescent="0.2">
      <c r="A950" s="86">
        <v>52004041</v>
      </c>
      <c r="B950" s="86"/>
      <c r="C950" s="69" t="s">
        <v>1469</v>
      </c>
      <c r="D950" s="69" t="s">
        <v>1860</v>
      </c>
      <c r="E950" s="2"/>
      <c r="F950" s="3">
        <v>3</v>
      </c>
      <c r="G950" s="3">
        <v>101201</v>
      </c>
      <c r="H950" s="3">
        <v>1</v>
      </c>
      <c r="I950" s="2">
        <v>3</v>
      </c>
      <c r="J950" s="3">
        <v>2</v>
      </c>
      <c r="K950" s="3">
        <v>2</v>
      </c>
      <c r="L950" s="69" t="s">
        <v>1530</v>
      </c>
      <c r="M950" s="2"/>
      <c r="N950" s="2">
        <v>1</v>
      </c>
      <c r="O950" s="2"/>
      <c r="P950" s="3" t="s">
        <v>1615</v>
      </c>
      <c r="Q950" s="95">
        <f t="shared" si="79"/>
        <v>7.0676078431372558</v>
      </c>
      <c r="R950" s="133">
        <f>IF(P950=模板计算相关数据!$AB$24,VLOOKUP(X950,模板计算相关数据!$P$47:$T$50,2,0),VLOOKUP(X950,模板计算相关数据!$P$4:$U$7,3,0))*VLOOKUP(Y950,模板计算相关数据!$P$22:$X$30,8,0)</f>
        <v>7.0676078431372558</v>
      </c>
      <c r="S950" s="62">
        <f t="shared" si="80"/>
        <v>3.7582116925482176</v>
      </c>
      <c r="T950" s="133">
        <f>IF(P950=模板计算相关数据!$AB$24,VLOOKUP(X950,模板计算相关数据!$P$47:$T$50,5,0),VLOOKUP(X950,模板计算相关数据!$P$4:$U$7,6,0))*VLOOKUP(Y950,模板计算相关数据!$P$22:$X$30,9,0)</f>
        <v>3.7582116925482176</v>
      </c>
      <c r="U950" s="98">
        <v>55</v>
      </c>
      <c r="V950" s="95">
        <f t="shared" si="82"/>
        <v>22</v>
      </c>
      <c r="W950" s="29">
        <f>VLOOKUP(U950,模板计算相关数据!A:N,2,0)</f>
        <v>19</v>
      </c>
      <c r="X950" s="3" t="s">
        <v>158</v>
      </c>
      <c r="Y950" s="3" t="s">
        <v>152</v>
      </c>
      <c r="Z950" s="95">
        <v>1</v>
      </c>
      <c r="AA950" s="95">
        <v>1</v>
      </c>
      <c r="AB950" s="95">
        <v>1</v>
      </c>
      <c r="AC950" s="95">
        <v>1</v>
      </c>
      <c r="AD950" s="95">
        <v>0</v>
      </c>
      <c r="AE950" s="95">
        <v>0</v>
      </c>
      <c r="AF950" s="95">
        <v>0</v>
      </c>
      <c r="AG950" s="95">
        <v>0</v>
      </c>
      <c r="AH950" s="95">
        <v>0</v>
      </c>
      <c r="AI950" s="95">
        <v>2000</v>
      </c>
      <c r="AJ950" s="3">
        <f>INT(VLOOKUP(U950,模板计算相关数据!A:N,4,0)*VLOOKUP(U950,模板计算相关数据!A:N,14,0)*(1+MAX(0,(VLOOKUP(U950,模板计算相关数据!A:N,7,0)-AQ950))*VLOOKUP(U950,模板计算相关数据!A:N,8,0))*(1-(AL950+AM950)*0.5/((AL950+AM950)*0.5+(VLOOKUP(U950,模板计算相关数据!A:N,2,0)+模板计算相关数据!$AC$27)*模板计算相关数据!$AC$28))*Q950*Z950)</f>
        <v>3052</v>
      </c>
      <c r="AK950" s="3">
        <f>INT(VLOOKUP(U950,模板计算相关数据!A:N,3,0)/模板计算相关数据!$W$35/(1+MAX(0,(AO950/10000-VLOOKUP(U950,模板计算相关数据!A:N,9,0)))*AP950/10000)/(1-VLOOKUP(U950,模板计算相关数据!A:N,5,0)/(VLOOKUP(U950,模板计算相关数据!A:N,5,0)+(VLOOKUP(U950,模板计算相关数据!A:N,2,0)+模板计算相关数据!$AC$27)*模板计算相关数据!$AC$28))/S950*AA950)</f>
        <v>1047</v>
      </c>
      <c r="AL950" s="3">
        <f>INT(VLOOKUP(U950,模板计算相关数据!A:N,5,0)*VLOOKUP(X950,模板计算相关数据!$P$4:$T$7,4,0)*VLOOKUP(Y950,模板计算相关数据!$P$22:$U$30,4,0)*AB950)</f>
        <v>1767</v>
      </c>
      <c r="AM950" s="3">
        <f>INT(VLOOKUP(U950,模板计算相关数据!A:N,6,0)*VLOOKUP(X950,模板计算相关数据!$P$4:$T$7,4,0)*VLOOKUP(Y950,模板计算相关数据!$P$22:$U$30,5,0)*AC950)</f>
        <v>1036</v>
      </c>
      <c r="AN950" s="3">
        <f>VLOOKUP(U950,模板计算相关数据!A:N,10,0)*0.5*VLOOKUP(Y950,模板计算相关数据!$P$22:$U$30,6,0)+AD950</f>
        <v>250</v>
      </c>
      <c r="AO950" s="3">
        <f>VLOOKUP(INT(VLOOKUP(U950,模板计算相关数据!A:N,2,0)/30)+1,模板计算相关数据!$O$35:$U$40,3,0)+AE950</f>
        <v>0</v>
      </c>
      <c r="AP950" s="3">
        <f>VLOOKUP(INT(VLOOKUP(U950,模板计算相关数据!A:N,2,0)/30)+1,模板计算相关数据!$O$35:$U$40,4,0)+AF950</f>
        <v>5000</v>
      </c>
      <c r="AQ950" s="3">
        <f>VLOOKUP(INT(VLOOKUP(U950,模板计算相关数据!A:N,2,0)/30)+1,模板计算相关数据!$O$35:$U$40,5,0)+AG950</f>
        <v>0</v>
      </c>
      <c r="AR950" s="3">
        <f>VLOOKUP(INT(VLOOKUP(U950,模板计算相关数据!A:N,2,0)/30)+1,模板计算相关数据!$O$35:$U$40,6,0)+AH950</f>
        <v>0</v>
      </c>
      <c r="AS950" s="3">
        <f>VLOOKUP(INT(VLOOKUP(U950,模板计算相关数据!A:N,2,0)/30)+1,模板计算相关数据!$O$35:$U$40,7,0)+AI950</f>
        <v>2000</v>
      </c>
      <c r="AT950" s="3">
        <f>VLOOKUP(INT(VLOOKUP(U950,模板计算相关数据!A:N,2,0)/30)+1,模板计算相关数据!$O$35:$V$40,8,0)</f>
        <v>0</v>
      </c>
      <c r="AU950" s="2"/>
    </row>
    <row r="951" spans="1:47" x14ac:dyDescent="0.2">
      <c r="A951" s="86">
        <v>52004051</v>
      </c>
      <c r="B951" s="86"/>
      <c r="C951" s="69" t="s">
        <v>1469</v>
      </c>
      <c r="D951" s="69" t="s">
        <v>1861</v>
      </c>
      <c r="E951" s="2"/>
      <c r="F951" s="3">
        <v>3</v>
      </c>
      <c r="G951" s="3">
        <v>101201</v>
      </c>
      <c r="H951" s="3">
        <v>1</v>
      </c>
      <c r="I951" s="2">
        <v>3</v>
      </c>
      <c r="J951" s="3">
        <v>2</v>
      </c>
      <c r="K951" s="3">
        <v>2</v>
      </c>
      <c r="L951" s="69" t="s">
        <v>1530</v>
      </c>
      <c r="M951" s="2"/>
      <c r="N951" s="2">
        <v>1</v>
      </c>
      <c r="O951" s="2"/>
      <c r="P951" s="3" t="s">
        <v>1615</v>
      </c>
      <c r="Q951" s="95">
        <f t="shared" si="79"/>
        <v>7.0676078431372558</v>
      </c>
      <c r="R951" s="133">
        <f>IF(P951=模板计算相关数据!$AB$24,VLOOKUP(X951,模板计算相关数据!$P$47:$T$50,2,0),VLOOKUP(X951,模板计算相关数据!$P$4:$U$7,3,0))*VLOOKUP(Y951,模板计算相关数据!$P$22:$X$30,8,0)</f>
        <v>7.0676078431372558</v>
      </c>
      <c r="S951" s="62">
        <f t="shared" si="80"/>
        <v>3.7582116925482176</v>
      </c>
      <c r="T951" s="133">
        <f>IF(P951=模板计算相关数据!$AB$24,VLOOKUP(X951,模板计算相关数据!$P$47:$T$50,5,0),VLOOKUP(X951,模板计算相关数据!$P$4:$U$7,6,0))*VLOOKUP(Y951,模板计算相关数据!$P$22:$X$30,9,0)</f>
        <v>3.7582116925482176</v>
      </c>
      <c r="U951" s="98">
        <v>55</v>
      </c>
      <c r="V951" s="95">
        <f t="shared" si="82"/>
        <v>22</v>
      </c>
      <c r="W951" s="29">
        <f>VLOOKUP(U951,模板计算相关数据!A:N,2,0)</f>
        <v>19</v>
      </c>
      <c r="X951" s="3" t="s">
        <v>158</v>
      </c>
      <c r="Y951" s="3" t="s">
        <v>152</v>
      </c>
      <c r="Z951" s="95">
        <v>1</v>
      </c>
      <c r="AA951" s="95">
        <v>1</v>
      </c>
      <c r="AB951" s="95">
        <v>1</v>
      </c>
      <c r="AC951" s="95">
        <v>1</v>
      </c>
      <c r="AD951" s="95">
        <v>0</v>
      </c>
      <c r="AE951" s="95">
        <v>0</v>
      </c>
      <c r="AF951" s="95">
        <v>0</v>
      </c>
      <c r="AG951" s="95">
        <v>0</v>
      </c>
      <c r="AH951" s="95">
        <v>0</v>
      </c>
      <c r="AI951" s="95">
        <v>2000</v>
      </c>
      <c r="AJ951" s="3">
        <f>INT(VLOOKUP(U951,模板计算相关数据!A:N,4,0)*VLOOKUP(U951,模板计算相关数据!A:N,14,0)*(1+MAX(0,(VLOOKUP(U951,模板计算相关数据!A:N,7,0)-AQ951))*VLOOKUP(U951,模板计算相关数据!A:N,8,0))*(1-(AL951+AM951)*0.5/((AL951+AM951)*0.5+(VLOOKUP(U951,模板计算相关数据!A:N,2,0)+模板计算相关数据!$AC$27)*模板计算相关数据!$AC$28))*Q951*Z951)</f>
        <v>3052</v>
      </c>
      <c r="AK951" s="3">
        <f>INT(VLOOKUP(U951,模板计算相关数据!A:N,3,0)/模板计算相关数据!$W$35/(1+MAX(0,(AO951/10000-VLOOKUP(U951,模板计算相关数据!A:N,9,0)))*AP951/10000)/(1-VLOOKUP(U951,模板计算相关数据!A:N,5,0)/(VLOOKUP(U951,模板计算相关数据!A:N,5,0)+(VLOOKUP(U951,模板计算相关数据!A:N,2,0)+模板计算相关数据!$AC$27)*模板计算相关数据!$AC$28))/S951*AA951)</f>
        <v>1047</v>
      </c>
      <c r="AL951" s="3">
        <f>INT(VLOOKUP(U951,模板计算相关数据!A:N,5,0)*VLOOKUP(X951,模板计算相关数据!$P$4:$T$7,4,0)*VLOOKUP(Y951,模板计算相关数据!$P$22:$U$30,4,0)*AB951)</f>
        <v>1767</v>
      </c>
      <c r="AM951" s="3">
        <f>INT(VLOOKUP(U951,模板计算相关数据!A:N,6,0)*VLOOKUP(X951,模板计算相关数据!$P$4:$T$7,4,0)*VLOOKUP(Y951,模板计算相关数据!$P$22:$U$30,5,0)*AC951)</f>
        <v>1036</v>
      </c>
      <c r="AN951" s="3">
        <f>VLOOKUP(U951,模板计算相关数据!A:N,10,0)*0.5*VLOOKUP(Y951,模板计算相关数据!$P$22:$U$30,6,0)+AD951</f>
        <v>250</v>
      </c>
      <c r="AO951" s="3">
        <f>VLOOKUP(INT(VLOOKUP(U951,模板计算相关数据!A:N,2,0)/30)+1,模板计算相关数据!$O$35:$U$40,3,0)+AE951</f>
        <v>0</v>
      </c>
      <c r="AP951" s="3">
        <f>VLOOKUP(INT(VLOOKUP(U951,模板计算相关数据!A:N,2,0)/30)+1,模板计算相关数据!$O$35:$U$40,4,0)+AF951</f>
        <v>5000</v>
      </c>
      <c r="AQ951" s="3">
        <f>VLOOKUP(INT(VLOOKUP(U951,模板计算相关数据!A:N,2,0)/30)+1,模板计算相关数据!$O$35:$U$40,5,0)+AG951</f>
        <v>0</v>
      </c>
      <c r="AR951" s="3">
        <f>VLOOKUP(INT(VLOOKUP(U951,模板计算相关数据!A:N,2,0)/30)+1,模板计算相关数据!$O$35:$U$40,6,0)+AH951</f>
        <v>0</v>
      </c>
      <c r="AS951" s="3">
        <f>VLOOKUP(INT(VLOOKUP(U951,模板计算相关数据!A:N,2,0)/30)+1,模板计算相关数据!$O$35:$U$40,7,0)+AI951</f>
        <v>2000</v>
      </c>
      <c r="AT951" s="3">
        <f>VLOOKUP(INT(VLOOKUP(U951,模板计算相关数据!A:N,2,0)/30)+1,模板计算相关数据!$O$35:$V$40,8,0)</f>
        <v>0</v>
      </c>
      <c r="AU951" s="2"/>
    </row>
    <row r="952" spans="1:47" x14ac:dyDescent="0.2">
      <c r="A952" s="86">
        <v>52004012</v>
      </c>
      <c r="B952" s="86"/>
      <c r="C952" s="69" t="s">
        <v>1462</v>
      </c>
      <c r="D952" s="69" t="s">
        <v>1857</v>
      </c>
      <c r="E952" s="2"/>
      <c r="F952" s="3">
        <v>1</v>
      </c>
      <c r="G952" s="3">
        <v>101601</v>
      </c>
      <c r="H952" s="3">
        <v>5</v>
      </c>
      <c r="I952" s="2">
        <v>3</v>
      </c>
      <c r="J952" s="3">
        <v>5</v>
      </c>
      <c r="K952" s="3">
        <v>2</v>
      </c>
      <c r="L952" s="69" t="s">
        <v>1527</v>
      </c>
      <c r="M952" s="2"/>
      <c r="N952" s="2">
        <v>1</v>
      </c>
      <c r="O952" s="2"/>
      <c r="P952" s="3" t="s">
        <v>1615</v>
      </c>
      <c r="Q952" s="95">
        <f t="shared" si="79"/>
        <v>9.2335686274509801</v>
      </c>
      <c r="R952" s="133">
        <f>IF(P952=模板计算相关数据!$AB$24,VLOOKUP(X952,模板计算相关数据!$P$47:$T$50,2,0),VLOOKUP(X952,模板计算相关数据!$P$4:$U$7,3,0))*VLOOKUP(Y952,模板计算相关数据!$P$22:$X$30,8,0)</f>
        <v>9.2335686274509801</v>
      </c>
      <c r="S952" s="62">
        <f t="shared" si="80"/>
        <v>4.4361636057137765</v>
      </c>
      <c r="T952" s="133">
        <f>IF(P952=模板计算相关数据!$AB$24,VLOOKUP(X952,模板计算相关数据!$P$47:$T$50,5,0),VLOOKUP(X952,模板计算相关数据!$P$4:$U$7,6,0))*VLOOKUP(Y952,模板计算相关数据!$P$22:$X$30,9,0)</f>
        <v>4.4361636057137765</v>
      </c>
      <c r="U952" s="98">
        <v>55</v>
      </c>
      <c r="V952" s="95">
        <f t="shared" si="82"/>
        <v>22</v>
      </c>
      <c r="W952" s="29">
        <f>VLOOKUP(U952,模板计算相关数据!A:N,2,0)</f>
        <v>19</v>
      </c>
      <c r="X952" s="3" t="s">
        <v>158</v>
      </c>
      <c r="Y952" s="3" t="s">
        <v>159</v>
      </c>
      <c r="Z952" s="95">
        <v>1</v>
      </c>
      <c r="AA952" s="95">
        <v>1</v>
      </c>
      <c r="AB952" s="95">
        <v>1</v>
      </c>
      <c r="AC952" s="95">
        <v>1</v>
      </c>
      <c r="AD952" s="95">
        <v>0</v>
      </c>
      <c r="AE952" s="95">
        <v>0</v>
      </c>
      <c r="AF952" s="95">
        <v>0</v>
      </c>
      <c r="AG952" s="95">
        <v>0</v>
      </c>
      <c r="AH952" s="95">
        <v>0</v>
      </c>
      <c r="AI952" s="95">
        <v>2000</v>
      </c>
      <c r="AJ952" s="3">
        <f>INT(VLOOKUP(U952,模板计算相关数据!A:N,4,0)*VLOOKUP(U952,模板计算相关数据!A:N,14,0)*(1+MAX(0,(VLOOKUP(U952,模板计算相关数据!A:N,7,0)-AQ952))*VLOOKUP(U952,模板计算相关数据!A:N,8,0))*(1-(AL952+AM952)*0.5/((AL952+AM952)*0.5+(VLOOKUP(U952,模板计算相关数据!A:N,2,0)+模板计算相关数据!$AC$27)*模板计算相关数据!$AC$28))*Q952*Z952)</f>
        <v>3814</v>
      </c>
      <c r="AK952" s="3">
        <f>INT(VLOOKUP(U952,模板计算相关数据!A:N,3,0)/模板计算相关数据!$W$35/(1+MAX(0,(AO952/10000-VLOOKUP(U952,模板计算相关数据!A:N,9,0)))*AP952/10000)/(1-VLOOKUP(U952,模板计算相关数据!A:N,5,0)/(VLOOKUP(U952,模板计算相关数据!A:N,5,0)+(VLOOKUP(U952,模板计算相关数据!A:N,2,0)+模板计算相关数据!$AC$27)*模板计算相关数据!$AC$28))/S952*AA952)</f>
        <v>887</v>
      </c>
      <c r="AL952" s="3">
        <f>INT(VLOOKUP(U952,模板计算相关数据!A:N,5,0)*VLOOKUP(X952,模板计算相关数据!$P$4:$T$7,4,0)*VLOOKUP(Y952,模板计算相关数据!$P$22:$U$30,4,0)*AB952)</f>
        <v>2029</v>
      </c>
      <c r="AM952" s="3">
        <f>INT(VLOOKUP(U952,模板计算相关数据!A:N,6,0)*VLOOKUP(X952,模板计算相关数据!$P$4:$T$7,4,0)*VLOOKUP(Y952,模板计算相关数据!$P$22:$U$30,5,0)*AC952)</f>
        <v>1101</v>
      </c>
      <c r="AN952" s="3">
        <f>VLOOKUP(U952,模板计算相关数据!A:N,10,0)*0.5*VLOOKUP(Y952,模板计算相关数据!$P$22:$U$30,6,0)+AD952</f>
        <v>275</v>
      </c>
      <c r="AO952" s="3">
        <f>VLOOKUP(INT(VLOOKUP(U952,模板计算相关数据!A:N,2,0)/30)+1,模板计算相关数据!$O$35:$U$40,3,0)+AE952</f>
        <v>0</v>
      </c>
      <c r="AP952" s="3">
        <f>VLOOKUP(INT(VLOOKUP(U952,模板计算相关数据!A:N,2,0)/30)+1,模板计算相关数据!$O$35:$U$40,4,0)+AF952</f>
        <v>5000</v>
      </c>
      <c r="AQ952" s="3">
        <f>VLOOKUP(INT(VLOOKUP(U952,模板计算相关数据!A:N,2,0)/30)+1,模板计算相关数据!$O$35:$U$40,5,0)+AG952</f>
        <v>0</v>
      </c>
      <c r="AR952" s="3">
        <f>VLOOKUP(INT(VLOOKUP(U952,模板计算相关数据!A:N,2,0)/30)+1,模板计算相关数据!$O$35:$U$40,6,0)+AH952</f>
        <v>0</v>
      </c>
      <c r="AS952" s="3">
        <f>VLOOKUP(INT(VLOOKUP(U952,模板计算相关数据!A:N,2,0)/30)+1,模板计算相关数据!$O$35:$U$40,7,0)+AI952</f>
        <v>2000</v>
      </c>
      <c r="AT952" s="3">
        <f>VLOOKUP(INT(VLOOKUP(U952,模板计算相关数据!A:N,2,0)/30)+1,模板计算相关数据!$O$35:$V$40,8,0)</f>
        <v>0</v>
      </c>
      <c r="AU952" s="2"/>
    </row>
    <row r="953" spans="1:47" x14ac:dyDescent="0.2">
      <c r="A953" s="86">
        <v>52004022</v>
      </c>
      <c r="B953" s="86"/>
      <c r="C953" s="69" t="s">
        <v>1462</v>
      </c>
      <c r="D953" s="69" t="s">
        <v>1858</v>
      </c>
      <c r="E953" s="2"/>
      <c r="F953" s="3">
        <v>1</v>
      </c>
      <c r="G953" s="3">
        <v>101601</v>
      </c>
      <c r="H953" s="3">
        <v>5</v>
      </c>
      <c r="I953" s="2">
        <v>3</v>
      </c>
      <c r="J953" s="3">
        <v>5</v>
      </c>
      <c r="K953" s="3">
        <v>2</v>
      </c>
      <c r="L953" s="69" t="s">
        <v>1527</v>
      </c>
      <c r="M953" s="2"/>
      <c r="N953" s="2">
        <v>1</v>
      </c>
      <c r="O953" s="2"/>
      <c r="P953" s="3" t="s">
        <v>1615</v>
      </c>
      <c r="Q953" s="95">
        <f t="shared" si="79"/>
        <v>9.2335686274509801</v>
      </c>
      <c r="R953" s="133">
        <f>IF(P953=模板计算相关数据!$AB$24,VLOOKUP(X953,模板计算相关数据!$P$47:$T$50,2,0),VLOOKUP(X953,模板计算相关数据!$P$4:$U$7,3,0))*VLOOKUP(Y953,模板计算相关数据!$P$22:$X$30,8,0)</f>
        <v>9.2335686274509801</v>
      </c>
      <c r="S953" s="62">
        <f t="shared" si="80"/>
        <v>4.4361636057137765</v>
      </c>
      <c r="T953" s="133">
        <f>IF(P953=模板计算相关数据!$AB$24,VLOOKUP(X953,模板计算相关数据!$P$47:$T$50,5,0),VLOOKUP(X953,模板计算相关数据!$P$4:$U$7,6,0))*VLOOKUP(Y953,模板计算相关数据!$P$22:$X$30,9,0)</f>
        <v>4.4361636057137765</v>
      </c>
      <c r="U953" s="98">
        <v>55</v>
      </c>
      <c r="V953" s="95">
        <f t="shared" si="82"/>
        <v>22</v>
      </c>
      <c r="W953" s="29">
        <f>VLOOKUP(U953,模板计算相关数据!A:N,2,0)</f>
        <v>19</v>
      </c>
      <c r="X953" s="3" t="s">
        <v>158</v>
      </c>
      <c r="Y953" s="3" t="s">
        <v>159</v>
      </c>
      <c r="Z953" s="95">
        <v>1</v>
      </c>
      <c r="AA953" s="95">
        <v>1</v>
      </c>
      <c r="AB953" s="95">
        <v>1</v>
      </c>
      <c r="AC953" s="95">
        <v>1</v>
      </c>
      <c r="AD953" s="95">
        <v>0</v>
      </c>
      <c r="AE953" s="95">
        <v>0</v>
      </c>
      <c r="AF953" s="95">
        <v>0</v>
      </c>
      <c r="AG953" s="95">
        <v>0</v>
      </c>
      <c r="AH953" s="95">
        <v>0</v>
      </c>
      <c r="AI953" s="95">
        <v>2000</v>
      </c>
      <c r="AJ953" s="3">
        <f>INT(VLOOKUP(U953,模板计算相关数据!A:N,4,0)*VLOOKUP(U953,模板计算相关数据!A:N,14,0)*(1+MAX(0,(VLOOKUP(U953,模板计算相关数据!A:N,7,0)-AQ953))*VLOOKUP(U953,模板计算相关数据!A:N,8,0))*(1-(AL953+AM953)*0.5/((AL953+AM953)*0.5+(VLOOKUP(U953,模板计算相关数据!A:N,2,0)+模板计算相关数据!$AC$27)*模板计算相关数据!$AC$28))*Q953*Z953)</f>
        <v>3814</v>
      </c>
      <c r="AK953" s="3">
        <f>INT(VLOOKUP(U953,模板计算相关数据!A:N,3,0)/模板计算相关数据!$W$35/(1+MAX(0,(AO953/10000-VLOOKUP(U953,模板计算相关数据!A:N,9,0)))*AP953/10000)/(1-VLOOKUP(U953,模板计算相关数据!A:N,5,0)/(VLOOKUP(U953,模板计算相关数据!A:N,5,0)+(VLOOKUP(U953,模板计算相关数据!A:N,2,0)+模板计算相关数据!$AC$27)*模板计算相关数据!$AC$28))/S953*AA953)</f>
        <v>887</v>
      </c>
      <c r="AL953" s="3">
        <f>INT(VLOOKUP(U953,模板计算相关数据!A:N,5,0)*VLOOKUP(X953,模板计算相关数据!$P$4:$T$7,4,0)*VLOOKUP(Y953,模板计算相关数据!$P$22:$U$30,4,0)*AB953)</f>
        <v>2029</v>
      </c>
      <c r="AM953" s="3">
        <f>INT(VLOOKUP(U953,模板计算相关数据!A:N,6,0)*VLOOKUP(X953,模板计算相关数据!$P$4:$T$7,4,0)*VLOOKUP(Y953,模板计算相关数据!$P$22:$U$30,5,0)*AC953)</f>
        <v>1101</v>
      </c>
      <c r="AN953" s="3">
        <f>VLOOKUP(U953,模板计算相关数据!A:N,10,0)*0.5*VLOOKUP(Y953,模板计算相关数据!$P$22:$U$30,6,0)+AD953</f>
        <v>275</v>
      </c>
      <c r="AO953" s="3">
        <f>VLOOKUP(INT(VLOOKUP(U953,模板计算相关数据!A:N,2,0)/30)+1,模板计算相关数据!$O$35:$U$40,3,0)+AE953</f>
        <v>0</v>
      </c>
      <c r="AP953" s="3">
        <f>VLOOKUP(INT(VLOOKUP(U953,模板计算相关数据!A:N,2,0)/30)+1,模板计算相关数据!$O$35:$U$40,4,0)+AF953</f>
        <v>5000</v>
      </c>
      <c r="AQ953" s="3">
        <f>VLOOKUP(INT(VLOOKUP(U953,模板计算相关数据!A:N,2,0)/30)+1,模板计算相关数据!$O$35:$U$40,5,0)+AG953</f>
        <v>0</v>
      </c>
      <c r="AR953" s="3">
        <f>VLOOKUP(INT(VLOOKUP(U953,模板计算相关数据!A:N,2,0)/30)+1,模板计算相关数据!$O$35:$U$40,6,0)+AH953</f>
        <v>0</v>
      </c>
      <c r="AS953" s="3">
        <f>VLOOKUP(INT(VLOOKUP(U953,模板计算相关数据!A:N,2,0)/30)+1,模板计算相关数据!$O$35:$U$40,7,0)+AI953</f>
        <v>2000</v>
      </c>
      <c r="AT953" s="3">
        <f>VLOOKUP(INT(VLOOKUP(U953,模板计算相关数据!A:N,2,0)/30)+1,模板计算相关数据!$O$35:$V$40,8,0)</f>
        <v>0</v>
      </c>
      <c r="AU953" s="2"/>
    </row>
    <row r="954" spans="1:47" x14ac:dyDescent="0.2">
      <c r="A954" s="86">
        <v>52004032</v>
      </c>
      <c r="B954" s="86"/>
      <c r="C954" s="69" t="s">
        <v>1462</v>
      </c>
      <c r="D954" s="69" t="s">
        <v>1859</v>
      </c>
      <c r="E954" s="2"/>
      <c r="F954" s="3">
        <v>1</v>
      </c>
      <c r="G954" s="3">
        <v>101601</v>
      </c>
      <c r="H954" s="3">
        <v>5</v>
      </c>
      <c r="I954" s="2">
        <v>3</v>
      </c>
      <c r="J954" s="3">
        <v>5</v>
      </c>
      <c r="K954" s="3">
        <v>2</v>
      </c>
      <c r="L954" s="69" t="s">
        <v>1527</v>
      </c>
      <c r="M954" s="2"/>
      <c r="N954" s="2">
        <v>1</v>
      </c>
      <c r="O954" s="2"/>
      <c r="P954" s="3" t="s">
        <v>1615</v>
      </c>
      <c r="Q954" s="95">
        <f t="shared" si="79"/>
        <v>9.2335686274509801</v>
      </c>
      <c r="R954" s="133">
        <f>IF(P954=模板计算相关数据!$AB$24,VLOOKUP(X954,模板计算相关数据!$P$47:$T$50,2,0),VLOOKUP(X954,模板计算相关数据!$P$4:$U$7,3,0))*VLOOKUP(Y954,模板计算相关数据!$P$22:$X$30,8,0)</f>
        <v>9.2335686274509801</v>
      </c>
      <c r="S954" s="62">
        <f t="shared" si="80"/>
        <v>4.4361636057137765</v>
      </c>
      <c r="T954" s="133">
        <f>IF(P954=模板计算相关数据!$AB$24,VLOOKUP(X954,模板计算相关数据!$P$47:$T$50,5,0),VLOOKUP(X954,模板计算相关数据!$P$4:$U$7,6,0))*VLOOKUP(Y954,模板计算相关数据!$P$22:$X$30,9,0)</f>
        <v>4.4361636057137765</v>
      </c>
      <c r="U954" s="98">
        <v>55</v>
      </c>
      <c r="V954" s="95">
        <f t="shared" si="82"/>
        <v>22</v>
      </c>
      <c r="W954" s="29">
        <f>VLOOKUP(U954,模板计算相关数据!A:N,2,0)</f>
        <v>19</v>
      </c>
      <c r="X954" s="3" t="s">
        <v>158</v>
      </c>
      <c r="Y954" s="3" t="s">
        <v>159</v>
      </c>
      <c r="Z954" s="95">
        <v>1</v>
      </c>
      <c r="AA954" s="95">
        <v>1</v>
      </c>
      <c r="AB954" s="95">
        <v>1</v>
      </c>
      <c r="AC954" s="95">
        <v>1</v>
      </c>
      <c r="AD954" s="95">
        <v>0</v>
      </c>
      <c r="AE954" s="95">
        <v>0</v>
      </c>
      <c r="AF954" s="95">
        <v>0</v>
      </c>
      <c r="AG954" s="95">
        <v>0</v>
      </c>
      <c r="AH954" s="95">
        <v>0</v>
      </c>
      <c r="AI954" s="95">
        <v>2000</v>
      </c>
      <c r="AJ954" s="3">
        <f>INT(VLOOKUP(U954,模板计算相关数据!A:N,4,0)*VLOOKUP(U954,模板计算相关数据!A:N,14,0)*(1+MAX(0,(VLOOKUP(U954,模板计算相关数据!A:N,7,0)-AQ954))*VLOOKUP(U954,模板计算相关数据!A:N,8,0))*(1-(AL954+AM954)*0.5/((AL954+AM954)*0.5+(VLOOKUP(U954,模板计算相关数据!A:N,2,0)+模板计算相关数据!$AC$27)*模板计算相关数据!$AC$28))*Q954*Z954)</f>
        <v>3814</v>
      </c>
      <c r="AK954" s="3">
        <f>INT(VLOOKUP(U954,模板计算相关数据!A:N,3,0)/模板计算相关数据!$W$35/(1+MAX(0,(AO954/10000-VLOOKUP(U954,模板计算相关数据!A:N,9,0)))*AP954/10000)/(1-VLOOKUP(U954,模板计算相关数据!A:N,5,0)/(VLOOKUP(U954,模板计算相关数据!A:N,5,0)+(VLOOKUP(U954,模板计算相关数据!A:N,2,0)+模板计算相关数据!$AC$27)*模板计算相关数据!$AC$28))/S954*AA954)</f>
        <v>887</v>
      </c>
      <c r="AL954" s="3">
        <f>INT(VLOOKUP(U954,模板计算相关数据!A:N,5,0)*VLOOKUP(X954,模板计算相关数据!$P$4:$T$7,4,0)*VLOOKUP(Y954,模板计算相关数据!$P$22:$U$30,4,0)*AB954)</f>
        <v>2029</v>
      </c>
      <c r="AM954" s="3">
        <f>INT(VLOOKUP(U954,模板计算相关数据!A:N,6,0)*VLOOKUP(X954,模板计算相关数据!$P$4:$T$7,4,0)*VLOOKUP(Y954,模板计算相关数据!$P$22:$U$30,5,0)*AC954)</f>
        <v>1101</v>
      </c>
      <c r="AN954" s="3">
        <f>VLOOKUP(U954,模板计算相关数据!A:N,10,0)*0.5*VLOOKUP(Y954,模板计算相关数据!$P$22:$U$30,6,0)+AD954</f>
        <v>275</v>
      </c>
      <c r="AO954" s="3">
        <f>VLOOKUP(INT(VLOOKUP(U954,模板计算相关数据!A:N,2,0)/30)+1,模板计算相关数据!$O$35:$U$40,3,0)+AE954</f>
        <v>0</v>
      </c>
      <c r="AP954" s="3">
        <f>VLOOKUP(INT(VLOOKUP(U954,模板计算相关数据!A:N,2,0)/30)+1,模板计算相关数据!$O$35:$U$40,4,0)+AF954</f>
        <v>5000</v>
      </c>
      <c r="AQ954" s="3">
        <f>VLOOKUP(INT(VLOOKUP(U954,模板计算相关数据!A:N,2,0)/30)+1,模板计算相关数据!$O$35:$U$40,5,0)+AG954</f>
        <v>0</v>
      </c>
      <c r="AR954" s="3">
        <f>VLOOKUP(INT(VLOOKUP(U954,模板计算相关数据!A:N,2,0)/30)+1,模板计算相关数据!$O$35:$U$40,6,0)+AH954</f>
        <v>0</v>
      </c>
      <c r="AS954" s="3">
        <f>VLOOKUP(INT(VLOOKUP(U954,模板计算相关数据!A:N,2,0)/30)+1,模板计算相关数据!$O$35:$U$40,7,0)+AI954</f>
        <v>2000</v>
      </c>
      <c r="AT954" s="3">
        <f>VLOOKUP(INT(VLOOKUP(U954,模板计算相关数据!A:N,2,0)/30)+1,模板计算相关数据!$O$35:$V$40,8,0)</f>
        <v>0</v>
      </c>
      <c r="AU954" s="2"/>
    </row>
    <row r="955" spans="1:47" x14ac:dyDescent="0.2">
      <c r="A955" s="86">
        <v>52004042</v>
      </c>
      <c r="B955" s="86"/>
      <c r="C955" s="69" t="s">
        <v>1462</v>
      </c>
      <c r="D955" s="69" t="s">
        <v>1860</v>
      </c>
      <c r="E955" s="2"/>
      <c r="F955" s="3">
        <v>1</v>
      </c>
      <c r="G955" s="3">
        <v>101601</v>
      </c>
      <c r="H955" s="3">
        <v>5</v>
      </c>
      <c r="I955" s="2">
        <v>3</v>
      </c>
      <c r="J955" s="3">
        <v>5</v>
      </c>
      <c r="K955" s="3">
        <v>2</v>
      </c>
      <c r="L955" s="69" t="s">
        <v>1527</v>
      </c>
      <c r="M955" s="2"/>
      <c r="N955" s="2">
        <v>1</v>
      </c>
      <c r="O955" s="2"/>
      <c r="P955" s="3" t="s">
        <v>1615</v>
      </c>
      <c r="Q955" s="95">
        <f t="shared" si="79"/>
        <v>9.2335686274509801</v>
      </c>
      <c r="R955" s="133">
        <f>IF(P955=模板计算相关数据!$AB$24,VLOOKUP(X955,模板计算相关数据!$P$47:$T$50,2,0),VLOOKUP(X955,模板计算相关数据!$P$4:$U$7,3,0))*VLOOKUP(Y955,模板计算相关数据!$P$22:$X$30,8,0)</f>
        <v>9.2335686274509801</v>
      </c>
      <c r="S955" s="62">
        <f t="shared" si="80"/>
        <v>4.4361636057137765</v>
      </c>
      <c r="T955" s="133">
        <f>IF(P955=模板计算相关数据!$AB$24,VLOOKUP(X955,模板计算相关数据!$P$47:$T$50,5,0),VLOOKUP(X955,模板计算相关数据!$P$4:$U$7,6,0))*VLOOKUP(Y955,模板计算相关数据!$P$22:$X$30,9,0)</f>
        <v>4.4361636057137765</v>
      </c>
      <c r="U955" s="98">
        <v>55</v>
      </c>
      <c r="V955" s="95">
        <f t="shared" si="82"/>
        <v>22</v>
      </c>
      <c r="W955" s="29">
        <f>VLOOKUP(U955,模板计算相关数据!A:N,2,0)</f>
        <v>19</v>
      </c>
      <c r="X955" s="3" t="s">
        <v>158</v>
      </c>
      <c r="Y955" s="3" t="s">
        <v>159</v>
      </c>
      <c r="Z955" s="95">
        <v>1</v>
      </c>
      <c r="AA955" s="95">
        <v>1</v>
      </c>
      <c r="AB955" s="95">
        <v>1</v>
      </c>
      <c r="AC955" s="95">
        <v>1</v>
      </c>
      <c r="AD955" s="95">
        <v>0</v>
      </c>
      <c r="AE955" s="95">
        <v>0</v>
      </c>
      <c r="AF955" s="95">
        <v>0</v>
      </c>
      <c r="AG955" s="95">
        <v>0</v>
      </c>
      <c r="AH955" s="95">
        <v>0</v>
      </c>
      <c r="AI955" s="95">
        <v>2000</v>
      </c>
      <c r="AJ955" s="3">
        <f>INT(VLOOKUP(U955,模板计算相关数据!A:N,4,0)*VLOOKUP(U955,模板计算相关数据!A:N,14,0)*(1+MAX(0,(VLOOKUP(U955,模板计算相关数据!A:N,7,0)-AQ955))*VLOOKUP(U955,模板计算相关数据!A:N,8,0))*(1-(AL955+AM955)*0.5/((AL955+AM955)*0.5+(VLOOKUP(U955,模板计算相关数据!A:N,2,0)+模板计算相关数据!$AC$27)*模板计算相关数据!$AC$28))*Q955*Z955)</f>
        <v>3814</v>
      </c>
      <c r="AK955" s="3">
        <f>INT(VLOOKUP(U955,模板计算相关数据!A:N,3,0)/模板计算相关数据!$W$35/(1+MAX(0,(AO955/10000-VLOOKUP(U955,模板计算相关数据!A:N,9,0)))*AP955/10000)/(1-VLOOKUP(U955,模板计算相关数据!A:N,5,0)/(VLOOKUP(U955,模板计算相关数据!A:N,5,0)+(VLOOKUP(U955,模板计算相关数据!A:N,2,0)+模板计算相关数据!$AC$27)*模板计算相关数据!$AC$28))/S955*AA955)</f>
        <v>887</v>
      </c>
      <c r="AL955" s="3">
        <f>INT(VLOOKUP(U955,模板计算相关数据!A:N,5,0)*VLOOKUP(X955,模板计算相关数据!$P$4:$T$7,4,0)*VLOOKUP(Y955,模板计算相关数据!$P$22:$U$30,4,0)*AB955)</f>
        <v>2029</v>
      </c>
      <c r="AM955" s="3">
        <f>INT(VLOOKUP(U955,模板计算相关数据!A:N,6,0)*VLOOKUP(X955,模板计算相关数据!$P$4:$T$7,4,0)*VLOOKUP(Y955,模板计算相关数据!$P$22:$U$30,5,0)*AC955)</f>
        <v>1101</v>
      </c>
      <c r="AN955" s="3">
        <f>VLOOKUP(U955,模板计算相关数据!A:N,10,0)*0.5*VLOOKUP(Y955,模板计算相关数据!$P$22:$U$30,6,0)+AD955</f>
        <v>275</v>
      </c>
      <c r="AO955" s="3">
        <f>VLOOKUP(INT(VLOOKUP(U955,模板计算相关数据!A:N,2,0)/30)+1,模板计算相关数据!$O$35:$U$40,3,0)+AE955</f>
        <v>0</v>
      </c>
      <c r="AP955" s="3">
        <f>VLOOKUP(INT(VLOOKUP(U955,模板计算相关数据!A:N,2,0)/30)+1,模板计算相关数据!$O$35:$U$40,4,0)+AF955</f>
        <v>5000</v>
      </c>
      <c r="AQ955" s="3">
        <f>VLOOKUP(INT(VLOOKUP(U955,模板计算相关数据!A:N,2,0)/30)+1,模板计算相关数据!$O$35:$U$40,5,0)+AG955</f>
        <v>0</v>
      </c>
      <c r="AR955" s="3">
        <f>VLOOKUP(INT(VLOOKUP(U955,模板计算相关数据!A:N,2,0)/30)+1,模板计算相关数据!$O$35:$U$40,6,0)+AH955</f>
        <v>0</v>
      </c>
      <c r="AS955" s="3">
        <f>VLOOKUP(INT(VLOOKUP(U955,模板计算相关数据!A:N,2,0)/30)+1,模板计算相关数据!$O$35:$U$40,7,0)+AI955</f>
        <v>2000</v>
      </c>
      <c r="AT955" s="3">
        <f>VLOOKUP(INT(VLOOKUP(U955,模板计算相关数据!A:N,2,0)/30)+1,模板计算相关数据!$O$35:$V$40,8,0)</f>
        <v>0</v>
      </c>
      <c r="AU955" s="2"/>
    </row>
    <row r="956" spans="1:47" x14ac:dyDescent="0.2">
      <c r="A956" s="86">
        <v>52004052</v>
      </c>
      <c r="B956" s="86"/>
      <c r="C956" s="69" t="s">
        <v>1462</v>
      </c>
      <c r="D956" s="69" t="s">
        <v>1861</v>
      </c>
      <c r="E956" s="2"/>
      <c r="F956" s="3">
        <v>1</v>
      </c>
      <c r="G956" s="3">
        <v>101601</v>
      </c>
      <c r="H956" s="3">
        <v>5</v>
      </c>
      <c r="I956" s="2">
        <v>3</v>
      </c>
      <c r="J956" s="3">
        <v>5</v>
      </c>
      <c r="K956" s="3">
        <v>2</v>
      </c>
      <c r="L956" s="69" t="s">
        <v>1527</v>
      </c>
      <c r="M956" s="2"/>
      <c r="N956" s="2">
        <v>1</v>
      </c>
      <c r="O956" s="2"/>
      <c r="P956" s="3" t="s">
        <v>1615</v>
      </c>
      <c r="Q956" s="95">
        <f t="shared" si="79"/>
        <v>9.2335686274509801</v>
      </c>
      <c r="R956" s="133">
        <f>IF(P956=模板计算相关数据!$AB$24,VLOOKUP(X956,模板计算相关数据!$P$47:$T$50,2,0),VLOOKUP(X956,模板计算相关数据!$P$4:$U$7,3,0))*VLOOKUP(Y956,模板计算相关数据!$P$22:$X$30,8,0)</f>
        <v>9.2335686274509801</v>
      </c>
      <c r="S956" s="62">
        <f t="shared" si="80"/>
        <v>4.4361636057137765</v>
      </c>
      <c r="T956" s="133">
        <f>IF(P956=模板计算相关数据!$AB$24,VLOOKUP(X956,模板计算相关数据!$P$47:$T$50,5,0),VLOOKUP(X956,模板计算相关数据!$P$4:$U$7,6,0))*VLOOKUP(Y956,模板计算相关数据!$P$22:$X$30,9,0)</f>
        <v>4.4361636057137765</v>
      </c>
      <c r="U956" s="98">
        <v>55</v>
      </c>
      <c r="V956" s="95">
        <f t="shared" si="82"/>
        <v>22</v>
      </c>
      <c r="W956" s="29">
        <f>VLOOKUP(U956,模板计算相关数据!A:N,2,0)</f>
        <v>19</v>
      </c>
      <c r="X956" s="3" t="s">
        <v>158</v>
      </c>
      <c r="Y956" s="3" t="s">
        <v>159</v>
      </c>
      <c r="Z956" s="95">
        <v>1</v>
      </c>
      <c r="AA956" s="95">
        <v>1</v>
      </c>
      <c r="AB956" s="95">
        <v>1</v>
      </c>
      <c r="AC956" s="95">
        <v>1</v>
      </c>
      <c r="AD956" s="95">
        <v>0</v>
      </c>
      <c r="AE956" s="95">
        <v>0</v>
      </c>
      <c r="AF956" s="95">
        <v>0</v>
      </c>
      <c r="AG956" s="95">
        <v>0</v>
      </c>
      <c r="AH956" s="95">
        <v>0</v>
      </c>
      <c r="AI956" s="95">
        <v>2000</v>
      </c>
      <c r="AJ956" s="3">
        <f>INT(VLOOKUP(U956,模板计算相关数据!A:N,4,0)*VLOOKUP(U956,模板计算相关数据!A:N,14,0)*(1+MAX(0,(VLOOKUP(U956,模板计算相关数据!A:N,7,0)-AQ956))*VLOOKUP(U956,模板计算相关数据!A:N,8,0))*(1-(AL956+AM956)*0.5/((AL956+AM956)*0.5+(VLOOKUP(U956,模板计算相关数据!A:N,2,0)+模板计算相关数据!$AC$27)*模板计算相关数据!$AC$28))*Q956*Z956)</f>
        <v>3814</v>
      </c>
      <c r="AK956" s="3">
        <f>INT(VLOOKUP(U956,模板计算相关数据!A:N,3,0)/模板计算相关数据!$W$35/(1+MAX(0,(AO956/10000-VLOOKUP(U956,模板计算相关数据!A:N,9,0)))*AP956/10000)/(1-VLOOKUP(U956,模板计算相关数据!A:N,5,0)/(VLOOKUP(U956,模板计算相关数据!A:N,5,0)+(VLOOKUP(U956,模板计算相关数据!A:N,2,0)+模板计算相关数据!$AC$27)*模板计算相关数据!$AC$28))/S956*AA956)</f>
        <v>887</v>
      </c>
      <c r="AL956" s="3">
        <f>INT(VLOOKUP(U956,模板计算相关数据!A:N,5,0)*VLOOKUP(X956,模板计算相关数据!$P$4:$T$7,4,0)*VLOOKUP(Y956,模板计算相关数据!$P$22:$U$30,4,0)*AB956)</f>
        <v>2029</v>
      </c>
      <c r="AM956" s="3">
        <f>INT(VLOOKUP(U956,模板计算相关数据!A:N,6,0)*VLOOKUP(X956,模板计算相关数据!$P$4:$T$7,4,0)*VLOOKUP(Y956,模板计算相关数据!$P$22:$U$30,5,0)*AC956)</f>
        <v>1101</v>
      </c>
      <c r="AN956" s="3">
        <f>VLOOKUP(U956,模板计算相关数据!A:N,10,0)*0.5*VLOOKUP(Y956,模板计算相关数据!$P$22:$U$30,6,0)+AD956</f>
        <v>275</v>
      </c>
      <c r="AO956" s="3">
        <f>VLOOKUP(INT(VLOOKUP(U956,模板计算相关数据!A:N,2,0)/30)+1,模板计算相关数据!$O$35:$U$40,3,0)+AE956</f>
        <v>0</v>
      </c>
      <c r="AP956" s="3">
        <f>VLOOKUP(INT(VLOOKUP(U956,模板计算相关数据!A:N,2,0)/30)+1,模板计算相关数据!$O$35:$U$40,4,0)+AF956</f>
        <v>5000</v>
      </c>
      <c r="AQ956" s="3">
        <f>VLOOKUP(INT(VLOOKUP(U956,模板计算相关数据!A:N,2,0)/30)+1,模板计算相关数据!$O$35:$U$40,5,0)+AG956</f>
        <v>0</v>
      </c>
      <c r="AR956" s="3">
        <f>VLOOKUP(INT(VLOOKUP(U956,模板计算相关数据!A:N,2,0)/30)+1,模板计算相关数据!$O$35:$U$40,6,0)+AH956</f>
        <v>0</v>
      </c>
      <c r="AS956" s="3">
        <f>VLOOKUP(INT(VLOOKUP(U956,模板计算相关数据!A:N,2,0)/30)+1,模板计算相关数据!$O$35:$U$40,7,0)+AI956</f>
        <v>2000</v>
      </c>
      <c r="AT956" s="3">
        <f>VLOOKUP(INT(VLOOKUP(U956,模板计算相关数据!A:N,2,0)/30)+1,模板计算相关数据!$O$35:$V$40,8,0)</f>
        <v>0</v>
      </c>
      <c r="AU956" s="2"/>
    </row>
    <row r="957" spans="1:47" s="51" customFormat="1" x14ac:dyDescent="0.2">
      <c r="A957" s="58">
        <v>52005011</v>
      </c>
      <c r="B957" s="58"/>
      <c r="C957" s="47" t="s">
        <v>1447</v>
      </c>
      <c r="D957" s="46" t="s">
        <v>1475</v>
      </c>
      <c r="E957" s="46"/>
      <c r="F957" s="48">
        <v>3</v>
      </c>
      <c r="G957" s="48">
        <v>105201</v>
      </c>
      <c r="H957" s="48">
        <v>2</v>
      </c>
      <c r="I957" s="46">
        <v>5</v>
      </c>
      <c r="J957" s="48">
        <v>2</v>
      </c>
      <c r="K957" s="3">
        <v>2</v>
      </c>
      <c r="L957" s="47" t="s">
        <v>1521</v>
      </c>
      <c r="M957" s="46"/>
      <c r="N957" s="46">
        <v>1</v>
      </c>
      <c r="O957" s="46"/>
      <c r="P957" s="48" t="s">
        <v>1615</v>
      </c>
      <c r="Q957" s="49">
        <f t="shared" si="79"/>
        <v>11.105882352941178</v>
      </c>
      <c r="R957" s="133">
        <f>IF(P957=模板计算相关数据!$AB$24,VLOOKUP(X957,模板计算相关数据!$P$47:$T$50,2,0),VLOOKUP(X957,模板计算相关数据!$P$4:$U$7,3,0))*VLOOKUP(Y957,模板计算相关数据!$P$22:$X$30,8,0)</f>
        <v>11.105882352941178</v>
      </c>
      <c r="S957" s="50">
        <v>5.74</v>
      </c>
      <c r="T957" s="133">
        <f>IF(P957=模板计算相关数据!$AB$24,VLOOKUP(X957,模板计算相关数据!$P$47:$T$50,5,0),VLOOKUP(X957,模板计算相关数据!$P$4:$U$7,6,0))*VLOOKUP(Y957,模板计算相关数据!$P$22:$X$30,9,0)</f>
        <v>5.7422422307462622</v>
      </c>
      <c r="U957" s="59">
        <v>54</v>
      </c>
      <c r="V957" s="95">
        <f t="shared" si="82"/>
        <v>18</v>
      </c>
      <c r="W957" s="29">
        <f>VLOOKUP(U957,模板计算相关数据!A:N,2,0)</f>
        <v>15</v>
      </c>
      <c r="X957" s="48" t="s">
        <v>158</v>
      </c>
      <c r="Y957" s="48" t="s">
        <v>155</v>
      </c>
      <c r="Z957" s="49">
        <v>1</v>
      </c>
      <c r="AA957" s="49">
        <v>1</v>
      </c>
      <c r="AB957" s="49">
        <v>1</v>
      </c>
      <c r="AC957" s="49">
        <v>1</v>
      </c>
      <c r="AD957" s="49">
        <v>0</v>
      </c>
      <c r="AE957" s="49">
        <v>0</v>
      </c>
      <c r="AF957" s="49">
        <v>0</v>
      </c>
      <c r="AG957" s="49">
        <v>0</v>
      </c>
      <c r="AH957" s="49">
        <v>0</v>
      </c>
      <c r="AI957" s="49">
        <v>2000</v>
      </c>
      <c r="AJ957" s="48">
        <f>INT(VLOOKUP(U957,模板计算相关数据!A:N,4,0)*VLOOKUP(U957,模板计算相关数据!A:N,14,0)*(1+MAX(0,(VLOOKUP(U957,模板计算相关数据!A:N,7,0)-AQ957))*VLOOKUP(U957,模板计算相关数据!A:N,8,0))*(1-(AL957+AM957)*0.5/((AL957+AM957)*0.5+(VLOOKUP(U957,模板计算相关数据!A:N,2,0)+模板计算相关数据!$AC$27)*模板计算相关数据!$AC$28))*Q957*Z957)</f>
        <v>2984</v>
      </c>
      <c r="AK957" s="48">
        <f>INT(VLOOKUP(U957,模板计算相关数据!A:N,3,0)/模板计算相关数据!$W$35/(1+MAX(0,(AO957/10000-VLOOKUP(U957,模板计算相关数据!A:N,9,0)))*AP957/10000)/(1-VLOOKUP(U957,模板计算相关数据!A:N,5,0)/(VLOOKUP(U957,模板计算相关数据!A:N,5,0)+(VLOOKUP(U957,模板计算相关数据!A:N,2,0)+模板计算相关数据!$AC$27)*模板计算相关数据!$AC$28))/S957*AA957)</f>
        <v>356</v>
      </c>
      <c r="AL957" s="48">
        <f>INT(VLOOKUP(U957,模板计算相关数据!A:N,5,0)*VLOOKUP(X957,模板计算相关数据!$P$4:$T$7,4,0)*VLOOKUP(Y957,模板计算相关数据!$P$22:$U$30,4,0)*AB957)</f>
        <v>1283</v>
      </c>
      <c r="AM957" s="48">
        <f>INT(VLOOKUP(U957,模板计算相关数据!A:N,6,0)*VLOOKUP(X957,模板计算相关数据!$P$4:$T$7,4,0)*VLOOKUP(Y957,模板计算相关数据!$P$22:$U$30,5,0)*AC957)</f>
        <v>710</v>
      </c>
      <c r="AN957" s="48">
        <f>VLOOKUP(U957,模板计算相关数据!A:N,10,0)*0.5*VLOOKUP(Y957,模板计算相关数据!$P$22:$U$30,6,0)+AD957</f>
        <v>225</v>
      </c>
      <c r="AO957" s="48">
        <f>VLOOKUP(INT(VLOOKUP(U957,模板计算相关数据!A:N,2,0)/30)+1,模板计算相关数据!$O$35:$U$40,3,0)+AE957</f>
        <v>0</v>
      </c>
      <c r="AP957" s="48">
        <f>VLOOKUP(INT(VLOOKUP(U957,模板计算相关数据!A:N,2,0)/30)+1,模板计算相关数据!$O$35:$U$40,4,0)+AF957</f>
        <v>5000</v>
      </c>
      <c r="AQ957" s="48">
        <f>VLOOKUP(INT(VLOOKUP(U957,模板计算相关数据!A:N,2,0)/30)+1,模板计算相关数据!$O$35:$U$40,5,0)+AG957</f>
        <v>0</v>
      </c>
      <c r="AR957" s="48">
        <f>VLOOKUP(INT(VLOOKUP(U957,模板计算相关数据!A:N,2,0)/30)+1,模板计算相关数据!$O$35:$U$40,6,0)+AH957</f>
        <v>0</v>
      </c>
      <c r="AS957" s="48">
        <f>VLOOKUP(INT(VLOOKUP(U957,模板计算相关数据!A:N,2,0)/30)+1,模板计算相关数据!$O$35:$U$40,7,0)+AI957</f>
        <v>2000</v>
      </c>
      <c r="AT957" s="48">
        <f>VLOOKUP(INT(VLOOKUP(U957,模板计算相关数据!A:N,2,0)/30)+1,模板计算相关数据!$O$35:$V$40,8,0)</f>
        <v>0</v>
      </c>
      <c r="AU957" s="46"/>
    </row>
    <row r="958" spans="1:47" s="51" customFormat="1" x14ac:dyDescent="0.2">
      <c r="A958" s="58">
        <v>52005021</v>
      </c>
      <c r="B958" s="58"/>
      <c r="C958" s="47" t="s">
        <v>1447</v>
      </c>
      <c r="D958" s="46" t="s">
        <v>1476</v>
      </c>
      <c r="E958" s="46"/>
      <c r="F958" s="48">
        <v>3</v>
      </c>
      <c r="G958" s="48">
        <v>105201</v>
      </c>
      <c r="H958" s="48">
        <v>2</v>
      </c>
      <c r="I958" s="46">
        <v>5</v>
      </c>
      <c r="J958" s="48">
        <v>2</v>
      </c>
      <c r="K958" s="3">
        <v>2</v>
      </c>
      <c r="L958" s="47" t="s">
        <v>1521</v>
      </c>
      <c r="M958" s="46"/>
      <c r="N958" s="46">
        <v>1</v>
      </c>
      <c r="O958" s="46"/>
      <c r="P958" s="48" t="s">
        <v>1615</v>
      </c>
      <c r="Q958" s="49">
        <v>12</v>
      </c>
      <c r="R958" s="133">
        <f>IF(P958=模板计算相关数据!$AB$24,VLOOKUP(X958,模板计算相关数据!$P$47:$T$50,2,0),VLOOKUP(X958,模板计算相关数据!$P$4:$U$7,3,0))*VLOOKUP(Y958,模板计算相关数据!$P$22:$X$30,8,0)</f>
        <v>11.105882352941178</v>
      </c>
      <c r="S958" s="50">
        <f>T958</f>
        <v>5.7422422307462622</v>
      </c>
      <c r="T958" s="133">
        <f>IF(P958=模板计算相关数据!$AB$24,VLOOKUP(X958,模板计算相关数据!$P$47:$T$50,5,0),VLOOKUP(X958,模板计算相关数据!$P$4:$U$7,6,0))*VLOOKUP(Y958,模板计算相关数据!$P$22:$X$30,9,0)</f>
        <v>5.7422422307462622</v>
      </c>
      <c r="U958" s="59">
        <v>54</v>
      </c>
      <c r="V958" s="95">
        <f t="shared" si="82"/>
        <v>18</v>
      </c>
      <c r="W958" s="29">
        <f>VLOOKUP(U958,模板计算相关数据!A:N,2,0)</f>
        <v>15</v>
      </c>
      <c r="X958" s="48" t="s">
        <v>158</v>
      </c>
      <c r="Y958" s="48" t="s">
        <v>155</v>
      </c>
      <c r="Z958" s="49">
        <v>1</v>
      </c>
      <c r="AA958" s="49">
        <v>1</v>
      </c>
      <c r="AB958" s="49">
        <v>1</v>
      </c>
      <c r="AC958" s="49">
        <v>1</v>
      </c>
      <c r="AD958" s="49">
        <v>0</v>
      </c>
      <c r="AE958" s="49">
        <v>0</v>
      </c>
      <c r="AF958" s="49">
        <v>0</v>
      </c>
      <c r="AG958" s="49">
        <v>0</v>
      </c>
      <c r="AH958" s="49">
        <v>0</v>
      </c>
      <c r="AI958" s="49">
        <v>2000</v>
      </c>
      <c r="AJ958" s="48">
        <f>INT(VLOOKUP(U958,模板计算相关数据!A:N,4,0)*VLOOKUP(U958,模板计算相关数据!A:N,14,0)*(1+MAX(0,(VLOOKUP(U958,模板计算相关数据!A:N,7,0)-AQ958))*VLOOKUP(U958,模板计算相关数据!A:N,8,0))*(1-(AL958+AM958)*0.5/((AL958+AM958)*0.5+(VLOOKUP(U958,模板计算相关数据!A:N,2,0)+模板计算相关数据!$AC$27)*模板计算相关数据!$AC$28))*Q958*Z958)</f>
        <v>3224</v>
      </c>
      <c r="AK958" s="48">
        <f>INT(VLOOKUP(U958,模板计算相关数据!A:N,3,0)/模板计算相关数据!$W$35/(1+MAX(0,(AO958/10000-VLOOKUP(U958,模板计算相关数据!A:N,9,0)))*AP958/10000)/(1-VLOOKUP(U958,模板计算相关数据!A:N,5,0)/(VLOOKUP(U958,模板计算相关数据!A:N,5,0)+(VLOOKUP(U958,模板计算相关数据!A:N,2,0)+模板计算相关数据!$AC$27)*模板计算相关数据!$AC$28))/S958*AA958)</f>
        <v>356</v>
      </c>
      <c r="AL958" s="48">
        <f>INT(VLOOKUP(U958,模板计算相关数据!A:N,5,0)*VLOOKUP(X958,模板计算相关数据!$P$4:$T$7,4,0)*VLOOKUP(Y958,模板计算相关数据!$P$22:$U$30,4,0)*AB958)</f>
        <v>1283</v>
      </c>
      <c r="AM958" s="48">
        <f>INT(VLOOKUP(U958,模板计算相关数据!A:N,6,0)*VLOOKUP(X958,模板计算相关数据!$P$4:$T$7,4,0)*VLOOKUP(Y958,模板计算相关数据!$P$22:$U$30,5,0)*AC958)</f>
        <v>710</v>
      </c>
      <c r="AN958" s="48">
        <f>VLOOKUP(U958,模板计算相关数据!A:N,10,0)*0.5*VLOOKUP(Y958,模板计算相关数据!$P$22:$U$30,6,0)+AD958</f>
        <v>225</v>
      </c>
      <c r="AO958" s="48">
        <f>VLOOKUP(INT(VLOOKUP(U958,模板计算相关数据!A:N,2,0)/30)+1,模板计算相关数据!$O$35:$U$40,3,0)+AE958</f>
        <v>0</v>
      </c>
      <c r="AP958" s="48">
        <f>VLOOKUP(INT(VLOOKUP(U958,模板计算相关数据!A:N,2,0)/30)+1,模板计算相关数据!$O$35:$U$40,4,0)+AF958</f>
        <v>5000</v>
      </c>
      <c r="AQ958" s="48">
        <f>VLOOKUP(INT(VLOOKUP(U958,模板计算相关数据!A:N,2,0)/30)+1,模板计算相关数据!$O$35:$U$40,5,0)+AG958</f>
        <v>0</v>
      </c>
      <c r="AR958" s="48">
        <f>VLOOKUP(INT(VLOOKUP(U958,模板计算相关数据!A:N,2,0)/30)+1,模板计算相关数据!$O$35:$U$40,6,0)+AH958</f>
        <v>0</v>
      </c>
      <c r="AS958" s="48">
        <f>VLOOKUP(INT(VLOOKUP(U958,模板计算相关数据!A:N,2,0)/30)+1,模板计算相关数据!$O$35:$U$40,7,0)+AI958</f>
        <v>2000</v>
      </c>
      <c r="AT958" s="48">
        <f>VLOOKUP(INT(VLOOKUP(U958,模板计算相关数据!A:N,2,0)/30)+1,模板计算相关数据!$O$35:$V$40,8,0)</f>
        <v>0</v>
      </c>
      <c r="AU958" s="46"/>
    </row>
    <row r="959" spans="1:47" s="51" customFormat="1" x14ac:dyDescent="0.2">
      <c r="A959" s="58">
        <v>52005031</v>
      </c>
      <c r="B959" s="58"/>
      <c r="C959" s="47" t="s">
        <v>1447</v>
      </c>
      <c r="D959" s="46" t="s">
        <v>1477</v>
      </c>
      <c r="E959" s="46"/>
      <c r="F959" s="48">
        <v>3</v>
      </c>
      <c r="G959" s="48">
        <v>105201</v>
      </c>
      <c r="H959" s="48">
        <v>2</v>
      </c>
      <c r="I959" s="46">
        <v>5</v>
      </c>
      <c r="J959" s="48">
        <v>2</v>
      </c>
      <c r="K959" s="3">
        <v>2</v>
      </c>
      <c r="L959" s="47" t="s">
        <v>1521</v>
      </c>
      <c r="M959" s="46"/>
      <c r="N959" s="46">
        <v>1</v>
      </c>
      <c r="O959" s="46"/>
      <c r="P959" s="48" t="s">
        <v>1615</v>
      </c>
      <c r="Q959" s="49">
        <v>13</v>
      </c>
      <c r="R959" s="133">
        <f>IF(P959=模板计算相关数据!$AB$24,VLOOKUP(X959,模板计算相关数据!$P$47:$T$50,2,0),VLOOKUP(X959,模板计算相关数据!$P$4:$U$7,3,0))*VLOOKUP(Y959,模板计算相关数据!$P$22:$X$30,8,0)</f>
        <v>11.105882352941178</v>
      </c>
      <c r="S959" s="50">
        <f>T959</f>
        <v>5.7422422307462622</v>
      </c>
      <c r="T959" s="133">
        <f>IF(P959=模板计算相关数据!$AB$24,VLOOKUP(X959,模板计算相关数据!$P$47:$T$50,5,0),VLOOKUP(X959,模板计算相关数据!$P$4:$U$7,6,0))*VLOOKUP(Y959,模板计算相关数据!$P$22:$X$30,9,0)</f>
        <v>5.7422422307462622</v>
      </c>
      <c r="U959" s="59">
        <v>54</v>
      </c>
      <c r="V959" s="95">
        <f t="shared" si="82"/>
        <v>18</v>
      </c>
      <c r="W959" s="29">
        <f>VLOOKUP(U959,模板计算相关数据!A:N,2,0)</f>
        <v>15</v>
      </c>
      <c r="X959" s="48" t="s">
        <v>158</v>
      </c>
      <c r="Y959" s="48" t="s">
        <v>155</v>
      </c>
      <c r="Z959" s="49">
        <v>1</v>
      </c>
      <c r="AA959" s="49">
        <v>1</v>
      </c>
      <c r="AB959" s="49">
        <v>1</v>
      </c>
      <c r="AC959" s="49">
        <v>1</v>
      </c>
      <c r="AD959" s="49">
        <v>0</v>
      </c>
      <c r="AE959" s="49">
        <v>0</v>
      </c>
      <c r="AF959" s="49">
        <v>0</v>
      </c>
      <c r="AG959" s="49">
        <v>0</v>
      </c>
      <c r="AH959" s="49">
        <v>0</v>
      </c>
      <c r="AI959" s="49">
        <v>2000</v>
      </c>
      <c r="AJ959" s="48">
        <f>INT(VLOOKUP(U959,模板计算相关数据!A:N,4,0)*VLOOKUP(U959,模板计算相关数据!A:N,14,0)*(1+MAX(0,(VLOOKUP(U959,模板计算相关数据!A:N,7,0)-AQ959))*VLOOKUP(U959,模板计算相关数据!A:N,8,0))*(1-(AL959+AM959)*0.5/((AL959+AM959)*0.5+(VLOOKUP(U959,模板计算相关数据!A:N,2,0)+模板计算相关数据!$AC$27)*模板计算相关数据!$AC$28))*Q959*Z959)</f>
        <v>3493</v>
      </c>
      <c r="AK959" s="48">
        <f>INT(VLOOKUP(U959,模板计算相关数据!A:N,3,0)/模板计算相关数据!$W$35/(1+MAX(0,(AO959/10000-VLOOKUP(U959,模板计算相关数据!A:N,9,0)))*AP959/10000)/(1-VLOOKUP(U959,模板计算相关数据!A:N,5,0)/(VLOOKUP(U959,模板计算相关数据!A:N,5,0)+(VLOOKUP(U959,模板计算相关数据!A:N,2,0)+模板计算相关数据!$AC$27)*模板计算相关数据!$AC$28))/S959*AA959)</f>
        <v>356</v>
      </c>
      <c r="AL959" s="48">
        <f>INT(VLOOKUP(U959,模板计算相关数据!A:N,5,0)*VLOOKUP(X959,模板计算相关数据!$P$4:$T$7,4,0)*VLOOKUP(Y959,模板计算相关数据!$P$22:$U$30,4,0)*AB959)</f>
        <v>1283</v>
      </c>
      <c r="AM959" s="48">
        <f>INT(VLOOKUP(U959,模板计算相关数据!A:N,6,0)*VLOOKUP(X959,模板计算相关数据!$P$4:$T$7,4,0)*VLOOKUP(Y959,模板计算相关数据!$P$22:$U$30,5,0)*AC959)</f>
        <v>710</v>
      </c>
      <c r="AN959" s="48">
        <f>VLOOKUP(U959,模板计算相关数据!A:N,10,0)*0.5*VLOOKUP(Y959,模板计算相关数据!$P$22:$U$30,6,0)+AD959</f>
        <v>225</v>
      </c>
      <c r="AO959" s="48">
        <f>VLOOKUP(INT(VLOOKUP(U959,模板计算相关数据!A:N,2,0)/30)+1,模板计算相关数据!$O$35:$U$40,3,0)+AE959</f>
        <v>0</v>
      </c>
      <c r="AP959" s="48">
        <f>VLOOKUP(INT(VLOOKUP(U959,模板计算相关数据!A:N,2,0)/30)+1,模板计算相关数据!$O$35:$U$40,4,0)+AF959</f>
        <v>5000</v>
      </c>
      <c r="AQ959" s="48">
        <f>VLOOKUP(INT(VLOOKUP(U959,模板计算相关数据!A:N,2,0)/30)+1,模板计算相关数据!$O$35:$U$40,5,0)+AG959</f>
        <v>0</v>
      </c>
      <c r="AR959" s="48">
        <f>VLOOKUP(INT(VLOOKUP(U959,模板计算相关数据!A:N,2,0)/30)+1,模板计算相关数据!$O$35:$U$40,6,0)+AH959</f>
        <v>0</v>
      </c>
      <c r="AS959" s="48">
        <f>VLOOKUP(INT(VLOOKUP(U959,模板计算相关数据!A:N,2,0)/30)+1,模板计算相关数据!$O$35:$U$40,7,0)+AI959</f>
        <v>2000</v>
      </c>
      <c r="AT959" s="48">
        <f>VLOOKUP(INT(VLOOKUP(U959,模板计算相关数据!A:N,2,0)/30)+1,模板计算相关数据!$O$35:$V$40,8,0)</f>
        <v>0</v>
      </c>
      <c r="AU959" s="46"/>
    </row>
    <row r="960" spans="1:47" s="51" customFormat="1" x14ac:dyDescent="0.2">
      <c r="A960" s="58">
        <v>52005041</v>
      </c>
      <c r="B960" s="58"/>
      <c r="C960" s="47" t="s">
        <v>1447</v>
      </c>
      <c r="D960" s="46" t="s">
        <v>1478</v>
      </c>
      <c r="E960" s="46"/>
      <c r="F960" s="48">
        <v>3</v>
      </c>
      <c r="G960" s="48">
        <v>105201</v>
      </c>
      <c r="H960" s="48">
        <v>2</v>
      </c>
      <c r="I960" s="46">
        <v>5</v>
      </c>
      <c r="J960" s="48">
        <v>2</v>
      </c>
      <c r="K960" s="3">
        <v>2</v>
      </c>
      <c r="L960" s="47" t="s">
        <v>1521</v>
      </c>
      <c r="M960" s="46"/>
      <c r="N960" s="46">
        <v>1</v>
      </c>
      <c r="O960" s="46"/>
      <c r="P960" s="48" t="s">
        <v>1615</v>
      </c>
      <c r="Q960" s="49">
        <v>14</v>
      </c>
      <c r="R960" s="133">
        <f>IF(P960=模板计算相关数据!$AB$24,VLOOKUP(X960,模板计算相关数据!$P$47:$T$50,2,0),VLOOKUP(X960,模板计算相关数据!$P$4:$U$7,3,0))*VLOOKUP(Y960,模板计算相关数据!$P$22:$X$30,8,0)</f>
        <v>11.105882352941178</v>
      </c>
      <c r="S960" s="50">
        <f>T960</f>
        <v>5.7422422307462622</v>
      </c>
      <c r="T960" s="133">
        <f>IF(P960=模板计算相关数据!$AB$24,VLOOKUP(X960,模板计算相关数据!$P$47:$T$50,5,0),VLOOKUP(X960,模板计算相关数据!$P$4:$U$7,6,0))*VLOOKUP(Y960,模板计算相关数据!$P$22:$X$30,9,0)</f>
        <v>5.7422422307462622</v>
      </c>
      <c r="U960" s="59">
        <v>54</v>
      </c>
      <c r="V960" s="95">
        <f t="shared" si="82"/>
        <v>18</v>
      </c>
      <c r="W960" s="29">
        <f>VLOOKUP(U960,模板计算相关数据!A:N,2,0)</f>
        <v>15</v>
      </c>
      <c r="X960" s="48" t="s">
        <v>158</v>
      </c>
      <c r="Y960" s="48" t="s">
        <v>155</v>
      </c>
      <c r="Z960" s="49">
        <v>1</v>
      </c>
      <c r="AA960" s="49">
        <v>1</v>
      </c>
      <c r="AB960" s="49">
        <v>1</v>
      </c>
      <c r="AC960" s="49">
        <v>1</v>
      </c>
      <c r="AD960" s="49">
        <v>0</v>
      </c>
      <c r="AE960" s="49">
        <v>0</v>
      </c>
      <c r="AF960" s="49">
        <v>0</v>
      </c>
      <c r="AG960" s="49">
        <v>0</v>
      </c>
      <c r="AH960" s="49">
        <v>0</v>
      </c>
      <c r="AI960" s="49">
        <v>2000</v>
      </c>
      <c r="AJ960" s="48">
        <f>INT(VLOOKUP(U960,模板计算相关数据!A:N,4,0)*VLOOKUP(U960,模板计算相关数据!A:N,14,0)*(1+MAX(0,(VLOOKUP(U960,模板计算相关数据!A:N,7,0)-AQ960))*VLOOKUP(U960,模板计算相关数据!A:N,8,0))*(1-(AL960+AM960)*0.5/((AL960+AM960)*0.5+(VLOOKUP(U960,模板计算相关数据!A:N,2,0)+模板计算相关数据!$AC$27)*模板计算相关数据!$AC$28))*Q960*Z960)</f>
        <v>3762</v>
      </c>
      <c r="AK960" s="48">
        <f>INT(VLOOKUP(U960,模板计算相关数据!A:N,3,0)/模板计算相关数据!$W$35/(1+MAX(0,(AO960/10000-VLOOKUP(U960,模板计算相关数据!A:N,9,0)))*AP960/10000)/(1-VLOOKUP(U960,模板计算相关数据!A:N,5,0)/(VLOOKUP(U960,模板计算相关数据!A:N,5,0)+(VLOOKUP(U960,模板计算相关数据!A:N,2,0)+模板计算相关数据!$AC$27)*模板计算相关数据!$AC$28))/S960*AA960)</f>
        <v>356</v>
      </c>
      <c r="AL960" s="48">
        <f>INT(VLOOKUP(U960,模板计算相关数据!A:N,5,0)*VLOOKUP(X960,模板计算相关数据!$P$4:$T$7,4,0)*VLOOKUP(Y960,模板计算相关数据!$P$22:$U$30,4,0)*AB960)</f>
        <v>1283</v>
      </c>
      <c r="AM960" s="48">
        <f>INT(VLOOKUP(U960,模板计算相关数据!A:N,6,0)*VLOOKUP(X960,模板计算相关数据!$P$4:$T$7,4,0)*VLOOKUP(Y960,模板计算相关数据!$P$22:$U$30,5,0)*AC960)</f>
        <v>710</v>
      </c>
      <c r="AN960" s="48">
        <f>VLOOKUP(U960,模板计算相关数据!A:N,10,0)*0.5*VLOOKUP(Y960,模板计算相关数据!$P$22:$U$30,6,0)+AD960</f>
        <v>225</v>
      </c>
      <c r="AO960" s="48">
        <f>VLOOKUP(INT(VLOOKUP(U960,模板计算相关数据!A:N,2,0)/30)+1,模板计算相关数据!$O$35:$U$40,3,0)+AE960</f>
        <v>0</v>
      </c>
      <c r="AP960" s="48">
        <f>VLOOKUP(INT(VLOOKUP(U960,模板计算相关数据!A:N,2,0)/30)+1,模板计算相关数据!$O$35:$U$40,4,0)+AF960</f>
        <v>5000</v>
      </c>
      <c r="AQ960" s="48">
        <f>VLOOKUP(INT(VLOOKUP(U960,模板计算相关数据!A:N,2,0)/30)+1,模板计算相关数据!$O$35:$U$40,5,0)+AG960</f>
        <v>0</v>
      </c>
      <c r="AR960" s="48">
        <f>VLOOKUP(INT(VLOOKUP(U960,模板计算相关数据!A:N,2,0)/30)+1,模板计算相关数据!$O$35:$U$40,6,0)+AH960</f>
        <v>0</v>
      </c>
      <c r="AS960" s="48">
        <f>VLOOKUP(INT(VLOOKUP(U960,模板计算相关数据!A:N,2,0)/30)+1,模板计算相关数据!$O$35:$U$40,7,0)+AI960</f>
        <v>2000</v>
      </c>
      <c r="AT960" s="48">
        <f>VLOOKUP(INT(VLOOKUP(U960,模板计算相关数据!A:N,2,0)/30)+1,模板计算相关数据!$O$35:$V$40,8,0)</f>
        <v>0</v>
      </c>
      <c r="AU960" s="46"/>
    </row>
    <row r="961" spans="1:47" s="51" customFormat="1" x14ac:dyDescent="0.2">
      <c r="A961" s="58">
        <v>52005051</v>
      </c>
      <c r="B961" s="58"/>
      <c r="C961" s="47" t="s">
        <v>1447</v>
      </c>
      <c r="D961" s="46" t="s">
        <v>1479</v>
      </c>
      <c r="E961" s="46"/>
      <c r="F961" s="48">
        <v>5</v>
      </c>
      <c r="G961" s="48">
        <v>105201</v>
      </c>
      <c r="H961" s="48">
        <v>2</v>
      </c>
      <c r="I961" s="46">
        <v>5</v>
      </c>
      <c r="J961" s="48">
        <v>2</v>
      </c>
      <c r="K961" s="3">
        <v>2</v>
      </c>
      <c r="L961" s="47" t="s">
        <v>1521</v>
      </c>
      <c r="M961" s="46"/>
      <c r="N961" s="46">
        <v>1</v>
      </c>
      <c r="O961" s="46"/>
      <c r="P961" s="48" t="s">
        <v>1615</v>
      </c>
      <c r="Q961" s="49">
        <v>15</v>
      </c>
      <c r="R961" s="133">
        <f>IF(P961=模板计算相关数据!$AB$24,VLOOKUP(X961,模板计算相关数据!$P$47:$T$50,2,0),VLOOKUP(X961,模板计算相关数据!$P$4:$U$7,3,0))*VLOOKUP(Y961,模板计算相关数据!$P$22:$X$30,8,0)</f>
        <v>11.105882352941178</v>
      </c>
      <c r="S961" s="50">
        <f>T961</f>
        <v>5.7422422307462622</v>
      </c>
      <c r="T961" s="133">
        <f>IF(P961=模板计算相关数据!$AB$24,VLOOKUP(X961,模板计算相关数据!$P$47:$T$50,5,0),VLOOKUP(X961,模板计算相关数据!$P$4:$U$7,6,0))*VLOOKUP(Y961,模板计算相关数据!$P$22:$X$30,9,0)</f>
        <v>5.7422422307462622</v>
      </c>
      <c r="U961" s="59">
        <v>54</v>
      </c>
      <c r="V961" s="95">
        <f t="shared" si="82"/>
        <v>18</v>
      </c>
      <c r="W961" s="29">
        <f>VLOOKUP(U961,模板计算相关数据!A:N,2,0)</f>
        <v>15</v>
      </c>
      <c r="X961" s="48" t="s">
        <v>158</v>
      </c>
      <c r="Y961" s="48" t="s">
        <v>155</v>
      </c>
      <c r="Z961" s="49">
        <v>1</v>
      </c>
      <c r="AA961" s="49">
        <v>1</v>
      </c>
      <c r="AB961" s="49">
        <v>1</v>
      </c>
      <c r="AC961" s="49">
        <v>1</v>
      </c>
      <c r="AD961" s="49">
        <v>0</v>
      </c>
      <c r="AE961" s="49">
        <v>0</v>
      </c>
      <c r="AF961" s="49">
        <v>0</v>
      </c>
      <c r="AG961" s="49">
        <v>0</v>
      </c>
      <c r="AH961" s="49">
        <v>0</v>
      </c>
      <c r="AI961" s="49">
        <v>2000</v>
      </c>
      <c r="AJ961" s="48">
        <f>INT(VLOOKUP(U961,模板计算相关数据!A:N,4,0)*VLOOKUP(U961,模板计算相关数据!A:N,14,0)*(1+MAX(0,(VLOOKUP(U961,模板计算相关数据!A:N,7,0)-AQ961))*VLOOKUP(U961,模板计算相关数据!A:N,8,0))*(1-(AL961+AM961)*0.5/((AL961+AM961)*0.5+(VLOOKUP(U961,模板计算相关数据!A:N,2,0)+模板计算相关数据!$AC$27)*模板计算相关数据!$AC$28))*Q961*Z961)</f>
        <v>4030</v>
      </c>
      <c r="AK961" s="48">
        <f>INT(VLOOKUP(U961,模板计算相关数据!A:N,3,0)/模板计算相关数据!$W$35/(1+MAX(0,(AO961/10000-VLOOKUP(U961,模板计算相关数据!A:N,9,0)))*AP961/10000)/(1-VLOOKUP(U961,模板计算相关数据!A:N,5,0)/(VLOOKUP(U961,模板计算相关数据!A:N,5,0)+(VLOOKUP(U961,模板计算相关数据!A:N,2,0)+模板计算相关数据!$AC$27)*模板计算相关数据!$AC$28))/S961*AA961)</f>
        <v>356</v>
      </c>
      <c r="AL961" s="48">
        <f>INT(VLOOKUP(U961,模板计算相关数据!A:N,5,0)*VLOOKUP(X961,模板计算相关数据!$P$4:$T$7,4,0)*VLOOKUP(Y961,模板计算相关数据!$P$22:$U$30,4,0)*AB961)</f>
        <v>1283</v>
      </c>
      <c r="AM961" s="48">
        <f>INT(VLOOKUP(U961,模板计算相关数据!A:N,6,0)*VLOOKUP(X961,模板计算相关数据!$P$4:$T$7,4,0)*VLOOKUP(Y961,模板计算相关数据!$P$22:$U$30,5,0)*AC961)</f>
        <v>710</v>
      </c>
      <c r="AN961" s="48">
        <f>VLOOKUP(U961,模板计算相关数据!A:N,10,0)*0.5*VLOOKUP(Y961,模板计算相关数据!$P$22:$U$30,6,0)+AD961</f>
        <v>225</v>
      </c>
      <c r="AO961" s="48">
        <f>VLOOKUP(INT(VLOOKUP(U961,模板计算相关数据!A:N,2,0)/30)+1,模板计算相关数据!$O$35:$U$40,3,0)+AE961</f>
        <v>0</v>
      </c>
      <c r="AP961" s="48">
        <f>VLOOKUP(INT(VLOOKUP(U961,模板计算相关数据!A:N,2,0)/30)+1,模板计算相关数据!$O$35:$U$40,4,0)+AF961</f>
        <v>5000</v>
      </c>
      <c r="AQ961" s="48">
        <f>VLOOKUP(INT(VLOOKUP(U961,模板计算相关数据!A:N,2,0)/30)+1,模板计算相关数据!$O$35:$U$40,5,0)+AG961</f>
        <v>0</v>
      </c>
      <c r="AR961" s="48">
        <f>VLOOKUP(INT(VLOOKUP(U961,模板计算相关数据!A:N,2,0)/30)+1,模板计算相关数据!$O$35:$U$40,6,0)+AH961</f>
        <v>0</v>
      </c>
      <c r="AS961" s="48">
        <f>VLOOKUP(INT(VLOOKUP(U961,模板计算相关数据!A:N,2,0)/30)+1,模板计算相关数据!$O$35:$U$40,7,0)+AI961</f>
        <v>2000</v>
      </c>
      <c r="AT961" s="48">
        <f>VLOOKUP(INT(VLOOKUP(U961,模板计算相关数据!A:N,2,0)/30)+1,模板计算相关数据!$O$35:$V$40,8,0)</f>
        <v>0</v>
      </c>
      <c r="AU961" s="46"/>
    </row>
    <row r="962" spans="1:47" s="51" customFormat="1" x14ac:dyDescent="0.2">
      <c r="A962" s="58">
        <v>52005012</v>
      </c>
      <c r="B962" s="58"/>
      <c r="C962" s="47" t="s">
        <v>1448</v>
      </c>
      <c r="D962" s="46" t="s">
        <v>1475</v>
      </c>
      <c r="E962" s="46"/>
      <c r="F962" s="48">
        <v>3</v>
      </c>
      <c r="G962" s="48">
        <v>105101</v>
      </c>
      <c r="H962" s="48">
        <v>1</v>
      </c>
      <c r="I962" s="46">
        <v>5</v>
      </c>
      <c r="J962" s="48">
        <v>2</v>
      </c>
      <c r="K962" s="3">
        <v>2</v>
      </c>
      <c r="L962" s="47" t="s">
        <v>1522</v>
      </c>
      <c r="M962" s="46"/>
      <c r="N962" s="46">
        <v>1</v>
      </c>
      <c r="O962" s="46"/>
      <c r="P962" s="48" t="s">
        <v>1615</v>
      </c>
      <c r="Q962" s="49">
        <f t="shared" si="79"/>
        <v>7.0676078431372558</v>
      </c>
      <c r="R962" s="133">
        <f>IF(P962=模板计算相关数据!$AB$24,VLOOKUP(X962,模板计算相关数据!$P$47:$T$50,2,0),VLOOKUP(X962,模板计算相关数据!$P$4:$U$7,3,0))*VLOOKUP(Y962,模板计算相关数据!$P$22:$X$30,8,0)</f>
        <v>7.0676078431372558</v>
      </c>
      <c r="S962" s="50">
        <v>3.7</v>
      </c>
      <c r="T962" s="133">
        <f>IF(P962=模板计算相关数据!$AB$24,VLOOKUP(X962,模板计算相关数据!$P$47:$T$50,5,0),VLOOKUP(X962,模板计算相关数据!$P$4:$U$7,6,0))*VLOOKUP(Y962,模板计算相关数据!$P$22:$X$30,9,0)</f>
        <v>3.7582116925482176</v>
      </c>
      <c r="U962" s="59">
        <v>54</v>
      </c>
      <c r="V962" s="95">
        <f t="shared" si="82"/>
        <v>18</v>
      </c>
      <c r="W962" s="29">
        <f>VLOOKUP(U962,模板计算相关数据!A:N,2,0)</f>
        <v>15</v>
      </c>
      <c r="X962" s="48" t="s">
        <v>158</v>
      </c>
      <c r="Y962" s="48" t="s">
        <v>152</v>
      </c>
      <c r="Z962" s="49">
        <v>1</v>
      </c>
      <c r="AA962" s="49">
        <v>1</v>
      </c>
      <c r="AB962" s="49">
        <v>1</v>
      </c>
      <c r="AC962" s="49">
        <v>1</v>
      </c>
      <c r="AD962" s="49">
        <v>0</v>
      </c>
      <c r="AE962" s="49">
        <v>0</v>
      </c>
      <c r="AF962" s="49">
        <v>0</v>
      </c>
      <c r="AG962" s="49">
        <v>0</v>
      </c>
      <c r="AH962" s="49">
        <v>0</v>
      </c>
      <c r="AI962" s="49">
        <v>2000</v>
      </c>
      <c r="AJ962" s="48">
        <f>INT(VLOOKUP(U962,模板计算相关数据!A:N,4,0)*VLOOKUP(U962,模板计算相关数据!A:N,14,0)*(1+MAX(0,(VLOOKUP(U962,模板计算相关数据!A:N,7,0)-AQ962))*VLOOKUP(U962,模板计算相关数据!A:N,8,0))*(1-(AL962+AM962)*0.5/((AL962+AM962)*0.5+(VLOOKUP(U962,模板计算相关数据!A:N,2,0)+模板计算相关数据!$AC$27)*模板计算相关数据!$AC$28))*Q962*Z962)</f>
        <v>2004</v>
      </c>
      <c r="AK962" s="48">
        <f>INT(VLOOKUP(U962,模板计算相关数据!A:N,3,0)/模板计算相关数据!$W$35/(1+MAX(0,(AO962/10000-VLOOKUP(U962,模板计算相关数据!A:N,9,0)))*AP962/10000)/(1-VLOOKUP(U962,模板计算相关数据!A:N,5,0)/(VLOOKUP(U962,模板计算相关数据!A:N,5,0)+(VLOOKUP(U962,模板计算相关数据!A:N,2,0)+模板计算相关数据!$AC$27)*模板计算相关数据!$AC$28))/S962*AA962)</f>
        <v>552</v>
      </c>
      <c r="AL962" s="48">
        <f>INT(VLOOKUP(U962,模板计算相关数据!A:N,5,0)*VLOOKUP(X962,模板计算相关数据!$P$4:$T$7,4,0)*VLOOKUP(Y962,模板计算相关数据!$P$22:$U$30,4,0)*AB962)</f>
        <v>1065</v>
      </c>
      <c r="AM962" s="48">
        <f>INT(VLOOKUP(U962,模板计算相关数据!A:N,6,0)*VLOOKUP(X962,模板计算相关数据!$P$4:$T$7,4,0)*VLOOKUP(Y962,模板计算相关数据!$P$22:$U$30,5,0)*AC962)</f>
        <v>631</v>
      </c>
      <c r="AN962" s="48">
        <f>VLOOKUP(U962,模板计算相关数据!A:N,10,0)*0.5*VLOOKUP(Y962,模板计算相关数据!$P$22:$U$30,6,0)+AD962</f>
        <v>250</v>
      </c>
      <c r="AO962" s="48">
        <f>VLOOKUP(INT(VLOOKUP(U962,模板计算相关数据!A:N,2,0)/30)+1,模板计算相关数据!$O$35:$U$40,3,0)+AE962</f>
        <v>0</v>
      </c>
      <c r="AP962" s="48">
        <f>VLOOKUP(INT(VLOOKUP(U962,模板计算相关数据!A:N,2,0)/30)+1,模板计算相关数据!$O$35:$U$40,4,0)+AF962</f>
        <v>5000</v>
      </c>
      <c r="AQ962" s="48">
        <f>VLOOKUP(INT(VLOOKUP(U962,模板计算相关数据!A:N,2,0)/30)+1,模板计算相关数据!$O$35:$U$40,5,0)+AG962</f>
        <v>0</v>
      </c>
      <c r="AR962" s="48">
        <f>VLOOKUP(INT(VLOOKUP(U962,模板计算相关数据!A:N,2,0)/30)+1,模板计算相关数据!$O$35:$U$40,6,0)+AH962</f>
        <v>0</v>
      </c>
      <c r="AS962" s="48">
        <f>VLOOKUP(INT(VLOOKUP(U962,模板计算相关数据!A:N,2,0)/30)+1,模板计算相关数据!$O$35:$U$40,7,0)+AI962</f>
        <v>2000</v>
      </c>
      <c r="AT962" s="48">
        <f>VLOOKUP(INT(VLOOKUP(U962,模板计算相关数据!A:N,2,0)/30)+1,模板计算相关数据!$O$35:$V$40,8,0)</f>
        <v>0</v>
      </c>
      <c r="AU962" s="46"/>
    </row>
    <row r="963" spans="1:47" s="51" customFormat="1" x14ac:dyDescent="0.2">
      <c r="A963" s="58">
        <v>52005022</v>
      </c>
      <c r="B963" s="58"/>
      <c r="C963" s="47" t="s">
        <v>1448</v>
      </c>
      <c r="D963" s="46" t="s">
        <v>1476</v>
      </c>
      <c r="E963" s="46"/>
      <c r="F963" s="48">
        <v>3</v>
      </c>
      <c r="G963" s="48">
        <v>105101</v>
      </c>
      <c r="H963" s="48">
        <v>1</v>
      </c>
      <c r="I963" s="46">
        <v>5</v>
      </c>
      <c r="J963" s="48">
        <v>2</v>
      </c>
      <c r="K963" s="3">
        <v>2</v>
      </c>
      <c r="L963" s="47" t="s">
        <v>1522</v>
      </c>
      <c r="M963" s="46"/>
      <c r="N963" s="46">
        <v>1</v>
      </c>
      <c r="O963" s="46"/>
      <c r="P963" s="48" t="s">
        <v>1615</v>
      </c>
      <c r="Q963" s="49">
        <f t="shared" si="79"/>
        <v>7.0676078431372558</v>
      </c>
      <c r="R963" s="133">
        <f>IF(P963=模板计算相关数据!$AB$24,VLOOKUP(X963,模板计算相关数据!$P$47:$T$50,2,0),VLOOKUP(X963,模板计算相关数据!$P$4:$U$7,3,0))*VLOOKUP(Y963,模板计算相关数据!$P$22:$X$30,8,0)</f>
        <v>7.0676078431372558</v>
      </c>
      <c r="S963" s="50">
        <v>3.6</v>
      </c>
      <c r="T963" s="133">
        <f>IF(P963=模板计算相关数据!$AB$24,VLOOKUP(X963,模板计算相关数据!$P$47:$T$50,5,0),VLOOKUP(X963,模板计算相关数据!$P$4:$U$7,6,0))*VLOOKUP(Y963,模板计算相关数据!$P$22:$X$30,9,0)</f>
        <v>3.7582116925482176</v>
      </c>
      <c r="U963" s="59">
        <v>54</v>
      </c>
      <c r="V963" s="95">
        <f t="shared" si="82"/>
        <v>18</v>
      </c>
      <c r="W963" s="29">
        <f>VLOOKUP(U963,模板计算相关数据!A:N,2,0)</f>
        <v>15</v>
      </c>
      <c r="X963" s="48" t="s">
        <v>158</v>
      </c>
      <c r="Y963" s="48" t="s">
        <v>152</v>
      </c>
      <c r="Z963" s="49">
        <v>1</v>
      </c>
      <c r="AA963" s="49">
        <v>1</v>
      </c>
      <c r="AB963" s="49">
        <v>1</v>
      </c>
      <c r="AC963" s="49">
        <v>1</v>
      </c>
      <c r="AD963" s="49">
        <v>0</v>
      </c>
      <c r="AE963" s="49">
        <v>0</v>
      </c>
      <c r="AF963" s="49">
        <v>0</v>
      </c>
      <c r="AG963" s="49">
        <v>0</v>
      </c>
      <c r="AH963" s="49">
        <v>0</v>
      </c>
      <c r="AI963" s="49">
        <v>2000</v>
      </c>
      <c r="AJ963" s="48">
        <f>INT(VLOOKUP(U963,模板计算相关数据!A:N,4,0)*VLOOKUP(U963,模板计算相关数据!A:N,14,0)*(1+MAX(0,(VLOOKUP(U963,模板计算相关数据!A:N,7,0)-AQ963))*VLOOKUP(U963,模板计算相关数据!A:N,8,0))*(1-(AL963+AM963)*0.5/((AL963+AM963)*0.5+(VLOOKUP(U963,模板计算相关数据!A:N,2,0)+模板计算相关数据!$AC$27)*模板计算相关数据!$AC$28))*Q963*Z963)</f>
        <v>2004</v>
      </c>
      <c r="AK963" s="48">
        <f>INT(VLOOKUP(U963,模板计算相关数据!A:N,3,0)/模板计算相关数据!$W$35/(1+MAX(0,(AO963/10000-VLOOKUP(U963,模板计算相关数据!A:N,9,0)))*AP963/10000)/(1-VLOOKUP(U963,模板计算相关数据!A:N,5,0)/(VLOOKUP(U963,模板计算相关数据!A:N,5,0)+(VLOOKUP(U963,模板计算相关数据!A:N,2,0)+模板计算相关数据!$AC$27)*模板计算相关数据!$AC$28))/S963*AA963)</f>
        <v>568</v>
      </c>
      <c r="AL963" s="48">
        <f>INT(VLOOKUP(U963,模板计算相关数据!A:N,5,0)*VLOOKUP(X963,模板计算相关数据!$P$4:$T$7,4,0)*VLOOKUP(Y963,模板计算相关数据!$P$22:$U$30,4,0)*AB963)</f>
        <v>1065</v>
      </c>
      <c r="AM963" s="48">
        <f>INT(VLOOKUP(U963,模板计算相关数据!A:N,6,0)*VLOOKUP(X963,模板计算相关数据!$P$4:$T$7,4,0)*VLOOKUP(Y963,模板计算相关数据!$P$22:$U$30,5,0)*AC963)</f>
        <v>631</v>
      </c>
      <c r="AN963" s="48">
        <f>VLOOKUP(U963,模板计算相关数据!A:N,10,0)*0.5*VLOOKUP(Y963,模板计算相关数据!$P$22:$U$30,6,0)+AD963</f>
        <v>250</v>
      </c>
      <c r="AO963" s="48">
        <f>VLOOKUP(INT(VLOOKUP(U963,模板计算相关数据!A:N,2,0)/30)+1,模板计算相关数据!$O$35:$U$40,3,0)+AE963</f>
        <v>0</v>
      </c>
      <c r="AP963" s="48">
        <f>VLOOKUP(INT(VLOOKUP(U963,模板计算相关数据!A:N,2,0)/30)+1,模板计算相关数据!$O$35:$U$40,4,0)+AF963</f>
        <v>5000</v>
      </c>
      <c r="AQ963" s="48">
        <f>VLOOKUP(INT(VLOOKUP(U963,模板计算相关数据!A:N,2,0)/30)+1,模板计算相关数据!$O$35:$U$40,5,0)+AG963</f>
        <v>0</v>
      </c>
      <c r="AR963" s="48">
        <f>VLOOKUP(INT(VLOOKUP(U963,模板计算相关数据!A:N,2,0)/30)+1,模板计算相关数据!$O$35:$U$40,6,0)+AH963</f>
        <v>0</v>
      </c>
      <c r="AS963" s="48">
        <f>VLOOKUP(INT(VLOOKUP(U963,模板计算相关数据!A:N,2,0)/30)+1,模板计算相关数据!$O$35:$U$40,7,0)+AI963</f>
        <v>2000</v>
      </c>
      <c r="AT963" s="48">
        <f>VLOOKUP(INT(VLOOKUP(U963,模板计算相关数据!A:N,2,0)/30)+1,模板计算相关数据!$O$35:$V$40,8,0)</f>
        <v>0</v>
      </c>
      <c r="AU963" s="46"/>
    </row>
    <row r="964" spans="1:47" s="51" customFormat="1" x14ac:dyDescent="0.2">
      <c r="A964" s="58">
        <v>52005032</v>
      </c>
      <c r="B964" s="58"/>
      <c r="C964" s="47" t="s">
        <v>1448</v>
      </c>
      <c r="D964" s="46" t="s">
        <v>1477</v>
      </c>
      <c r="E964" s="46"/>
      <c r="F964" s="48">
        <v>3</v>
      </c>
      <c r="G964" s="48">
        <v>105101</v>
      </c>
      <c r="H964" s="48">
        <v>1</v>
      </c>
      <c r="I964" s="46">
        <v>5</v>
      </c>
      <c r="J964" s="48">
        <v>2</v>
      </c>
      <c r="K964" s="3">
        <v>2</v>
      </c>
      <c r="L964" s="47" t="s">
        <v>1522</v>
      </c>
      <c r="M964" s="46"/>
      <c r="N964" s="46">
        <v>1</v>
      </c>
      <c r="O964" s="46"/>
      <c r="P964" s="48" t="s">
        <v>1615</v>
      </c>
      <c r="Q964" s="49">
        <f t="shared" si="79"/>
        <v>7.0676078431372558</v>
      </c>
      <c r="R964" s="133">
        <f>IF(P964=模板计算相关数据!$AB$24,VLOOKUP(X964,模板计算相关数据!$P$47:$T$50,2,0),VLOOKUP(X964,模板计算相关数据!$P$4:$U$7,3,0))*VLOOKUP(Y964,模板计算相关数据!$P$22:$X$30,8,0)</f>
        <v>7.0676078431372558</v>
      </c>
      <c r="S964" s="50">
        <v>3.5</v>
      </c>
      <c r="T964" s="133">
        <f>IF(P964=模板计算相关数据!$AB$24,VLOOKUP(X964,模板计算相关数据!$P$47:$T$50,5,0),VLOOKUP(X964,模板计算相关数据!$P$4:$U$7,6,0))*VLOOKUP(Y964,模板计算相关数据!$P$22:$X$30,9,0)</f>
        <v>3.7582116925482176</v>
      </c>
      <c r="U964" s="59">
        <v>54</v>
      </c>
      <c r="V964" s="95">
        <f t="shared" si="82"/>
        <v>18</v>
      </c>
      <c r="W964" s="29">
        <f>VLOOKUP(U964,模板计算相关数据!A:N,2,0)</f>
        <v>15</v>
      </c>
      <c r="X964" s="48" t="s">
        <v>158</v>
      </c>
      <c r="Y964" s="48" t="s">
        <v>152</v>
      </c>
      <c r="Z964" s="49">
        <v>1</v>
      </c>
      <c r="AA964" s="49">
        <v>1</v>
      </c>
      <c r="AB964" s="49">
        <v>1</v>
      </c>
      <c r="AC964" s="49">
        <v>1</v>
      </c>
      <c r="AD964" s="49">
        <v>0</v>
      </c>
      <c r="AE964" s="49">
        <v>0</v>
      </c>
      <c r="AF964" s="49">
        <v>0</v>
      </c>
      <c r="AG964" s="49">
        <v>0</v>
      </c>
      <c r="AH964" s="49">
        <v>0</v>
      </c>
      <c r="AI964" s="49">
        <v>2000</v>
      </c>
      <c r="AJ964" s="48">
        <f>INT(VLOOKUP(U964,模板计算相关数据!A:N,4,0)*VLOOKUP(U964,模板计算相关数据!A:N,14,0)*(1+MAX(0,(VLOOKUP(U964,模板计算相关数据!A:N,7,0)-AQ964))*VLOOKUP(U964,模板计算相关数据!A:N,8,0))*(1-(AL964+AM964)*0.5/((AL964+AM964)*0.5+(VLOOKUP(U964,模板计算相关数据!A:N,2,0)+模板计算相关数据!$AC$27)*模板计算相关数据!$AC$28))*Q964*Z964)</f>
        <v>2004</v>
      </c>
      <c r="AK964" s="48">
        <f>INT(VLOOKUP(U964,模板计算相关数据!A:N,3,0)/模板计算相关数据!$W$35/(1+MAX(0,(AO964/10000-VLOOKUP(U964,模板计算相关数据!A:N,9,0)))*AP964/10000)/(1-VLOOKUP(U964,模板计算相关数据!A:N,5,0)/(VLOOKUP(U964,模板计算相关数据!A:N,5,0)+(VLOOKUP(U964,模板计算相关数据!A:N,2,0)+模板计算相关数据!$AC$27)*模板计算相关数据!$AC$28))/S964*AA964)</f>
        <v>584</v>
      </c>
      <c r="AL964" s="48">
        <f>INT(VLOOKUP(U964,模板计算相关数据!A:N,5,0)*VLOOKUP(X964,模板计算相关数据!$P$4:$T$7,4,0)*VLOOKUP(Y964,模板计算相关数据!$P$22:$U$30,4,0)*AB964)</f>
        <v>1065</v>
      </c>
      <c r="AM964" s="48">
        <f>INT(VLOOKUP(U964,模板计算相关数据!A:N,6,0)*VLOOKUP(X964,模板计算相关数据!$P$4:$T$7,4,0)*VLOOKUP(Y964,模板计算相关数据!$P$22:$U$30,5,0)*AC964)</f>
        <v>631</v>
      </c>
      <c r="AN964" s="48">
        <f>VLOOKUP(U964,模板计算相关数据!A:N,10,0)*0.5*VLOOKUP(Y964,模板计算相关数据!$P$22:$U$30,6,0)+AD964</f>
        <v>250</v>
      </c>
      <c r="AO964" s="48">
        <f>VLOOKUP(INT(VLOOKUP(U964,模板计算相关数据!A:N,2,0)/30)+1,模板计算相关数据!$O$35:$U$40,3,0)+AE964</f>
        <v>0</v>
      </c>
      <c r="AP964" s="48">
        <f>VLOOKUP(INT(VLOOKUP(U964,模板计算相关数据!A:N,2,0)/30)+1,模板计算相关数据!$O$35:$U$40,4,0)+AF964</f>
        <v>5000</v>
      </c>
      <c r="AQ964" s="48">
        <f>VLOOKUP(INT(VLOOKUP(U964,模板计算相关数据!A:N,2,0)/30)+1,模板计算相关数据!$O$35:$U$40,5,0)+AG964</f>
        <v>0</v>
      </c>
      <c r="AR964" s="48">
        <f>VLOOKUP(INT(VLOOKUP(U964,模板计算相关数据!A:N,2,0)/30)+1,模板计算相关数据!$O$35:$U$40,6,0)+AH964</f>
        <v>0</v>
      </c>
      <c r="AS964" s="48">
        <f>VLOOKUP(INT(VLOOKUP(U964,模板计算相关数据!A:N,2,0)/30)+1,模板计算相关数据!$O$35:$U$40,7,0)+AI964</f>
        <v>2000</v>
      </c>
      <c r="AT964" s="48">
        <f>VLOOKUP(INT(VLOOKUP(U964,模板计算相关数据!A:N,2,0)/30)+1,模板计算相关数据!$O$35:$V$40,8,0)</f>
        <v>0</v>
      </c>
      <c r="AU964" s="46"/>
    </row>
    <row r="965" spans="1:47" s="51" customFormat="1" x14ac:dyDescent="0.2">
      <c r="A965" s="58">
        <v>52005042</v>
      </c>
      <c r="B965" s="58"/>
      <c r="C965" s="47" t="s">
        <v>1448</v>
      </c>
      <c r="D965" s="46" t="s">
        <v>1478</v>
      </c>
      <c r="E965" s="46"/>
      <c r="F965" s="48">
        <v>3</v>
      </c>
      <c r="G965" s="48">
        <v>105101</v>
      </c>
      <c r="H965" s="48">
        <v>1</v>
      </c>
      <c r="I965" s="46">
        <v>5</v>
      </c>
      <c r="J965" s="48">
        <v>2</v>
      </c>
      <c r="K965" s="3">
        <v>2</v>
      </c>
      <c r="L965" s="47" t="s">
        <v>1522</v>
      </c>
      <c r="M965" s="46"/>
      <c r="N965" s="46">
        <v>1</v>
      </c>
      <c r="O965" s="46"/>
      <c r="P965" s="48" t="s">
        <v>1615</v>
      </c>
      <c r="Q965" s="49">
        <f t="shared" si="79"/>
        <v>7.0676078431372558</v>
      </c>
      <c r="R965" s="133">
        <f>IF(P965=模板计算相关数据!$AB$24,VLOOKUP(X965,模板计算相关数据!$P$47:$T$50,2,0),VLOOKUP(X965,模板计算相关数据!$P$4:$U$7,3,0))*VLOOKUP(Y965,模板计算相关数据!$P$22:$X$30,8,0)</f>
        <v>7.0676078431372558</v>
      </c>
      <c r="S965" s="50">
        <v>3.4</v>
      </c>
      <c r="T965" s="133">
        <f>IF(P965=模板计算相关数据!$AB$24,VLOOKUP(X965,模板计算相关数据!$P$47:$T$50,5,0),VLOOKUP(X965,模板计算相关数据!$P$4:$U$7,6,0))*VLOOKUP(Y965,模板计算相关数据!$P$22:$X$30,9,0)</f>
        <v>3.7582116925482176</v>
      </c>
      <c r="U965" s="59">
        <v>54</v>
      </c>
      <c r="V965" s="95">
        <f t="shared" si="82"/>
        <v>18</v>
      </c>
      <c r="W965" s="29">
        <f>VLOOKUP(U965,模板计算相关数据!A:N,2,0)</f>
        <v>15</v>
      </c>
      <c r="X965" s="48" t="s">
        <v>158</v>
      </c>
      <c r="Y965" s="48" t="s">
        <v>152</v>
      </c>
      <c r="Z965" s="49">
        <v>1</v>
      </c>
      <c r="AA965" s="49">
        <v>1</v>
      </c>
      <c r="AB965" s="49">
        <v>1</v>
      </c>
      <c r="AC965" s="49">
        <v>1</v>
      </c>
      <c r="AD965" s="49">
        <v>0</v>
      </c>
      <c r="AE965" s="49">
        <v>0</v>
      </c>
      <c r="AF965" s="49">
        <v>0</v>
      </c>
      <c r="AG965" s="49">
        <v>0</v>
      </c>
      <c r="AH965" s="49">
        <v>0</v>
      </c>
      <c r="AI965" s="49">
        <v>2000</v>
      </c>
      <c r="AJ965" s="48">
        <f>INT(VLOOKUP(U965,模板计算相关数据!A:N,4,0)*VLOOKUP(U965,模板计算相关数据!A:N,14,0)*(1+MAX(0,(VLOOKUP(U965,模板计算相关数据!A:N,7,0)-AQ965))*VLOOKUP(U965,模板计算相关数据!A:N,8,0))*(1-(AL965+AM965)*0.5/((AL965+AM965)*0.5+(VLOOKUP(U965,模板计算相关数据!A:N,2,0)+模板计算相关数据!$AC$27)*模板计算相关数据!$AC$28))*Q965*Z965)</f>
        <v>2004</v>
      </c>
      <c r="AK965" s="48">
        <f>INT(VLOOKUP(U965,模板计算相关数据!A:N,3,0)/模板计算相关数据!$W$35/(1+MAX(0,(AO965/10000-VLOOKUP(U965,模板计算相关数据!A:N,9,0)))*AP965/10000)/(1-VLOOKUP(U965,模板计算相关数据!A:N,5,0)/(VLOOKUP(U965,模板计算相关数据!A:N,5,0)+(VLOOKUP(U965,模板计算相关数据!A:N,2,0)+模板计算相关数据!$AC$27)*模板计算相关数据!$AC$28))/S965*AA965)</f>
        <v>601</v>
      </c>
      <c r="AL965" s="48">
        <f>INT(VLOOKUP(U965,模板计算相关数据!A:N,5,0)*VLOOKUP(X965,模板计算相关数据!$P$4:$T$7,4,0)*VLOOKUP(Y965,模板计算相关数据!$P$22:$U$30,4,0)*AB965)</f>
        <v>1065</v>
      </c>
      <c r="AM965" s="48">
        <f>INT(VLOOKUP(U965,模板计算相关数据!A:N,6,0)*VLOOKUP(X965,模板计算相关数据!$P$4:$T$7,4,0)*VLOOKUP(Y965,模板计算相关数据!$P$22:$U$30,5,0)*AC965)</f>
        <v>631</v>
      </c>
      <c r="AN965" s="48">
        <f>VLOOKUP(U965,模板计算相关数据!A:N,10,0)*0.5*VLOOKUP(Y965,模板计算相关数据!$P$22:$U$30,6,0)+AD965</f>
        <v>250</v>
      </c>
      <c r="AO965" s="48">
        <f>VLOOKUP(INT(VLOOKUP(U965,模板计算相关数据!A:N,2,0)/30)+1,模板计算相关数据!$O$35:$U$40,3,0)+AE965</f>
        <v>0</v>
      </c>
      <c r="AP965" s="48">
        <f>VLOOKUP(INT(VLOOKUP(U965,模板计算相关数据!A:N,2,0)/30)+1,模板计算相关数据!$O$35:$U$40,4,0)+AF965</f>
        <v>5000</v>
      </c>
      <c r="AQ965" s="48">
        <f>VLOOKUP(INT(VLOOKUP(U965,模板计算相关数据!A:N,2,0)/30)+1,模板计算相关数据!$O$35:$U$40,5,0)+AG965</f>
        <v>0</v>
      </c>
      <c r="AR965" s="48">
        <f>VLOOKUP(INT(VLOOKUP(U965,模板计算相关数据!A:N,2,0)/30)+1,模板计算相关数据!$O$35:$U$40,6,0)+AH965</f>
        <v>0</v>
      </c>
      <c r="AS965" s="48">
        <f>VLOOKUP(INT(VLOOKUP(U965,模板计算相关数据!A:N,2,0)/30)+1,模板计算相关数据!$O$35:$U$40,7,0)+AI965</f>
        <v>2000</v>
      </c>
      <c r="AT965" s="48">
        <f>VLOOKUP(INT(VLOOKUP(U965,模板计算相关数据!A:N,2,0)/30)+1,模板计算相关数据!$O$35:$V$40,8,0)</f>
        <v>0</v>
      </c>
      <c r="AU965" s="46"/>
    </row>
    <row r="966" spans="1:47" s="51" customFormat="1" x14ac:dyDescent="0.2">
      <c r="A966" s="58">
        <v>52005052</v>
      </c>
      <c r="B966" s="58"/>
      <c r="C966" s="47" t="s">
        <v>1448</v>
      </c>
      <c r="D966" s="46" t="s">
        <v>1479</v>
      </c>
      <c r="E966" s="46"/>
      <c r="F966" s="48">
        <v>2</v>
      </c>
      <c r="G966" s="48">
        <v>105101</v>
      </c>
      <c r="H966" s="48">
        <v>1</v>
      </c>
      <c r="I966" s="46">
        <v>5</v>
      </c>
      <c r="J966" s="48">
        <v>2</v>
      </c>
      <c r="K966" s="3">
        <v>2</v>
      </c>
      <c r="L966" s="47" t="s">
        <v>1522</v>
      </c>
      <c r="M966" s="46"/>
      <c r="N966" s="46">
        <v>1</v>
      </c>
      <c r="O966" s="46"/>
      <c r="P966" s="48" t="s">
        <v>1615</v>
      </c>
      <c r="Q966" s="49">
        <f t="shared" si="79"/>
        <v>7.0676078431372558</v>
      </c>
      <c r="R966" s="133">
        <f>IF(P966=模板计算相关数据!$AB$24,VLOOKUP(X966,模板计算相关数据!$P$47:$T$50,2,0),VLOOKUP(X966,模板计算相关数据!$P$4:$U$7,3,0))*VLOOKUP(Y966,模板计算相关数据!$P$22:$X$30,8,0)</f>
        <v>7.0676078431372558</v>
      </c>
      <c r="S966" s="50">
        <v>3.2</v>
      </c>
      <c r="T966" s="133">
        <f>IF(P966=模板计算相关数据!$AB$24,VLOOKUP(X966,模板计算相关数据!$P$47:$T$50,5,0),VLOOKUP(X966,模板计算相关数据!$P$4:$U$7,6,0))*VLOOKUP(Y966,模板计算相关数据!$P$22:$X$30,9,0)</f>
        <v>3.7582116925482176</v>
      </c>
      <c r="U966" s="59">
        <v>54</v>
      </c>
      <c r="V966" s="95">
        <f t="shared" si="82"/>
        <v>18</v>
      </c>
      <c r="W966" s="29">
        <f>VLOOKUP(U966,模板计算相关数据!A:N,2,0)</f>
        <v>15</v>
      </c>
      <c r="X966" s="48" t="s">
        <v>158</v>
      </c>
      <c r="Y966" s="48" t="s">
        <v>152</v>
      </c>
      <c r="Z966" s="49">
        <v>1</v>
      </c>
      <c r="AA966" s="49">
        <v>1</v>
      </c>
      <c r="AB966" s="49">
        <v>1</v>
      </c>
      <c r="AC966" s="49">
        <v>1</v>
      </c>
      <c r="AD966" s="49">
        <v>0</v>
      </c>
      <c r="AE966" s="49">
        <v>0</v>
      </c>
      <c r="AF966" s="49">
        <v>0</v>
      </c>
      <c r="AG966" s="49">
        <v>0</v>
      </c>
      <c r="AH966" s="49">
        <v>0</v>
      </c>
      <c r="AI966" s="49">
        <v>2000</v>
      </c>
      <c r="AJ966" s="48">
        <f>INT(VLOOKUP(U966,模板计算相关数据!A:N,4,0)*VLOOKUP(U966,模板计算相关数据!A:N,14,0)*(1+MAX(0,(VLOOKUP(U966,模板计算相关数据!A:N,7,0)-AQ966))*VLOOKUP(U966,模板计算相关数据!A:N,8,0))*(1-(AL966+AM966)*0.5/((AL966+AM966)*0.5+(VLOOKUP(U966,模板计算相关数据!A:N,2,0)+模板计算相关数据!$AC$27)*模板计算相关数据!$AC$28))*Q966*Z966)</f>
        <v>2004</v>
      </c>
      <c r="AK966" s="48">
        <f>INT(VLOOKUP(U966,模板计算相关数据!A:N,3,0)/模板计算相关数据!$W$35/(1+MAX(0,(AO966/10000-VLOOKUP(U966,模板计算相关数据!A:N,9,0)))*AP966/10000)/(1-VLOOKUP(U966,模板计算相关数据!A:N,5,0)/(VLOOKUP(U966,模板计算相关数据!A:N,5,0)+(VLOOKUP(U966,模板计算相关数据!A:N,2,0)+模板计算相关数据!$AC$27)*模板计算相关数据!$AC$28))/S966*AA966)</f>
        <v>639</v>
      </c>
      <c r="AL966" s="48">
        <f>INT(VLOOKUP(U966,模板计算相关数据!A:N,5,0)*VLOOKUP(X966,模板计算相关数据!$P$4:$T$7,4,0)*VLOOKUP(Y966,模板计算相关数据!$P$22:$U$30,4,0)*AB966)</f>
        <v>1065</v>
      </c>
      <c r="AM966" s="48">
        <f>INT(VLOOKUP(U966,模板计算相关数据!A:N,6,0)*VLOOKUP(X966,模板计算相关数据!$P$4:$T$7,4,0)*VLOOKUP(Y966,模板计算相关数据!$P$22:$U$30,5,0)*AC966)</f>
        <v>631</v>
      </c>
      <c r="AN966" s="48">
        <f>VLOOKUP(U966,模板计算相关数据!A:N,10,0)*0.5*VLOOKUP(Y966,模板计算相关数据!$P$22:$U$30,6,0)+AD966</f>
        <v>250</v>
      </c>
      <c r="AO966" s="48">
        <f>VLOOKUP(INT(VLOOKUP(U966,模板计算相关数据!A:N,2,0)/30)+1,模板计算相关数据!$O$35:$U$40,3,0)+AE966</f>
        <v>0</v>
      </c>
      <c r="AP966" s="48">
        <f>VLOOKUP(INT(VLOOKUP(U966,模板计算相关数据!A:N,2,0)/30)+1,模板计算相关数据!$O$35:$U$40,4,0)+AF966</f>
        <v>5000</v>
      </c>
      <c r="AQ966" s="48">
        <f>VLOOKUP(INT(VLOOKUP(U966,模板计算相关数据!A:N,2,0)/30)+1,模板计算相关数据!$O$35:$U$40,5,0)+AG966</f>
        <v>0</v>
      </c>
      <c r="AR966" s="48">
        <f>VLOOKUP(INT(VLOOKUP(U966,模板计算相关数据!A:N,2,0)/30)+1,模板计算相关数据!$O$35:$U$40,6,0)+AH966</f>
        <v>0</v>
      </c>
      <c r="AS966" s="48">
        <f>VLOOKUP(INT(VLOOKUP(U966,模板计算相关数据!A:N,2,0)/30)+1,模板计算相关数据!$O$35:$U$40,7,0)+AI966</f>
        <v>2000</v>
      </c>
      <c r="AT966" s="48">
        <f>VLOOKUP(INT(VLOOKUP(U966,模板计算相关数据!A:N,2,0)/30)+1,模板计算相关数据!$O$35:$V$40,8,0)</f>
        <v>0</v>
      </c>
      <c r="AU966" s="46"/>
    </row>
    <row r="967" spans="1:47" s="51" customFormat="1" x14ac:dyDescent="0.2">
      <c r="A967" s="58">
        <v>52006011</v>
      </c>
      <c r="B967" s="58"/>
      <c r="C967" s="47" t="s">
        <v>1448</v>
      </c>
      <c r="D967" s="46" t="s">
        <v>1470</v>
      </c>
      <c r="E967" s="46"/>
      <c r="F967" s="48">
        <v>1</v>
      </c>
      <c r="G967" s="48">
        <v>105101</v>
      </c>
      <c r="H967" s="48">
        <v>1</v>
      </c>
      <c r="I967" s="46">
        <v>5</v>
      </c>
      <c r="J967" s="48">
        <v>2</v>
      </c>
      <c r="K967" s="3">
        <v>2</v>
      </c>
      <c r="L967" s="47" t="s">
        <v>1522</v>
      </c>
      <c r="M967" s="46"/>
      <c r="N967" s="46">
        <v>1</v>
      </c>
      <c r="O967" s="46"/>
      <c r="P967" s="48" t="s">
        <v>1615</v>
      </c>
      <c r="Q967" s="49">
        <f t="shared" si="79"/>
        <v>17.66901960784314</v>
      </c>
      <c r="R967" s="133">
        <f>IF(P967=模板计算相关数据!$AB$24,VLOOKUP(X967,模板计算相关数据!$P$47:$T$50,2,0),VLOOKUP(X967,模板计算相关数据!$P$4:$U$7,3,0))*VLOOKUP(Y967,模板计算相关数据!$P$22:$X$30,8,0)</f>
        <v>17.66901960784314</v>
      </c>
      <c r="S967" s="50">
        <f t="shared" si="80"/>
        <v>2.9610152729167778</v>
      </c>
      <c r="T967" s="133">
        <f>IF(P967=模板计算相关数据!$AB$24,VLOOKUP(X967,模板计算相关数据!$P$47:$T$50,5,0),VLOOKUP(X967,模板计算相关数据!$P$4:$U$7,6,0))*VLOOKUP(Y967,模板计算相关数据!$P$22:$X$30,9,0)</f>
        <v>2.9610152729167778</v>
      </c>
      <c r="U967" s="59">
        <v>54</v>
      </c>
      <c r="V967" s="95">
        <f t="shared" si="82"/>
        <v>18</v>
      </c>
      <c r="W967" s="29">
        <f>VLOOKUP(U967,模板计算相关数据!A:N,2,0)</f>
        <v>15</v>
      </c>
      <c r="X967" s="48" t="s">
        <v>178</v>
      </c>
      <c r="Y967" s="48" t="s">
        <v>152</v>
      </c>
      <c r="Z967" s="49">
        <v>1</v>
      </c>
      <c r="AA967" s="49">
        <v>1</v>
      </c>
      <c r="AB967" s="49">
        <v>1</v>
      </c>
      <c r="AC967" s="49">
        <v>1</v>
      </c>
      <c r="AD967" s="49">
        <v>0</v>
      </c>
      <c r="AE967" s="49">
        <v>0</v>
      </c>
      <c r="AF967" s="49">
        <v>0</v>
      </c>
      <c r="AG967" s="49">
        <v>0</v>
      </c>
      <c r="AH967" s="49">
        <v>0</v>
      </c>
      <c r="AI967" s="49">
        <v>4000</v>
      </c>
      <c r="AJ967" s="48">
        <f>INT(VLOOKUP(U967,模板计算相关数据!A:N,4,0)*VLOOKUP(U967,模板计算相关数据!A:N,14,0)*(1+MAX(0,(VLOOKUP(U967,模板计算相关数据!A:N,7,0)-AQ967))*VLOOKUP(U967,模板计算相关数据!A:N,8,0))*(1-(AL967+AM967)*0.5/((AL967+AM967)*0.5+(VLOOKUP(U967,模板计算相关数据!A:N,2,0)+模板计算相关数据!$AC$27)*模板计算相关数据!$AC$28))*Q967*Z967)</f>
        <v>4711</v>
      </c>
      <c r="AK967" s="48">
        <f>INT(VLOOKUP(U967,模板计算相关数据!A:N,3,0)/模板计算相关数据!$W$35/(1+MAX(0,(AO967/10000-VLOOKUP(U967,模板计算相关数据!A:N,9,0)))*AP967/10000)/(1-VLOOKUP(U967,模板计算相关数据!A:N,5,0)/(VLOOKUP(U967,模板计算相关数据!A:N,5,0)+(VLOOKUP(U967,模板计算相关数据!A:N,2,0)+模板计算相关数据!$AC$27)*模板计算相关数据!$AC$28))/S967*AA967)</f>
        <v>690</v>
      </c>
      <c r="AL967" s="48">
        <f>INT(VLOOKUP(U967,模板计算相关数据!A:N,5,0)*VLOOKUP(X967,模板计算相关数据!$P$4:$T$7,4,0)*VLOOKUP(Y967,模板计算相关数据!$P$22:$U$30,4,0)*AB967)</f>
        <v>1279</v>
      </c>
      <c r="AM967" s="48">
        <f>INT(VLOOKUP(U967,模板计算相关数据!A:N,6,0)*VLOOKUP(X967,模板计算相关数据!$P$4:$T$7,4,0)*VLOOKUP(Y967,模板计算相关数据!$P$22:$U$30,5,0)*AC967)</f>
        <v>758</v>
      </c>
      <c r="AN967" s="48">
        <f>VLOOKUP(U967,模板计算相关数据!A:N,10,0)*0.5*VLOOKUP(Y967,模板计算相关数据!$P$22:$U$30,6,0)+AD967</f>
        <v>250</v>
      </c>
      <c r="AO967" s="48">
        <f>VLOOKUP(INT(VLOOKUP(U967,模板计算相关数据!A:N,2,0)/30)+1,模板计算相关数据!$O$35:$U$40,3,0)+AE967</f>
        <v>0</v>
      </c>
      <c r="AP967" s="48">
        <f>VLOOKUP(INT(VLOOKUP(U967,模板计算相关数据!A:N,2,0)/30)+1,模板计算相关数据!$O$35:$U$40,4,0)+AF967</f>
        <v>5000</v>
      </c>
      <c r="AQ967" s="48">
        <f>VLOOKUP(INT(VLOOKUP(U967,模板计算相关数据!A:N,2,0)/30)+1,模板计算相关数据!$O$35:$U$40,5,0)+AG967</f>
        <v>0</v>
      </c>
      <c r="AR967" s="48">
        <f>VLOOKUP(INT(VLOOKUP(U967,模板计算相关数据!A:N,2,0)/30)+1,模板计算相关数据!$O$35:$U$40,6,0)+AH967</f>
        <v>0</v>
      </c>
      <c r="AS967" s="48">
        <f>VLOOKUP(INT(VLOOKUP(U967,模板计算相关数据!A:N,2,0)/30)+1,模板计算相关数据!$O$35:$U$40,7,0)+AI967</f>
        <v>4000</v>
      </c>
      <c r="AT967" s="48">
        <f>VLOOKUP(INT(VLOOKUP(U967,模板计算相关数据!A:N,2,0)/30)+1,模板计算相关数据!$O$35:$V$40,8,0)</f>
        <v>0</v>
      </c>
      <c r="AU967" s="46"/>
    </row>
    <row r="968" spans="1:47" s="51" customFormat="1" x14ac:dyDescent="0.2">
      <c r="A968" s="58">
        <v>52006021</v>
      </c>
      <c r="B968" s="58"/>
      <c r="C968" s="47" t="s">
        <v>1448</v>
      </c>
      <c r="D968" s="46" t="s">
        <v>1471</v>
      </c>
      <c r="E968" s="46"/>
      <c r="F968" s="48">
        <v>1</v>
      </c>
      <c r="G968" s="48">
        <v>105101</v>
      </c>
      <c r="H968" s="48">
        <v>1</v>
      </c>
      <c r="I968" s="46">
        <v>5</v>
      </c>
      <c r="J968" s="48">
        <v>2</v>
      </c>
      <c r="K968" s="3">
        <v>2</v>
      </c>
      <c r="L968" s="47" t="s">
        <v>1522</v>
      </c>
      <c r="M968" s="46"/>
      <c r="N968" s="46">
        <v>1</v>
      </c>
      <c r="O968" s="46"/>
      <c r="P968" s="48" t="s">
        <v>1615</v>
      </c>
      <c r="Q968" s="49">
        <f t="shared" si="79"/>
        <v>17.66901960784314</v>
      </c>
      <c r="R968" s="133">
        <f>IF(P968=模板计算相关数据!$AB$24,VLOOKUP(X968,模板计算相关数据!$P$47:$T$50,2,0),VLOOKUP(X968,模板计算相关数据!$P$4:$U$7,3,0))*VLOOKUP(Y968,模板计算相关数据!$P$22:$X$30,8,0)</f>
        <v>17.66901960784314</v>
      </c>
      <c r="S968" s="50">
        <f t="shared" si="80"/>
        <v>2.9610152729167778</v>
      </c>
      <c r="T968" s="133">
        <f>IF(P968=模板计算相关数据!$AB$24,VLOOKUP(X968,模板计算相关数据!$P$47:$T$50,5,0),VLOOKUP(X968,模板计算相关数据!$P$4:$U$7,6,0))*VLOOKUP(Y968,模板计算相关数据!$P$22:$X$30,9,0)</f>
        <v>2.9610152729167778</v>
      </c>
      <c r="U968" s="59">
        <v>54</v>
      </c>
      <c r="V968" s="95">
        <f t="shared" si="82"/>
        <v>18</v>
      </c>
      <c r="W968" s="29">
        <f>VLOOKUP(U968,模板计算相关数据!A:N,2,0)</f>
        <v>15</v>
      </c>
      <c r="X968" s="48" t="s">
        <v>178</v>
      </c>
      <c r="Y968" s="48" t="s">
        <v>152</v>
      </c>
      <c r="Z968" s="49">
        <v>1</v>
      </c>
      <c r="AA968" s="49">
        <v>1</v>
      </c>
      <c r="AB968" s="49">
        <v>1</v>
      </c>
      <c r="AC968" s="49">
        <v>1</v>
      </c>
      <c r="AD968" s="49">
        <v>0</v>
      </c>
      <c r="AE968" s="49">
        <v>0</v>
      </c>
      <c r="AF968" s="49">
        <v>0</v>
      </c>
      <c r="AG968" s="49">
        <v>0</v>
      </c>
      <c r="AH968" s="49">
        <v>0</v>
      </c>
      <c r="AI968" s="49">
        <v>4000</v>
      </c>
      <c r="AJ968" s="48">
        <f>INT(VLOOKUP(U968,模板计算相关数据!A:N,4,0)*VLOOKUP(U968,模板计算相关数据!A:N,14,0)*(1+MAX(0,(VLOOKUP(U968,模板计算相关数据!A:N,7,0)-AQ968))*VLOOKUP(U968,模板计算相关数据!A:N,8,0))*(1-(AL968+AM968)*0.5/((AL968+AM968)*0.5+(VLOOKUP(U968,模板计算相关数据!A:N,2,0)+模板计算相关数据!$AC$27)*模板计算相关数据!$AC$28))*Q968*Z968)</f>
        <v>4711</v>
      </c>
      <c r="AK968" s="48">
        <f>INT(VLOOKUP(U968,模板计算相关数据!A:N,3,0)/模板计算相关数据!$W$35/(1+MAX(0,(AO968/10000-VLOOKUP(U968,模板计算相关数据!A:N,9,0)))*AP968/10000)/(1-VLOOKUP(U968,模板计算相关数据!A:N,5,0)/(VLOOKUP(U968,模板计算相关数据!A:N,5,0)+(VLOOKUP(U968,模板计算相关数据!A:N,2,0)+模板计算相关数据!$AC$27)*模板计算相关数据!$AC$28))/S968*AA968)</f>
        <v>690</v>
      </c>
      <c r="AL968" s="48">
        <f>INT(VLOOKUP(U968,模板计算相关数据!A:N,5,0)*VLOOKUP(X968,模板计算相关数据!$P$4:$T$7,4,0)*VLOOKUP(Y968,模板计算相关数据!$P$22:$U$30,4,0)*AB968)</f>
        <v>1279</v>
      </c>
      <c r="AM968" s="48">
        <f>INT(VLOOKUP(U968,模板计算相关数据!A:N,6,0)*VLOOKUP(X968,模板计算相关数据!$P$4:$T$7,4,0)*VLOOKUP(Y968,模板计算相关数据!$P$22:$U$30,5,0)*AC968)</f>
        <v>758</v>
      </c>
      <c r="AN968" s="48">
        <f>VLOOKUP(U968,模板计算相关数据!A:N,10,0)*0.5*VLOOKUP(Y968,模板计算相关数据!$P$22:$U$30,6,0)+AD968</f>
        <v>250</v>
      </c>
      <c r="AO968" s="48">
        <f>VLOOKUP(INT(VLOOKUP(U968,模板计算相关数据!A:N,2,0)/30)+1,模板计算相关数据!$O$35:$U$40,3,0)+AE968</f>
        <v>0</v>
      </c>
      <c r="AP968" s="48">
        <f>VLOOKUP(INT(VLOOKUP(U968,模板计算相关数据!A:N,2,0)/30)+1,模板计算相关数据!$O$35:$U$40,4,0)+AF968</f>
        <v>5000</v>
      </c>
      <c r="AQ968" s="48">
        <f>VLOOKUP(INT(VLOOKUP(U968,模板计算相关数据!A:N,2,0)/30)+1,模板计算相关数据!$O$35:$U$40,5,0)+AG968</f>
        <v>0</v>
      </c>
      <c r="AR968" s="48">
        <f>VLOOKUP(INT(VLOOKUP(U968,模板计算相关数据!A:N,2,0)/30)+1,模板计算相关数据!$O$35:$U$40,6,0)+AH968</f>
        <v>0</v>
      </c>
      <c r="AS968" s="48">
        <f>VLOOKUP(INT(VLOOKUP(U968,模板计算相关数据!A:N,2,0)/30)+1,模板计算相关数据!$O$35:$U$40,7,0)+AI968</f>
        <v>4000</v>
      </c>
      <c r="AT968" s="48">
        <f>VLOOKUP(INT(VLOOKUP(U968,模板计算相关数据!A:N,2,0)/30)+1,模板计算相关数据!$O$35:$V$40,8,0)</f>
        <v>0</v>
      </c>
      <c r="AU968" s="46"/>
    </row>
    <row r="969" spans="1:47" s="51" customFormat="1" x14ac:dyDescent="0.2">
      <c r="A969" s="58">
        <v>52006031</v>
      </c>
      <c r="B969" s="58"/>
      <c r="C969" s="47" t="s">
        <v>1448</v>
      </c>
      <c r="D969" s="46" t="s">
        <v>1472</v>
      </c>
      <c r="E969" s="46"/>
      <c r="F969" s="48">
        <v>1</v>
      </c>
      <c r="G969" s="48">
        <v>105101</v>
      </c>
      <c r="H969" s="48">
        <v>1</v>
      </c>
      <c r="I969" s="46">
        <v>5</v>
      </c>
      <c r="J969" s="48">
        <v>2</v>
      </c>
      <c r="K969" s="3">
        <v>2</v>
      </c>
      <c r="L969" s="47" t="s">
        <v>1522</v>
      </c>
      <c r="M969" s="46"/>
      <c r="N969" s="46">
        <v>1</v>
      </c>
      <c r="O969" s="46"/>
      <c r="P969" s="48" t="s">
        <v>1615</v>
      </c>
      <c r="Q969" s="49">
        <f t="shared" si="79"/>
        <v>17.66901960784314</v>
      </c>
      <c r="R969" s="133">
        <f>IF(P969=模板计算相关数据!$AB$24,VLOOKUP(X969,模板计算相关数据!$P$47:$T$50,2,0),VLOOKUP(X969,模板计算相关数据!$P$4:$U$7,3,0))*VLOOKUP(Y969,模板计算相关数据!$P$22:$X$30,8,0)</f>
        <v>17.66901960784314</v>
      </c>
      <c r="S969" s="50">
        <f t="shared" si="80"/>
        <v>2.9610152729167778</v>
      </c>
      <c r="T969" s="133">
        <f>IF(P969=模板计算相关数据!$AB$24,VLOOKUP(X969,模板计算相关数据!$P$47:$T$50,5,0),VLOOKUP(X969,模板计算相关数据!$P$4:$U$7,6,0))*VLOOKUP(Y969,模板计算相关数据!$P$22:$X$30,9,0)</f>
        <v>2.9610152729167778</v>
      </c>
      <c r="U969" s="59">
        <v>54</v>
      </c>
      <c r="V969" s="95">
        <f t="shared" si="82"/>
        <v>18</v>
      </c>
      <c r="W969" s="29">
        <f>VLOOKUP(U969,模板计算相关数据!A:N,2,0)</f>
        <v>15</v>
      </c>
      <c r="X969" s="48" t="s">
        <v>178</v>
      </c>
      <c r="Y969" s="48" t="s">
        <v>152</v>
      </c>
      <c r="Z969" s="49">
        <v>1</v>
      </c>
      <c r="AA969" s="49">
        <v>1</v>
      </c>
      <c r="AB969" s="49">
        <v>1</v>
      </c>
      <c r="AC969" s="49">
        <v>1</v>
      </c>
      <c r="AD969" s="49">
        <v>0</v>
      </c>
      <c r="AE969" s="49">
        <v>0</v>
      </c>
      <c r="AF969" s="49">
        <v>0</v>
      </c>
      <c r="AG969" s="49">
        <v>0</v>
      </c>
      <c r="AH969" s="49">
        <v>0</v>
      </c>
      <c r="AI969" s="49">
        <v>4000</v>
      </c>
      <c r="AJ969" s="48">
        <f>INT(VLOOKUP(U969,模板计算相关数据!A:N,4,0)*VLOOKUP(U969,模板计算相关数据!A:N,14,0)*(1+MAX(0,(VLOOKUP(U969,模板计算相关数据!A:N,7,0)-AQ969))*VLOOKUP(U969,模板计算相关数据!A:N,8,0))*(1-(AL969+AM969)*0.5/((AL969+AM969)*0.5+(VLOOKUP(U969,模板计算相关数据!A:N,2,0)+模板计算相关数据!$AC$27)*模板计算相关数据!$AC$28))*Q969*Z969)</f>
        <v>4711</v>
      </c>
      <c r="AK969" s="48">
        <f>INT(VLOOKUP(U969,模板计算相关数据!A:N,3,0)/模板计算相关数据!$W$35/(1+MAX(0,(AO969/10000-VLOOKUP(U969,模板计算相关数据!A:N,9,0)))*AP969/10000)/(1-VLOOKUP(U969,模板计算相关数据!A:N,5,0)/(VLOOKUP(U969,模板计算相关数据!A:N,5,0)+(VLOOKUP(U969,模板计算相关数据!A:N,2,0)+模板计算相关数据!$AC$27)*模板计算相关数据!$AC$28))/S969*AA969)</f>
        <v>690</v>
      </c>
      <c r="AL969" s="48">
        <f>INT(VLOOKUP(U969,模板计算相关数据!A:N,5,0)*VLOOKUP(X969,模板计算相关数据!$P$4:$T$7,4,0)*VLOOKUP(Y969,模板计算相关数据!$P$22:$U$30,4,0)*AB969)</f>
        <v>1279</v>
      </c>
      <c r="AM969" s="48">
        <f>INT(VLOOKUP(U969,模板计算相关数据!A:N,6,0)*VLOOKUP(X969,模板计算相关数据!$P$4:$T$7,4,0)*VLOOKUP(Y969,模板计算相关数据!$P$22:$U$30,5,0)*AC969)</f>
        <v>758</v>
      </c>
      <c r="AN969" s="48">
        <f>VLOOKUP(U969,模板计算相关数据!A:N,10,0)*0.5*VLOOKUP(Y969,模板计算相关数据!$P$22:$U$30,6,0)+AD969</f>
        <v>250</v>
      </c>
      <c r="AO969" s="48">
        <f>VLOOKUP(INT(VLOOKUP(U969,模板计算相关数据!A:N,2,0)/30)+1,模板计算相关数据!$O$35:$U$40,3,0)+AE969</f>
        <v>0</v>
      </c>
      <c r="AP969" s="48">
        <f>VLOOKUP(INT(VLOOKUP(U969,模板计算相关数据!A:N,2,0)/30)+1,模板计算相关数据!$O$35:$U$40,4,0)+AF969</f>
        <v>5000</v>
      </c>
      <c r="AQ969" s="48">
        <f>VLOOKUP(INT(VLOOKUP(U969,模板计算相关数据!A:N,2,0)/30)+1,模板计算相关数据!$O$35:$U$40,5,0)+AG969</f>
        <v>0</v>
      </c>
      <c r="AR969" s="48">
        <f>VLOOKUP(INT(VLOOKUP(U969,模板计算相关数据!A:N,2,0)/30)+1,模板计算相关数据!$O$35:$U$40,6,0)+AH969</f>
        <v>0</v>
      </c>
      <c r="AS969" s="48">
        <f>VLOOKUP(INT(VLOOKUP(U969,模板计算相关数据!A:N,2,0)/30)+1,模板计算相关数据!$O$35:$U$40,7,0)+AI969</f>
        <v>4000</v>
      </c>
      <c r="AT969" s="48">
        <f>VLOOKUP(INT(VLOOKUP(U969,模板计算相关数据!A:N,2,0)/30)+1,模板计算相关数据!$O$35:$V$40,8,0)</f>
        <v>0</v>
      </c>
      <c r="AU969" s="46"/>
    </row>
    <row r="970" spans="1:47" s="51" customFormat="1" x14ac:dyDescent="0.2">
      <c r="A970" s="58">
        <v>52006041</v>
      </c>
      <c r="B970" s="58"/>
      <c r="C970" s="47" t="s">
        <v>1448</v>
      </c>
      <c r="D970" s="46" t="s">
        <v>1473</v>
      </c>
      <c r="E970" s="46"/>
      <c r="F970" s="48">
        <v>1</v>
      </c>
      <c r="G970" s="48">
        <v>105101</v>
      </c>
      <c r="H970" s="48">
        <v>1</v>
      </c>
      <c r="I970" s="46">
        <v>5</v>
      </c>
      <c r="J970" s="48">
        <v>2</v>
      </c>
      <c r="K970" s="3">
        <v>2</v>
      </c>
      <c r="L970" s="47" t="s">
        <v>1522</v>
      </c>
      <c r="M970" s="46"/>
      <c r="N970" s="46">
        <v>1</v>
      </c>
      <c r="O970" s="46"/>
      <c r="P970" s="48" t="s">
        <v>1615</v>
      </c>
      <c r="Q970" s="49">
        <f t="shared" si="79"/>
        <v>17.66901960784314</v>
      </c>
      <c r="R970" s="133">
        <f>IF(P970=模板计算相关数据!$AB$24,VLOOKUP(X970,模板计算相关数据!$P$47:$T$50,2,0),VLOOKUP(X970,模板计算相关数据!$P$4:$U$7,3,0))*VLOOKUP(Y970,模板计算相关数据!$P$22:$X$30,8,0)</f>
        <v>17.66901960784314</v>
      </c>
      <c r="S970" s="50">
        <f t="shared" si="80"/>
        <v>2.9610152729167778</v>
      </c>
      <c r="T970" s="133">
        <f>IF(P970=模板计算相关数据!$AB$24,VLOOKUP(X970,模板计算相关数据!$P$47:$T$50,5,0),VLOOKUP(X970,模板计算相关数据!$P$4:$U$7,6,0))*VLOOKUP(Y970,模板计算相关数据!$P$22:$X$30,9,0)</f>
        <v>2.9610152729167778</v>
      </c>
      <c r="U970" s="59">
        <v>54</v>
      </c>
      <c r="V970" s="95">
        <f t="shared" si="82"/>
        <v>18</v>
      </c>
      <c r="W970" s="29">
        <f>VLOOKUP(U970,模板计算相关数据!A:N,2,0)</f>
        <v>15</v>
      </c>
      <c r="X970" s="48" t="s">
        <v>178</v>
      </c>
      <c r="Y970" s="48" t="s">
        <v>152</v>
      </c>
      <c r="Z970" s="49">
        <v>1</v>
      </c>
      <c r="AA970" s="49">
        <v>1</v>
      </c>
      <c r="AB970" s="49">
        <v>1</v>
      </c>
      <c r="AC970" s="49">
        <v>1</v>
      </c>
      <c r="AD970" s="49">
        <v>0</v>
      </c>
      <c r="AE970" s="49">
        <v>0</v>
      </c>
      <c r="AF970" s="49">
        <v>0</v>
      </c>
      <c r="AG970" s="49">
        <v>0</v>
      </c>
      <c r="AH970" s="49">
        <v>0</v>
      </c>
      <c r="AI970" s="49">
        <v>4000</v>
      </c>
      <c r="AJ970" s="48">
        <f>INT(VLOOKUP(U970,模板计算相关数据!A:N,4,0)*VLOOKUP(U970,模板计算相关数据!A:N,14,0)*(1+MAX(0,(VLOOKUP(U970,模板计算相关数据!A:N,7,0)-AQ970))*VLOOKUP(U970,模板计算相关数据!A:N,8,0))*(1-(AL970+AM970)*0.5/((AL970+AM970)*0.5+(VLOOKUP(U970,模板计算相关数据!A:N,2,0)+模板计算相关数据!$AC$27)*模板计算相关数据!$AC$28))*Q970*Z970)</f>
        <v>4711</v>
      </c>
      <c r="AK970" s="48">
        <f>INT(VLOOKUP(U970,模板计算相关数据!A:N,3,0)/模板计算相关数据!$W$35/(1+MAX(0,(AO970/10000-VLOOKUP(U970,模板计算相关数据!A:N,9,0)))*AP970/10000)/(1-VLOOKUP(U970,模板计算相关数据!A:N,5,0)/(VLOOKUP(U970,模板计算相关数据!A:N,5,0)+(VLOOKUP(U970,模板计算相关数据!A:N,2,0)+模板计算相关数据!$AC$27)*模板计算相关数据!$AC$28))/S970*AA970)</f>
        <v>690</v>
      </c>
      <c r="AL970" s="48">
        <f>INT(VLOOKUP(U970,模板计算相关数据!A:N,5,0)*VLOOKUP(X970,模板计算相关数据!$P$4:$T$7,4,0)*VLOOKUP(Y970,模板计算相关数据!$P$22:$U$30,4,0)*AB970)</f>
        <v>1279</v>
      </c>
      <c r="AM970" s="48">
        <f>INT(VLOOKUP(U970,模板计算相关数据!A:N,6,0)*VLOOKUP(X970,模板计算相关数据!$P$4:$T$7,4,0)*VLOOKUP(Y970,模板计算相关数据!$P$22:$U$30,5,0)*AC970)</f>
        <v>758</v>
      </c>
      <c r="AN970" s="48">
        <f>VLOOKUP(U970,模板计算相关数据!A:N,10,0)*0.5*VLOOKUP(Y970,模板计算相关数据!$P$22:$U$30,6,0)+AD970</f>
        <v>250</v>
      </c>
      <c r="AO970" s="48">
        <f>VLOOKUP(INT(VLOOKUP(U970,模板计算相关数据!A:N,2,0)/30)+1,模板计算相关数据!$O$35:$U$40,3,0)+AE970</f>
        <v>0</v>
      </c>
      <c r="AP970" s="48">
        <f>VLOOKUP(INT(VLOOKUP(U970,模板计算相关数据!A:N,2,0)/30)+1,模板计算相关数据!$O$35:$U$40,4,0)+AF970</f>
        <v>5000</v>
      </c>
      <c r="AQ970" s="48">
        <f>VLOOKUP(INT(VLOOKUP(U970,模板计算相关数据!A:N,2,0)/30)+1,模板计算相关数据!$O$35:$U$40,5,0)+AG970</f>
        <v>0</v>
      </c>
      <c r="AR970" s="48">
        <f>VLOOKUP(INT(VLOOKUP(U970,模板计算相关数据!A:N,2,0)/30)+1,模板计算相关数据!$O$35:$U$40,6,0)+AH970</f>
        <v>0</v>
      </c>
      <c r="AS970" s="48">
        <f>VLOOKUP(INT(VLOOKUP(U970,模板计算相关数据!A:N,2,0)/30)+1,模板计算相关数据!$O$35:$U$40,7,0)+AI970</f>
        <v>4000</v>
      </c>
      <c r="AT970" s="48">
        <f>VLOOKUP(INT(VLOOKUP(U970,模板计算相关数据!A:N,2,0)/30)+1,模板计算相关数据!$O$35:$V$40,8,0)</f>
        <v>0</v>
      </c>
      <c r="AU970" s="46"/>
    </row>
    <row r="971" spans="1:47" s="51" customFormat="1" x14ac:dyDescent="0.2">
      <c r="A971" s="58">
        <v>52006051</v>
      </c>
      <c r="B971" s="58"/>
      <c r="C971" s="47" t="s">
        <v>1448</v>
      </c>
      <c r="D971" s="46" t="s">
        <v>1474</v>
      </c>
      <c r="E971" s="46"/>
      <c r="F971" s="48">
        <v>2</v>
      </c>
      <c r="G971" s="48">
        <v>105101</v>
      </c>
      <c r="H971" s="48">
        <v>1</v>
      </c>
      <c r="I971" s="46">
        <v>5</v>
      </c>
      <c r="J971" s="48">
        <v>2</v>
      </c>
      <c r="K971" s="3">
        <v>2</v>
      </c>
      <c r="L971" s="47" t="s">
        <v>1522</v>
      </c>
      <c r="M971" s="46"/>
      <c r="N971" s="46">
        <v>1</v>
      </c>
      <c r="O971" s="46"/>
      <c r="P971" s="48" t="s">
        <v>1615</v>
      </c>
      <c r="Q971" s="49">
        <f t="shared" si="79"/>
        <v>17.66901960784314</v>
      </c>
      <c r="R971" s="133">
        <f>IF(P971=模板计算相关数据!$AB$24,VLOOKUP(X971,模板计算相关数据!$P$47:$T$50,2,0),VLOOKUP(X971,模板计算相关数据!$P$4:$U$7,3,0))*VLOOKUP(Y971,模板计算相关数据!$P$22:$X$30,8,0)</f>
        <v>17.66901960784314</v>
      </c>
      <c r="S971" s="50">
        <f t="shared" si="80"/>
        <v>2.9610152729167778</v>
      </c>
      <c r="T971" s="133">
        <f>IF(P971=模板计算相关数据!$AB$24,VLOOKUP(X971,模板计算相关数据!$P$47:$T$50,5,0),VLOOKUP(X971,模板计算相关数据!$P$4:$U$7,6,0))*VLOOKUP(Y971,模板计算相关数据!$P$22:$X$30,9,0)</f>
        <v>2.9610152729167778</v>
      </c>
      <c r="U971" s="59">
        <v>54</v>
      </c>
      <c r="V971" s="95">
        <f t="shared" si="82"/>
        <v>18</v>
      </c>
      <c r="W971" s="29">
        <f>VLOOKUP(U971,模板计算相关数据!A:N,2,0)</f>
        <v>15</v>
      </c>
      <c r="X971" s="48" t="s">
        <v>178</v>
      </c>
      <c r="Y971" s="48" t="s">
        <v>152</v>
      </c>
      <c r="Z971" s="49">
        <v>1</v>
      </c>
      <c r="AA971" s="49">
        <v>1</v>
      </c>
      <c r="AB971" s="49">
        <v>1</v>
      </c>
      <c r="AC971" s="49">
        <v>1</v>
      </c>
      <c r="AD971" s="49">
        <v>0</v>
      </c>
      <c r="AE971" s="49">
        <v>0</v>
      </c>
      <c r="AF971" s="49">
        <v>0</v>
      </c>
      <c r="AG971" s="49">
        <v>0</v>
      </c>
      <c r="AH971" s="49">
        <v>0</v>
      </c>
      <c r="AI971" s="49">
        <v>4000</v>
      </c>
      <c r="AJ971" s="48">
        <f>INT(VLOOKUP(U971,模板计算相关数据!A:N,4,0)*VLOOKUP(U971,模板计算相关数据!A:N,14,0)*(1+MAX(0,(VLOOKUP(U971,模板计算相关数据!A:N,7,0)-AQ971))*VLOOKUP(U971,模板计算相关数据!A:N,8,0))*(1-(AL971+AM971)*0.5/((AL971+AM971)*0.5+(VLOOKUP(U971,模板计算相关数据!A:N,2,0)+模板计算相关数据!$AC$27)*模板计算相关数据!$AC$28))*Q971*Z971)</f>
        <v>4711</v>
      </c>
      <c r="AK971" s="48">
        <f>INT(VLOOKUP(U971,模板计算相关数据!A:N,3,0)/模板计算相关数据!$W$35/(1+MAX(0,(AO971/10000-VLOOKUP(U971,模板计算相关数据!A:N,9,0)))*AP971/10000)/(1-VLOOKUP(U971,模板计算相关数据!A:N,5,0)/(VLOOKUP(U971,模板计算相关数据!A:N,5,0)+(VLOOKUP(U971,模板计算相关数据!A:N,2,0)+模板计算相关数据!$AC$27)*模板计算相关数据!$AC$28))/S971*AA971)</f>
        <v>690</v>
      </c>
      <c r="AL971" s="48">
        <f>INT(VLOOKUP(U971,模板计算相关数据!A:N,5,0)*VLOOKUP(X971,模板计算相关数据!$P$4:$T$7,4,0)*VLOOKUP(Y971,模板计算相关数据!$P$22:$U$30,4,0)*AB971)</f>
        <v>1279</v>
      </c>
      <c r="AM971" s="48">
        <f>INT(VLOOKUP(U971,模板计算相关数据!A:N,6,0)*VLOOKUP(X971,模板计算相关数据!$P$4:$T$7,4,0)*VLOOKUP(Y971,模板计算相关数据!$P$22:$U$30,5,0)*AC971)</f>
        <v>758</v>
      </c>
      <c r="AN971" s="48">
        <f>VLOOKUP(U971,模板计算相关数据!A:N,10,0)*0.5*VLOOKUP(Y971,模板计算相关数据!$P$22:$U$30,6,0)+AD971</f>
        <v>250</v>
      </c>
      <c r="AO971" s="48">
        <f>VLOOKUP(INT(VLOOKUP(U971,模板计算相关数据!A:N,2,0)/30)+1,模板计算相关数据!$O$35:$U$40,3,0)+AE971</f>
        <v>0</v>
      </c>
      <c r="AP971" s="48">
        <f>VLOOKUP(INT(VLOOKUP(U971,模板计算相关数据!A:N,2,0)/30)+1,模板计算相关数据!$O$35:$U$40,4,0)+AF971</f>
        <v>5000</v>
      </c>
      <c r="AQ971" s="48">
        <f>VLOOKUP(INT(VLOOKUP(U971,模板计算相关数据!A:N,2,0)/30)+1,模板计算相关数据!$O$35:$U$40,5,0)+AG971</f>
        <v>0</v>
      </c>
      <c r="AR971" s="48">
        <f>VLOOKUP(INT(VLOOKUP(U971,模板计算相关数据!A:N,2,0)/30)+1,模板计算相关数据!$O$35:$U$40,6,0)+AH971</f>
        <v>0</v>
      </c>
      <c r="AS971" s="48">
        <f>VLOOKUP(INT(VLOOKUP(U971,模板计算相关数据!A:N,2,0)/30)+1,模板计算相关数据!$O$35:$U$40,7,0)+AI971</f>
        <v>4000</v>
      </c>
      <c r="AT971" s="48">
        <f>VLOOKUP(INT(VLOOKUP(U971,模板计算相关数据!A:N,2,0)/30)+1,模板计算相关数据!$O$35:$V$40,8,0)</f>
        <v>0</v>
      </c>
      <c r="AU971" s="46"/>
    </row>
    <row r="972" spans="1:47" x14ac:dyDescent="0.2">
      <c r="A972" s="35">
        <v>52007011</v>
      </c>
      <c r="B972" s="35"/>
      <c r="C972" s="34" t="s">
        <v>822</v>
      </c>
      <c r="D972" s="69" t="s">
        <v>1834</v>
      </c>
      <c r="E972" s="2">
        <v>2</v>
      </c>
      <c r="F972" s="3">
        <v>2</v>
      </c>
      <c r="G972" s="3">
        <v>101301</v>
      </c>
      <c r="H972" s="3">
        <v>4</v>
      </c>
      <c r="I972" s="3">
        <v>3</v>
      </c>
      <c r="J972" s="3">
        <v>2</v>
      </c>
      <c r="K972" s="3">
        <v>2</v>
      </c>
      <c r="L972" s="91" t="s">
        <v>1840</v>
      </c>
      <c r="M972" s="3"/>
      <c r="N972" s="2">
        <v>1</v>
      </c>
      <c r="O972" s="2"/>
      <c r="P972" s="3" t="s">
        <v>1615</v>
      </c>
      <c r="Q972" s="95">
        <v>16</v>
      </c>
      <c r="R972" s="133">
        <f>IF(P972=模板计算相关数据!$AB$24,VLOOKUP(X972,模板计算相关数据!$P$47:$T$50,2,0),VLOOKUP(X972,模板计算相关数据!$P$4:$U$7,3,0))*VLOOKUP(Y972,模板计算相关数据!$P$22:$X$30,8,0)</f>
        <v>22.400000000000006</v>
      </c>
      <c r="S972" s="62">
        <v>4</v>
      </c>
      <c r="T972" s="133">
        <f>IF(P972=模板计算相关数据!$AB$24,VLOOKUP(X972,模板计算相关数据!$P$47:$T$50,5,0),VLOOKUP(X972,模板计算相关数据!$P$4:$U$7,6,0))*VLOOKUP(Y972,模板计算相关数据!$P$22:$X$30,9,0)</f>
        <v>3.6378187638691841</v>
      </c>
      <c r="U972" s="95">
        <v>54</v>
      </c>
      <c r="V972" s="95">
        <f t="shared" si="82"/>
        <v>18</v>
      </c>
      <c r="W972" s="29">
        <f>VLOOKUP(U972,模板计算相关数据!A:N,2,0)</f>
        <v>15</v>
      </c>
      <c r="X972" s="3" t="s">
        <v>178</v>
      </c>
      <c r="Y972" s="3" t="s">
        <v>255</v>
      </c>
      <c r="Z972" s="95">
        <v>1</v>
      </c>
      <c r="AA972" s="95">
        <v>1</v>
      </c>
      <c r="AB972" s="95">
        <v>1</v>
      </c>
      <c r="AC972" s="95">
        <v>1</v>
      </c>
      <c r="AD972" s="95">
        <v>0</v>
      </c>
      <c r="AE972" s="95">
        <v>0</v>
      </c>
      <c r="AF972" s="95">
        <v>0</v>
      </c>
      <c r="AG972" s="95">
        <v>0</v>
      </c>
      <c r="AH972" s="95">
        <v>0</v>
      </c>
      <c r="AI972" s="95">
        <v>2000</v>
      </c>
      <c r="AJ972" s="3">
        <f>INT(VLOOKUP(U972,模板计算相关数据!A:N,4,0)*VLOOKUP(U972,模板计算相关数据!A:N,14,0)*(1+MAX(0,(VLOOKUP(U972,模板计算相关数据!A:N,7,0)-AQ972))*VLOOKUP(U972,模板计算相关数据!A:N,8,0))*(1-(AL972+AM972)*0.5/((AL972+AM972)*0.5+(VLOOKUP(U972,模板计算相关数据!A:N,2,0)+模板计算相关数据!$AC$27)*模板计算相关数据!$AC$28))*Q972*Z972)</f>
        <v>4031</v>
      </c>
      <c r="AK972" s="3">
        <f>INT(VLOOKUP(U972,模板计算相关数据!A:N,3,0)/模板计算相关数据!$W$35/(1+MAX(0,(AO972/10000-VLOOKUP(U972,模板计算相关数据!A:N,9,0)))*AP972/10000)/(1-VLOOKUP(U972,模板计算相关数据!A:N,5,0)/(VLOOKUP(U972,模板计算相关数据!A:N,5,0)+(VLOOKUP(U972,模板计算相关数据!A:N,2,0)+模板计算相关数据!$AC$27)*模板计算相关数据!$AC$28))/S972*AA972)</f>
        <v>511</v>
      </c>
      <c r="AL972" s="3">
        <f>INT(VLOOKUP(U972,模板计算相关数据!A:N,5,0)*VLOOKUP(X972,模板计算相关数据!$P$4:$T$7,4,0)*VLOOKUP(Y972,模板计算相关数据!$P$22:$U$30,4,0)*AB972)</f>
        <v>829</v>
      </c>
      <c r="AM972" s="3">
        <f>INT(VLOOKUP(U972,模板计算相关数据!A:N,6,0)*VLOOKUP(X972,模板计算相关数据!$P$4:$T$7,4,0)*VLOOKUP(Y972,模板计算相关数据!$P$22:$U$30,5,0)*AC972)</f>
        <v>1539</v>
      </c>
      <c r="AN972" s="3">
        <f>VLOOKUP(U972,模板计算相关数据!A:N,10,0)*0.5*VLOOKUP(Y972,模板计算相关数据!$P$22:$U$30,6,0)+AD972</f>
        <v>225</v>
      </c>
      <c r="AO972" s="3">
        <f>VLOOKUP(INT(VLOOKUP(U972,模板计算相关数据!A:N,2,0)/30)+1,模板计算相关数据!$O$35:$U$40,3,0)+AE972</f>
        <v>0</v>
      </c>
      <c r="AP972" s="3">
        <f>VLOOKUP(INT(VLOOKUP(U972,模板计算相关数据!A:N,2,0)/30)+1,模板计算相关数据!$O$35:$U$40,4,0)+AF972</f>
        <v>5000</v>
      </c>
      <c r="AQ972" s="3">
        <f>VLOOKUP(INT(VLOOKUP(U972,模板计算相关数据!A:N,2,0)/30)+1,模板计算相关数据!$O$35:$U$40,5,0)+AG972</f>
        <v>0</v>
      </c>
      <c r="AR972" s="3">
        <f>VLOOKUP(INT(VLOOKUP(U972,模板计算相关数据!A:N,2,0)/30)+1,模板计算相关数据!$O$35:$U$40,6,0)+AH972</f>
        <v>0</v>
      </c>
      <c r="AS972" s="3">
        <f>VLOOKUP(INT(VLOOKUP(U972,模板计算相关数据!A:N,2,0)/30)+1,模板计算相关数据!$O$35:$U$40,7,0)+AI972</f>
        <v>2000</v>
      </c>
      <c r="AT972" s="3">
        <f>VLOOKUP(INT(VLOOKUP(U972,模板计算相关数据!A:N,2,0)/30)+1,模板计算相关数据!$O$35:$V$40,8,0)</f>
        <v>0</v>
      </c>
      <c r="AU972" s="2"/>
    </row>
    <row r="973" spans="1:47" x14ac:dyDescent="0.2">
      <c r="A973" s="86">
        <v>52007021</v>
      </c>
      <c r="B973" s="86"/>
      <c r="C973" s="69" t="s">
        <v>822</v>
      </c>
      <c r="D973" s="69" t="s">
        <v>1835</v>
      </c>
      <c r="E973" s="2">
        <v>2</v>
      </c>
      <c r="F973" s="3">
        <v>2</v>
      </c>
      <c r="G973" s="3">
        <v>101301</v>
      </c>
      <c r="H973" s="3">
        <v>4</v>
      </c>
      <c r="I973" s="3">
        <v>3</v>
      </c>
      <c r="J973" s="3">
        <v>2</v>
      </c>
      <c r="K973" s="3">
        <v>2</v>
      </c>
      <c r="L973" s="91" t="s">
        <v>1840</v>
      </c>
      <c r="M973" s="3"/>
      <c r="N973" s="2">
        <v>1</v>
      </c>
      <c r="O973" s="2"/>
      <c r="P973" s="3" t="s">
        <v>1615</v>
      </c>
      <c r="Q973" s="95">
        <v>16</v>
      </c>
      <c r="R973" s="133">
        <f>IF(P973=模板计算相关数据!$AB$24,VLOOKUP(X973,模板计算相关数据!$P$47:$T$50,2,0),VLOOKUP(X973,模板计算相关数据!$P$4:$U$7,3,0))*VLOOKUP(Y973,模板计算相关数据!$P$22:$X$30,8,0)</f>
        <v>22.400000000000006</v>
      </c>
      <c r="S973" s="62">
        <v>4</v>
      </c>
      <c r="T973" s="133">
        <f>IF(P973=模板计算相关数据!$AB$24,VLOOKUP(X973,模板计算相关数据!$P$47:$T$50,5,0),VLOOKUP(X973,模板计算相关数据!$P$4:$U$7,6,0))*VLOOKUP(Y973,模板计算相关数据!$P$22:$X$30,9,0)</f>
        <v>3.6378187638691841</v>
      </c>
      <c r="U973" s="95">
        <v>54</v>
      </c>
      <c r="V973" s="95">
        <f t="shared" si="82"/>
        <v>18</v>
      </c>
      <c r="W973" s="29">
        <f>VLOOKUP(U973,模板计算相关数据!A:N,2,0)</f>
        <v>15</v>
      </c>
      <c r="X973" s="3" t="s">
        <v>178</v>
      </c>
      <c r="Y973" s="3" t="s">
        <v>255</v>
      </c>
      <c r="Z973" s="95">
        <v>1</v>
      </c>
      <c r="AA973" s="95">
        <v>1</v>
      </c>
      <c r="AB973" s="95">
        <v>1</v>
      </c>
      <c r="AC973" s="95">
        <v>1</v>
      </c>
      <c r="AD973" s="95">
        <v>0</v>
      </c>
      <c r="AE973" s="95">
        <v>0</v>
      </c>
      <c r="AF973" s="95">
        <v>0</v>
      </c>
      <c r="AG973" s="95">
        <v>0</v>
      </c>
      <c r="AH973" s="95">
        <v>0</v>
      </c>
      <c r="AI973" s="95">
        <v>2000</v>
      </c>
      <c r="AJ973" s="3">
        <f>INT(VLOOKUP(U973,模板计算相关数据!A:N,4,0)*VLOOKUP(U973,模板计算相关数据!A:N,14,0)*(1+MAX(0,(VLOOKUP(U973,模板计算相关数据!A:N,7,0)-AQ973))*VLOOKUP(U973,模板计算相关数据!A:N,8,0))*(1-(AL973+AM973)*0.5/((AL973+AM973)*0.5+(VLOOKUP(U973,模板计算相关数据!A:N,2,0)+模板计算相关数据!$AC$27)*模板计算相关数据!$AC$28))*Q973*Z973)</f>
        <v>4031</v>
      </c>
      <c r="AK973" s="3">
        <f>INT(VLOOKUP(U973,模板计算相关数据!A:N,3,0)/模板计算相关数据!$W$35/(1+MAX(0,(AO973/10000-VLOOKUP(U973,模板计算相关数据!A:N,9,0)))*AP973/10000)/(1-VLOOKUP(U973,模板计算相关数据!A:N,5,0)/(VLOOKUP(U973,模板计算相关数据!A:N,5,0)+(VLOOKUP(U973,模板计算相关数据!A:N,2,0)+模板计算相关数据!$AC$27)*模板计算相关数据!$AC$28))/S973*AA973)</f>
        <v>511</v>
      </c>
      <c r="AL973" s="3">
        <f>INT(VLOOKUP(U973,模板计算相关数据!A:N,5,0)*VLOOKUP(X973,模板计算相关数据!$P$4:$T$7,4,0)*VLOOKUP(Y973,模板计算相关数据!$P$22:$U$30,4,0)*AB973)</f>
        <v>829</v>
      </c>
      <c r="AM973" s="3">
        <f>INT(VLOOKUP(U973,模板计算相关数据!A:N,6,0)*VLOOKUP(X973,模板计算相关数据!$P$4:$T$7,4,0)*VLOOKUP(Y973,模板计算相关数据!$P$22:$U$30,5,0)*AC973)</f>
        <v>1539</v>
      </c>
      <c r="AN973" s="3">
        <f>VLOOKUP(U973,模板计算相关数据!A:N,10,0)*0.5*VLOOKUP(Y973,模板计算相关数据!$P$22:$U$30,6,0)+AD973</f>
        <v>225</v>
      </c>
      <c r="AO973" s="3">
        <f>VLOOKUP(INT(VLOOKUP(U973,模板计算相关数据!A:N,2,0)/30)+1,模板计算相关数据!$O$35:$U$40,3,0)+AE973</f>
        <v>0</v>
      </c>
      <c r="AP973" s="3">
        <f>VLOOKUP(INT(VLOOKUP(U973,模板计算相关数据!A:N,2,0)/30)+1,模板计算相关数据!$O$35:$U$40,4,0)+AF973</f>
        <v>5000</v>
      </c>
      <c r="AQ973" s="3">
        <f>VLOOKUP(INT(VLOOKUP(U973,模板计算相关数据!A:N,2,0)/30)+1,模板计算相关数据!$O$35:$U$40,5,0)+AG973</f>
        <v>0</v>
      </c>
      <c r="AR973" s="3">
        <f>VLOOKUP(INT(VLOOKUP(U973,模板计算相关数据!A:N,2,0)/30)+1,模板计算相关数据!$O$35:$U$40,6,0)+AH973</f>
        <v>0</v>
      </c>
      <c r="AS973" s="3">
        <f>VLOOKUP(INT(VLOOKUP(U973,模板计算相关数据!A:N,2,0)/30)+1,模板计算相关数据!$O$35:$U$40,7,0)+AI973</f>
        <v>2000</v>
      </c>
      <c r="AT973" s="3">
        <f>VLOOKUP(INT(VLOOKUP(U973,模板计算相关数据!A:N,2,0)/30)+1,模板计算相关数据!$O$35:$V$40,8,0)</f>
        <v>0</v>
      </c>
      <c r="AU973" s="2"/>
    </row>
    <row r="974" spans="1:47" x14ac:dyDescent="0.2">
      <c r="A974" s="86">
        <v>52007031</v>
      </c>
      <c r="B974" s="86"/>
      <c r="C974" s="69" t="s">
        <v>822</v>
      </c>
      <c r="D974" s="69" t="s">
        <v>1836</v>
      </c>
      <c r="E974" s="2">
        <v>2</v>
      </c>
      <c r="F974" s="3">
        <v>2</v>
      </c>
      <c r="G974" s="3">
        <v>101301</v>
      </c>
      <c r="H974" s="3">
        <v>4</v>
      </c>
      <c r="I974" s="3">
        <v>3</v>
      </c>
      <c r="J974" s="3">
        <v>2</v>
      </c>
      <c r="K974" s="3">
        <v>2</v>
      </c>
      <c r="L974" s="91" t="s">
        <v>1840</v>
      </c>
      <c r="M974" s="3"/>
      <c r="N974" s="2">
        <v>1</v>
      </c>
      <c r="O974" s="2"/>
      <c r="P974" s="3" t="s">
        <v>1615</v>
      </c>
      <c r="Q974" s="95">
        <v>16</v>
      </c>
      <c r="R974" s="133">
        <f>IF(P974=模板计算相关数据!$AB$24,VLOOKUP(X974,模板计算相关数据!$P$47:$T$50,2,0),VLOOKUP(X974,模板计算相关数据!$P$4:$U$7,3,0))*VLOOKUP(Y974,模板计算相关数据!$P$22:$X$30,8,0)</f>
        <v>22.400000000000006</v>
      </c>
      <c r="S974" s="62">
        <v>4</v>
      </c>
      <c r="T974" s="133">
        <f>IF(P974=模板计算相关数据!$AB$24,VLOOKUP(X974,模板计算相关数据!$P$47:$T$50,5,0),VLOOKUP(X974,模板计算相关数据!$P$4:$U$7,6,0))*VLOOKUP(Y974,模板计算相关数据!$P$22:$X$30,9,0)</f>
        <v>3.6378187638691841</v>
      </c>
      <c r="U974" s="95">
        <v>54</v>
      </c>
      <c r="V974" s="95">
        <f t="shared" si="82"/>
        <v>18</v>
      </c>
      <c r="W974" s="29">
        <f>VLOOKUP(U974,模板计算相关数据!A:N,2,0)</f>
        <v>15</v>
      </c>
      <c r="X974" s="3" t="s">
        <v>178</v>
      </c>
      <c r="Y974" s="3" t="s">
        <v>255</v>
      </c>
      <c r="Z974" s="95">
        <v>1</v>
      </c>
      <c r="AA974" s="95">
        <v>1</v>
      </c>
      <c r="AB974" s="95">
        <v>1</v>
      </c>
      <c r="AC974" s="95">
        <v>1</v>
      </c>
      <c r="AD974" s="95">
        <v>0</v>
      </c>
      <c r="AE974" s="95">
        <v>0</v>
      </c>
      <c r="AF974" s="95">
        <v>0</v>
      </c>
      <c r="AG974" s="95">
        <v>0</v>
      </c>
      <c r="AH974" s="95">
        <v>0</v>
      </c>
      <c r="AI974" s="95">
        <v>2000</v>
      </c>
      <c r="AJ974" s="3">
        <f>INT(VLOOKUP(U974,模板计算相关数据!A:N,4,0)*VLOOKUP(U974,模板计算相关数据!A:N,14,0)*(1+MAX(0,(VLOOKUP(U974,模板计算相关数据!A:N,7,0)-AQ974))*VLOOKUP(U974,模板计算相关数据!A:N,8,0))*(1-(AL974+AM974)*0.5/((AL974+AM974)*0.5+(VLOOKUP(U974,模板计算相关数据!A:N,2,0)+模板计算相关数据!$AC$27)*模板计算相关数据!$AC$28))*Q974*Z974)</f>
        <v>4031</v>
      </c>
      <c r="AK974" s="3">
        <f>INT(VLOOKUP(U974,模板计算相关数据!A:N,3,0)/模板计算相关数据!$W$35/(1+MAX(0,(AO974/10000-VLOOKUP(U974,模板计算相关数据!A:N,9,0)))*AP974/10000)/(1-VLOOKUP(U974,模板计算相关数据!A:N,5,0)/(VLOOKUP(U974,模板计算相关数据!A:N,5,0)+(VLOOKUP(U974,模板计算相关数据!A:N,2,0)+模板计算相关数据!$AC$27)*模板计算相关数据!$AC$28))/S974*AA974)</f>
        <v>511</v>
      </c>
      <c r="AL974" s="3">
        <f>INT(VLOOKUP(U974,模板计算相关数据!A:N,5,0)*VLOOKUP(X974,模板计算相关数据!$P$4:$T$7,4,0)*VLOOKUP(Y974,模板计算相关数据!$P$22:$U$30,4,0)*AB974)</f>
        <v>829</v>
      </c>
      <c r="AM974" s="3">
        <f>INT(VLOOKUP(U974,模板计算相关数据!A:N,6,0)*VLOOKUP(X974,模板计算相关数据!$P$4:$T$7,4,0)*VLOOKUP(Y974,模板计算相关数据!$P$22:$U$30,5,0)*AC974)</f>
        <v>1539</v>
      </c>
      <c r="AN974" s="3">
        <f>VLOOKUP(U974,模板计算相关数据!A:N,10,0)*0.5*VLOOKUP(Y974,模板计算相关数据!$P$22:$U$30,6,0)+AD974</f>
        <v>225</v>
      </c>
      <c r="AO974" s="3">
        <f>VLOOKUP(INT(VLOOKUP(U974,模板计算相关数据!A:N,2,0)/30)+1,模板计算相关数据!$O$35:$U$40,3,0)+AE974</f>
        <v>0</v>
      </c>
      <c r="AP974" s="3">
        <f>VLOOKUP(INT(VLOOKUP(U974,模板计算相关数据!A:N,2,0)/30)+1,模板计算相关数据!$O$35:$U$40,4,0)+AF974</f>
        <v>5000</v>
      </c>
      <c r="AQ974" s="3">
        <f>VLOOKUP(INT(VLOOKUP(U974,模板计算相关数据!A:N,2,0)/30)+1,模板计算相关数据!$O$35:$U$40,5,0)+AG974</f>
        <v>0</v>
      </c>
      <c r="AR974" s="3">
        <f>VLOOKUP(INT(VLOOKUP(U974,模板计算相关数据!A:N,2,0)/30)+1,模板计算相关数据!$O$35:$U$40,6,0)+AH974</f>
        <v>0</v>
      </c>
      <c r="AS974" s="3">
        <f>VLOOKUP(INT(VLOOKUP(U974,模板计算相关数据!A:N,2,0)/30)+1,模板计算相关数据!$O$35:$U$40,7,0)+AI974</f>
        <v>2000</v>
      </c>
      <c r="AT974" s="3">
        <f>VLOOKUP(INT(VLOOKUP(U974,模板计算相关数据!A:N,2,0)/30)+1,模板计算相关数据!$O$35:$V$40,8,0)</f>
        <v>0</v>
      </c>
      <c r="AU974" s="2"/>
    </row>
    <row r="975" spans="1:47" x14ac:dyDescent="0.2">
      <c r="A975" s="86">
        <v>52007041</v>
      </c>
      <c r="B975" s="86"/>
      <c r="C975" s="69" t="s">
        <v>822</v>
      </c>
      <c r="D975" s="69" t="s">
        <v>1837</v>
      </c>
      <c r="E975" s="2">
        <v>2</v>
      </c>
      <c r="F975" s="3">
        <v>2</v>
      </c>
      <c r="G975" s="3">
        <v>101301</v>
      </c>
      <c r="H975" s="3">
        <v>4</v>
      </c>
      <c r="I975" s="3">
        <v>3</v>
      </c>
      <c r="J975" s="3">
        <v>2</v>
      </c>
      <c r="K975" s="3">
        <v>2</v>
      </c>
      <c r="L975" s="91" t="s">
        <v>1840</v>
      </c>
      <c r="M975" s="3"/>
      <c r="N975" s="2">
        <v>1</v>
      </c>
      <c r="O975" s="2"/>
      <c r="P975" s="3" t="s">
        <v>1615</v>
      </c>
      <c r="Q975" s="95">
        <v>16</v>
      </c>
      <c r="R975" s="133">
        <f>IF(P975=模板计算相关数据!$AB$24,VLOOKUP(X975,模板计算相关数据!$P$47:$T$50,2,0),VLOOKUP(X975,模板计算相关数据!$P$4:$U$7,3,0))*VLOOKUP(Y975,模板计算相关数据!$P$22:$X$30,8,0)</f>
        <v>22.400000000000006</v>
      </c>
      <c r="S975" s="62">
        <v>4</v>
      </c>
      <c r="T975" s="133">
        <f>IF(P975=模板计算相关数据!$AB$24,VLOOKUP(X975,模板计算相关数据!$P$47:$T$50,5,0),VLOOKUP(X975,模板计算相关数据!$P$4:$U$7,6,0))*VLOOKUP(Y975,模板计算相关数据!$P$22:$X$30,9,0)</f>
        <v>3.6378187638691841</v>
      </c>
      <c r="U975" s="95">
        <v>54</v>
      </c>
      <c r="V975" s="95">
        <f t="shared" si="82"/>
        <v>18</v>
      </c>
      <c r="W975" s="29">
        <f>VLOOKUP(U975,模板计算相关数据!A:N,2,0)</f>
        <v>15</v>
      </c>
      <c r="X975" s="3" t="s">
        <v>178</v>
      </c>
      <c r="Y975" s="3" t="s">
        <v>255</v>
      </c>
      <c r="Z975" s="95">
        <v>1</v>
      </c>
      <c r="AA975" s="95">
        <v>1</v>
      </c>
      <c r="AB975" s="95">
        <v>1</v>
      </c>
      <c r="AC975" s="95">
        <v>1</v>
      </c>
      <c r="AD975" s="95">
        <v>0</v>
      </c>
      <c r="AE975" s="95">
        <v>0</v>
      </c>
      <c r="AF975" s="95">
        <v>0</v>
      </c>
      <c r="AG975" s="95">
        <v>0</v>
      </c>
      <c r="AH975" s="95">
        <v>0</v>
      </c>
      <c r="AI975" s="95">
        <v>2000</v>
      </c>
      <c r="AJ975" s="3">
        <f>INT(VLOOKUP(U975,模板计算相关数据!A:N,4,0)*VLOOKUP(U975,模板计算相关数据!A:N,14,0)*(1+MAX(0,(VLOOKUP(U975,模板计算相关数据!A:N,7,0)-AQ975))*VLOOKUP(U975,模板计算相关数据!A:N,8,0))*(1-(AL975+AM975)*0.5/((AL975+AM975)*0.5+(VLOOKUP(U975,模板计算相关数据!A:N,2,0)+模板计算相关数据!$AC$27)*模板计算相关数据!$AC$28))*Q975*Z975)</f>
        <v>4031</v>
      </c>
      <c r="AK975" s="3">
        <f>INT(VLOOKUP(U975,模板计算相关数据!A:N,3,0)/模板计算相关数据!$W$35/(1+MAX(0,(AO975/10000-VLOOKUP(U975,模板计算相关数据!A:N,9,0)))*AP975/10000)/(1-VLOOKUP(U975,模板计算相关数据!A:N,5,0)/(VLOOKUP(U975,模板计算相关数据!A:N,5,0)+(VLOOKUP(U975,模板计算相关数据!A:N,2,0)+模板计算相关数据!$AC$27)*模板计算相关数据!$AC$28))/S975*AA975)</f>
        <v>511</v>
      </c>
      <c r="AL975" s="3">
        <f>INT(VLOOKUP(U975,模板计算相关数据!A:N,5,0)*VLOOKUP(X975,模板计算相关数据!$P$4:$T$7,4,0)*VLOOKUP(Y975,模板计算相关数据!$P$22:$U$30,4,0)*AB975)</f>
        <v>829</v>
      </c>
      <c r="AM975" s="3">
        <f>INT(VLOOKUP(U975,模板计算相关数据!A:N,6,0)*VLOOKUP(X975,模板计算相关数据!$P$4:$T$7,4,0)*VLOOKUP(Y975,模板计算相关数据!$P$22:$U$30,5,0)*AC975)</f>
        <v>1539</v>
      </c>
      <c r="AN975" s="3">
        <f>VLOOKUP(U975,模板计算相关数据!A:N,10,0)*0.5*VLOOKUP(Y975,模板计算相关数据!$P$22:$U$30,6,0)+AD975</f>
        <v>225</v>
      </c>
      <c r="AO975" s="3">
        <f>VLOOKUP(INT(VLOOKUP(U975,模板计算相关数据!A:N,2,0)/30)+1,模板计算相关数据!$O$35:$U$40,3,0)+AE975</f>
        <v>0</v>
      </c>
      <c r="AP975" s="3">
        <f>VLOOKUP(INT(VLOOKUP(U975,模板计算相关数据!A:N,2,0)/30)+1,模板计算相关数据!$O$35:$U$40,4,0)+AF975</f>
        <v>5000</v>
      </c>
      <c r="AQ975" s="3">
        <f>VLOOKUP(INT(VLOOKUP(U975,模板计算相关数据!A:N,2,0)/30)+1,模板计算相关数据!$O$35:$U$40,5,0)+AG975</f>
        <v>0</v>
      </c>
      <c r="AR975" s="3">
        <f>VLOOKUP(INT(VLOOKUP(U975,模板计算相关数据!A:N,2,0)/30)+1,模板计算相关数据!$O$35:$U$40,6,0)+AH975</f>
        <v>0</v>
      </c>
      <c r="AS975" s="3">
        <f>VLOOKUP(INT(VLOOKUP(U975,模板计算相关数据!A:N,2,0)/30)+1,模板计算相关数据!$O$35:$U$40,7,0)+AI975</f>
        <v>2000</v>
      </c>
      <c r="AT975" s="3">
        <f>VLOOKUP(INT(VLOOKUP(U975,模板计算相关数据!A:N,2,0)/30)+1,模板计算相关数据!$O$35:$V$40,8,0)</f>
        <v>0</v>
      </c>
      <c r="AU975" s="2"/>
    </row>
    <row r="976" spans="1:47" x14ac:dyDescent="0.2">
      <c r="A976" s="86">
        <v>52007051</v>
      </c>
      <c r="B976" s="86"/>
      <c r="C976" s="69" t="s">
        <v>822</v>
      </c>
      <c r="D976" s="69" t="s">
        <v>1838</v>
      </c>
      <c r="E976" s="2">
        <v>2</v>
      </c>
      <c r="F976" s="3">
        <v>2</v>
      </c>
      <c r="G976" s="3">
        <v>101301</v>
      </c>
      <c r="H976" s="3">
        <v>4</v>
      </c>
      <c r="I976" s="3">
        <v>3</v>
      </c>
      <c r="J976" s="3">
        <v>2</v>
      </c>
      <c r="K976" s="3">
        <v>2</v>
      </c>
      <c r="L976" s="91" t="s">
        <v>1840</v>
      </c>
      <c r="M976" s="3"/>
      <c r="N976" s="2">
        <v>1</v>
      </c>
      <c r="O976" s="2"/>
      <c r="P976" s="3" t="s">
        <v>1615</v>
      </c>
      <c r="Q976" s="95">
        <v>16</v>
      </c>
      <c r="R976" s="133">
        <f>IF(P976=模板计算相关数据!$AB$24,VLOOKUP(X976,模板计算相关数据!$P$47:$T$50,2,0),VLOOKUP(X976,模板计算相关数据!$P$4:$U$7,3,0))*VLOOKUP(Y976,模板计算相关数据!$P$22:$X$30,8,0)</f>
        <v>22.400000000000006</v>
      </c>
      <c r="S976" s="62">
        <v>4</v>
      </c>
      <c r="T976" s="133">
        <f>IF(P976=模板计算相关数据!$AB$24,VLOOKUP(X976,模板计算相关数据!$P$47:$T$50,5,0),VLOOKUP(X976,模板计算相关数据!$P$4:$U$7,6,0))*VLOOKUP(Y976,模板计算相关数据!$P$22:$X$30,9,0)</f>
        <v>3.6378187638691841</v>
      </c>
      <c r="U976" s="95">
        <v>54</v>
      </c>
      <c r="V976" s="95">
        <f t="shared" si="82"/>
        <v>18</v>
      </c>
      <c r="W976" s="29">
        <f>VLOOKUP(U976,模板计算相关数据!A:N,2,0)</f>
        <v>15</v>
      </c>
      <c r="X976" s="3" t="s">
        <v>178</v>
      </c>
      <c r="Y976" s="3" t="s">
        <v>255</v>
      </c>
      <c r="Z976" s="95">
        <v>1</v>
      </c>
      <c r="AA976" s="95">
        <v>1</v>
      </c>
      <c r="AB976" s="95">
        <v>1</v>
      </c>
      <c r="AC976" s="95">
        <v>1</v>
      </c>
      <c r="AD976" s="95">
        <v>0</v>
      </c>
      <c r="AE976" s="95">
        <v>0</v>
      </c>
      <c r="AF976" s="95">
        <v>0</v>
      </c>
      <c r="AG976" s="95">
        <v>0</v>
      </c>
      <c r="AH976" s="95">
        <v>0</v>
      </c>
      <c r="AI976" s="95">
        <v>2000</v>
      </c>
      <c r="AJ976" s="3">
        <f>INT(VLOOKUP(U976,模板计算相关数据!A:N,4,0)*VLOOKUP(U976,模板计算相关数据!A:N,14,0)*(1+MAX(0,(VLOOKUP(U976,模板计算相关数据!A:N,7,0)-AQ976))*VLOOKUP(U976,模板计算相关数据!A:N,8,0))*(1-(AL976+AM976)*0.5/((AL976+AM976)*0.5+(VLOOKUP(U976,模板计算相关数据!A:N,2,0)+模板计算相关数据!$AC$27)*模板计算相关数据!$AC$28))*Q976*Z976)</f>
        <v>4031</v>
      </c>
      <c r="AK976" s="3">
        <f>INT(VLOOKUP(U976,模板计算相关数据!A:N,3,0)/模板计算相关数据!$W$35/(1+MAX(0,(AO976/10000-VLOOKUP(U976,模板计算相关数据!A:N,9,0)))*AP976/10000)/(1-VLOOKUP(U976,模板计算相关数据!A:N,5,0)/(VLOOKUP(U976,模板计算相关数据!A:N,5,0)+(VLOOKUP(U976,模板计算相关数据!A:N,2,0)+模板计算相关数据!$AC$27)*模板计算相关数据!$AC$28))/S976*AA976)</f>
        <v>511</v>
      </c>
      <c r="AL976" s="3">
        <f>INT(VLOOKUP(U976,模板计算相关数据!A:N,5,0)*VLOOKUP(X976,模板计算相关数据!$P$4:$T$7,4,0)*VLOOKUP(Y976,模板计算相关数据!$P$22:$U$30,4,0)*AB976)</f>
        <v>829</v>
      </c>
      <c r="AM976" s="3">
        <f>INT(VLOOKUP(U976,模板计算相关数据!A:N,6,0)*VLOOKUP(X976,模板计算相关数据!$P$4:$T$7,4,0)*VLOOKUP(Y976,模板计算相关数据!$P$22:$U$30,5,0)*AC976)</f>
        <v>1539</v>
      </c>
      <c r="AN976" s="3">
        <f>VLOOKUP(U976,模板计算相关数据!A:N,10,0)*0.5*VLOOKUP(Y976,模板计算相关数据!$P$22:$U$30,6,0)+AD976</f>
        <v>225</v>
      </c>
      <c r="AO976" s="3">
        <f>VLOOKUP(INT(VLOOKUP(U976,模板计算相关数据!A:N,2,0)/30)+1,模板计算相关数据!$O$35:$U$40,3,0)+AE976</f>
        <v>0</v>
      </c>
      <c r="AP976" s="3">
        <f>VLOOKUP(INT(VLOOKUP(U976,模板计算相关数据!A:N,2,0)/30)+1,模板计算相关数据!$O$35:$U$40,4,0)+AF976</f>
        <v>5000</v>
      </c>
      <c r="AQ976" s="3">
        <f>VLOOKUP(INT(VLOOKUP(U976,模板计算相关数据!A:N,2,0)/30)+1,模板计算相关数据!$O$35:$U$40,5,0)+AG976</f>
        <v>0</v>
      </c>
      <c r="AR976" s="3">
        <f>VLOOKUP(INT(VLOOKUP(U976,模板计算相关数据!A:N,2,0)/30)+1,模板计算相关数据!$O$35:$U$40,6,0)+AH976</f>
        <v>0</v>
      </c>
      <c r="AS976" s="3">
        <f>VLOOKUP(INT(VLOOKUP(U976,模板计算相关数据!A:N,2,0)/30)+1,模板计算相关数据!$O$35:$U$40,7,0)+AI976</f>
        <v>2000</v>
      </c>
      <c r="AT976" s="3">
        <f>VLOOKUP(INT(VLOOKUP(U976,模板计算相关数据!A:N,2,0)/30)+1,模板计算相关数据!$O$35:$V$40,8,0)</f>
        <v>0</v>
      </c>
      <c r="AU976" s="2"/>
    </row>
    <row r="977" spans="1:47" x14ac:dyDescent="0.2">
      <c r="A977" s="86">
        <v>52007012</v>
      </c>
      <c r="B977" s="86"/>
      <c r="C977" s="69" t="s">
        <v>946</v>
      </c>
      <c r="D977" s="69" t="s">
        <v>1834</v>
      </c>
      <c r="E977" s="2">
        <v>2</v>
      </c>
      <c r="F977" s="3">
        <v>3</v>
      </c>
      <c r="G977" s="3">
        <v>101901</v>
      </c>
      <c r="H977" s="3">
        <v>4</v>
      </c>
      <c r="I977" s="3">
        <v>3</v>
      </c>
      <c r="J977" s="3">
        <v>2</v>
      </c>
      <c r="K977" s="3">
        <v>2</v>
      </c>
      <c r="L977" s="91" t="s">
        <v>1841</v>
      </c>
      <c r="M977" s="3"/>
      <c r="N977" s="2">
        <v>1</v>
      </c>
      <c r="O977" s="2"/>
      <c r="P977" s="3" t="s">
        <v>1615</v>
      </c>
      <c r="Q977" s="95">
        <v>12</v>
      </c>
      <c r="R977" s="133">
        <f>IF(P977=模板计算相关数据!$AB$24,VLOOKUP(X977,模板计算相关数据!$P$47:$T$50,2,0),VLOOKUP(X977,模板计算相关数据!$P$4:$U$7,3,0))*VLOOKUP(Y977,模板计算相关数据!$P$22:$X$30,8,0)</f>
        <v>17.869803921568629</v>
      </c>
      <c r="S977" s="62">
        <v>3</v>
      </c>
      <c r="T977" s="133">
        <f>IF(P977=模板计算相关数据!$AB$24,VLOOKUP(X977,模板计算相关数据!$P$47:$T$50,5,0),VLOOKUP(X977,模板计算相关数据!$P$4:$U$7,6,0))*VLOOKUP(Y977,模板计算相关数据!$P$22:$X$30,9,0)</f>
        <v>2.9858143958055283</v>
      </c>
      <c r="U977" s="95">
        <v>54</v>
      </c>
      <c r="V977" s="95">
        <f t="shared" si="82"/>
        <v>18</v>
      </c>
      <c r="W977" s="29">
        <f>VLOOKUP(U977,模板计算相关数据!A:N,2,0)</f>
        <v>15</v>
      </c>
      <c r="X977" s="3" t="s">
        <v>178</v>
      </c>
      <c r="Y977" s="3" t="s">
        <v>162</v>
      </c>
      <c r="Z977" s="95">
        <v>1</v>
      </c>
      <c r="AA977" s="95">
        <v>1</v>
      </c>
      <c r="AB977" s="95">
        <v>1</v>
      </c>
      <c r="AC977" s="95">
        <v>1</v>
      </c>
      <c r="AD977" s="95">
        <v>0</v>
      </c>
      <c r="AE977" s="95">
        <v>0</v>
      </c>
      <c r="AF977" s="95">
        <v>0</v>
      </c>
      <c r="AG977" s="95">
        <v>0</v>
      </c>
      <c r="AH977" s="95">
        <v>0</v>
      </c>
      <c r="AI977" s="95">
        <v>2000</v>
      </c>
      <c r="AJ977" s="3">
        <f>INT(VLOOKUP(U977,模板计算相关数据!A:N,4,0)*VLOOKUP(U977,模板计算相关数据!A:N,14,0)*(1+MAX(0,(VLOOKUP(U977,模板计算相关数据!A:N,7,0)-AQ977))*VLOOKUP(U977,模板计算相关数据!A:N,8,0))*(1-(AL977+AM977)*0.5/((AL977+AM977)*0.5+(VLOOKUP(U977,模板计算相关数据!A:N,2,0)+模板计算相关数据!$AC$27)*模板计算相关数据!$AC$28))*Q977*Z977)</f>
        <v>3199</v>
      </c>
      <c r="AK977" s="3">
        <f>INT(VLOOKUP(U977,模板计算相关数据!A:N,3,0)/模板计算相关数据!$W$35/(1+MAX(0,(AO977/10000-VLOOKUP(U977,模板计算相关数据!A:N,9,0)))*AP977/10000)/(1-VLOOKUP(U977,模板计算相关数据!A:N,5,0)/(VLOOKUP(U977,模板计算相关数据!A:N,5,0)+(VLOOKUP(U977,模板计算相关数据!A:N,2,0)+模板计算相关数据!$AC$27)*模板计算相关数据!$AC$28))/S977*AA977)</f>
        <v>681</v>
      </c>
      <c r="AL977" s="3">
        <f>INT(VLOOKUP(U977,模板计算相关数据!A:N,5,0)*VLOOKUP(X977,模板计算相关数据!$P$4:$T$7,4,0)*VLOOKUP(Y977,模板计算相关数据!$P$22:$U$30,4,0)*AB977)</f>
        <v>758</v>
      </c>
      <c r="AM977" s="3">
        <f>INT(VLOOKUP(U977,模板计算相关数据!A:N,6,0)*VLOOKUP(X977,模板计算相关数据!$P$4:$T$7,4,0)*VLOOKUP(Y977,模板计算相关数据!$P$22:$U$30,5,0)*AC977)</f>
        <v>1279</v>
      </c>
      <c r="AN977" s="3">
        <f>VLOOKUP(U977,模板计算相关数据!A:N,10,0)*0.5*VLOOKUP(Y977,模板计算相关数据!$P$22:$U$30,6,0)+AD977</f>
        <v>250</v>
      </c>
      <c r="AO977" s="3">
        <f>VLOOKUP(INT(VLOOKUP(U977,模板计算相关数据!A:N,2,0)/30)+1,模板计算相关数据!$O$35:$U$40,3,0)+AE977</f>
        <v>0</v>
      </c>
      <c r="AP977" s="3">
        <f>VLOOKUP(INT(VLOOKUP(U977,模板计算相关数据!A:N,2,0)/30)+1,模板计算相关数据!$O$35:$U$40,4,0)+AF977</f>
        <v>5000</v>
      </c>
      <c r="AQ977" s="3">
        <f>VLOOKUP(INT(VLOOKUP(U977,模板计算相关数据!A:N,2,0)/30)+1,模板计算相关数据!$O$35:$U$40,5,0)+AG977</f>
        <v>0</v>
      </c>
      <c r="AR977" s="3">
        <f>VLOOKUP(INT(VLOOKUP(U977,模板计算相关数据!A:N,2,0)/30)+1,模板计算相关数据!$O$35:$U$40,6,0)+AH977</f>
        <v>0</v>
      </c>
      <c r="AS977" s="3">
        <f>VLOOKUP(INT(VLOOKUP(U977,模板计算相关数据!A:N,2,0)/30)+1,模板计算相关数据!$O$35:$U$40,7,0)+AI977</f>
        <v>2000</v>
      </c>
      <c r="AT977" s="3">
        <f>VLOOKUP(INT(VLOOKUP(U977,模板计算相关数据!A:N,2,0)/30)+1,模板计算相关数据!$O$35:$V$40,8,0)</f>
        <v>0</v>
      </c>
      <c r="AU977" s="2"/>
    </row>
    <row r="978" spans="1:47" x14ac:dyDescent="0.2">
      <c r="A978" s="86">
        <v>52007022</v>
      </c>
      <c r="B978" s="86"/>
      <c r="C978" s="69" t="s">
        <v>946</v>
      </c>
      <c r="D978" s="69" t="s">
        <v>1835</v>
      </c>
      <c r="E978" s="2">
        <v>2</v>
      </c>
      <c r="F978" s="3">
        <v>3</v>
      </c>
      <c r="G978" s="3">
        <v>101901</v>
      </c>
      <c r="H978" s="3">
        <v>4</v>
      </c>
      <c r="I978" s="3">
        <v>3</v>
      </c>
      <c r="J978" s="3">
        <v>2</v>
      </c>
      <c r="K978" s="3">
        <v>2</v>
      </c>
      <c r="L978" s="91" t="s">
        <v>1841</v>
      </c>
      <c r="M978" s="3"/>
      <c r="N978" s="2">
        <v>1</v>
      </c>
      <c r="O978" s="2"/>
      <c r="P978" s="3" t="s">
        <v>1615</v>
      </c>
      <c r="Q978" s="95">
        <v>12</v>
      </c>
      <c r="R978" s="133">
        <f>IF(P978=模板计算相关数据!$AB$24,VLOOKUP(X978,模板计算相关数据!$P$47:$T$50,2,0),VLOOKUP(X978,模板计算相关数据!$P$4:$U$7,3,0))*VLOOKUP(Y978,模板计算相关数据!$P$22:$X$30,8,0)</f>
        <v>17.869803921568629</v>
      </c>
      <c r="S978" s="62">
        <v>3</v>
      </c>
      <c r="T978" s="133">
        <f>IF(P978=模板计算相关数据!$AB$24,VLOOKUP(X978,模板计算相关数据!$P$47:$T$50,5,0),VLOOKUP(X978,模板计算相关数据!$P$4:$U$7,6,0))*VLOOKUP(Y978,模板计算相关数据!$P$22:$X$30,9,0)</f>
        <v>2.9858143958055283</v>
      </c>
      <c r="U978" s="95">
        <v>54</v>
      </c>
      <c r="V978" s="95">
        <f t="shared" si="82"/>
        <v>18</v>
      </c>
      <c r="W978" s="29">
        <f>VLOOKUP(U978,模板计算相关数据!A:N,2,0)</f>
        <v>15</v>
      </c>
      <c r="X978" s="3" t="s">
        <v>178</v>
      </c>
      <c r="Y978" s="3" t="s">
        <v>162</v>
      </c>
      <c r="Z978" s="95">
        <v>1</v>
      </c>
      <c r="AA978" s="95">
        <v>1</v>
      </c>
      <c r="AB978" s="95">
        <v>1</v>
      </c>
      <c r="AC978" s="95">
        <v>1</v>
      </c>
      <c r="AD978" s="95">
        <v>0</v>
      </c>
      <c r="AE978" s="95">
        <v>0</v>
      </c>
      <c r="AF978" s="95">
        <v>0</v>
      </c>
      <c r="AG978" s="95">
        <v>0</v>
      </c>
      <c r="AH978" s="95">
        <v>0</v>
      </c>
      <c r="AI978" s="95">
        <v>2000</v>
      </c>
      <c r="AJ978" s="3">
        <f>INT(VLOOKUP(U978,模板计算相关数据!A:N,4,0)*VLOOKUP(U978,模板计算相关数据!A:N,14,0)*(1+MAX(0,(VLOOKUP(U978,模板计算相关数据!A:N,7,0)-AQ978))*VLOOKUP(U978,模板计算相关数据!A:N,8,0))*(1-(AL978+AM978)*0.5/((AL978+AM978)*0.5+(VLOOKUP(U978,模板计算相关数据!A:N,2,0)+模板计算相关数据!$AC$27)*模板计算相关数据!$AC$28))*Q978*Z978)</f>
        <v>3199</v>
      </c>
      <c r="AK978" s="3">
        <f>INT(VLOOKUP(U978,模板计算相关数据!A:N,3,0)/模板计算相关数据!$W$35/(1+MAX(0,(AO978/10000-VLOOKUP(U978,模板计算相关数据!A:N,9,0)))*AP978/10000)/(1-VLOOKUP(U978,模板计算相关数据!A:N,5,0)/(VLOOKUP(U978,模板计算相关数据!A:N,5,0)+(VLOOKUP(U978,模板计算相关数据!A:N,2,0)+模板计算相关数据!$AC$27)*模板计算相关数据!$AC$28))/S978*AA978)</f>
        <v>681</v>
      </c>
      <c r="AL978" s="3">
        <f>INT(VLOOKUP(U978,模板计算相关数据!A:N,5,0)*VLOOKUP(X978,模板计算相关数据!$P$4:$T$7,4,0)*VLOOKUP(Y978,模板计算相关数据!$P$22:$U$30,4,0)*AB978)</f>
        <v>758</v>
      </c>
      <c r="AM978" s="3">
        <f>INT(VLOOKUP(U978,模板计算相关数据!A:N,6,0)*VLOOKUP(X978,模板计算相关数据!$P$4:$T$7,4,0)*VLOOKUP(Y978,模板计算相关数据!$P$22:$U$30,5,0)*AC978)</f>
        <v>1279</v>
      </c>
      <c r="AN978" s="3">
        <f>VLOOKUP(U978,模板计算相关数据!A:N,10,0)*0.5*VLOOKUP(Y978,模板计算相关数据!$P$22:$U$30,6,0)+AD978</f>
        <v>250</v>
      </c>
      <c r="AO978" s="3">
        <f>VLOOKUP(INT(VLOOKUP(U978,模板计算相关数据!A:N,2,0)/30)+1,模板计算相关数据!$O$35:$U$40,3,0)+AE978</f>
        <v>0</v>
      </c>
      <c r="AP978" s="3">
        <f>VLOOKUP(INT(VLOOKUP(U978,模板计算相关数据!A:N,2,0)/30)+1,模板计算相关数据!$O$35:$U$40,4,0)+AF978</f>
        <v>5000</v>
      </c>
      <c r="AQ978" s="3">
        <f>VLOOKUP(INT(VLOOKUP(U978,模板计算相关数据!A:N,2,0)/30)+1,模板计算相关数据!$O$35:$U$40,5,0)+AG978</f>
        <v>0</v>
      </c>
      <c r="AR978" s="3">
        <f>VLOOKUP(INT(VLOOKUP(U978,模板计算相关数据!A:N,2,0)/30)+1,模板计算相关数据!$O$35:$U$40,6,0)+AH978</f>
        <v>0</v>
      </c>
      <c r="AS978" s="3">
        <f>VLOOKUP(INT(VLOOKUP(U978,模板计算相关数据!A:N,2,0)/30)+1,模板计算相关数据!$O$35:$U$40,7,0)+AI978</f>
        <v>2000</v>
      </c>
      <c r="AT978" s="3">
        <f>VLOOKUP(INT(VLOOKUP(U978,模板计算相关数据!A:N,2,0)/30)+1,模板计算相关数据!$O$35:$V$40,8,0)</f>
        <v>0</v>
      </c>
      <c r="AU978" s="2"/>
    </row>
    <row r="979" spans="1:47" x14ac:dyDescent="0.2">
      <c r="A979" s="86">
        <v>52007032</v>
      </c>
      <c r="B979" s="86"/>
      <c r="C979" s="69" t="s">
        <v>946</v>
      </c>
      <c r="D979" s="69" t="s">
        <v>1836</v>
      </c>
      <c r="E979" s="2">
        <v>2</v>
      </c>
      <c r="F979" s="3">
        <v>3</v>
      </c>
      <c r="G979" s="3">
        <v>101901</v>
      </c>
      <c r="H979" s="3">
        <v>4</v>
      </c>
      <c r="I979" s="3">
        <v>3</v>
      </c>
      <c r="J979" s="3">
        <v>2</v>
      </c>
      <c r="K979" s="3">
        <v>2</v>
      </c>
      <c r="L979" s="91" t="s">
        <v>1841</v>
      </c>
      <c r="M979" s="3"/>
      <c r="N979" s="2">
        <v>1</v>
      </c>
      <c r="O979" s="2"/>
      <c r="P979" s="3" t="s">
        <v>1615</v>
      </c>
      <c r="Q979" s="95">
        <v>12</v>
      </c>
      <c r="R979" s="133">
        <f>IF(P979=模板计算相关数据!$AB$24,VLOOKUP(X979,模板计算相关数据!$P$47:$T$50,2,0),VLOOKUP(X979,模板计算相关数据!$P$4:$U$7,3,0))*VLOOKUP(Y979,模板计算相关数据!$P$22:$X$30,8,0)</f>
        <v>17.869803921568629</v>
      </c>
      <c r="S979" s="62">
        <v>3</v>
      </c>
      <c r="T979" s="133">
        <f>IF(P979=模板计算相关数据!$AB$24,VLOOKUP(X979,模板计算相关数据!$P$47:$T$50,5,0),VLOOKUP(X979,模板计算相关数据!$P$4:$U$7,6,0))*VLOOKUP(Y979,模板计算相关数据!$P$22:$X$30,9,0)</f>
        <v>2.9858143958055283</v>
      </c>
      <c r="U979" s="95">
        <v>54</v>
      </c>
      <c r="V979" s="95">
        <f t="shared" si="82"/>
        <v>18</v>
      </c>
      <c r="W979" s="29">
        <f>VLOOKUP(U979,模板计算相关数据!A:N,2,0)</f>
        <v>15</v>
      </c>
      <c r="X979" s="3" t="s">
        <v>178</v>
      </c>
      <c r="Y979" s="3" t="s">
        <v>162</v>
      </c>
      <c r="Z979" s="95">
        <v>1</v>
      </c>
      <c r="AA979" s="95">
        <v>1</v>
      </c>
      <c r="AB979" s="95">
        <v>1</v>
      </c>
      <c r="AC979" s="95">
        <v>1</v>
      </c>
      <c r="AD979" s="95">
        <v>0</v>
      </c>
      <c r="AE979" s="95">
        <v>0</v>
      </c>
      <c r="AF979" s="95">
        <v>0</v>
      </c>
      <c r="AG979" s="95">
        <v>0</v>
      </c>
      <c r="AH979" s="95">
        <v>0</v>
      </c>
      <c r="AI979" s="95">
        <v>2000</v>
      </c>
      <c r="AJ979" s="3">
        <f>INT(VLOOKUP(U979,模板计算相关数据!A:N,4,0)*VLOOKUP(U979,模板计算相关数据!A:N,14,0)*(1+MAX(0,(VLOOKUP(U979,模板计算相关数据!A:N,7,0)-AQ979))*VLOOKUP(U979,模板计算相关数据!A:N,8,0))*(1-(AL979+AM979)*0.5/((AL979+AM979)*0.5+(VLOOKUP(U979,模板计算相关数据!A:N,2,0)+模板计算相关数据!$AC$27)*模板计算相关数据!$AC$28))*Q979*Z979)</f>
        <v>3199</v>
      </c>
      <c r="AK979" s="3">
        <f>INT(VLOOKUP(U979,模板计算相关数据!A:N,3,0)/模板计算相关数据!$W$35/(1+MAX(0,(AO979/10000-VLOOKUP(U979,模板计算相关数据!A:N,9,0)))*AP979/10000)/(1-VLOOKUP(U979,模板计算相关数据!A:N,5,0)/(VLOOKUP(U979,模板计算相关数据!A:N,5,0)+(VLOOKUP(U979,模板计算相关数据!A:N,2,0)+模板计算相关数据!$AC$27)*模板计算相关数据!$AC$28))/S979*AA979)</f>
        <v>681</v>
      </c>
      <c r="AL979" s="3">
        <f>INT(VLOOKUP(U979,模板计算相关数据!A:N,5,0)*VLOOKUP(X979,模板计算相关数据!$P$4:$T$7,4,0)*VLOOKUP(Y979,模板计算相关数据!$P$22:$U$30,4,0)*AB979)</f>
        <v>758</v>
      </c>
      <c r="AM979" s="3">
        <f>INT(VLOOKUP(U979,模板计算相关数据!A:N,6,0)*VLOOKUP(X979,模板计算相关数据!$P$4:$T$7,4,0)*VLOOKUP(Y979,模板计算相关数据!$P$22:$U$30,5,0)*AC979)</f>
        <v>1279</v>
      </c>
      <c r="AN979" s="3">
        <f>VLOOKUP(U979,模板计算相关数据!A:N,10,0)*0.5*VLOOKUP(Y979,模板计算相关数据!$P$22:$U$30,6,0)+AD979</f>
        <v>250</v>
      </c>
      <c r="AO979" s="3">
        <f>VLOOKUP(INT(VLOOKUP(U979,模板计算相关数据!A:N,2,0)/30)+1,模板计算相关数据!$O$35:$U$40,3,0)+AE979</f>
        <v>0</v>
      </c>
      <c r="AP979" s="3">
        <f>VLOOKUP(INT(VLOOKUP(U979,模板计算相关数据!A:N,2,0)/30)+1,模板计算相关数据!$O$35:$U$40,4,0)+AF979</f>
        <v>5000</v>
      </c>
      <c r="AQ979" s="3">
        <f>VLOOKUP(INT(VLOOKUP(U979,模板计算相关数据!A:N,2,0)/30)+1,模板计算相关数据!$O$35:$U$40,5,0)+AG979</f>
        <v>0</v>
      </c>
      <c r="AR979" s="3">
        <f>VLOOKUP(INT(VLOOKUP(U979,模板计算相关数据!A:N,2,0)/30)+1,模板计算相关数据!$O$35:$U$40,6,0)+AH979</f>
        <v>0</v>
      </c>
      <c r="AS979" s="3">
        <f>VLOOKUP(INT(VLOOKUP(U979,模板计算相关数据!A:N,2,0)/30)+1,模板计算相关数据!$O$35:$U$40,7,0)+AI979</f>
        <v>2000</v>
      </c>
      <c r="AT979" s="3">
        <f>VLOOKUP(INT(VLOOKUP(U979,模板计算相关数据!A:N,2,0)/30)+1,模板计算相关数据!$O$35:$V$40,8,0)</f>
        <v>0</v>
      </c>
      <c r="AU979" s="2"/>
    </row>
    <row r="980" spans="1:47" x14ac:dyDescent="0.2">
      <c r="A980" s="86">
        <v>52007042</v>
      </c>
      <c r="B980" s="86"/>
      <c r="C980" s="69" t="s">
        <v>946</v>
      </c>
      <c r="D980" s="69" t="s">
        <v>1837</v>
      </c>
      <c r="E980" s="2">
        <v>2</v>
      </c>
      <c r="F980" s="3">
        <v>3</v>
      </c>
      <c r="G980" s="3">
        <v>101901</v>
      </c>
      <c r="H980" s="3">
        <v>4</v>
      </c>
      <c r="I980" s="3">
        <v>3</v>
      </c>
      <c r="J980" s="3">
        <v>2</v>
      </c>
      <c r="K980" s="3">
        <v>2</v>
      </c>
      <c r="L980" s="91" t="s">
        <v>1841</v>
      </c>
      <c r="M980" s="3"/>
      <c r="N980" s="2">
        <v>1</v>
      </c>
      <c r="O980" s="2"/>
      <c r="P980" s="3" t="s">
        <v>1615</v>
      </c>
      <c r="Q980" s="95">
        <v>12</v>
      </c>
      <c r="R980" s="133">
        <f>IF(P980=模板计算相关数据!$AB$24,VLOOKUP(X980,模板计算相关数据!$P$47:$T$50,2,0),VLOOKUP(X980,模板计算相关数据!$P$4:$U$7,3,0))*VLOOKUP(Y980,模板计算相关数据!$P$22:$X$30,8,0)</f>
        <v>17.869803921568629</v>
      </c>
      <c r="S980" s="62">
        <v>3</v>
      </c>
      <c r="T980" s="133">
        <f>IF(P980=模板计算相关数据!$AB$24,VLOOKUP(X980,模板计算相关数据!$P$47:$T$50,5,0),VLOOKUP(X980,模板计算相关数据!$P$4:$U$7,6,0))*VLOOKUP(Y980,模板计算相关数据!$P$22:$X$30,9,0)</f>
        <v>2.9858143958055283</v>
      </c>
      <c r="U980" s="95">
        <v>54</v>
      </c>
      <c r="V980" s="95">
        <f t="shared" si="82"/>
        <v>18</v>
      </c>
      <c r="W980" s="29">
        <f>VLOOKUP(U980,模板计算相关数据!A:N,2,0)</f>
        <v>15</v>
      </c>
      <c r="X980" s="3" t="s">
        <v>178</v>
      </c>
      <c r="Y980" s="3" t="s">
        <v>162</v>
      </c>
      <c r="Z980" s="95">
        <v>1</v>
      </c>
      <c r="AA980" s="95">
        <v>1</v>
      </c>
      <c r="AB980" s="95">
        <v>1</v>
      </c>
      <c r="AC980" s="95">
        <v>1</v>
      </c>
      <c r="AD980" s="95">
        <v>0</v>
      </c>
      <c r="AE980" s="95">
        <v>0</v>
      </c>
      <c r="AF980" s="95">
        <v>0</v>
      </c>
      <c r="AG980" s="95">
        <v>0</v>
      </c>
      <c r="AH980" s="95">
        <v>0</v>
      </c>
      <c r="AI980" s="95">
        <v>2000</v>
      </c>
      <c r="AJ980" s="3">
        <f>INT(VLOOKUP(U980,模板计算相关数据!A:N,4,0)*VLOOKUP(U980,模板计算相关数据!A:N,14,0)*(1+MAX(0,(VLOOKUP(U980,模板计算相关数据!A:N,7,0)-AQ980))*VLOOKUP(U980,模板计算相关数据!A:N,8,0))*(1-(AL980+AM980)*0.5/((AL980+AM980)*0.5+(VLOOKUP(U980,模板计算相关数据!A:N,2,0)+模板计算相关数据!$AC$27)*模板计算相关数据!$AC$28))*Q980*Z980)</f>
        <v>3199</v>
      </c>
      <c r="AK980" s="3">
        <f>INT(VLOOKUP(U980,模板计算相关数据!A:N,3,0)/模板计算相关数据!$W$35/(1+MAX(0,(AO980/10000-VLOOKUP(U980,模板计算相关数据!A:N,9,0)))*AP980/10000)/(1-VLOOKUP(U980,模板计算相关数据!A:N,5,0)/(VLOOKUP(U980,模板计算相关数据!A:N,5,0)+(VLOOKUP(U980,模板计算相关数据!A:N,2,0)+模板计算相关数据!$AC$27)*模板计算相关数据!$AC$28))/S980*AA980)</f>
        <v>681</v>
      </c>
      <c r="AL980" s="3">
        <f>INT(VLOOKUP(U980,模板计算相关数据!A:N,5,0)*VLOOKUP(X980,模板计算相关数据!$P$4:$T$7,4,0)*VLOOKUP(Y980,模板计算相关数据!$P$22:$U$30,4,0)*AB980)</f>
        <v>758</v>
      </c>
      <c r="AM980" s="3">
        <f>INT(VLOOKUP(U980,模板计算相关数据!A:N,6,0)*VLOOKUP(X980,模板计算相关数据!$P$4:$T$7,4,0)*VLOOKUP(Y980,模板计算相关数据!$P$22:$U$30,5,0)*AC980)</f>
        <v>1279</v>
      </c>
      <c r="AN980" s="3">
        <f>VLOOKUP(U980,模板计算相关数据!A:N,10,0)*0.5*VLOOKUP(Y980,模板计算相关数据!$P$22:$U$30,6,0)+AD980</f>
        <v>250</v>
      </c>
      <c r="AO980" s="3">
        <f>VLOOKUP(INT(VLOOKUP(U980,模板计算相关数据!A:N,2,0)/30)+1,模板计算相关数据!$O$35:$U$40,3,0)+AE980</f>
        <v>0</v>
      </c>
      <c r="AP980" s="3">
        <f>VLOOKUP(INT(VLOOKUP(U980,模板计算相关数据!A:N,2,0)/30)+1,模板计算相关数据!$O$35:$U$40,4,0)+AF980</f>
        <v>5000</v>
      </c>
      <c r="AQ980" s="3">
        <f>VLOOKUP(INT(VLOOKUP(U980,模板计算相关数据!A:N,2,0)/30)+1,模板计算相关数据!$O$35:$U$40,5,0)+AG980</f>
        <v>0</v>
      </c>
      <c r="AR980" s="3">
        <f>VLOOKUP(INT(VLOOKUP(U980,模板计算相关数据!A:N,2,0)/30)+1,模板计算相关数据!$O$35:$U$40,6,0)+AH980</f>
        <v>0</v>
      </c>
      <c r="AS980" s="3">
        <f>VLOOKUP(INT(VLOOKUP(U980,模板计算相关数据!A:N,2,0)/30)+1,模板计算相关数据!$O$35:$U$40,7,0)+AI980</f>
        <v>2000</v>
      </c>
      <c r="AT980" s="3">
        <f>VLOOKUP(INT(VLOOKUP(U980,模板计算相关数据!A:N,2,0)/30)+1,模板计算相关数据!$O$35:$V$40,8,0)</f>
        <v>0</v>
      </c>
      <c r="AU980" s="2"/>
    </row>
    <row r="981" spans="1:47" x14ac:dyDescent="0.2">
      <c r="A981" s="86">
        <v>52007052</v>
      </c>
      <c r="B981" s="86"/>
      <c r="C981" s="69" t="s">
        <v>946</v>
      </c>
      <c r="D981" s="69" t="s">
        <v>1838</v>
      </c>
      <c r="E981" s="2">
        <v>2</v>
      </c>
      <c r="F981" s="3">
        <v>3</v>
      </c>
      <c r="G981" s="3">
        <v>101901</v>
      </c>
      <c r="H981" s="3">
        <v>4</v>
      </c>
      <c r="I981" s="3">
        <v>3</v>
      </c>
      <c r="J981" s="3">
        <v>2</v>
      </c>
      <c r="K981" s="3">
        <v>2</v>
      </c>
      <c r="L981" s="91" t="s">
        <v>1841</v>
      </c>
      <c r="M981" s="3"/>
      <c r="N981" s="2">
        <v>1</v>
      </c>
      <c r="O981" s="2"/>
      <c r="P981" s="3" t="s">
        <v>1615</v>
      </c>
      <c r="Q981" s="95">
        <v>12</v>
      </c>
      <c r="R981" s="133">
        <f>IF(P981=模板计算相关数据!$AB$24,VLOOKUP(X981,模板计算相关数据!$P$47:$T$50,2,0),VLOOKUP(X981,模板计算相关数据!$P$4:$U$7,3,0))*VLOOKUP(Y981,模板计算相关数据!$P$22:$X$30,8,0)</f>
        <v>17.869803921568629</v>
      </c>
      <c r="S981" s="62">
        <v>3</v>
      </c>
      <c r="T981" s="133">
        <f>IF(P981=模板计算相关数据!$AB$24,VLOOKUP(X981,模板计算相关数据!$P$47:$T$50,5,0),VLOOKUP(X981,模板计算相关数据!$P$4:$U$7,6,0))*VLOOKUP(Y981,模板计算相关数据!$P$22:$X$30,9,0)</f>
        <v>2.9858143958055283</v>
      </c>
      <c r="U981" s="95">
        <v>54</v>
      </c>
      <c r="V981" s="95">
        <f t="shared" si="82"/>
        <v>18</v>
      </c>
      <c r="W981" s="29">
        <f>VLOOKUP(U981,模板计算相关数据!A:N,2,0)</f>
        <v>15</v>
      </c>
      <c r="X981" s="3" t="s">
        <v>178</v>
      </c>
      <c r="Y981" s="3" t="s">
        <v>162</v>
      </c>
      <c r="Z981" s="95">
        <v>1</v>
      </c>
      <c r="AA981" s="95">
        <v>1</v>
      </c>
      <c r="AB981" s="95">
        <v>1</v>
      </c>
      <c r="AC981" s="95">
        <v>1</v>
      </c>
      <c r="AD981" s="95">
        <v>0</v>
      </c>
      <c r="AE981" s="95">
        <v>0</v>
      </c>
      <c r="AF981" s="95">
        <v>0</v>
      </c>
      <c r="AG981" s="95">
        <v>0</v>
      </c>
      <c r="AH981" s="95">
        <v>0</v>
      </c>
      <c r="AI981" s="95">
        <v>2000</v>
      </c>
      <c r="AJ981" s="3">
        <f>INT(VLOOKUP(U981,模板计算相关数据!A:N,4,0)*VLOOKUP(U981,模板计算相关数据!A:N,14,0)*(1+MAX(0,(VLOOKUP(U981,模板计算相关数据!A:N,7,0)-AQ981))*VLOOKUP(U981,模板计算相关数据!A:N,8,0))*(1-(AL981+AM981)*0.5/((AL981+AM981)*0.5+(VLOOKUP(U981,模板计算相关数据!A:N,2,0)+模板计算相关数据!$AC$27)*模板计算相关数据!$AC$28))*Q981*Z981)</f>
        <v>3199</v>
      </c>
      <c r="AK981" s="3">
        <f>INT(VLOOKUP(U981,模板计算相关数据!A:N,3,0)/模板计算相关数据!$W$35/(1+MAX(0,(AO981/10000-VLOOKUP(U981,模板计算相关数据!A:N,9,0)))*AP981/10000)/(1-VLOOKUP(U981,模板计算相关数据!A:N,5,0)/(VLOOKUP(U981,模板计算相关数据!A:N,5,0)+(VLOOKUP(U981,模板计算相关数据!A:N,2,0)+模板计算相关数据!$AC$27)*模板计算相关数据!$AC$28))/S981*AA981)</f>
        <v>681</v>
      </c>
      <c r="AL981" s="3">
        <f>INT(VLOOKUP(U981,模板计算相关数据!A:N,5,0)*VLOOKUP(X981,模板计算相关数据!$P$4:$T$7,4,0)*VLOOKUP(Y981,模板计算相关数据!$P$22:$U$30,4,0)*AB981)</f>
        <v>758</v>
      </c>
      <c r="AM981" s="3">
        <f>INT(VLOOKUP(U981,模板计算相关数据!A:N,6,0)*VLOOKUP(X981,模板计算相关数据!$P$4:$T$7,4,0)*VLOOKUP(Y981,模板计算相关数据!$P$22:$U$30,5,0)*AC981)</f>
        <v>1279</v>
      </c>
      <c r="AN981" s="3">
        <f>VLOOKUP(U981,模板计算相关数据!A:N,10,0)*0.5*VLOOKUP(Y981,模板计算相关数据!$P$22:$U$30,6,0)+AD981</f>
        <v>250</v>
      </c>
      <c r="AO981" s="3">
        <f>VLOOKUP(INT(VLOOKUP(U981,模板计算相关数据!A:N,2,0)/30)+1,模板计算相关数据!$O$35:$U$40,3,0)+AE981</f>
        <v>0</v>
      </c>
      <c r="AP981" s="3">
        <f>VLOOKUP(INT(VLOOKUP(U981,模板计算相关数据!A:N,2,0)/30)+1,模板计算相关数据!$O$35:$U$40,4,0)+AF981</f>
        <v>5000</v>
      </c>
      <c r="AQ981" s="3">
        <f>VLOOKUP(INT(VLOOKUP(U981,模板计算相关数据!A:N,2,0)/30)+1,模板计算相关数据!$O$35:$U$40,5,0)+AG981</f>
        <v>0</v>
      </c>
      <c r="AR981" s="3">
        <f>VLOOKUP(INT(VLOOKUP(U981,模板计算相关数据!A:N,2,0)/30)+1,模板计算相关数据!$O$35:$U$40,6,0)+AH981</f>
        <v>0</v>
      </c>
      <c r="AS981" s="3">
        <f>VLOOKUP(INT(VLOOKUP(U981,模板计算相关数据!A:N,2,0)/30)+1,模板计算相关数据!$O$35:$U$40,7,0)+AI981</f>
        <v>2000</v>
      </c>
      <c r="AT981" s="3">
        <f>VLOOKUP(INT(VLOOKUP(U981,模板计算相关数据!A:N,2,0)/30)+1,模板计算相关数据!$O$35:$V$40,8,0)</f>
        <v>0</v>
      </c>
      <c r="AU981" s="2"/>
    </row>
    <row r="982" spans="1:47" x14ac:dyDescent="0.2">
      <c r="A982" s="35">
        <v>53001011</v>
      </c>
      <c r="B982" s="35"/>
      <c r="C982" s="34" t="s">
        <v>1751</v>
      </c>
      <c r="D982" s="2" t="s">
        <v>1480</v>
      </c>
      <c r="E982" s="2"/>
      <c r="F982" s="3">
        <v>6</v>
      </c>
      <c r="G982" s="3">
        <v>1006101</v>
      </c>
      <c r="H982" s="3">
        <v>6</v>
      </c>
      <c r="I982" s="2">
        <v>4</v>
      </c>
      <c r="J982" s="3">
        <v>6</v>
      </c>
      <c r="K982" s="2">
        <v>1</v>
      </c>
      <c r="L982" s="69" t="s">
        <v>1768</v>
      </c>
      <c r="M982" s="2"/>
      <c r="N982" s="2">
        <v>1</v>
      </c>
      <c r="O982" s="2"/>
      <c r="P982" s="3" t="s">
        <v>1615</v>
      </c>
      <c r="Q982" s="95">
        <v>25</v>
      </c>
      <c r="R982" s="133">
        <f>IF(P982=模板计算相关数据!$AB$24,VLOOKUP(X982,模板计算相关数据!$P$47:$T$50,2,0),VLOOKUP(X982,模板计算相关数据!$P$4:$U$7,3,0))*VLOOKUP(Y982,模板计算相关数据!$P$22:$X$30,8,0)</f>
        <v>20</v>
      </c>
      <c r="S982" s="62">
        <f t="shared" si="80"/>
        <v>3.6363636363636367</v>
      </c>
      <c r="T982" s="133">
        <f>IF(P982=模板计算相关数据!$AB$24,VLOOKUP(X982,模板计算相关数据!$P$47:$T$50,5,0),VLOOKUP(X982,模板计算相关数据!$P$4:$U$7,6,0))*VLOOKUP(Y982,模板计算相关数据!$P$22:$X$30,9,0)</f>
        <v>3.6363636363636367</v>
      </c>
      <c r="U982" s="57">
        <v>56</v>
      </c>
      <c r="V982" s="95">
        <f t="shared" si="82"/>
        <v>27</v>
      </c>
      <c r="W982" s="29">
        <f>VLOOKUP(U982,模板计算相关数据!A:N,2,0)</f>
        <v>24</v>
      </c>
      <c r="X982" s="3" t="s">
        <v>178</v>
      </c>
      <c r="Y982" s="3" t="s">
        <v>223</v>
      </c>
      <c r="Z982" s="95">
        <v>1</v>
      </c>
      <c r="AA982" s="95">
        <v>1</v>
      </c>
      <c r="AB982" s="95">
        <v>1</v>
      </c>
      <c r="AC982" s="95">
        <v>1</v>
      </c>
      <c r="AD982" s="95">
        <v>600</v>
      </c>
      <c r="AE982" s="95">
        <v>0</v>
      </c>
      <c r="AF982" s="95">
        <v>0</v>
      </c>
      <c r="AG982" s="95">
        <v>0</v>
      </c>
      <c r="AH982" s="95">
        <v>0</v>
      </c>
      <c r="AI982" s="95">
        <v>10000</v>
      </c>
      <c r="AJ982" s="3">
        <f>INT(VLOOKUP(U982,模板计算相关数据!A:N,4,0)*VLOOKUP(U982,模板计算相关数据!A:N,14,0)*(1+MAX(0,(VLOOKUP(U982,模板计算相关数据!A:N,7,0)-AQ982))*VLOOKUP(U982,模板计算相关数据!A:N,8,0))*(1-(AL982+AM982)*0.5/((AL982+AM982)*0.5+(VLOOKUP(U982,模板计算相关数据!A:N,2,0)+模板计算相关数据!$AC$27)*模板计算相关数据!$AC$28))*Q982*Z982)</f>
        <v>11954</v>
      </c>
      <c r="AK982" s="3">
        <f>INT(VLOOKUP(U982,模板计算相关数据!A:N,3,0)/模板计算相关数据!$W$35/(1+MAX(0,(AO982/10000-VLOOKUP(U982,模板计算相关数据!A:N,9,0)))*AP982/10000)/(1-VLOOKUP(U982,模板计算相关数据!A:N,5,0)/(VLOOKUP(U982,模板计算相关数据!A:N,5,0)+(VLOOKUP(U982,模板计算相关数据!A:N,2,0)+模板计算相关数据!$AC$27)*模板计算相关数据!$AC$28))/S982*AA982)</f>
        <v>1259</v>
      </c>
      <c r="AL982" s="3">
        <f>INT(VLOOKUP(U982,模板计算相关数据!A:N,5,0)*VLOOKUP(X982,模板计算相关数据!$P$4:$T$7,4,0)*VLOOKUP(Y982,模板计算相关数据!$P$22:$U$30,4,0)*AB982)</f>
        <v>2254</v>
      </c>
      <c r="AM982" s="3">
        <f>INT(VLOOKUP(U982,模板计算相关数据!A:N,6,0)*VLOOKUP(X982,模板计算相关数据!$P$4:$T$7,4,0)*VLOOKUP(Y982,模板计算相关数据!$P$22:$U$30,5,0)*AC982)</f>
        <v>2755</v>
      </c>
      <c r="AN982" s="3">
        <f>VLOOKUP(U982,模板计算相关数据!A:N,10,0)*0.5*VLOOKUP(Y982,模板计算相关数据!$P$22:$U$30,6,0)+AD982</f>
        <v>850</v>
      </c>
      <c r="AO982" s="3">
        <f>VLOOKUP(INT(VLOOKUP(U982,模板计算相关数据!A:N,2,0)/30)+1,模板计算相关数据!$O$35:$U$40,3,0)+AE982</f>
        <v>0</v>
      </c>
      <c r="AP982" s="3">
        <f>VLOOKUP(INT(VLOOKUP(U982,模板计算相关数据!A:N,2,0)/30)+1,模板计算相关数据!$O$35:$U$40,4,0)+AF982</f>
        <v>5000</v>
      </c>
      <c r="AQ982" s="3">
        <f>VLOOKUP(INT(VLOOKUP(U982,模板计算相关数据!A:N,2,0)/30)+1,模板计算相关数据!$O$35:$U$40,5,0)+AG982</f>
        <v>0</v>
      </c>
      <c r="AR982" s="3">
        <f>VLOOKUP(INT(VLOOKUP(U982,模板计算相关数据!A:N,2,0)/30)+1,模板计算相关数据!$O$35:$U$40,6,0)+AH982</f>
        <v>0</v>
      </c>
      <c r="AS982" s="3">
        <f>VLOOKUP(INT(VLOOKUP(U982,模板计算相关数据!A:N,2,0)/30)+1,模板计算相关数据!$O$35:$U$40,7,0)+AI982</f>
        <v>10000</v>
      </c>
      <c r="AT982" s="3">
        <f>VLOOKUP(INT(VLOOKUP(U982,模板计算相关数据!A:N,2,0)/30)+1,模板计算相关数据!$O$35:$V$40,8,0)</f>
        <v>0</v>
      </c>
      <c r="AU982" s="2"/>
    </row>
    <row r="983" spans="1:47" x14ac:dyDescent="0.2">
      <c r="A983" s="86">
        <v>53001021</v>
      </c>
      <c r="B983" s="86"/>
      <c r="C983" s="69" t="s">
        <v>1696</v>
      </c>
      <c r="D983" s="2" t="s">
        <v>1481</v>
      </c>
      <c r="E983" s="2"/>
      <c r="F983" s="3">
        <v>6</v>
      </c>
      <c r="G983" s="3">
        <v>1006101</v>
      </c>
      <c r="H983" s="3">
        <v>6</v>
      </c>
      <c r="I983" s="2">
        <v>4</v>
      </c>
      <c r="J983" s="3">
        <v>6</v>
      </c>
      <c r="K983" s="2">
        <v>1</v>
      </c>
      <c r="L983" s="69" t="s">
        <v>1768</v>
      </c>
      <c r="M983" s="2"/>
      <c r="N983" s="2">
        <v>1</v>
      </c>
      <c r="O983" s="2"/>
      <c r="P983" s="3" t="s">
        <v>1615</v>
      </c>
      <c r="Q983" s="95">
        <v>25</v>
      </c>
      <c r="R983" s="133">
        <f>IF(P983=模板计算相关数据!$AB$24,VLOOKUP(X983,模板计算相关数据!$P$47:$T$50,2,0),VLOOKUP(X983,模板计算相关数据!$P$4:$U$7,3,0))*VLOOKUP(Y983,模板计算相关数据!$P$22:$X$30,8,0)</f>
        <v>20</v>
      </c>
      <c r="S983" s="62">
        <f t="shared" si="80"/>
        <v>3.6363636363636367</v>
      </c>
      <c r="T983" s="133">
        <f>IF(P983=模板计算相关数据!$AB$24,VLOOKUP(X983,模板计算相关数据!$P$47:$T$50,5,0),VLOOKUP(X983,模板计算相关数据!$P$4:$U$7,6,0))*VLOOKUP(Y983,模板计算相关数据!$P$22:$X$30,9,0)</f>
        <v>3.6363636363636367</v>
      </c>
      <c r="U983" s="57">
        <v>56</v>
      </c>
      <c r="V983" s="95">
        <f t="shared" si="82"/>
        <v>27</v>
      </c>
      <c r="W983" s="29">
        <f>VLOOKUP(U983,模板计算相关数据!A:N,2,0)</f>
        <v>24</v>
      </c>
      <c r="X983" s="3" t="s">
        <v>178</v>
      </c>
      <c r="Y983" s="3" t="s">
        <v>223</v>
      </c>
      <c r="Z983" s="95">
        <v>1</v>
      </c>
      <c r="AA983" s="95">
        <v>1</v>
      </c>
      <c r="AB983" s="95">
        <v>1</v>
      </c>
      <c r="AC983" s="95">
        <v>1</v>
      </c>
      <c r="AD983" s="95">
        <v>600</v>
      </c>
      <c r="AE983" s="95">
        <v>0</v>
      </c>
      <c r="AF983" s="95">
        <v>0</v>
      </c>
      <c r="AG983" s="95">
        <v>0</v>
      </c>
      <c r="AH983" s="95">
        <v>0</v>
      </c>
      <c r="AI983" s="95">
        <v>10000</v>
      </c>
      <c r="AJ983" s="3">
        <f>INT(VLOOKUP(U983,模板计算相关数据!A:N,4,0)*VLOOKUP(U983,模板计算相关数据!A:N,14,0)*(1+MAX(0,(VLOOKUP(U983,模板计算相关数据!A:N,7,0)-AQ983))*VLOOKUP(U983,模板计算相关数据!A:N,8,0))*(1-(AL983+AM983)*0.5/((AL983+AM983)*0.5+(VLOOKUP(U983,模板计算相关数据!A:N,2,0)+模板计算相关数据!$AC$27)*模板计算相关数据!$AC$28))*Q983*Z983)</f>
        <v>11954</v>
      </c>
      <c r="AK983" s="3">
        <f>INT(VLOOKUP(U983,模板计算相关数据!A:N,3,0)/模板计算相关数据!$W$35/(1+MAX(0,(AO983/10000-VLOOKUP(U983,模板计算相关数据!A:N,9,0)))*AP983/10000)/(1-VLOOKUP(U983,模板计算相关数据!A:N,5,0)/(VLOOKUP(U983,模板计算相关数据!A:N,5,0)+(VLOOKUP(U983,模板计算相关数据!A:N,2,0)+模板计算相关数据!$AC$27)*模板计算相关数据!$AC$28))/S983*AA983)</f>
        <v>1259</v>
      </c>
      <c r="AL983" s="3">
        <f>INT(VLOOKUP(U983,模板计算相关数据!A:N,5,0)*VLOOKUP(X983,模板计算相关数据!$P$4:$T$7,4,0)*VLOOKUP(Y983,模板计算相关数据!$P$22:$U$30,4,0)*AB983)</f>
        <v>2254</v>
      </c>
      <c r="AM983" s="3">
        <f>INT(VLOOKUP(U983,模板计算相关数据!A:N,6,0)*VLOOKUP(X983,模板计算相关数据!$P$4:$T$7,4,0)*VLOOKUP(Y983,模板计算相关数据!$P$22:$U$30,5,0)*AC983)</f>
        <v>2755</v>
      </c>
      <c r="AN983" s="3">
        <f>VLOOKUP(U983,模板计算相关数据!A:N,10,0)*0.5*VLOOKUP(Y983,模板计算相关数据!$P$22:$U$30,6,0)+AD983</f>
        <v>850</v>
      </c>
      <c r="AO983" s="3">
        <f>VLOOKUP(INT(VLOOKUP(U983,模板计算相关数据!A:N,2,0)/30)+1,模板计算相关数据!$O$35:$U$40,3,0)+AE983</f>
        <v>0</v>
      </c>
      <c r="AP983" s="3">
        <f>VLOOKUP(INT(VLOOKUP(U983,模板计算相关数据!A:N,2,0)/30)+1,模板计算相关数据!$O$35:$U$40,4,0)+AF983</f>
        <v>5000</v>
      </c>
      <c r="AQ983" s="3">
        <f>VLOOKUP(INT(VLOOKUP(U983,模板计算相关数据!A:N,2,0)/30)+1,模板计算相关数据!$O$35:$U$40,5,0)+AG983</f>
        <v>0</v>
      </c>
      <c r="AR983" s="3">
        <f>VLOOKUP(INT(VLOOKUP(U983,模板计算相关数据!A:N,2,0)/30)+1,模板计算相关数据!$O$35:$U$40,6,0)+AH983</f>
        <v>0</v>
      </c>
      <c r="AS983" s="3">
        <f>VLOOKUP(INT(VLOOKUP(U983,模板计算相关数据!A:N,2,0)/30)+1,模板计算相关数据!$O$35:$U$40,7,0)+AI983</f>
        <v>10000</v>
      </c>
      <c r="AT983" s="3">
        <f>VLOOKUP(INT(VLOOKUP(U983,模板计算相关数据!A:N,2,0)/30)+1,模板计算相关数据!$O$35:$V$40,8,0)</f>
        <v>0</v>
      </c>
      <c r="AU983" s="2"/>
    </row>
    <row r="984" spans="1:47" x14ac:dyDescent="0.2">
      <c r="A984" s="86">
        <v>53001031</v>
      </c>
      <c r="B984" s="86"/>
      <c r="C984" s="69" t="s">
        <v>1696</v>
      </c>
      <c r="D984" s="2" t="s">
        <v>1482</v>
      </c>
      <c r="E984" s="2"/>
      <c r="F984" s="3">
        <v>6</v>
      </c>
      <c r="G984" s="3">
        <v>1006101</v>
      </c>
      <c r="H984" s="3">
        <v>6</v>
      </c>
      <c r="I984" s="2">
        <v>4</v>
      </c>
      <c r="J984" s="3">
        <v>6</v>
      </c>
      <c r="K984" s="2">
        <v>1</v>
      </c>
      <c r="L984" s="69" t="s">
        <v>1768</v>
      </c>
      <c r="M984" s="2"/>
      <c r="N984" s="2">
        <v>1</v>
      </c>
      <c r="O984" s="2"/>
      <c r="P984" s="3" t="s">
        <v>1615</v>
      </c>
      <c r="Q984" s="95">
        <v>25</v>
      </c>
      <c r="R984" s="133">
        <f>IF(P984=模板计算相关数据!$AB$24,VLOOKUP(X984,模板计算相关数据!$P$47:$T$50,2,0),VLOOKUP(X984,模板计算相关数据!$P$4:$U$7,3,0))*VLOOKUP(Y984,模板计算相关数据!$P$22:$X$30,8,0)</f>
        <v>20</v>
      </c>
      <c r="S984" s="62">
        <f t="shared" si="80"/>
        <v>3.6363636363636367</v>
      </c>
      <c r="T984" s="133">
        <f>IF(P984=模板计算相关数据!$AB$24,VLOOKUP(X984,模板计算相关数据!$P$47:$T$50,5,0),VLOOKUP(X984,模板计算相关数据!$P$4:$U$7,6,0))*VLOOKUP(Y984,模板计算相关数据!$P$22:$X$30,9,0)</f>
        <v>3.6363636363636367</v>
      </c>
      <c r="U984" s="57">
        <v>56</v>
      </c>
      <c r="V984" s="95">
        <f t="shared" si="82"/>
        <v>27</v>
      </c>
      <c r="W984" s="29">
        <f>VLOOKUP(U984,模板计算相关数据!A:N,2,0)</f>
        <v>24</v>
      </c>
      <c r="X984" s="3" t="s">
        <v>178</v>
      </c>
      <c r="Y984" s="3" t="s">
        <v>223</v>
      </c>
      <c r="Z984" s="95">
        <v>1</v>
      </c>
      <c r="AA984" s="95">
        <v>1</v>
      </c>
      <c r="AB984" s="95">
        <v>1</v>
      </c>
      <c r="AC984" s="95">
        <v>1</v>
      </c>
      <c r="AD984" s="95">
        <v>600</v>
      </c>
      <c r="AE984" s="95">
        <v>0</v>
      </c>
      <c r="AF984" s="95">
        <v>0</v>
      </c>
      <c r="AG984" s="95">
        <v>0</v>
      </c>
      <c r="AH984" s="95">
        <v>0</v>
      </c>
      <c r="AI984" s="95">
        <v>10000</v>
      </c>
      <c r="AJ984" s="3">
        <f>INT(VLOOKUP(U984,模板计算相关数据!A:N,4,0)*VLOOKUP(U984,模板计算相关数据!A:N,14,0)*(1+MAX(0,(VLOOKUP(U984,模板计算相关数据!A:N,7,0)-AQ984))*VLOOKUP(U984,模板计算相关数据!A:N,8,0))*(1-(AL984+AM984)*0.5/((AL984+AM984)*0.5+(VLOOKUP(U984,模板计算相关数据!A:N,2,0)+模板计算相关数据!$AC$27)*模板计算相关数据!$AC$28))*Q984*Z984)</f>
        <v>11954</v>
      </c>
      <c r="AK984" s="3">
        <f>INT(VLOOKUP(U984,模板计算相关数据!A:N,3,0)/模板计算相关数据!$W$35/(1+MAX(0,(AO984/10000-VLOOKUP(U984,模板计算相关数据!A:N,9,0)))*AP984/10000)/(1-VLOOKUP(U984,模板计算相关数据!A:N,5,0)/(VLOOKUP(U984,模板计算相关数据!A:N,5,0)+(VLOOKUP(U984,模板计算相关数据!A:N,2,0)+模板计算相关数据!$AC$27)*模板计算相关数据!$AC$28))/S984*AA984)</f>
        <v>1259</v>
      </c>
      <c r="AL984" s="3">
        <f>INT(VLOOKUP(U984,模板计算相关数据!A:N,5,0)*VLOOKUP(X984,模板计算相关数据!$P$4:$T$7,4,0)*VLOOKUP(Y984,模板计算相关数据!$P$22:$U$30,4,0)*AB984)</f>
        <v>2254</v>
      </c>
      <c r="AM984" s="3">
        <f>INT(VLOOKUP(U984,模板计算相关数据!A:N,6,0)*VLOOKUP(X984,模板计算相关数据!$P$4:$T$7,4,0)*VLOOKUP(Y984,模板计算相关数据!$P$22:$U$30,5,0)*AC984)</f>
        <v>2755</v>
      </c>
      <c r="AN984" s="3">
        <f>VLOOKUP(U984,模板计算相关数据!A:N,10,0)*0.5*VLOOKUP(Y984,模板计算相关数据!$P$22:$U$30,6,0)+AD984</f>
        <v>850</v>
      </c>
      <c r="AO984" s="3">
        <f>VLOOKUP(INT(VLOOKUP(U984,模板计算相关数据!A:N,2,0)/30)+1,模板计算相关数据!$O$35:$U$40,3,0)+AE984</f>
        <v>0</v>
      </c>
      <c r="AP984" s="3">
        <f>VLOOKUP(INT(VLOOKUP(U984,模板计算相关数据!A:N,2,0)/30)+1,模板计算相关数据!$O$35:$U$40,4,0)+AF984</f>
        <v>5000</v>
      </c>
      <c r="AQ984" s="3">
        <f>VLOOKUP(INT(VLOOKUP(U984,模板计算相关数据!A:N,2,0)/30)+1,模板计算相关数据!$O$35:$U$40,5,0)+AG984</f>
        <v>0</v>
      </c>
      <c r="AR984" s="3">
        <f>VLOOKUP(INT(VLOOKUP(U984,模板计算相关数据!A:N,2,0)/30)+1,模板计算相关数据!$O$35:$U$40,6,0)+AH984</f>
        <v>0</v>
      </c>
      <c r="AS984" s="3">
        <f>VLOOKUP(INT(VLOOKUP(U984,模板计算相关数据!A:N,2,0)/30)+1,模板计算相关数据!$O$35:$U$40,7,0)+AI984</f>
        <v>10000</v>
      </c>
      <c r="AT984" s="3">
        <f>VLOOKUP(INT(VLOOKUP(U984,模板计算相关数据!A:N,2,0)/30)+1,模板计算相关数据!$O$35:$V$40,8,0)</f>
        <v>0</v>
      </c>
      <c r="AU984" s="2"/>
    </row>
    <row r="985" spans="1:47" x14ac:dyDescent="0.2">
      <c r="A985" s="86">
        <v>53001041</v>
      </c>
      <c r="B985" s="86"/>
      <c r="C985" s="69" t="s">
        <v>1696</v>
      </c>
      <c r="D985" s="2" t="s">
        <v>1483</v>
      </c>
      <c r="E985" s="2"/>
      <c r="F985" s="3">
        <v>6</v>
      </c>
      <c r="G985" s="3">
        <v>1006101</v>
      </c>
      <c r="H985" s="3">
        <v>6</v>
      </c>
      <c r="I985" s="2">
        <v>4</v>
      </c>
      <c r="J985" s="3">
        <v>6</v>
      </c>
      <c r="K985" s="2">
        <v>1</v>
      </c>
      <c r="L985" s="69" t="s">
        <v>1768</v>
      </c>
      <c r="M985" s="2"/>
      <c r="N985" s="2">
        <v>1</v>
      </c>
      <c r="O985" s="2"/>
      <c r="P985" s="3" t="s">
        <v>1615</v>
      </c>
      <c r="Q985" s="95">
        <v>25</v>
      </c>
      <c r="R985" s="133">
        <f>IF(P985=模板计算相关数据!$AB$24,VLOOKUP(X985,模板计算相关数据!$P$47:$T$50,2,0),VLOOKUP(X985,模板计算相关数据!$P$4:$U$7,3,0))*VLOOKUP(Y985,模板计算相关数据!$P$22:$X$30,8,0)</f>
        <v>20</v>
      </c>
      <c r="S985" s="62">
        <f t="shared" si="80"/>
        <v>3.6363636363636367</v>
      </c>
      <c r="T985" s="133">
        <f>IF(P985=模板计算相关数据!$AB$24,VLOOKUP(X985,模板计算相关数据!$P$47:$T$50,5,0),VLOOKUP(X985,模板计算相关数据!$P$4:$U$7,6,0))*VLOOKUP(Y985,模板计算相关数据!$P$22:$X$30,9,0)</f>
        <v>3.6363636363636367</v>
      </c>
      <c r="U985" s="57">
        <v>56</v>
      </c>
      <c r="V985" s="95">
        <f t="shared" si="82"/>
        <v>27</v>
      </c>
      <c r="W985" s="29">
        <f>VLOOKUP(U985,模板计算相关数据!A:N,2,0)</f>
        <v>24</v>
      </c>
      <c r="X985" s="3" t="s">
        <v>178</v>
      </c>
      <c r="Y985" s="3" t="s">
        <v>223</v>
      </c>
      <c r="Z985" s="95">
        <v>1</v>
      </c>
      <c r="AA985" s="95">
        <v>1</v>
      </c>
      <c r="AB985" s="95">
        <v>1</v>
      </c>
      <c r="AC985" s="95">
        <v>1</v>
      </c>
      <c r="AD985" s="95">
        <v>600</v>
      </c>
      <c r="AE985" s="95">
        <v>0</v>
      </c>
      <c r="AF985" s="95">
        <v>0</v>
      </c>
      <c r="AG985" s="95">
        <v>0</v>
      </c>
      <c r="AH985" s="95">
        <v>0</v>
      </c>
      <c r="AI985" s="95">
        <v>10000</v>
      </c>
      <c r="AJ985" s="3">
        <f>INT(VLOOKUP(U985,模板计算相关数据!A:N,4,0)*VLOOKUP(U985,模板计算相关数据!A:N,14,0)*(1+MAX(0,(VLOOKUP(U985,模板计算相关数据!A:N,7,0)-AQ985))*VLOOKUP(U985,模板计算相关数据!A:N,8,0))*(1-(AL985+AM985)*0.5/((AL985+AM985)*0.5+(VLOOKUP(U985,模板计算相关数据!A:N,2,0)+模板计算相关数据!$AC$27)*模板计算相关数据!$AC$28))*Q985*Z985)</f>
        <v>11954</v>
      </c>
      <c r="AK985" s="3">
        <f>INT(VLOOKUP(U985,模板计算相关数据!A:N,3,0)/模板计算相关数据!$W$35/(1+MAX(0,(AO985/10000-VLOOKUP(U985,模板计算相关数据!A:N,9,0)))*AP985/10000)/(1-VLOOKUP(U985,模板计算相关数据!A:N,5,0)/(VLOOKUP(U985,模板计算相关数据!A:N,5,0)+(VLOOKUP(U985,模板计算相关数据!A:N,2,0)+模板计算相关数据!$AC$27)*模板计算相关数据!$AC$28))/S985*AA985)</f>
        <v>1259</v>
      </c>
      <c r="AL985" s="3">
        <f>INT(VLOOKUP(U985,模板计算相关数据!A:N,5,0)*VLOOKUP(X985,模板计算相关数据!$P$4:$T$7,4,0)*VLOOKUP(Y985,模板计算相关数据!$P$22:$U$30,4,0)*AB985)</f>
        <v>2254</v>
      </c>
      <c r="AM985" s="3">
        <f>INT(VLOOKUP(U985,模板计算相关数据!A:N,6,0)*VLOOKUP(X985,模板计算相关数据!$P$4:$T$7,4,0)*VLOOKUP(Y985,模板计算相关数据!$P$22:$U$30,5,0)*AC985)</f>
        <v>2755</v>
      </c>
      <c r="AN985" s="3">
        <f>VLOOKUP(U985,模板计算相关数据!A:N,10,0)*0.5*VLOOKUP(Y985,模板计算相关数据!$P$22:$U$30,6,0)+AD985</f>
        <v>850</v>
      </c>
      <c r="AO985" s="3">
        <f>VLOOKUP(INT(VLOOKUP(U985,模板计算相关数据!A:N,2,0)/30)+1,模板计算相关数据!$O$35:$U$40,3,0)+AE985</f>
        <v>0</v>
      </c>
      <c r="AP985" s="3">
        <f>VLOOKUP(INT(VLOOKUP(U985,模板计算相关数据!A:N,2,0)/30)+1,模板计算相关数据!$O$35:$U$40,4,0)+AF985</f>
        <v>5000</v>
      </c>
      <c r="AQ985" s="3">
        <f>VLOOKUP(INT(VLOOKUP(U985,模板计算相关数据!A:N,2,0)/30)+1,模板计算相关数据!$O$35:$U$40,5,0)+AG985</f>
        <v>0</v>
      </c>
      <c r="AR985" s="3">
        <f>VLOOKUP(INT(VLOOKUP(U985,模板计算相关数据!A:N,2,0)/30)+1,模板计算相关数据!$O$35:$U$40,6,0)+AH985</f>
        <v>0</v>
      </c>
      <c r="AS985" s="3">
        <f>VLOOKUP(INT(VLOOKUP(U985,模板计算相关数据!A:N,2,0)/30)+1,模板计算相关数据!$O$35:$U$40,7,0)+AI985</f>
        <v>10000</v>
      </c>
      <c r="AT985" s="3">
        <f>VLOOKUP(INT(VLOOKUP(U985,模板计算相关数据!A:N,2,0)/30)+1,模板计算相关数据!$O$35:$V$40,8,0)</f>
        <v>0</v>
      </c>
      <c r="AU985" s="2"/>
    </row>
    <row r="986" spans="1:47" x14ac:dyDescent="0.2">
      <c r="A986" s="86">
        <v>53001051</v>
      </c>
      <c r="B986" s="86"/>
      <c r="C986" s="69" t="s">
        <v>1696</v>
      </c>
      <c r="D986" s="2" t="s">
        <v>1484</v>
      </c>
      <c r="E986" s="2"/>
      <c r="F986" s="3">
        <v>6</v>
      </c>
      <c r="G986" s="3">
        <v>1006101</v>
      </c>
      <c r="H986" s="3">
        <v>6</v>
      </c>
      <c r="I986" s="2">
        <v>4</v>
      </c>
      <c r="J986" s="3">
        <v>6</v>
      </c>
      <c r="K986" s="2">
        <v>1</v>
      </c>
      <c r="L986" s="69" t="s">
        <v>1768</v>
      </c>
      <c r="M986" s="2"/>
      <c r="N986" s="2">
        <v>1</v>
      </c>
      <c r="O986" s="2"/>
      <c r="P986" s="3" t="s">
        <v>1615</v>
      </c>
      <c r="Q986" s="95">
        <v>25</v>
      </c>
      <c r="R986" s="133">
        <f>IF(P986=模板计算相关数据!$AB$24,VLOOKUP(X986,模板计算相关数据!$P$47:$T$50,2,0),VLOOKUP(X986,模板计算相关数据!$P$4:$U$7,3,0))*VLOOKUP(Y986,模板计算相关数据!$P$22:$X$30,8,0)</f>
        <v>20</v>
      </c>
      <c r="S986" s="62">
        <f t="shared" si="80"/>
        <v>3.6363636363636367</v>
      </c>
      <c r="T986" s="133">
        <f>IF(P986=模板计算相关数据!$AB$24,VLOOKUP(X986,模板计算相关数据!$P$47:$T$50,5,0),VLOOKUP(X986,模板计算相关数据!$P$4:$U$7,6,0))*VLOOKUP(Y986,模板计算相关数据!$P$22:$X$30,9,0)</f>
        <v>3.6363636363636367</v>
      </c>
      <c r="U986" s="57">
        <v>56</v>
      </c>
      <c r="V986" s="95">
        <f t="shared" si="82"/>
        <v>27</v>
      </c>
      <c r="W986" s="29">
        <f>VLOOKUP(U986,模板计算相关数据!A:N,2,0)</f>
        <v>24</v>
      </c>
      <c r="X986" s="3" t="s">
        <v>178</v>
      </c>
      <c r="Y986" s="3" t="s">
        <v>223</v>
      </c>
      <c r="Z986" s="95">
        <v>1</v>
      </c>
      <c r="AA986" s="95">
        <v>1</v>
      </c>
      <c r="AB986" s="95">
        <v>1</v>
      </c>
      <c r="AC986" s="95">
        <v>1</v>
      </c>
      <c r="AD986" s="95">
        <v>600</v>
      </c>
      <c r="AE986" s="95">
        <v>0</v>
      </c>
      <c r="AF986" s="95">
        <v>0</v>
      </c>
      <c r="AG986" s="95">
        <v>0</v>
      </c>
      <c r="AH986" s="95">
        <v>0</v>
      </c>
      <c r="AI986" s="95">
        <v>10000</v>
      </c>
      <c r="AJ986" s="3">
        <f>INT(VLOOKUP(U986,模板计算相关数据!A:N,4,0)*VLOOKUP(U986,模板计算相关数据!A:N,14,0)*(1+MAX(0,(VLOOKUP(U986,模板计算相关数据!A:N,7,0)-AQ986))*VLOOKUP(U986,模板计算相关数据!A:N,8,0))*(1-(AL986+AM986)*0.5/((AL986+AM986)*0.5+(VLOOKUP(U986,模板计算相关数据!A:N,2,0)+模板计算相关数据!$AC$27)*模板计算相关数据!$AC$28))*Q986*Z986)</f>
        <v>11954</v>
      </c>
      <c r="AK986" s="3">
        <f>INT(VLOOKUP(U986,模板计算相关数据!A:N,3,0)/模板计算相关数据!$W$35/(1+MAX(0,(AO986/10000-VLOOKUP(U986,模板计算相关数据!A:N,9,0)))*AP986/10000)/(1-VLOOKUP(U986,模板计算相关数据!A:N,5,0)/(VLOOKUP(U986,模板计算相关数据!A:N,5,0)+(VLOOKUP(U986,模板计算相关数据!A:N,2,0)+模板计算相关数据!$AC$27)*模板计算相关数据!$AC$28))/S986*AA986)</f>
        <v>1259</v>
      </c>
      <c r="AL986" s="3">
        <f>INT(VLOOKUP(U986,模板计算相关数据!A:N,5,0)*VLOOKUP(X986,模板计算相关数据!$P$4:$T$7,4,0)*VLOOKUP(Y986,模板计算相关数据!$P$22:$U$30,4,0)*AB986)</f>
        <v>2254</v>
      </c>
      <c r="AM986" s="3">
        <f>INT(VLOOKUP(U986,模板计算相关数据!A:N,6,0)*VLOOKUP(X986,模板计算相关数据!$P$4:$T$7,4,0)*VLOOKUP(Y986,模板计算相关数据!$P$22:$U$30,5,0)*AC986)</f>
        <v>2755</v>
      </c>
      <c r="AN986" s="3">
        <f>VLOOKUP(U986,模板计算相关数据!A:N,10,0)*0.5*VLOOKUP(Y986,模板计算相关数据!$P$22:$U$30,6,0)+AD986</f>
        <v>850</v>
      </c>
      <c r="AO986" s="3">
        <f>VLOOKUP(INT(VLOOKUP(U986,模板计算相关数据!A:N,2,0)/30)+1,模板计算相关数据!$O$35:$U$40,3,0)+AE986</f>
        <v>0</v>
      </c>
      <c r="AP986" s="3">
        <f>VLOOKUP(INT(VLOOKUP(U986,模板计算相关数据!A:N,2,0)/30)+1,模板计算相关数据!$O$35:$U$40,4,0)+AF986</f>
        <v>5000</v>
      </c>
      <c r="AQ986" s="3">
        <f>VLOOKUP(INT(VLOOKUP(U986,模板计算相关数据!A:N,2,0)/30)+1,模板计算相关数据!$O$35:$U$40,5,0)+AG986</f>
        <v>0</v>
      </c>
      <c r="AR986" s="3">
        <f>VLOOKUP(INT(VLOOKUP(U986,模板计算相关数据!A:N,2,0)/30)+1,模板计算相关数据!$O$35:$U$40,6,0)+AH986</f>
        <v>0</v>
      </c>
      <c r="AS986" s="3">
        <f>VLOOKUP(INT(VLOOKUP(U986,模板计算相关数据!A:N,2,0)/30)+1,模板计算相关数据!$O$35:$U$40,7,0)+AI986</f>
        <v>10000</v>
      </c>
      <c r="AT986" s="3">
        <f>VLOOKUP(INT(VLOOKUP(U986,模板计算相关数据!A:N,2,0)/30)+1,模板计算相关数据!$O$35:$V$40,8,0)</f>
        <v>0</v>
      </c>
      <c r="AU986" s="2"/>
    </row>
    <row r="987" spans="1:47" x14ac:dyDescent="0.2">
      <c r="A987" s="35">
        <v>53002011</v>
      </c>
      <c r="B987" s="35"/>
      <c r="C987" s="34" t="s">
        <v>1752</v>
      </c>
      <c r="D987" s="2" t="s">
        <v>1485</v>
      </c>
      <c r="E987" s="2"/>
      <c r="F987" s="3">
        <v>6</v>
      </c>
      <c r="G987" s="3">
        <v>1005901</v>
      </c>
      <c r="H987" s="3">
        <v>6</v>
      </c>
      <c r="I987" s="2">
        <v>4</v>
      </c>
      <c r="J987" s="3">
        <v>6</v>
      </c>
      <c r="K987" s="2">
        <v>1</v>
      </c>
      <c r="L987" s="69" t="s">
        <v>1799</v>
      </c>
      <c r="M987" s="2"/>
      <c r="N987" s="2">
        <v>1</v>
      </c>
      <c r="O987" s="2"/>
      <c r="P987" s="3" t="s">
        <v>1615</v>
      </c>
      <c r="Q987" s="95">
        <v>25</v>
      </c>
      <c r="R987" s="133">
        <f>IF(P987=模板计算相关数据!$AB$24,VLOOKUP(X987,模板计算相关数据!$P$47:$T$50,2,0),VLOOKUP(X987,模板计算相关数据!$P$4:$U$7,3,0))*VLOOKUP(Y987,模板计算相关数据!$P$22:$X$30,8,0)</f>
        <v>20</v>
      </c>
      <c r="S987" s="62">
        <f t="shared" si="80"/>
        <v>3.6363636363636367</v>
      </c>
      <c r="T987" s="133">
        <f>IF(P987=模板计算相关数据!$AB$24,VLOOKUP(X987,模板计算相关数据!$P$47:$T$50,5,0),VLOOKUP(X987,模板计算相关数据!$P$4:$U$7,6,0))*VLOOKUP(Y987,模板计算相关数据!$P$22:$X$30,9,0)</f>
        <v>3.6363636363636367</v>
      </c>
      <c r="U987" s="57">
        <v>54</v>
      </c>
      <c r="V987" s="95">
        <f t="shared" si="82"/>
        <v>18</v>
      </c>
      <c r="W987" s="29">
        <f>VLOOKUP(U987,模板计算相关数据!A:N,2,0)</f>
        <v>15</v>
      </c>
      <c r="X987" s="3" t="s">
        <v>178</v>
      </c>
      <c r="Y987" s="3" t="s">
        <v>223</v>
      </c>
      <c r="Z987" s="95">
        <v>1</v>
      </c>
      <c r="AA987" s="95">
        <v>1</v>
      </c>
      <c r="AB987" s="95">
        <v>1</v>
      </c>
      <c r="AC987" s="95">
        <v>1</v>
      </c>
      <c r="AD987" s="95">
        <v>600</v>
      </c>
      <c r="AE987" s="95">
        <v>0</v>
      </c>
      <c r="AF987" s="95">
        <v>0</v>
      </c>
      <c r="AG987" s="95">
        <v>0</v>
      </c>
      <c r="AH987" s="95">
        <v>0</v>
      </c>
      <c r="AI987" s="95">
        <v>10000</v>
      </c>
      <c r="AJ987" s="3">
        <f>INT(VLOOKUP(U987,模板计算相关数据!A:N,4,0)*VLOOKUP(U987,模板计算相关数据!A:N,14,0)*(1+MAX(0,(VLOOKUP(U987,模板计算相关数据!A:N,7,0)-AQ987))*VLOOKUP(U987,模板计算相关数据!A:N,8,0))*(1-(AL987+AM987)*0.5/((AL987+AM987)*0.5+(VLOOKUP(U987,模板计算相关数据!A:N,2,0)+模板计算相关数据!$AC$27)*模板计算相关数据!$AC$28))*Q987*Z987)</f>
        <v>6299</v>
      </c>
      <c r="AK987" s="3">
        <f>INT(VLOOKUP(U987,模板计算相关数据!A:N,3,0)/模板计算相关数据!$W$35/(1+MAX(0,(AO987/10000-VLOOKUP(U987,模板计算相关数据!A:N,9,0)))*AP987/10000)/(1-VLOOKUP(U987,模板计算相关数据!A:N,5,0)/(VLOOKUP(U987,模板计算相关数据!A:N,5,0)+(VLOOKUP(U987,模板计算相关数据!A:N,2,0)+模板计算相关数据!$AC$27)*模板计算相关数据!$AC$28))/S987*AA987)</f>
        <v>562</v>
      </c>
      <c r="AL987" s="3">
        <f>INT(VLOOKUP(U987,模板计算相关数据!A:N,5,0)*VLOOKUP(X987,模板计算相关数据!$P$4:$T$7,4,0)*VLOOKUP(Y987,模板计算相关数据!$P$22:$U$30,4,0)*AB987)</f>
        <v>1184</v>
      </c>
      <c r="AM987" s="3">
        <f>INT(VLOOKUP(U987,模板计算相关数据!A:N,6,0)*VLOOKUP(X987,模板计算相关数据!$P$4:$T$7,4,0)*VLOOKUP(Y987,模板计算相关数据!$P$22:$U$30,5,0)*AC987)</f>
        <v>1184</v>
      </c>
      <c r="AN987" s="3">
        <f>VLOOKUP(U987,模板计算相关数据!A:N,10,0)*0.5*VLOOKUP(Y987,模板计算相关数据!$P$22:$U$30,6,0)+AD987</f>
        <v>850</v>
      </c>
      <c r="AO987" s="3">
        <f>VLOOKUP(INT(VLOOKUP(U987,模板计算相关数据!A:N,2,0)/30)+1,模板计算相关数据!$O$35:$U$40,3,0)+AE987</f>
        <v>0</v>
      </c>
      <c r="AP987" s="3">
        <f>VLOOKUP(INT(VLOOKUP(U987,模板计算相关数据!A:N,2,0)/30)+1,模板计算相关数据!$O$35:$U$40,4,0)+AF987</f>
        <v>5000</v>
      </c>
      <c r="AQ987" s="3">
        <f>VLOOKUP(INT(VLOOKUP(U987,模板计算相关数据!A:N,2,0)/30)+1,模板计算相关数据!$O$35:$U$40,5,0)+AG987</f>
        <v>0</v>
      </c>
      <c r="AR987" s="3">
        <f>VLOOKUP(INT(VLOOKUP(U987,模板计算相关数据!A:N,2,0)/30)+1,模板计算相关数据!$O$35:$U$40,6,0)+AH987</f>
        <v>0</v>
      </c>
      <c r="AS987" s="3">
        <f>VLOOKUP(INT(VLOOKUP(U987,模板计算相关数据!A:N,2,0)/30)+1,模板计算相关数据!$O$35:$U$40,7,0)+AI987</f>
        <v>10000</v>
      </c>
      <c r="AT987" s="3">
        <f>VLOOKUP(INT(VLOOKUP(U987,模板计算相关数据!A:N,2,0)/30)+1,模板计算相关数据!$O$35:$V$40,8,0)</f>
        <v>0</v>
      </c>
      <c r="AU987" s="2"/>
    </row>
    <row r="988" spans="1:47" x14ac:dyDescent="0.2">
      <c r="A988" s="86">
        <v>53002021</v>
      </c>
      <c r="B988" s="86"/>
      <c r="C988" s="69" t="s">
        <v>1749</v>
      </c>
      <c r="D988" s="2" t="s">
        <v>1486</v>
      </c>
      <c r="E988" s="2"/>
      <c r="F988" s="3">
        <v>6</v>
      </c>
      <c r="G988" s="3">
        <v>1005901</v>
      </c>
      <c r="H988" s="3">
        <v>6</v>
      </c>
      <c r="I988" s="2">
        <v>4</v>
      </c>
      <c r="J988" s="3">
        <v>6</v>
      </c>
      <c r="K988" s="2">
        <v>1</v>
      </c>
      <c r="L988" s="69" t="s">
        <v>1799</v>
      </c>
      <c r="M988" s="2"/>
      <c r="N988" s="2">
        <v>1</v>
      </c>
      <c r="O988" s="2"/>
      <c r="P988" s="3" t="s">
        <v>1615</v>
      </c>
      <c r="Q988" s="95">
        <v>25</v>
      </c>
      <c r="R988" s="133">
        <f>IF(P988=模板计算相关数据!$AB$24,VLOOKUP(X988,模板计算相关数据!$P$47:$T$50,2,0),VLOOKUP(X988,模板计算相关数据!$P$4:$U$7,3,0))*VLOOKUP(Y988,模板计算相关数据!$P$22:$X$30,8,0)</f>
        <v>20</v>
      </c>
      <c r="S988" s="62">
        <f t="shared" si="80"/>
        <v>3.6363636363636367</v>
      </c>
      <c r="T988" s="133">
        <f>IF(P988=模板计算相关数据!$AB$24,VLOOKUP(X988,模板计算相关数据!$P$47:$T$50,5,0),VLOOKUP(X988,模板计算相关数据!$P$4:$U$7,6,0))*VLOOKUP(Y988,模板计算相关数据!$P$22:$X$30,9,0)</f>
        <v>3.6363636363636367</v>
      </c>
      <c r="U988" s="57">
        <v>57</v>
      </c>
      <c r="V988" s="95">
        <f t="shared" si="82"/>
        <v>31</v>
      </c>
      <c r="W988" s="29">
        <f>VLOOKUP(U988,模板计算相关数据!A:N,2,0)</f>
        <v>28</v>
      </c>
      <c r="X988" s="3" t="s">
        <v>178</v>
      </c>
      <c r="Y988" s="3" t="s">
        <v>223</v>
      </c>
      <c r="Z988" s="95">
        <v>1</v>
      </c>
      <c r="AA988" s="95">
        <v>1</v>
      </c>
      <c r="AB988" s="95">
        <v>1</v>
      </c>
      <c r="AC988" s="95">
        <v>1</v>
      </c>
      <c r="AD988" s="95">
        <v>600</v>
      </c>
      <c r="AE988" s="95">
        <v>0</v>
      </c>
      <c r="AF988" s="95">
        <v>0</v>
      </c>
      <c r="AG988" s="95">
        <v>0</v>
      </c>
      <c r="AH988" s="95">
        <v>0</v>
      </c>
      <c r="AI988" s="95">
        <v>10000</v>
      </c>
      <c r="AJ988" s="3">
        <f>INT(VLOOKUP(U988,模板计算相关数据!A:N,4,0)*VLOOKUP(U988,模板计算相关数据!A:N,14,0)*(1+MAX(0,(VLOOKUP(U988,模板计算相关数据!A:N,7,0)-AQ988))*VLOOKUP(U988,模板计算相关数据!A:N,8,0))*(1-(AL988+AM988)*0.5/((AL988+AM988)*0.5+(VLOOKUP(U988,模板计算相关数据!A:N,2,0)+模板计算相关数据!$AC$27)*模板计算相关数据!$AC$28))*Q988*Z988)</f>
        <v>13109</v>
      </c>
      <c r="AK988" s="3">
        <f>INT(VLOOKUP(U988,模板计算相关数据!A:N,3,0)/模板计算相关数据!$W$35/(1+MAX(0,(AO988/10000-VLOOKUP(U988,模板计算相关数据!A:N,9,0)))*AP988/10000)/(1-VLOOKUP(U988,模板计算相关数据!A:N,5,0)/(VLOOKUP(U988,模板计算相关数据!A:N,5,0)+(VLOOKUP(U988,模板计算相关数据!A:N,2,0)+模板计算相关数据!$AC$27)*模板计算相关数据!$AC$28))/S988*AA988)</f>
        <v>1608</v>
      </c>
      <c r="AL988" s="3">
        <f>INT(VLOOKUP(U988,模板计算相关数据!A:N,5,0)*VLOOKUP(X988,模板计算相关数据!$P$4:$T$7,4,0)*VLOOKUP(Y988,模板计算相关数据!$P$22:$U$30,4,0)*AB988)</f>
        <v>3020</v>
      </c>
      <c r="AM988" s="3">
        <f>INT(VLOOKUP(U988,模板计算相关数据!A:N,6,0)*VLOOKUP(X988,模板计算相关数据!$P$4:$T$7,4,0)*VLOOKUP(Y988,模板计算相关数据!$P$22:$U$30,5,0)*AC988)</f>
        <v>3020</v>
      </c>
      <c r="AN988" s="3">
        <f>VLOOKUP(U988,模板计算相关数据!A:N,10,0)*0.5*VLOOKUP(Y988,模板计算相关数据!$P$22:$U$30,6,0)+AD988</f>
        <v>850</v>
      </c>
      <c r="AO988" s="3">
        <f>VLOOKUP(INT(VLOOKUP(U988,模板计算相关数据!A:N,2,0)/30)+1,模板计算相关数据!$O$35:$U$40,3,0)+AE988</f>
        <v>0</v>
      </c>
      <c r="AP988" s="3">
        <f>VLOOKUP(INT(VLOOKUP(U988,模板计算相关数据!A:N,2,0)/30)+1,模板计算相关数据!$O$35:$U$40,4,0)+AF988</f>
        <v>5000</v>
      </c>
      <c r="AQ988" s="3">
        <f>VLOOKUP(INT(VLOOKUP(U988,模板计算相关数据!A:N,2,0)/30)+1,模板计算相关数据!$O$35:$U$40,5,0)+AG988</f>
        <v>0</v>
      </c>
      <c r="AR988" s="3">
        <f>VLOOKUP(INT(VLOOKUP(U988,模板计算相关数据!A:N,2,0)/30)+1,模板计算相关数据!$O$35:$U$40,6,0)+AH988</f>
        <v>0</v>
      </c>
      <c r="AS988" s="3">
        <f>VLOOKUP(INT(VLOOKUP(U988,模板计算相关数据!A:N,2,0)/30)+1,模板计算相关数据!$O$35:$U$40,7,0)+AI988</f>
        <v>10000</v>
      </c>
      <c r="AT988" s="3">
        <f>VLOOKUP(INT(VLOOKUP(U988,模板计算相关数据!A:N,2,0)/30)+1,模板计算相关数据!$O$35:$V$40,8,0)</f>
        <v>0</v>
      </c>
      <c r="AU988" s="2"/>
    </row>
    <row r="989" spans="1:47" x14ac:dyDescent="0.2">
      <c r="A989" s="86">
        <v>53002031</v>
      </c>
      <c r="B989" s="86"/>
      <c r="C989" s="69" t="s">
        <v>1749</v>
      </c>
      <c r="D989" s="2" t="s">
        <v>1487</v>
      </c>
      <c r="E989" s="2"/>
      <c r="F989" s="3">
        <v>6</v>
      </c>
      <c r="G989" s="3">
        <v>1005901</v>
      </c>
      <c r="H989" s="3">
        <v>6</v>
      </c>
      <c r="I989" s="2">
        <v>4</v>
      </c>
      <c r="J989" s="3">
        <v>6</v>
      </c>
      <c r="K989" s="2">
        <v>1</v>
      </c>
      <c r="L989" s="69" t="s">
        <v>1799</v>
      </c>
      <c r="M989" s="2"/>
      <c r="N989" s="2">
        <v>1</v>
      </c>
      <c r="O989" s="2"/>
      <c r="P989" s="3" t="s">
        <v>1615</v>
      </c>
      <c r="Q989" s="95">
        <v>25</v>
      </c>
      <c r="R989" s="133">
        <f>IF(P989=模板计算相关数据!$AB$24,VLOOKUP(X989,模板计算相关数据!$P$47:$T$50,2,0),VLOOKUP(X989,模板计算相关数据!$P$4:$U$7,3,0))*VLOOKUP(Y989,模板计算相关数据!$P$22:$X$30,8,0)</f>
        <v>20</v>
      </c>
      <c r="S989" s="62">
        <f t="shared" si="80"/>
        <v>3.6363636363636367</v>
      </c>
      <c r="T989" s="133">
        <f>IF(P989=模板计算相关数据!$AB$24,VLOOKUP(X989,模板计算相关数据!$P$47:$T$50,5,0),VLOOKUP(X989,模板计算相关数据!$P$4:$U$7,6,0))*VLOOKUP(Y989,模板计算相关数据!$P$22:$X$30,9,0)</f>
        <v>3.6363636363636367</v>
      </c>
      <c r="U989" s="57">
        <v>59</v>
      </c>
      <c r="V989" s="95">
        <f t="shared" si="82"/>
        <v>38</v>
      </c>
      <c r="W989" s="29">
        <f>VLOOKUP(U989,模板计算相关数据!A:N,2,0)</f>
        <v>35</v>
      </c>
      <c r="X989" s="3" t="s">
        <v>178</v>
      </c>
      <c r="Y989" s="3" t="s">
        <v>223</v>
      </c>
      <c r="Z989" s="95">
        <v>1</v>
      </c>
      <c r="AA989" s="95">
        <v>1</v>
      </c>
      <c r="AB989" s="95">
        <v>1</v>
      </c>
      <c r="AC989" s="95">
        <v>1</v>
      </c>
      <c r="AD989" s="95">
        <v>600</v>
      </c>
      <c r="AE989" s="95">
        <v>0</v>
      </c>
      <c r="AF989" s="95">
        <v>0</v>
      </c>
      <c r="AG989" s="95">
        <v>0</v>
      </c>
      <c r="AH989" s="95">
        <v>0</v>
      </c>
      <c r="AI989" s="95">
        <v>10000</v>
      </c>
      <c r="AJ989" s="3">
        <f>INT(VLOOKUP(U989,模板计算相关数据!A:N,4,0)*VLOOKUP(U989,模板计算相关数据!A:N,14,0)*(1+MAX(0,(VLOOKUP(U989,模板计算相关数据!A:N,7,0)-AQ989))*VLOOKUP(U989,模板计算相关数据!A:N,8,0))*(1-(AL989+AM989)*0.5/((AL989+AM989)*0.5+(VLOOKUP(U989,模板计算相关数据!A:N,2,0)+模板计算相关数据!$AC$27)*模板计算相关数据!$AC$28))*Q989*Z989)</f>
        <v>16333</v>
      </c>
      <c r="AK989" s="3">
        <f>INT(VLOOKUP(U989,模板计算相关数据!A:N,3,0)/模板计算相关数据!$W$35/(1+MAX(0,(AO989/10000-VLOOKUP(U989,模板计算相关数据!A:N,9,0)))*AP989/10000)/(1-VLOOKUP(U989,模板计算相关数据!A:N,5,0)/(VLOOKUP(U989,模板计算相关数据!A:N,5,0)+(VLOOKUP(U989,模板计算相关数据!A:N,2,0)+模板计算相关数据!$AC$27)*模板计算相关数据!$AC$28))/S989*AA989)</f>
        <v>1941</v>
      </c>
      <c r="AL989" s="3">
        <f>INT(VLOOKUP(U989,模板计算相关数据!A:N,5,0)*VLOOKUP(X989,模板计算相关数据!$P$4:$T$7,4,0)*VLOOKUP(Y989,模板计算相关数据!$P$22:$U$30,4,0)*AB989)</f>
        <v>3670</v>
      </c>
      <c r="AM989" s="3">
        <f>INT(VLOOKUP(U989,模板计算相关数据!A:N,6,0)*VLOOKUP(X989,模板计算相关数据!$P$4:$T$7,4,0)*VLOOKUP(Y989,模板计算相关数据!$P$22:$U$30,5,0)*AC989)</f>
        <v>3656</v>
      </c>
      <c r="AN989" s="3">
        <f>VLOOKUP(U989,模板计算相关数据!A:N,10,0)*0.5*VLOOKUP(Y989,模板计算相关数据!$P$22:$U$30,6,0)+AD989</f>
        <v>850</v>
      </c>
      <c r="AO989" s="3">
        <f>VLOOKUP(INT(VLOOKUP(U989,模板计算相关数据!A:N,2,0)/30)+1,模板计算相关数据!$O$35:$U$40,3,0)+AE989</f>
        <v>0</v>
      </c>
      <c r="AP989" s="3">
        <f>VLOOKUP(INT(VLOOKUP(U989,模板计算相关数据!A:N,2,0)/30)+1,模板计算相关数据!$O$35:$U$40,4,0)+AF989</f>
        <v>5000</v>
      </c>
      <c r="AQ989" s="3">
        <f>VLOOKUP(INT(VLOOKUP(U989,模板计算相关数据!A:N,2,0)/30)+1,模板计算相关数据!$O$35:$U$40,5,0)+AG989</f>
        <v>0</v>
      </c>
      <c r="AR989" s="3">
        <f>VLOOKUP(INT(VLOOKUP(U989,模板计算相关数据!A:N,2,0)/30)+1,模板计算相关数据!$O$35:$U$40,6,0)+AH989</f>
        <v>0</v>
      </c>
      <c r="AS989" s="3">
        <f>VLOOKUP(INT(VLOOKUP(U989,模板计算相关数据!A:N,2,0)/30)+1,模板计算相关数据!$O$35:$U$40,7,0)+AI989</f>
        <v>10000</v>
      </c>
      <c r="AT989" s="3">
        <f>VLOOKUP(INT(VLOOKUP(U989,模板计算相关数据!A:N,2,0)/30)+1,模板计算相关数据!$O$35:$V$40,8,0)</f>
        <v>0</v>
      </c>
      <c r="AU989" s="2"/>
    </row>
    <row r="990" spans="1:47" x14ac:dyDescent="0.2">
      <c r="A990" s="86">
        <v>53002041</v>
      </c>
      <c r="B990" s="86"/>
      <c r="C990" s="69" t="s">
        <v>1749</v>
      </c>
      <c r="D990" s="2" t="s">
        <v>1488</v>
      </c>
      <c r="E990" s="2"/>
      <c r="F990" s="3">
        <v>6</v>
      </c>
      <c r="G990" s="3">
        <v>1005901</v>
      </c>
      <c r="H990" s="3">
        <v>6</v>
      </c>
      <c r="I990" s="2">
        <v>4</v>
      </c>
      <c r="J990" s="3">
        <v>6</v>
      </c>
      <c r="K990" s="2">
        <v>1</v>
      </c>
      <c r="L990" s="69" t="s">
        <v>1799</v>
      </c>
      <c r="M990" s="2"/>
      <c r="N990" s="2">
        <v>1</v>
      </c>
      <c r="O990" s="2"/>
      <c r="P990" s="3" t="s">
        <v>1615</v>
      </c>
      <c r="Q990" s="95">
        <v>25</v>
      </c>
      <c r="R990" s="133">
        <f>IF(P990=模板计算相关数据!$AB$24,VLOOKUP(X990,模板计算相关数据!$P$47:$T$50,2,0),VLOOKUP(X990,模板计算相关数据!$P$4:$U$7,3,0))*VLOOKUP(Y990,模板计算相关数据!$P$22:$X$30,8,0)</f>
        <v>20</v>
      </c>
      <c r="S990" s="62">
        <f t="shared" si="80"/>
        <v>3.6363636363636367</v>
      </c>
      <c r="T990" s="133">
        <f>IF(P990=模板计算相关数据!$AB$24,VLOOKUP(X990,模板计算相关数据!$P$47:$T$50,5,0),VLOOKUP(X990,模板计算相关数据!$P$4:$U$7,6,0))*VLOOKUP(Y990,模板计算相关数据!$P$22:$X$30,9,0)</f>
        <v>3.6363636363636367</v>
      </c>
      <c r="U990" s="57">
        <v>62</v>
      </c>
      <c r="V990" s="95">
        <f t="shared" si="82"/>
        <v>50</v>
      </c>
      <c r="W990" s="29">
        <f>VLOOKUP(U990,模板计算相关数据!A:N,2,0)</f>
        <v>47</v>
      </c>
      <c r="X990" s="3" t="s">
        <v>178</v>
      </c>
      <c r="Y990" s="3" t="s">
        <v>223</v>
      </c>
      <c r="Z990" s="95">
        <v>1</v>
      </c>
      <c r="AA990" s="95">
        <v>1</v>
      </c>
      <c r="AB990" s="95">
        <v>1</v>
      </c>
      <c r="AC990" s="95">
        <v>1</v>
      </c>
      <c r="AD990" s="95">
        <v>600</v>
      </c>
      <c r="AE990" s="95">
        <v>0</v>
      </c>
      <c r="AF990" s="95">
        <v>0</v>
      </c>
      <c r="AG990" s="95">
        <v>0</v>
      </c>
      <c r="AH990" s="95">
        <v>0</v>
      </c>
      <c r="AI990" s="95">
        <v>10000</v>
      </c>
      <c r="AJ990" s="3">
        <f>INT(VLOOKUP(U990,模板计算相关数据!A:N,4,0)*VLOOKUP(U990,模板计算相关数据!A:N,14,0)*(1+MAX(0,(VLOOKUP(U990,模板计算相关数据!A:N,7,0)-AQ990))*VLOOKUP(U990,模板计算相关数据!A:N,8,0))*(1-(AL990+AM990)*0.5/((AL990+AM990)*0.5+(VLOOKUP(U990,模板计算相关数据!A:N,2,0)+模板计算相关数据!$AC$27)*模板计算相关数据!$AC$28))*Q990*Z990)</f>
        <v>23429</v>
      </c>
      <c r="AK990" s="3">
        <f>INT(VLOOKUP(U990,模板计算相关数据!A:N,3,0)/模板计算相关数据!$W$35/(1+MAX(0,(AO990/10000-VLOOKUP(U990,模板计算相关数据!A:N,9,0)))*AP990/10000)/(1-VLOOKUP(U990,模板计算相关数据!A:N,5,0)/(VLOOKUP(U990,模板计算相关数据!A:N,5,0)+(VLOOKUP(U990,模板计算相关数据!A:N,2,0)+模板计算相关数据!$AC$27)*模板计算相关数据!$AC$28))/S990*AA990)</f>
        <v>2985</v>
      </c>
      <c r="AL990" s="3">
        <f>INT(VLOOKUP(U990,模板计算相关数据!A:N,5,0)*VLOOKUP(X990,模板计算相关数据!$P$4:$T$7,4,0)*VLOOKUP(Y990,模板计算相关数据!$P$22:$U$30,4,0)*AB990)</f>
        <v>5420</v>
      </c>
      <c r="AM990" s="3">
        <f>INT(VLOOKUP(U990,模板计算相关数据!A:N,6,0)*VLOOKUP(X990,模板计算相关数据!$P$4:$T$7,4,0)*VLOOKUP(Y990,模板计算相关数据!$P$22:$U$30,5,0)*AC990)</f>
        <v>5401</v>
      </c>
      <c r="AN990" s="3">
        <f>VLOOKUP(U990,模板计算相关数据!A:N,10,0)*0.5*VLOOKUP(Y990,模板计算相关数据!$P$22:$U$30,6,0)+AD990</f>
        <v>850</v>
      </c>
      <c r="AO990" s="3">
        <f>VLOOKUP(INT(VLOOKUP(U990,模板计算相关数据!A:N,2,0)/30)+1,模板计算相关数据!$O$35:$U$40,3,0)+AE990</f>
        <v>0</v>
      </c>
      <c r="AP990" s="3">
        <f>VLOOKUP(INT(VLOOKUP(U990,模板计算相关数据!A:N,2,0)/30)+1,模板计算相关数据!$O$35:$U$40,4,0)+AF990</f>
        <v>5000</v>
      </c>
      <c r="AQ990" s="3">
        <f>VLOOKUP(INT(VLOOKUP(U990,模板计算相关数据!A:N,2,0)/30)+1,模板计算相关数据!$O$35:$U$40,5,0)+AG990</f>
        <v>0</v>
      </c>
      <c r="AR990" s="3">
        <f>VLOOKUP(INT(VLOOKUP(U990,模板计算相关数据!A:N,2,0)/30)+1,模板计算相关数据!$O$35:$U$40,6,0)+AH990</f>
        <v>0</v>
      </c>
      <c r="AS990" s="3">
        <f>VLOOKUP(INT(VLOOKUP(U990,模板计算相关数据!A:N,2,0)/30)+1,模板计算相关数据!$O$35:$U$40,7,0)+AI990</f>
        <v>10000</v>
      </c>
      <c r="AT990" s="3">
        <f>VLOOKUP(INT(VLOOKUP(U990,模板计算相关数据!A:N,2,0)/30)+1,模板计算相关数据!$O$35:$V$40,8,0)</f>
        <v>0</v>
      </c>
      <c r="AU990" s="2"/>
    </row>
    <row r="991" spans="1:47" x14ac:dyDescent="0.2">
      <c r="A991" s="86">
        <v>53002051</v>
      </c>
      <c r="B991" s="86"/>
      <c r="C991" s="69" t="s">
        <v>1749</v>
      </c>
      <c r="D991" s="2" t="s">
        <v>1489</v>
      </c>
      <c r="E991" s="2"/>
      <c r="F991" s="3">
        <v>6</v>
      </c>
      <c r="G991" s="3">
        <v>1005901</v>
      </c>
      <c r="H991" s="3">
        <v>6</v>
      </c>
      <c r="I991" s="2">
        <v>4</v>
      </c>
      <c r="J991" s="3">
        <v>6</v>
      </c>
      <c r="K991" s="2">
        <v>1</v>
      </c>
      <c r="L991" s="69" t="s">
        <v>1799</v>
      </c>
      <c r="M991" s="2"/>
      <c r="N991" s="2">
        <v>1</v>
      </c>
      <c r="O991" s="2"/>
      <c r="P991" s="3" t="s">
        <v>1615</v>
      </c>
      <c r="Q991" s="95">
        <v>25</v>
      </c>
      <c r="R991" s="133">
        <f>IF(P991=模板计算相关数据!$AB$24,VLOOKUP(X991,模板计算相关数据!$P$47:$T$50,2,0),VLOOKUP(X991,模板计算相关数据!$P$4:$U$7,3,0))*VLOOKUP(Y991,模板计算相关数据!$P$22:$X$30,8,0)</f>
        <v>20</v>
      </c>
      <c r="S991" s="62">
        <f t="shared" si="80"/>
        <v>3.6363636363636367</v>
      </c>
      <c r="T991" s="133">
        <f>IF(P991=模板计算相关数据!$AB$24,VLOOKUP(X991,模板计算相关数据!$P$47:$T$50,5,0),VLOOKUP(X991,模板计算相关数据!$P$4:$U$7,6,0))*VLOOKUP(Y991,模板计算相关数据!$P$22:$X$30,9,0)</f>
        <v>3.6363636363636367</v>
      </c>
      <c r="U991" s="57">
        <v>62</v>
      </c>
      <c r="V991" s="95">
        <f t="shared" si="82"/>
        <v>50</v>
      </c>
      <c r="W991" s="29">
        <f>VLOOKUP(U991,模板计算相关数据!A:N,2,0)</f>
        <v>47</v>
      </c>
      <c r="X991" s="3" t="s">
        <v>178</v>
      </c>
      <c r="Y991" s="3" t="s">
        <v>223</v>
      </c>
      <c r="Z991" s="95">
        <v>1</v>
      </c>
      <c r="AA991" s="95">
        <v>1</v>
      </c>
      <c r="AB991" s="95">
        <v>1</v>
      </c>
      <c r="AC991" s="95">
        <v>1</v>
      </c>
      <c r="AD991" s="95">
        <v>600</v>
      </c>
      <c r="AE991" s="95">
        <v>0</v>
      </c>
      <c r="AF991" s="95">
        <v>0</v>
      </c>
      <c r="AG991" s="95">
        <v>0</v>
      </c>
      <c r="AH991" s="95">
        <v>0</v>
      </c>
      <c r="AI991" s="95">
        <v>10000</v>
      </c>
      <c r="AJ991" s="3">
        <f>INT(VLOOKUP(U991,模板计算相关数据!A:N,4,0)*VLOOKUP(U991,模板计算相关数据!A:N,14,0)*(1+MAX(0,(VLOOKUP(U991,模板计算相关数据!A:N,7,0)-AQ991))*VLOOKUP(U991,模板计算相关数据!A:N,8,0))*(1-(AL991+AM991)*0.5/((AL991+AM991)*0.5+(VLOOKUP(U991,模板计算相关数据!A:N,2,0)+模板计算相关数据!$AC$27)*模板计算相关数据!$AC$28))*Q991*Z991)</f>
        <v>23429</v>
      </c>
      <c r="AK991" s="3">
        <f>INT(VLOOKUP(U991,模板计算相关数据!A:N,3,0)/模板计算相关数据!$W$35/(1+MAX(0,(AO991/10000-VLOOKUP(U991,模板计算相关数据!A:N,9,0)))*AP991/10000)/(1-VLOOKUP(U991,模板计算相关数据!A:N,5,0)/(VLOOKUP(U991,模板计算相关数据!A:N,5,0)+(VLOOKUP(U991,模板计算相关数据!A:N,2,0)+模板计算相关数据!$AC$27)*模板计算相关数据!$AC$28))/S991*AA991)</f>
        <v>2985</v>
      </c>
      <c r="AL991" s="3">
        <f>INT(VLOOKUP(U991,模板计算相关数据!A:N,5,0)*VLOOKUP(X991,模板计算相关数据!$P$4:$T$7,4,0)*VLOOKUP(Y991,模板计算相关数据!$P$22:$U$30,4,0)*AB991)</f>
        <v>5420</v>
      </c>
      <c r="AM991" s="3">
        <f>INT(VLOOKUP(U991,模板计算相关数据!A:N,6,0)*VLOOKUP(X991,模板计算相关数据!$P$4:$T$7,4,0)*VLOOKUP(Y991,模板计算相关数据!$P$22:$U$30,5,0)*AC991)</f>
        <v>5401</v>
      </c>
      <c r="AN991" s="3">
        <f>VLOOKUP(U991,模板计算相关数据!A:N,10,0)*0.5*VLOOKUP(Y991,模板计算相关数据!$P$22:$U$30,6,0)+AD991</f>
        <v>850</v>
      </c>
      <c r="AO991" s="3">
        <f>VLOOKUP(INT(VLOOKUP(U991,模板计算相关数据!A:N,2,0)/30)+1,模板计算相关数据!$O$35:$U$40,3,0)+AE991</f>
        <v>0</v>
      </c>
      <c r="AP991" s="3">
        <f>VLOOKUP(INT(VLOOKUP(U991,模板计算相关数据!A:N,2,0)/30)+1,模板计算相关数据!$O$35:$U$40,4,0)+AF991</f>
        <v>5000</v>
      </c>
      <c r="AQ991" s="3">
        <f>VLOOKUP(INT(VLOOKUP(U991,模板计算相关数据!A:N,2,0)/30)+1,模板计算相关数据!$O$35:$U$40,5,0)+AG991</f>
        <v>0</v>
      </c>
      <c r="AR991" s="3">
        <f>VLOOKUP(INT(VLOOKUP(U991,模板计算相关数据!A:N,2,0)/30)+1,模板计算相关数据!$O$35:$U$40,6,0)+AH991</f>
        <v>0</v>
      </c>
      <c r="AS991" s="3">
        <f>VLOOKUP(INT(VLOOKUP(U991,模板计算相关数据!A:N,2,0)/30)+1,模板计算相关数据!$O$35:$U$40,7,0)+AI991</f>
        <v>10000</v>
      </c>
      <c r="AT991" s="3">
        <f>VLOOKUP(INT(VLOOKUP(U991,模板计算相关数据!A:N,2,0)/30)+1,模板计算相关数据!$O$35:$V$40,8,0)</f>
        <v>0</v>
      </c>
      <c r="AU991" s="2"/>
    </row>
    <row r="992" spans="1:47" x14ac:dyDescent="0.2">
      <c r="A992" s="35">
        <v>53003011</v>
      </c>
      <c r="B992" s="35"/>
      <c r="C992" s="34" t="s">
        <v>1801</v>
      </c>
      <c r="D992" s="2" t="s">
        <v>1490</v>
      </c>
      <c r="E992" s="2"/>
      <c r="F992" s="3">
        <v>6</v>
      </c>
      <c r="G992" s="3">
        <v>1006001</v>
      </c>
      <c r="H992" s="3">
        <v>4</v>
      </c>
      <c r="I992" s="2">
        <v>4</v>
      </c>
      <c r="J992" s="3">
        <v>6</v>
      </c>
      <c r="K992" s="2"/>
      <c r="L992" s="69" t="s">
        <v>1936</v>
      </c>
      <c r="M992" s="2"/>
      <c r="N992" s="2">
        <v>1</v>
      </c>
      <c r="O992" s="2"/>
      <c r="P992" s="3" t="s">
        <v>1615</v>
      </c>
      <c r="Q992" s="95">
        <v>8</v>
      </c>
      <c r="R992" s="133">
        <f>IF(P992=模板计算相关数据!$AB$24,VLOOKUP(X992,模板计算相关数据!$P$47:$T$50,2,0),VLOOKUP(X992,模板计算相关数据!$P$4:$U$7,3,0))*VLOOKUP(Y992,模板计算相关数据!$P$22:$X$30,8,0)</f>
        <v>5</v>
      </c>
      <c r="S992" s="62">
        <v>2</v>
      </c>
      <c r="T992" s="133">
        <f>IF(P992=模板计算相关数据!$AB$24,VLOOKUP(X992,模板计算相关数据!$P$47:$T$50,5,0),VLOOKUP(X992,模板计算相关数据!$P$4:$U$7,6,0))*VLOOKUP(Y992,模板计算相关数据!$P$22:$X$30,9,0)</f>
        <v>6.6666666666666661</v>
      </c>
      <c r="U992" s="57">
        <v>56</v>
      </c>
      <c r="V992" s="95">
        <f t="shared" si="82"/>
        <v>27</v>
      </c>
      <c r="W992" s="29">
        <f>VLOOKUP(U992,模板计算相关数据!A:N,2,0)</f>
        <v>24</v>
      </c>
      <c r="X992" s="3" t="s">
        <v>151</v>
      </c>
      <c r="Y992" s="3" t="s">
        <v>223</v>
      </c>
      <c r="Z992" s="95">
        <v>1</v>
      </c>
      <c r="AA992" s="95">
        <v>1</v>
      </c>
      <c r="AB992" s="95">
        <v>1</v>
      </c>
      <c r="AC992" s="95">
        <v>1</v>
      </c>
      <c r="AD992" s="95">
        <v>4</v>
      </c>
      <c r="AE992" s="95">
        <v>0</v>
      </c>
      <c r="AF992" s="95">
        <v>0</v>
      </c>
      <c r="AG992" s="95">
        <v>0</v>
      </c>
      <c r="AH992" s="95">
        <v>0</v>
      </c>
      <c r="AI992" s="95">
        <v>10000</v>
      </c>
      <c r="AJ992" s="3">
        <f>INT(VLOOKUP(U992,模板计算相关数据!A:N,4,0)*VLOOKUP(U992,模板计算相关数据!A:N,14,0)*(1+MAX(0,(VLOOKUP(U992,模板计算相关数据!A:N,7,0)-AQ992))*VLOOKUP(U992,模板计算相关数据!A:N,8,0))*(1-(AL992+AM992)*0.5/((AL992+AM992)*0.5+(VLOOKUP(U992,模板计算相关数据!A:N,2,0)+模板计算相关数据!$AC$27)*模板计算相关数据!$AC$28))*Q992*Z992)</f>
        <v>4558</v>
      </c>
      <c r="AK992" s="3">
        <f>INT(VLOOKUP(U992,模板计算相关数据!A:N,3,0)/模板计算相关数据!$W$35/(1+MAX(0,(AO992/10000-VLOOKUP(U992,模板计算相关数据!A:N,9,0)))*AP992/10000)/(1-VLOOKUP(U992,模板计算相关数据!A:N,5,0)/(VLOOKUP(U992,模板计算相关数据!A:N,5,0)+(VLOOKUP(U992,模板计算相关数据!A:N,2,0)+模板计算相关数据!$AC$27)*模板计算相关数据!$AC$28))/S992*AA992)</f>
        <v>2290</v>
      </c>
      <c r="AL992" s="3">
        <f>INT(VLOOKUP(U992,模板计算相关数据!A:N,5,0)*VLOOKUP(X992,模板计算相关数据!$P$4:$T$7,4,0)*VLOOKUP(Y992,模板计算相关数据!$P$22:$U$30,4,0)*AB992)</f>
        <v>1503</v>
      </c>
      <c r="AM992" s="3">
        <f>INT(VLOOKUP(U992,模板计算相关数据!A:N,6,0)*VLOOKUP(X992,模板计算相关数据!$P$4:$T$7,4,0)*VLOOKUP(Y992,模板计算相关数据!$P$22:$U$30,5,0)*AC992)</f>
        <v>1836</v>
      </c>
      <c r="AN992" s="3">
        <f>VLOOKUP(U992,模板计算相关数据!A:N,10,0)*0.5*VLOOKUP(Y992,模板计算相关数据!$P$22:$U$30,6,0)+AD992</f>
        <v>254</v>
      </c>
      <c r="AO992" s="3">
        <f>VLOOKUP(INT(VLOOKUP(U992,模板计算相关数据!A:N,2,0)/30)+1,模板计算相关数据!$O$35:$U$40,3,0)+AE992</f>
        <v>0</v>
      </c>
      <c r="AP992" s="3">
        <f>VLOOKUP(INT(VLOOKUP(U992,模板计算相关数据!A:N,2,0)/30)+1,模板计算相关数据!$O$35:$U$40,4,0)+AF992</f>
        <v>5000</v>
      </c>
      <c r="AQ992" s="3">
        <f>VLOOKUP(INT(VLOOKUP(U992,模板计算相关数据!A:N,2,0)/30)+1,模板计算相关数据!$O$35:$U$40,5,0)+AG992</f>
        <v>0</v>
      </c>
      <c r="AR992" s="3">
        <f>VLOOKUP(INT(VLOOKUP(U992,模板计算相关数据!A:N,2,0)/30)+1,模板计算相关数据!$O$35:$U$40,6,0)+AH992</f>
        <v>0</v>
      </c>
      <c r="AS992" s="3">
        <f>VLOOKUP(INT(VLOOKUP(U992,模板计算相关数据!A:N,2,0)/30)+1,模板计算相关数据!$O$35:$U$40,7,0)+AI992</f>
        <v>10000</v>
      </c>
      <c r="AT992" s="3">
        <f>VLOOKUP(INT(VLOOKUP(U992,模板计算相关数据!A:N,2,0)/30)+1,模板计算相关数据!$O$35:$V$40,8,0)</f>
        <v>0</v>
      </c>
      <c r="AU992" s="2"/>
    </row>
    <row r="993" spans="1:47" x14ac:dyDescent="0.2">
      <c r="A993" s="86">
        <v>53003021</v>
      </c>
      <c r="B993" s="86"/>
      <c r="C993" s="69" t="s">
        <v>1801</v>
      </c>
      <c r="D993" s="2" t="s">
        <v>1491</v>
      </c>
      <c r="E993" s="2"/>
      <c r="F993" s="3">
        <v>6</v>
      </c>
      <c r="G993" s="3">
        <v>1006001</v>
      </c>
      <c r="H993" s="3">
        <v>4</v>
      </c>
      <c r="I993" s="2">
        <v>4</v>
      </c>
      <c r="J993" s="3">
        <v>6</v>
      </c>
      <c r="K993" s="2"/>
      <c r="L993" s="69" t="s">
        <v>1936</v>
      </c>
      <c r="M993" s="2"/>
      <c r="N993" s="2">
        <v>1</v>
      </c>
      <c r="O993" s="2"/>
      <c r="P993" s="3" t="s">
        <v>1615</v>
      </c>
      <c r="Q993" s="95">
        <v>8</v>
      </c>
      <c r="R993" s="133">
        <f>IF(P993=模板计算相关数据!$AB$24,VLOOKUP(X993,模板计算相关数据!$P$47:$T$50,2,0),VLOOKUP(X993,模板计算相关数据!$P$4:$U$7,3,0))*VLOOKUP(Y993,模板计算相关数据!$P$22:$X$30,8,0)</f>
        <v>5</v>
      </c>
      <c r="S993" s="62">
        <v>2</v>
      </c>
      <c r="T993" s="133">
        <f>IF(P993=模板计算相关数据!$AB$24,VLOOKUP(X993,模板计算相关数据!$P$47:$T$50,5,0),VLOOKUP(X993,模板计算相关数据!$P$4:$U$7,6,0))*VLOOKUP(Y993,模板计算相关数据!$P$22:$X$30,9,0)</f>
        <v>6.6666666666666661</v>
      </c>
      <c r="U993" s="57">
        <v>56</v>
      </c>
      <c r="V993" s="95">
        <f t="shared" si="82"/>
        <v>27</v>
      </c>
      <c r="W993" s="29">
        <f>VLOOKUP(U993,模板计算相关数据!A:N,2,0)</f>
        <v>24</v>
      </c>
      <c r="X993" s="3" t="s">
        <v>151</v>
      </c>
      <c r="Y993" s="3" t="s">
        <v>223</v>
      </c>
      <c r="Z993" s="95">
        <v>1</v>
      </c>
      <c r="AA993" s="95">
        <v>1</v>
      </c>
      <c r="AB993" s="95">
        <v>1</v>
      </c>
      <c r="AC993" s="95">
        <v>1</v>
      </c>
      <c r="AD993" s="95">
        <v>4</v>
      </c>
      <c r="AE993" s="95">
        <v>0</v>
      </c>
      <c r="AF993" s="95">
        <v>0</v>
      </c>
      <c r="AG993" s="95">
        <v>0</v>
      </c>
      <c r="AH993" s="95">
        <v>0</v>
      </c>
      <c r="AI993" s="95">
        <v>10000</v>
      </c>
      <c r="AJ993" s="3">
        <f>INT(VLOOKUP(U993,模板计算相关数据!A:N,4,0)*VLOOKUP(U993,模板计算相关数据!A:N,14,0)*(1+MAX(0,(VLOOKUP(U993,模板计算相关数据!A:N,7,0)-AQ993))*VLOOKUP(U993,模板计算相关数据!A:N,8,0))*(1-(AL993+AM993)*0.5/((AL993+AM993)*0.5+(VLOOKUP(U993,模板计算相关数据!A:N,2,0)+模板计算相关数据!$AC$27)*模板计算相关数据!$AC$28))*Q993*Z993)</f>
        <v>4558</v>
      </c>
      <c r="AK993" s="3">
        <f>INT(VLOOKUP(U993,模板计算相关数据!A:N,3,0)/模板计算相关数据!$W$35/(1+MAX(0,(AO993/10000-VLOOKUP(U993,模板计算相关数据!A:N,9,0)))*AP993/10000)/(1-VLOOKUP(U993,模板计算相关数据!A:N,5,0)/(VLOOKUP(U993,模板计算相关数据!A:N,5,0)+(VLOOKUP(U993,模板计算相关数据!A:N,2,0)+模板计算相关数据!$AC$27)*模板计算相关数据!$AC$28))/S993*AA993)</f>
        <v>2290</v>
      </c>
      <c r="AL993" s="3">
        <f>INT(VLOOKUP(U993,模板计算相关数据!A:N,5,0)*VLOOKUP(X993,模板计算相关数据!$P$4:$T$7,4,0)*VLOOKUP(Y993,模板计算相关数据!$P$22:$U$30,4,0)*AB993)</f>
        <v>1503</v>
      </c>
      <c r="AM993" s="3">
        <f>INT(VLOOKUP(U993,模板计算相关数据!A:N,6,0)*VLOOKUP(X993,模板计算相关数据!$P$4:$T$7,4,0)*VLOOKUP(Y993,模板计算相关数据!$P$22:$U$30,5,0)*AC993)</f>
        <v>1836</v>
      </c>
      <c r="AN993" s="3">
        <f>VLOOKUP(U993,模板计算相关数据!A:N,10,0)*0.5*VLOOKUP(Y993,模板计算相关数据!$P$22:$U$30,6,0)+AD993</f>
        <v>254</v>
      </c>
      <c r="AO993" s="3">
        <f>VLOOKUP(INT(VLOOKUP(U993,模板计算相关数据!A:N,2,0)/30)+1,模板计算相关数据!$O$35:$U$40,3,0)+AE993</f>
        <v>0</v>
      </c>
      <c r="AP993" s="3">
        <f>VLOOKUP(INT(VLOOKUP(U993,模板计算相关数据!A:N,2,0)/30)+1,模板计算相关数据!$O$35:$U$40,4,0)+AF993</f>
        <v>5000</v>
      </c>
      <c r="AQ993" s="3">
        <f>VLOOKUP(INT(VLOOKUP(U993,模板计算相关数据!A:N,2,0)/30)+1,模板计算相关数据!$O$35:$U$40,5,0)+AG993</f>
        <v>0</v>
      </c>
      <c r="AR993" s="3">
        <f>VLOOKUP(INT(VLOOKUP(U993,模板计算相关数据!A:N,2,0)/30)+1,模板计算相关数据!$O$35:$U$40,6,0)+AH993</f>
        <v>0</v>
      </c>
      <c r="AS993" s="3">
        <f>VLOOKUP(INT(VLOOKUP(U993,模板计算相关数据!A:N,2,0)/30)+1,模板计算相关数据!$O$35:$U$40,7,0)+AI993</f>
        <v>10000</v>
      </c>
      <c r="AT993" s="3">
        <f>VLOOKUP(INT(VLOOKUP(U993,模板计算相关数据!A:N,2,0)/30)+1,模板计算相关数据!$O$35:$V$40,8,0)</f>
        <v>0</v>
      </c>
      <c r="AU993" s="2"/>
    </row>
    <row r="994" spans="1:47" x14ac:dyDescent="0.2">
      <c r="A994" s="86">
        <v>53003031</v>
      </c>
      <c r="B994" s="86"/>
      <c r="C994" s="69" t="s">
        <v>1801</v>
      </c>
      <c r="D994" s="2" t="s">
        <v>1492</v>
      </c>
      <c r="E994" s="2"/>
      <c r="F994" s="3">
        <v>6</v>
      </c>
      <c r="G994" s="3">
        <v>1006001</v>
      </c>
      <c r="H994" s="3">
        <v>4</v>
      </c>
      <c r="I994" s="2">
        <v>4</v>
      </c>
      <c r="J994" s="3">
        <v>6</v>
      </c>
      <c r="K994" s="2"/>
      <c r="L994" s="69" t="s">
        <v>1936</v>
      </c>
      <c r="M994" s="2"/>
      <c r="N994" s="2">
        <v>1</v>
      </c>
      <c r="O994" s="2"/>
      <c r="P994" s="3" t="s">
        <v>1615</v>
      </c>
      <c r="Q994" s="95">
        <v>8</v>
      </c>
      <c r="R994" s="133">
        <f>IF(P994=模板计算相关数据!$AB$24,VLOOKUP(X994,模板计算相关数据!$P$47:$T$50,2,0),VLOOKUP(X994,模板计算相关数据!$P$4:$U$7,3,0))*VLOOKUP(Y994,模板计算相关数据!$P$22:$X$30,8,0)</f>
        <v>5</v>
      </c>
      <c r="S994" s="62">
        <v>2</v>
      </c>
      <c r="T994" s="133">
        <f>IF(P994=模板计算相关数据!$AB$24,VLOOKUP(X994,模板计算相关数据!$P$47:$T$50,5,0),VLOOKUP(X994,模板计算相关数据!$P$4:$U$7,6,0))*VLOOKUP(Y994,模板计算相关数据!$P$22:$X$30,9,0)</f>
        <v>6.6666666666666661</v>
      </c>
      <c r="U994" s="57">
        <v>56</v>
      </c>
      <c r="V994" s="95">
        <f t="shared" si="82"/>
        <v>27</v>
      </c>
      <c r="W994" s="29">
        <f>VLOOKUP(U994,模板计算相关数据!A:N,2,0)</f>
        <v>24</v>
      </c>
      <c r="X994" s="3" t="s">
        <v>151</v>
      </c>
      <c r="Y994" s="3" t="s">
        <v>223</v>
      </c>
      <c r="Z994" s="95">
        <v>1</v>
      </c>
      <c r="AA994" s="95">
        <v>1</v>
      </c>
      <c r="AB994" s="95">
        <v>1</v>
      </c>
      <c r="AC994" s="95">
        <v>1</v>
      </c>
      <c r="AD994" s="95">
        <v>4</v>
      </c>
      <c r="AE994" s="95">
        <v>0</v>
      </c>
      <c r="AF994" s="95">
        <v>0</v>
      </c>
      <c r="AG994" s="95">
        <v>0</v>
      </c>
      <c r="AH994" s="95">
        <v>0</v>
      </c>
      <c r="AI994" s="95">
        <v>10000</v>
      </c>
      <c r="AJ994" s="3">
        <f>INT(VLOOKUP(U994,模板计算相关数据!A:N,4,0)*VLOOKUP(U994,模板计算相关数据!A:N,14,0)*(1+MAX(0,(VLOOKUP(U994,模板计算相关数据!A:N,7,0)-AQ994))*VLOOKUP(U994,模板计算相关数据!A:N,8,0))*(1-(AL994+AM994)*0.5/((AL994+AM994)*0.5+(VLOOKUP(U994,模板计算相关数据!A:N,2,0)+模板计算相关数据!$AC$27)*模板计算相关数据!$AC$28))*Q994*Z994)</f>
        <v>4558</v>
      </c>
      <c r="AK994" s="3">
        <f>INT(VLOOKUP(U994,模板计算相关数据!A:N,3,0)/模板计算相关数据!$W$35/(1+MAX(0,(AO994/10000-VLOOKUP(U994,模板计算相关数据!A:N,9,0)))*AP994/10000)/(1-VLOOKUP(U994,模板计算相关数据!A:N,5,0)/(VLOOKUP(U994,模板计算相关数据!A:N,5,0)+(VLOOKUP(U994,模板计算相关数据!A:N,2,0)+模板计算相关数据!$AC$27)*模板计算相关数据!$AC$28))/S994*AA994)</f>
        <v>2290</v>
      </c>
      <c r="AL994" s="3">
        <f>INT(VLOOKUP(U994,模板计算相关数据!A:N,5,0)*VLOOKUP(X994,模板计算相关数据!$P$4:$T$7,4,0)*VLOOKUP(Y994,模板计算相关数据!$P$22:$U$30,4,0)*AB994)</f>
        <v>1503</v>
      </c>
      <c r="AM994" s="3">
        <f>INT(VLOOKUP(U994,模板计算相关数据!A:N,6,0)*VLOOKUP(X994,模板计算相关数据!$P$4:$T$7,4,0)*VLOOKUP(Y994,模板计算相关数据!$P$22:$U$30,5,0)*AC994)</f>
        <v>1836</v>
      </c>
      <c r="AN994" s="3">
        <f>VLOOKUP(U994,模板计算相关数据!A:N,10,0)*0.5*VLOOKUP(Y994,模板计算相关数据!$P$22:$U$30,6,0)+AD994</f>
        <v>254</v>
      </c>
      <c r="AO994" s="3">
        <f>VLOOKUP(INT(VLOOKUP(U994,模板计算相关数据!A:N,2,0)/30)+1,模板计算相关数据!$O$35:$U$40,3,0)+AE994</f>
        <v>0</v>
      </c>
      <c r="AP994" s="3">
        <f>VLOOKUP(INT(VLOOKUP(U994,模板计算相关数据!A:N,2,0)/30)+1,模板计算相关数据!$O$35:$U$40,4,0)+AF994</f>
        <v>5000</v>
      </c>
      <c r="AQ994" s="3">
        <f>VLOOKUP(INT(VLOOKUP(U994,模板计算相关数据!A:N,2,0)/30)+1,模板计算相关数据!$O$35:$U$40,5,0)+AG994</f>
        <v>0</v>
      </c>
      <c r="AR994" s="3">
        <f>VLOOKUP(INT(VLOOKUP(U994,模板计算相关数据!A:N,2,0)/30)+1,模板计算相关数据!$O$35:$U$40,6,0)+AH994</f>
        <v>0</v>
      </c>
      <c r="AS994" s="3">
        <f>VLOOKUP(INT(VLOOKUP(U994,模板计算相关数据!A:N,2,0)/30)+1,模板计算相关数据!$O$35:$U$40,7,0)+AI994</f>
        <v>10000</v>
      </c>
      <c r="AT994" s="3">
        <f>VLOOKUP(INT(VLOOKUP(U994,模板计算相关数据!A:N,2,0)/30)+1,模板计算相关数据!$O$35:$V$40,8,0)</f>
        <v>0</v>
      </c>
      <c r="AU994" s="2"/>
    </row>
    <row r="995" spans="1:47" x14ac:dyDescent="0.2">
      <c r="A995" s="86">
        <v>53003041</v>
      </c>
      <c r="B995" s="86"/>
      <c r="C995" s="69" t="s">
        <v>1801</v>
      </c>
      <c r="D995" s="2" t="s">
        <v>1493</v>
      </c>
      <c r="E995" s="2"/>
      <c r="F995" s="3">
        <v>6</v>
      </c>
      <c r="G995" s="3">
        <v>1006001</v>
      </c>
      <c r="H995" s="3">
        <v>4</v>
      </c>
      <c r="I995" s="2">
        <v>4</v>
      </c>
      <c r="J995" s="3">
        <v>6</v>
      </c>
      <c r="K995" s="2"/>
      <c r="L995" s="69" t="s">
        <v>1936</v>
      </c>
      <c r="M995" s="2"/>
      <c r="N995" s="2">
        <v>1</v>
      </c>
      <c r="O995" s="2"/>
      <c r="P995" s="3" t="s">
        <v>1615</v>
      </c>
      <c r="Q995" s="95">
        <v>8</v>
      </c>
      <c r="R995" s="133">
        <f>IF(P995=模板计算相关数据!$AB$24,VLOOKUP(X995,模板计算相关数据!$P$47:$T$50,2,0),VLOOKUP(X995,模板计算相关数据!$P$4:$U$7,3,0))*VLOOKUP(Y995,模板计算相关数据!$P$22:$X$30,8,0)</f>
        <v>5</v>
      </c>
      <c r="S995" s="62">
        <v>2</v>
      </c>
      <c r="T995" s="133">
        <f>IF(P995=模板计算相关数据!$AB$24,VLOOKUP(X995,模板计算相关数据!$P$47:$T$50,5,0),VLOOKUP(X995,模板计算相关数据!$P$4:$U$7,6,0))*VLOOKUP(Y995,模板计算相关数据!$P$22:$X$30,9,0)</f>
        <v>6.6666666666666661</v>
      </c>
      <c r="U995" s="57">
        <v>56</v>
      </c>
      <c r="V995" s="95">
        <f t="shared" si="82"/>
        <v>27</v>
      </c>
      <c r="W995" s="29">
        <f>VLOOKUP(U995,模板计算相关数据!A:N,2,0)</f>
        <v>24</v>
      </c>
      <c r="X995" s="3" t="s">
        <v>151</v>
      </c>
      <c r="Y995" s="3" t="s">
        <v>223</v>
      </c>
      <c r="Z995" s="95">
        <v>1</v>
      </c>
      <c r="AA995" s="95">
        <v>1</v>
      </c>
      <c r="AB995" s="95">
        <v>1</v>
      </c>
      <c r="AC995" s="95">
        <v>1</v>
      </c>
      <c r="AD995" s="95">
        <v>4</v>
      </c>
      <c r="AE995" s="95">
        <v>0</v>
      </c>
      <c r="AF995" s="95">
        <v>0</v>
      </c>
      <c r="AG995" s="95">
        <v>0</v>
      </c>
      <c r="AH995" s="95">
        <v>0</v>
      </c>
      <c r="AI995" s="95">
        <v>10000</v>
      </c>
      <c r="AJ995" s="3">
        <f>INT(VLOOKUP(U995,模板计算相关数据!A:N,4,0)*VLOOKUP(U995,模板计算相关数据!A:N,14,0)*(1+MAX(0,(VLOOKUP(U995,模板计算相关数据!A:N,7,0)-AQ995))*VLOOKUP(U995,模板计算相关数据!A:N,8,0))*(1-(AL995+AM995)*0.5/((AL995+AM995)*0.5+(VLOOKUP(U995,模板计算相关数据!A:N,2,0)+模板计算相关数据!$AC$27)*模板计算相关数据!$AC$28))*Q995*Z995)</f>
        <v>4558</v>
      </c>
      <c r="AK995" s="3">
        <f>INT(VLOOKUP(U995,模板计算相关数据!A:N,3,0)/模板计算相关数据!$W$35/(1+MAX(0,(AO995/10000-VLOOKUP(U995,模板计算相关数据!A:N,9,0)))*AP995/10000)/(1-VLOOKUP(U995,模板计算相关数据!A:N,5,0)/(VLOOKUP(U995,模板计算相关数据!A:N,5,0)+(VLOOKUP(U995,模板计算相关数据!A:N,2,0)+模板计算相关数据!$AC$27)*模板计算相关数据!$AC$28))/S995*AA995)</f>
        <v>2290</v>
      </c>
      <c r="AL995" s="3">
        <f>INT(VLOOKUP(U995,模板计算相关数据!A:N,5,0)*VLOOKUP(X995,模板计算相关数据!$P$4:$T$7,4,0)*VLOOKUP(Y995,模板计算相关数据!$P$22:$U$30,4,0)*AB995)</f>
        <v>1503</v>
      </c>
      <c r="AM995" s="3">
        <f>INT(VLOOKUP(U995,模板计算相关数据!A:N,6,0)*VLOOKUP(X995,模板计算相关数据!$P$4:$T$7,4,0)*VLOOKUP(Y995,模板计算相关数据!$P$22:$U$30,5,0)*AC995)</f>
        <v>1836</v>
      </c>
      <c r="AN995" s="3">
        <f>VLOOKUP(U995,模板计算相关数据!A:N,10,0)*0.5*VLOOKUP(Y995,模板计算相关数据!$P$22:$U$30,6,0)+AD995</f>
        <v>254</v>
      </c>
      <c r="AO995" s="3">
        <f>VLOOKUP(INT(VLOOKUP(U995,模板计算相关数据!A:N,2,0)/30)+1,模板计算相关数据!$O$35:$U$40,3,0)+AE995</f>
        <v>0</v>
      </c>
      <c r="AP995" s="3">
        <f>VLOOKUP(INT(VLOOKUP(U995,模板计算相关数据!A:N,2,0)/30)+1,模板计算相关数据!$O$35:$U$40,4,0)+AF995</f>
        <v>5000</v>
      </c>
      <c r="AQ995" s="3">
        <f>VLOOKUP(INT(VLOOKUP(U995,模板计算相关数据!A:N,2,0)/30)+1,模板计算相关数据!$O$35:$U$40,5,0)+AG995</f>
        <v>0</v>
      </c>
      <c r="AR995" s="3">
        <f>VLOOKUP(INT(VLOOKUP(U995,模板计算相关数据!A:N,2,0)/30)+1,模板计算相关数据!$O$35:$U$40,6,0)+AH995</f>
        <v>0</v>
      </c>
      <c r="AS995" s="3">
        <f>VLOOKUP(INT(VLOOKUP(U995,模板计算相关数据!A:N,2,0)/30)+1,模板计算相关数据!$O$35:$U$40,7,0)+AI995</f>
        <v>10000</v>
      </c>
      <c r="AT995" s="3">
        <f>VLOOKUP(INT(VLOOKUP(U995,模板计算相关数据!A:N,2,0)/30)+1,模板计算相关数据!$O$35:$V$40,8,0)</f>
        <v>0</v>
      </c>
      <c r="AU995" s="2"/>
    </row>
    <row r="996" spans="1:47" x14ac:dyDescent="0.2">
      <c r="A996" s="86">
        <v>53003051</v>
      </c>
      <c r="B996" s="86"/>
      <c r="C996" s="69" t="s">
        <v>1801</v>
      </c>
      <c r="D996" s="2" t="s">
        <v>1494</v>
      </c>
      <c r="E996" s="2"/>
      <c r="F996" s="3">
        <v>6</v>
      </c>
      <c r="G996" s="3">
        <v>1006001</v>
      </c>
      <c r="H996" s="3">
        <v>4</v>
      </c>
      <c r="I996" s="2">
        <v>4</v>
      </c>
      <c r="J996" s="3">
        <v>6</v>
      </c>
      <c r="K996" s="2"/>
      <c r="L996" s="69" t="s">
        <v>1936</v>
      </c>
      <c r="M996" s="2"/>
      <c r="N996" s="2">
        <v>1</v>
      </c>
      <c r="O996" s="2"/>
      <c r="P996" s="3" t="s">
        <v>1615</v>
      </c>
      <c r="Q996" s="95">
        <v>8</v>
      </c>
      <c r="R996" s="133">
        <f>IF(P996=模板计算相关数据!$AB$24,VLOOKUP(X996,模板计算相关数据!$P$47:$T$50,2,0),VLOOKUP(X996,模板计算相关数据!$P$4:$U$7,3,0))*VLOOKUP(Y996,模板计算相关数据!$P$22:$X$30,8,0)</f>
        <v>5</v>
      </c>
      <c r="S996" s="62">
        <v>2</v>
      </c>
      <c r="T996" s="133">
        <f>IF(P996=模板计算相关数据!$AB$24,VLOOKUP(X996,模板计算相关数据!$P$47:$T$50,5,0),VLOOKUP(X996,模板计算相关数据!$P$4:$U$7,6,0))*VLOOKUP(Y996,模板计算相关数据!$P$22:$X$30,9,0)</f>
        <v>6.6666666666666661</v>
      </c>
      <c r="U996" s="57">
        <v>56</v>
      </c>
      <c r="V996" s="95">
        <f t="shared" si="82"/>
        <v>27</v>
      </c>
      <c r="W996" s="29">
        <f>VLOOKUP(U996,模板计算相关数据!A:N,2,0)</f>
        <v>24</v>
      </c>
      <c r="X996" s="3" t="s">
        <v>151</v>
      </c>
      <c r="Y996" s="3" t="s">
        <v>223</v>
      </c>
      <c r="Z996" s="95">
        <v>1</v>
      </c>
      <c r="AA996" s="95">
        <v>1</v>
      </c>
      <c r="AB996" s="95">
        <v>1</v>
      </c>
      <c r="AC996" s="95">
        <v>1</v>
      </c>
      <c r="AD996" s="95">
        <v>4</v>
      </c>
      <c r="AE996" s="95">
        <v>0</v>
      </c>
      <c r="AF996" s="95">
        <v>0</v>
      </c>
      <c r="AG996" s="95">
        <v>0</v>
      </c>
      <c r="AH996" s="95">
        <v>0</v>
      </c>
      <c r="AI996" s="95">
        <v>10000</v>
      </c>
      <c r="AJ996" s="3">
        <f>INT(VLOOKUP(U996,模板计算相关数据!A:N,4,0)*VLOOKUP(U996,模板计算相关数据!A:N,14,0)*(1+MAX(0,(VLOOKUP(U996,模板计算相关数据!A:N,7,0)-AQ996))*VLOOKUP(U996,模板计算相关数据!A:N,8,0))*(1-(AL996+AM996)*0.5/((AL996+AM996)*0.5+(VLOOKUP(U996,模板计算相关数据!A:N,2,0)+模板计算相关数据!$AC$27)*模板计算相关数据!$AC$28))*Q996*Z996)</f>
        <v>4558</v>
      </c>
      <c r="AK996" s="3">
        <f>INT(VLOOKUP(U996,模板计算相关数据!A:N,3,0)/模板计算相关数据!$W$35/(1+MAX(0,(AO996/10000-VLOOKUP(U996,模板计算相关数据!A:N,9,0)))*AP996/10000)/(1-VLOOKUP(U996,模板计算相关数据!A:N,5,0)/(VLOOKUP(U996,模板计算相关数据!A:N,5,0)+(VLOOKUP(U996,模板计算相关数据!A:N,2,0)+模板计算相关数据!$AC$27)*模板计算相关数据!$AC$28))/S996*AA996)</f>
        <v>2290</v>
      </c>
      <c r="AL996" s="3">
        <f>INT(VLOOKUP(U996,模板计算相关数据!A:N,5,0)*VLOOKUP(X996,模板计算相关数据!$P$4:$T$7,4,0)*VLOOKUP(Y996,模板计算相关数据!$P$22:$U$30,4,0)*AB996)</f>
        <v>1503</v>
      </c>
      <c r="AM996" s="3">
        <f>INT(VLOOKUP(U996,模板计算相关数据!A:N,6,0)*VLOOKUP(X996,模板计算相关数据!$P$4:$T$7,4,0)*VLOOKUP(Y996,模板计算相关数据!$P$22:$U$30,5,0)*AC996)</f>
        <v>1836</v>
      </c>
      <c r="AN996" s="3">
        <f>VLOOKUP(U996,模板计算相关数据!A:N,10,0)*0.5*VLOOKUP(Y996,模板计算相关数据!$P$22:$U$30,6,0)+AD996</f>
        <v>254</v>
      </c>
      <c r="AO996" s="3">
        <f>VLOOKUP(INT(VLOOKUP(U996,模板计算相关数据!A:N,2,0)/30)+1,模板计算相关数据!$O$35:$U$40,3,0)+AE996</f>
        <v>0</v>
      </c>
      <c r="AP996" s="3">
        <f>VLOOKUP(INT(VLOOKUP(U996,模板计算相关数据!A:N,2,0)/30)+1,模板计算相关数据!$O$35:$U$40,4,0)+AF996</f>
        <v>5000</v>
      </c>
      <c r="AQ996" s="3">
        <f>VLOOKUP(INT(VLOOKUP(U996,模板计算相关数据!A:N,2,0)/30)+1,模板计算相关数据!$O$35:$U$40,5,0)+AG996</f>
        <v>0</v>
      </c>
      <c r="AR996" s="3">
        <f>VLOOKUP(INT(VLOOKUP(U996,模板计算相关数据!A:N,2,0)/30)+1,模板计算相关数据!$O$35:$U$40,6,0)+AH996</f>
        <v>0</v>
      </c>
      <c r="AS996" s="3">
        <f>VLOOKUP(INT(VLOOKUP(U996,模板计算相关数据!A:N,2,0)/30)+1,模板计算相关数据!$O$35:$U$40,7,0)+AI996</f>
        <v>10000</v>
      </c>
      <c r="AT996" s="3">
        <f>VLOOKUP(INT(VLOOKUP(U996,模板计算相关数据!A:N,2,0)/30)+1,模板计算相关数据!$O$35:$V$40,8,0)</f>
        <v>0</v>
      </c>
      <c r="AU996" s="2"/>
    </row>
    <row r="997" spans="1:47" x14ac:dyDescent="0.2">
      <c r="A997" s="35">
        <v>53003012</v>
      </c>
      <c r="B997" s="35"/>
      <c r="C997" s="34" t="s">
        <v>1803</v>
      </c>
      <c r="D997" s="2" t="s">
        <v>1490</v>
      </c>
      <c r="E997" s="2"/>
      <c r="F997" s="3">
        <v>6</v>
      </c>
      <c r="G997" s="3">
        <v>1006001</v>
      </c>
      <c r="H997" s="3">
        <v>4</v>
      </c>
      <c r="I997" s="2">
        <v>4</v>
      </c>
      <c r="J997" s="3">
        <v>6</v>
      </c>
      <c r="K997" s="2"/>
      <c r="L997" s="69" t="s">
        <v>1937</v>
      </c>
      <c r="M997" s="2"/>
      <c r="N997" s="2">
        <v>1</v>
      </c>
      <c r="O997" s="2"/>
      <c r="P997" s="3" t="s">
        <v>1615</v>
      </c>
      <c r="Q997" s="95">
        <v>8</v>
      </c>
      <c r="R997" s="133">
        <f>IF(P997=模板计算相关数据!$AB$24,VLOOKUP(X997,模板计算相关数据!$P$47:$T$50,2,0),VLOOKUP(X997,模板计算相关数据!$P$4:$U$7,3,0))*VLOOKUP(Y997,模板计算相关数据!$P$22:$X$30,8,0)</f>
        <v>5</v>
      </c>
      <c r="S997" s="62">
        <v>2</v>
      </c>
      <c r="T997" s="133">
        <f>IF(P997=模板计算相关数据!$AB$24,VLOOKUP(X997,模板计算相关数据!$P$47:$T$50,5,0),VLOOKUP(X997,模板计算相关数据!$P$4:$U$7,6,0))*VLOOKUP(Y997,模板计算相关数据!$P$22:$X$30,9,0)</f>
        <v>6.6666666666666661</v>
      </c>
      <c r="U997" s="57">
        <v>56</v>
      </c>
      <c r="V997" s="95">
        <f t="shared" si="82"/>
        <v>27</v>
      </c>
      <c r="W997" s="29">
        <f>VLOOKUP(U997,模板计算相关数据!A:N,2,0)</f>
        <v>24</v>
      </c>
      <c r="X997" s="3" t="s">
        <v>151</v>
      </c>
      <c r="Y997" s="3" t="s">
        <v>223</v>
      </c>
      <c r="Z997" s="95">
        <v>1</v>
      </c>
      <c r="AA997" s="95">
        <v>1</v>
      </c>
      <c r="AB997" s="95">
        <v>1</v>
      </c>
      <c r="AC997" s="95">
        <v>1</v>
      </c>
      <c r="AD997" s="95">
        <v>3</v>
      </c>
      <c r="AE997" s="95">
        <v>0</v>
      </c>
      <c r="AF997" s="95">
        <v>0</v>
      </c>
      <c r="AG997" s="95">
        <v>0</v>
      </c>
      <c r="AH997" s="95">
        <v>0</v>
      </c>
      <c r="AI997" s="95">
        <v>10000</v>
      </c>
      <c r="AJ997" s="3">
        <f>INT(VLOOKUP(U997,模板计算相关数据!A:N,4,0)*VLOOKUP(U997,模板计算相关数据!A:N,14,0)*(1+MAX(0,(VLOOKUP(U997,模板计算相关数据!A:N,7,0)-AQ997))*VLOOKUP(U997,模板计算相关数据!A:N,8,0))*(1-(AL997+AM997)*0.5/((AL997+AM997)*0.5+(VLOOKUP(U997,模板计算相关数据!A:N,2,0)+模板计算相关数据!$AC$27)*模板计算相关数据!$AC$28))*Q997*Z997)</f>
        <v>4558</v>
      </c>
      <c r="AK997" s="3">
        <f>INT(VLOOKUP(U997,模板计算相关数据!A:N,3,0)/模板计算相关数据!$W$35/(1+MAX(0,(AO997/10000-VLOOKUP(U997,模板计算相关数据!A:N,9,0)))*AP997/10000)/(1-VLOOKUP(U997,模板计算相关数据!A:N,5,0)/(VLOOKUP(U997,模板计算相关数据!A:N,5,0)+(VLOOKUP(U997,模板计算相关数据!A:N,2,0)+模板计算相关数据!$AC$27)*模板计算相关数据!$AC$28))/S997*AA997)</f>
        <v>2290</v>
      </c>
      <c r="AL997" s="3">
        <f>INT(VLOOKUP(U997,模板计算相关数据!A:N,5,0)*VLOOKUP(X997,模板计算相关数据!$P$4:$T$7,4,0)*VLOOKUP(Y997,模板计算相关数据!$P$22:$U$30,4,0)*AB997)</f>
        <v>1503</v>
      </c>
      <c r="AM997" s="3">
        <f>INT(VLOOKUP(U997,模板计算相关数据!A:N,6,0)*VLOOKUP(X997,模板计算相关数据!$P$4:$T$7,4,0)*VLOOKUP(Y997,模板计算相关数据!$P$22:$U$30,5,0)*AC997)</f>
        <v>1836</v>
      </c>
      <c r="AN997" s="3">
        <f>VLOOKUP(U997,模板计算相关数据!A:N,10,0)*0.5*VLOOKUP(Y997,模板计算相关数据!$P$22:$U$30,6,0)+AD997</f>
        <v>253</v>
      </c>
      <c r="AO997" s="3">
        <f>VLOOKUP(INT(VLOOKUP(U997,模板计算相关数据!A:N,2,0)/30)+1,模板计算相关数据!$O$35:$U$40,3,0)+AE997</f>
        <v>0</v>
      </c>
      <c r="AP997" s="3">
        <f>VLOOKUP(INT(VLOOKUP(U997,模板计算相关数据!A:N,2,0)/30)+1,模板计算相关数据!$O$35:$U$40,4,0)+AF997</f>
        <v>5000</v>
      </c>
      <c r="AQ997" s="3">
        <f>VLOOKUP(INT(VLOOKUP(U997,模板计算相关数据!A:N,2,0)/30)+1,模板计算相关数据!$O$35:$U$40,5,0)+AG997</f>
        <v>0</v>
      </c>
      <c r="AR997" s="3">
        <f>VLOOKUP(INT(VLOOKUP(U997,模板计算相关数据!A:N,2,0)/30)+1,模板计算相关数据!$O$35:$U$40,6,0)+AH997</f>
        <v>0</v>
      </c>
      <c r="AS997" s="3">
        <f>VLOOKUP(INT(VLOOKUP(U997,模板计算相关数据!A:N,2,0)/30)+1,模板计算相关数据!$O$35:$U$40,7,0)+AI997</f>
        <v>10000</v>
      </c>
      <c r="AT997" s="3">
        <f>VLOOKUP(INT(VLOOKUP(U997,模板计算相关数据!A:N,2,0)/30)+1,模板计算相关数据!$O$35:$V$40,8,0)</f>
        <v>0</v>
      </c>
      <c r="AU997" s="2"/>
    </row>
    <row r="998" spans="1:47" x14ac:dyDescent="0.2">
      <c r="A998" s="86">
        <v>53003022</v>
      </c>
      <c r="B998" s="86"/>
      <c r="C998" s="69" t="s">
        <v>1802</v>
      </c>
      <c r="D998" s="2" t="s">
        <v>1491</v>
      </c>
      <c r="E998" s="2"/>
      <c r="F998" s="3">
        <v>6</v>
      </c>
      <c r="G998" s="3">
        <v>1006001</v>
      </c>
      <c r="H998" s="3">
        <v>4</v>
      </c>
      <c r="I998" s="2">
        <v>4</v>
      </c>
      <c r="J998" s="3">
        <v>6</v>
      </c>
      <c r="K998" s="2"/>
      <c r="L998" s="69" t="s">
        <v>1937</v>
      </c>
      <c r="M998" s="2"/>
      <c r="N998" s="2">
        <v>1</v>
      </c>
      <c r="O998" s="2"/>
      <c r="P998" s="3" t="s">
        <v>1615</v>
      </c>
      <c r="Q998" s="95">
        <v>8</v>
      </c>
      <c r="R998" s="133">
        <f>IF(P998=模板计算相关数据!$AB$24,VLOOKUP(X998,模板计算相关数据!$P$47:$T$50,2,0),VLOOKUP(X998,模板计算相关数据!$P$4:$U$7,3,0))*VLOOKUP(Y998,模板计算相关数据!$P$22:$X$30,8,0)</f>
        <v>5</v>
      </c>
      <c r="S998" s="62">
        <v>2</v>
      </c>
      <c r="T998" s="133">
        <f>IF(P998=模板计算相关数据!$AB$24,VLOOKUP(X998,模板计算相关数据!$P$47:$T$50,5,0),VLOOKUP(X998,模板计算相关数据!$P$4:$U$7,6,0))*VLOOKUP(Y998,模板计算相关数据!$P$22:$X$30,9,0)</f>
        <v>6.6666666666666661</v>
      </c>
      <c r="U998" s="57">
        <v>56</v>
      </c>
      <c r="V998" s="95">
        <f t="shared" si="82"/>
        <v>27</v>
      </c>
      <c r="W998" s="29">
        <f>VLOOKUP(U998,模板计算相关数据!A:N,2,0)</f>
        <v>24</v>
      </c>
      <c r="X998" s="3" t="s">
        <v>151</v>
      </c>
      <c r="Y998" s="3" t="s">
        <v>223</v>
      </c>
      <c r="Z998" s="95">
        <v>1</v>
      </c>
      <c r="AA998" s="95">
        <v>1</v>
      </c>
      <c r="AB998" s="95">
        <v>1</v>
      </c>
      <c r="AC998" s="95">
        <v>1</v>
      </c>
      <c r="AD998" s="95">
        <v>3</v>
      </c>
      <c r="AE998" s="95">
        <v>0</v>
      </c>
      <c r="AF998" s="95">
        <v>0</v>
      </c>
      <c r="AG998" s="95">
        <v>0</v>
      </c>
      <c r="AH998" s="95">
        <v>0</v>
      </c>
      <c r="AI998" s="95">
        <v>10000</v>
      </c>
      <c r="AJ998" s="3">
        <f>INT(VLOOKUP(U998,模板计算相关数据!A:N,4,0)*VLOOKUP(U998,模板计算相关数据!A:N,14,0)*(1+MAX(0,(VLOOKUP(U998,模板计算相关数据!A:N,7,0)-AQ998))*VLOOKUP(U998,模板计算相关数据!A:N,8,0))*(1-(AL998+AM998)*0.5/((AL998+AM998)*0.5+(VLOOKUP(U998,模板计算相关数据!A:N,2,0)+模板计算相关数据!$AC$27)*模板计算相关数据!$AC$28))*Q998*Z998)</f>
        <v>4558</v>
      </c>
      <c r="AK998" s="3">
        <f>INT(VLOOKUP(U998,模板计算相关数据!A:N,3,0)/模板计算相关数据!$W$35/(1+MAX(0,(AO998/10000-VLOOKUP(U998,模板计算相关数据!A:N,9,0)))*AP998/10000)/(1-VLOOKUP(U998,模板计算相关数据!A:N,5,0)/(VLOOKUP(U998,模板计算相关数据!A:N,5,0)+(VLOOKUP(U998,模板计算相关数据!A:N,2,0)+模板计算相关数据!$AC$27)*模板计算相关数据!$AC$28))/S998*AA998)</f>
        <v>2290</v>
      </c>
      <c r="AL998" s="3">
        <f>INT(VLOOKUP(U998,模板计算相关数据!A:N,5,0)*VLOOKUP(X998,模板计算相关数据!$P$4:$T$7,4,0)*VLOOKUP(Y998,模板计算相关数据!$P$22:$U$30,4,0)*AB998)</f>
        <v>1503</v>
      </c>
      <c r="AM998" s="3">
        <f>INT(VLOOKUP(U998,模板计算相关数据!A:N,6,0)*VLOOKUP(X998,模板计算相关数据!$P$4:$T$7,4,0)*VLOOKUP(Y998,模板计算相关数据!$P$22:$U$30,5,0)*AC998)</f>
        <v>1836</v>
      </c>
      <c r="AN998" s="3">
        <f>VLOOKUP(U998,模板计算相关数据!A:N,10,0)*0.5*VLOOKUP(Y998,模板计算相关数据!$P$22:$U$30,6,0)+AD998</f>
        <v>253</v>
      </c>
      <c r="AO998" s="3">
        <f>VLOOKUP(INT(VLOOKUP(U998,模板计算相关数据!A:N,2,0)/30)+1,模板计算相关数据!$O$35:$U$40,3,0)+AE998</f>
        <v>0</v>
      </c>
      <c r="AP998" s="3">
        <f>VLOOKUP(INT(VLOOKUP(U998,模板计算相关数据!A:N,2,0)/30)+1,模板计算相关数据!$O$35:$U$40,4,0)+AF998</f>
        <v>5000</v>
      </c>
      <c r="AQ998" s="3">
        <f>VLOOKUP(INT(VLOOKUP(U998,模板计算相关数据!A:N,2,0)/30)+1,模板计算相关数据!$O$35:$U$40,5,0)+AG998</f>
        <v>0</v>
      </c>
      <c r="AR998" s="3">
        <f>VLOOKUP(INT(VLOOKUP(U998,模板计算相关数据!A:N,2,0)/30)+1,模板计算相关数据!$O$35:$U$40,6,0)+AH998</f>
        <v>0</v>
      </c>
      <c r="AS998" s="3">
        <f>VLOOKUP(INT(VLOOKUP(U998,模板计算相关数据!A:N,2,0)/30)+1,模板计算相关数据!$O$35:$U$40,7,0)+AI998</f>
        <v>10000</v>
      </c>
      <c r="AT998" s="3">
        <f>VLOOKUP(INT(VLOOKUP(U998,模板计算相关数据!A:N,2,0)/30)+1,模板计算相关数据!$O$35:$V$40,8,0)</f>
        <v>0</v>
      </c>
      <c r="AU998" s="2"/>
    </row>
    <row r="999" spans="1:47" x14ac:dyDescent="0.2">
      <c r="A999" s="86">
        <v>53003032</v>
      </c>
      <c r="B999" s="86"/>
      <c r="C999" s="69" t="s">
        <v>1802</v>
      </c>
      <c r="D999" s="2" t="s">
        <v>1492</v>
      </c>
      <c r="E999" s="2"/>
      <c r="F999" s="3">
        <v>6</v>
      </c>
      <c r="G999" s="3">
        <v>1006001</v>
      </c>
      <c r="H999" s="3">
        <v>4</v>
      </c>
      <c r="I999" s="2">
        <v>4</v>
      </c>
      <c r="J999" s="3">
        <v>6</v>
      </c>
      <c r="K999" s="2"/>
      <c r="L999" s="69" t="s">
        <v>1937</v>
      </c>
      <c r="M999" s="2"/>
      <c r="N999" s="2">
        <v>1</v>
      </c>
      <c r="O999" s="2"/>
      <c r="P999" s="3" t="s">
        <v>1615</v>
      </c>
      <c r="Q999" s="95">
        <v>8</v>
      </c>
      <c r="R999" s="133">
        <f>IF(P999=模板计算相关数据!$AB$24,VLOOKUP(X999,模板计算相关数据!$P$47:$T$50,2,0),VLOOKUP(X999,模板计算相关数据!$P$4:$U$7,3,0))*VLOOKUP(Y999,模板计算相关数据!$P$22:$X$30,8,0)</f>
        <v>5</v>
      </c>
      <c r="S999" s="62">
        <v>2</v>
      </c>
      <c r="T999" s="133">
        <f>IF(P999=模板计算相关数据!$AB$24,VLOOKUP(X999,模板计算相关数据!$P$47:$T$50,5,0),VLOOKUP(X999,模板计算相关数据!$P$4:$U$7,6,0))*VLOOKUP(Y999,模板计算相关数据!$P$22:$X$30,9,0)</f>
        <v>6.6666666666666661</v>
      </c>
      <c r="U999" s="57">
        <v>56</v>
      </c>
      <c r="V999" s="95">
        <f t="shared" si="82"/>
        <v>27</v>
      </c>
      <c r="W999" s="29">
        <f>VLOOKUP(U999,模板计算相关数据!A:N,2,0)</f>
        <v>24</v>
      </c>
      <c r="X999" s="3" t="s">
        <v>151</v>
      </c>
      <c r="Y999" s="3" t="s">
        <v>223</v>
      </c>
      <c r="Z999" s="95">
        <v>1</v>
      </c>
      <c r="AA999" s="95">
        <v>1</v>
      </c>
      <c r="AB999" s="95">
        <v>1</v>
      </c>
      <c r="AC999" s="95">
        <v>1</v>
      </c>
      <c r="AD999" s="95">
        <v>3</v>
      </c>
      <c r="AE999" s="95">
        <v>0</v>
      </c>
      <c r="AF999" s="95">
        <v>0</v>
      </c>
      <c r="AG999" s="95">
        <v>0</v>
      </c>
      <c r="AH999" s="95">
        <v>0</v>
      </c>
      <c r="AI999" s="95">
        <v>10000</v>
      </c>
      <c r="AJ999" s="3">
        <f>INT(VLOOKUP(U999,模板计算相关数据!A:N,4,0)*VLOOKUP(U999,模板计算相关数据!A:N,14,0)*(1+MAX(0,(VLOOKUP(U999,模板计算相关数据!A:N,7,0)-AQ999))*VLOOKUP(U999,模板计算相关数据!A:N,8,0))*(1-(AL999+AM999)*0.5/((AL999+AM999)*0.5+(VLOOKUP(U999,模板计算相关数据!A:N,2,0)+模板计算相关数据!$AC$27)*模板计算相关数据!$AC$28))*Q999*Z999)</f>
        <v>4558</v>
      </c>
      <c r="AK999" s="3">
        <f>INT(VLOOKUP(U999,模板计算相关数据!A:N,3,0)/模板计算相关数据!$W$35/(1+MAX(0,(AO999/10000-VLOOKUP(U999,模板计算相关数据!A:N,9,0)))*AP999/10000)/(1-VLOOKUP(U999,模板计算相关数据!A:N,5,0)/(VLOOKUP(U999,模板计算相关数据!A:N,5,0)+(VLOOKUP(U999,模板计算相关数据!A:N,2,0)+模板计算相关数据!$AC$27)*模板计算相关数据!$AC$28))/S999*AA999)</f>
        <v>2290</v>
      </c>
      <c r="AL999" s="3">
        <f>INT(VLOOKUP(U999,模板计算相关数据!A:N,5,0)*VLOOKUP(X999,模板计算相关数据!$P$4:$T$7,4,0)*VLOOKUP(Y999,模板计算相关数据!$P$22:$U$30,4,0)*AB999)</f>
        <v>1503</v>
      </c>
      <c r="AM999" s="3">
        <f>INT(VLOOKUP(U999,模板计算相关数据!A:N,6,0)*VLOOKUP(X999,模板计算相关数据!$P$4:$T$7,4,0)*VLOOKUP(Y999,模板计算相关数据!$P$22:$U$30,5,0)*AC999)</f>
        <v>1836</v>
      </c>
      <c r="AN999" s="3">
        <f>VLOOKUP(U999,模板计算相关数据!A:N,10,0)*0.5*VLOOKUP(Y999,模板计算相关数据!$P$22:$U$30,6,0)+AD999</f>
        <v>253</v>
      </c>
      <c r="AO999" s="3">
        <f>VLOOKUP(INT(VLOOKUP(U999,模板计算相关数据!A:N,2,0)/30)+1,模板计算相关数据!$O$35:$U$40,3,0)+AE999</f>
        <v>0</v>
      </c>
      <c r="AP999" s="3">
        <f>VLOOKUP(INT(VLOOKUP(U999,模板计算相关数据!A:N,2,0)/30)+1,模板计算相关数据!$O$35:$U$40,4,0)+AF999</f>
        <v>5000</v>
      </c>
      <c r="AQ999" s="3">
        <f>VLOOKUP(INT(VLOOKUP(U999,模板计算相关数据!A:N,2,0)/30)+1,模板计算相关数据!$O$35:$U$40,5,0)+AG999</f>
        <v>0</v>
      </c>
      <c r="AR999" s="3">
        <f>VLOOKUP(INT(VLOOKUP(U999,模板计算相关数据!A:N,2,0)/30)+1,模板计算相关数据!$O$35:$U$40,6,0)+AH999</f>
        <v>0</v>
      </c>
      <c r="AS999" s="3">
        <f>VLOOKUP(INT(VLOOKUP(U999,模板计算相关数据!A:N,2,0)/30)+1,模板计算相关数据!$O$35:$U$40,7,0)+AI999</f>
        <v>10000</v>
      </c>
      <c r="AT999" s="3">
        <f>VLOOKUP(INT(VLOOKUP(U999,模板计算相关数据!A:N,2,0)/30)+1,模板计算相关数据!$O$35:$V$40,8,0)</f>
        <v>0</v>
      </c>
      <c r="AU999" s="2"/>
    </row>
    <row r="1000" spans="1:47" x14ac:dyDescent="0.2">
      <c r="A1000" s="86">
        <v>53003042</v>
      </c>
      <c r="B1000" s="86"/>
      <c r="C1000" s="69" t="s">
        <v>1802</v>
      </c>
      <c r="D1000" s="2" t="s">
        <v>1493</v>
      </c>
      <c r="E1000" s="2"/>
      <c r="F1000" s="3">
        <v>6</v>
      </c>
      <c r="G1000" s="3">
        <v>1006001</v>
      </c>
      <c r="H1000" s="3">
        <v>4</v>
      </c>
      <c r="I1000" s="2">
        <v>4</v>
      </c>
      <c r="J1000" s="3">
        <v>6</v>
      </c>
      <c r="K1000" s="2"/>
      <c r="L1000" s="69" t="s">
        <v>1937</v>
      </c>
      <c r="M1000" s="2"/>
      <c r="N1000" s="2">
        <v>1</v>
      </c>
      <c r="O1000" s="2"/>
      <c r="P1000" s="3" t="s">
        <v>1615</v>
      </c>
      <c r="Q1000" s="95">
        <v>8</v>
      </c>
      <c r="R1000" s="133">
        <f>IF(P1000=模板计算相关数据!$AB$24,VLOOKUP(X1000,模板计算相关数据!$P$47:$T$50,2,0),VLOOKUP(X1000,模板计算相关数据!$P$4:$U$7,3,0))*VLOOKUP(Y1000,模板计算相关数据!$P$22:$X$30,8,0)</f>
        <v>5</v>
      </c>
      <c r="S1000" s="62">
        <v>2</v>
      </c>
      <c r="T1000" s="133">
        <f>IF(P1000=模板计算相关数据!$AB$24,VLOOKUP(X1000,模板计算相关数据!$P$47:$T$50,5,0),VLOOKUP(X1000,模板计算相关数据!$P$4:$U$7,6,0))*VLOOKUP(Y1000,模板计算相关数据!$P$22:$X$30,9,0)</f>
        <v>6.6666666666666661</v>
      </c>
      <c r="U1000" s="57">
        <v>56</v>
      </c>
      <c r="V1000" s="95">
        <f t="shared" si="82"/>
        <v>27</v>
      </c>
      <c r="W1000" s="29">
        <f>VLOOKUP(U1000,模板计算相关数据!A:N,2,0)</f>
        <v>24</v>
      </c>
      <c r="X1000" s="3" t="s">
        <v>151</v>
      </c>
      <c r="Y1000" s="3" t="s">
        <v>223</v>
      </c>
      <c r="Z1000" s="95">
        <v>1</v>
      </c>
      <c r="AA1000" s="95">
        <v>1</v>
      </c>
      <c r="AB1000" s="95">
        <v>1</v>
      </c>
      <c r="AC1000" s="95">
        <v>1</v>
      </c>
      <c r="AD1000" s="95">
        <v>3</v>
      </c>
      <c r="AE1000" s="95">
        <v>0</v>
      </c>
      <c r="AF1000" s="95">
        <v>0</v>
      </c>
      <c r="AG1000" s="95">
        <v>0</v>
      </c>
      <c r="AH1000" s="95">
        <v>0</v>
      </c>
      <c r="AI1000" s="95">
        <v>10000</v>
      </c>
      <c r="AJ1000" s="3">
        <f>INT(VLOOKUP(U1000,模板计算相关数据!A:N,4,0)*VLOOKUP(U1000,模板计算相关数据!A:N,14,0)*(1+MAX(0,(VLOOKUP(U1000,模板计算相关数据!A:N,7,0)-AQ1000))*VLOOKUP(U1000,模板计算相关数据!A:N,8,0))*(1-(AL1000+AM1000)*0.5/((AL1000+AM1000)*0.5+(VLOOKUP(U1000,模板计算相关数据!A:N,2,0)+模板计算相关数据!$AC$27)*模板计算相关数据!$AC$28))*Q1000*Z1000)</f>
        <v>4558</v>
      </c>
      <c r="AK1000" s="3">
        <f>INT(VLOOKUP(U1000,模板计算相关数据!A:N,3,0)/模板计算相关数据!$W$35/(1+MAX(0,(AO1000/10000-VLOOKUP(U1000,模板计算相关数据!A:N,9,0)))*AP1000/10000)/(1-VLOOKUP(U1000,模板计算相关数据!A:N,5,0)/(VLOOKUP(U1000,模板计算相关数据!A:N,5,0)+(VLOOKUP(U1000,模板计算相关数据!A:N,2,0)+模板计算相关数据!$AC$27)*模板计算相关数据!$AC$28))/S1000*AA1000)</f>
        <v>2290</v>
      </c>
      <c r="AL1000" s="3">
        <f>INT(VLOOKUP(U1000,模板计算相关数据!A:N,5,0)*VLOOKUP(X1000,模板计算相关数据!$P$4:$T$7,4,0)*VLOOKUP(Y1000,模板计算相关数据!$P$22:$U$30,4,0)*AB1000)</f>
        <v>1503</v>
      </c>
      <c r="AM1000" s="3">
        <f>INT(VLOOKUP(U1000,模板计算相关数据!A:N,6,0)*VLOOKUP(X1000,模板计算相关数据!$P$4:$T$7,4,0)*VLOOKUP(Y1000,模板计算相关数据!$P$22:$U$30,5,0)*AC1000)</f>
        <v>1836</v>
      </c>
      <c r="AN1000" s="3">
        <f>VLOOKUP(U1000,模板计算相关数据!A:N,10,0)*0.5*VLOOKUP(Y1000,模板计算相关数据!$P$22:$U$30,6,0)+AD1000</f>
        <v>253</v>
      </c>
      <c r="AO1000" s="3">
        <f>VLOOKUP(INT(VLOOKUP(U1000,模板计算相关数据!A:N,2,0)/30)+1,模板计算相关数据!$O$35:$U$40,3,0)+AE1000</f>
        <v>0</v>
      </c>
      <c r="AP1000" s="3">
        <f>VLOOKUP(INT(VLOOKUP(U1000,模板计算相关数据!A:N,2,0)/30)+1,模板计算相关数据!$O$35:$U$40,4,0)+AF1000</f>
        <v>5000</v>
      </c>
      <c r="AQ1000" s="3">
        <f>VLOOKUP(INT(VLOOKUP(U1000,模板计算相关数据!A:N,2,0)/30)+1,模板计算相关数据!$O$35:$U$40,5,0)+AG1000</f>
        <v>0</v>
      </c>
      <c r="AR1000" s="3">
        <f>VLOOKUP(INT(VLOOKUP(U1000,模板计算相关数据!A:N,2,0)/30)+1,模板计算相关数据!$O$35:$U$40,6,0)+AH1000</f>
        <v>0</v>
      </c>
      <c r="AS1000" s="3">
        <f>VLOOKUP(INT(VLOOKUP(U1000,模板计算相关数据!A:N,2,0)/30)+1,模板计算相关数据!$O$35:$U$40,7,0)+AI1000</f>
        <v>10000</v>
      </c>
      <c r="AT1000" s="3">
        <f>VLOOKUP(INT(VLOOKUP(U1000,模板计算相关数据!A:N,2,0)/30)+1,模板计算相关数据!$O$35:$V$40,8,0)</f>
        <v>0</v>
      </c>
      <c r="AU1000" s="2"/>
    </row>
    <row r="1001" spans="1:47" x14ac:dyDescent="0.2">
      <c r="A1001" s="86">
        <v>53003052</v>
      </c>
      <c r="B1001" s="86"/>
      <c r="C1001" s="69" t="s">
        <v>1802</v>
      </c>
      <c r="D1001" s="2" t="s">
        <v>1494</v>
      </c>
      <c r="E1001" s="2"/>
      <c r="F1001" s="3">
        <v>6</v>
      </c>
      <c r="G1001" s="3">
        <v>1006001</v>
      </c>
      <c r="H1001" s="3">
        <v>4</v>
      </c>
      <c r="I1001" s="2">
        <v>4</v>
      </c>
      <c r="J1001" s="3">
        <v>6</v>
      </c>
      <c r="K1001" s="2"/>
      <c r="L1001" s="69" t="s">
        <v>1937</v>
      </c>
      <c r="M1001" s="2"/>
      <c r="N1001" s="2">
        <v>1</v>
      </c>
      <c r="O1001" s="2"/>
      <c r="P1001" s="3" t="s">
        <v>1615</v>
      </c>
      <c r="Q1001" s="95">
        <v>8</v>
      </c>
      <c r="R1001" s="133">
        <f>IF(P1001=模板计算相关数据!$AB$24,VLOOKUP(X1001,模板计算相关数据!$P$47:$T$50,2,0),VLOOKUP(X1001,模板计算相关数据!$P$4:$U$7,3,0))*VLOOKUP(Y1001,模板计算相关数据!$P$22:$X$30,8,0)</f>
        <v>5</v>
      </c>
      <c r="S1001" s="62">
        <v>2</v>
      </c>
      <c r="T1001" s="133">
        <f>IF(P1001=模板计算相关数据!$AB$24,VLOOKUP(X1001,模板计算相关数据!$P$47:$T$50,5,0),VLOOKUP(X1001,模板计算相关数据!$P$4:$U$7,6,0))*VLOOKUP(Y1001,模板计算相关数据!$P$22:$X$30,9,0)</f>
        <v>6.6666666666666661</v>
      </c>
      <c r="U1001" s="57">
        <v>56</v>
      </c>
      <c r="V1001" s="95">
        <f t="shared" si="82"/>
        <v>27</v>
      </c>
      <c r="W1001" s="29">
        <f>VLOOKUP(U1001,模板计算相关数据!A:N,2,0)</f>
        <v>24</v>
      </c>
      <c r="X1001" s="3" t="s">
        <v>151</v>
      </c>
      <c r="Y1001" s="3" t="s">
        <v>223</v>
      </c>
      <c r="Z1001" s="95">
        <v>1</v>
      </c>
      <c r="AA1001" s="95">
        <v>1</v>
      </c>
      <c r="AB1001" s="95">
        <v>1</v>
      </c>
      <c r="AC1001" s="95">
        <v>1</v>
      </c>
      <c r="AD1001" s="95">
        <v>3</v>
      </c>
      <c r="AE1001" s="95">
        <v>0</v>
      </c>
      <c r="AF1001" s="95">
        <v>0</v>
      </c>
      <c r="AG1001" s="95">
        <v>0</v>
      </c>
      <c r="AH1001" s="95">
        <v>0</v>
      </c>
      <c r="AI1001" s="95">
        <v>10000</v>
      </c>
      <c r="AJ1001" s="3">
        <f>INT(VLOOKUP(U1001,模板计算相关数据!A:N,4,0)*VLOOKUP(U1001,模板计算相关数据!A:N,14,0)*(1+MAX(0,(VLOOKUP(U1001,模板计算相关数据!A:N,7,0)-AQ1001))*VLOOKUP(U1001,模板计算相关数据!A:N,8,0))*(1-(AL1001+AM1001)*0.5/((AL1001+AM1001)*0.5+(VLOOKUP(U1001,模板计算相关数据!A:N,2,0)+模板计算相关数据!$AC$27)*模板计算相关数据!$AC$28))*Q1001*Z1001)</f>
        <v>4558</v>
      </c>
      <c r="AK1001" s="3">
        <f>INT(VLOOKUP(U1001,模板计算相关数据!A:N,3,0)/模板计算相关数据!$W$35/(1+MAX(0,(AO1001/10000-VLOOKUP(U1001,模板计算相关数据!A:N,9,0)))*AP1001/10000)/(1-VLOOKUP(U1001,模板计算相关数据!A:N,5,0)/(VLOOKUP(U1001,模板计算相关数据!A:N,5,0)+(VLOOKUP(U1001,模板计算相关数据!A:N,2,0)+模板计算相关数据!$AC$27)*模板计算相关数据!$AC$28))/S1001*AA1001)</f>
        <v>2290</v>
      </c>
      <c r="AL1001" s="3">
        <f>INT(VLOOKUP(U1001,模板计算相关数据!A:N,5,0)*VLOOKUP(X1001,模板计算相关数据!$P$4:$T$7,4,0)*VLOOKUP(Y1001,模板计算相关数据!$P$22:$U$30,4,0)*AB1001)</f>
        <v>1503</v>
      </c>
      <c r="AM1001" s="3">
        <f>INT(VLOOKUP(U1001,模板计算相关数据!A:N,6,0)*VLOOKUP(X1001,模板计算相关数据!$P$4:$T$7,4,0)*VLOOKUP(Y1001,模板计算相关数据!$P$22:$U$30,5,0)*AC1001)</f>
        <v>1836</v>
      </c>
      <c r="AN1001" s="3">
        <f>VLOOKUP(U1001,模板计算相关数据!A:N,10,0)*0.5*VLOOKUP(Y1001,模板计算相关数据!$P$22:$U$30,6,0)+AD1001</f>
        <v>253</v>
      </c>
      <c r="AO1001" s="3">
        <f>VLOOKUP(INT(VLOOKUP(U1001,模板计算相关数据!A:N,2,0)/30)+1,模板计算相关数据!$O$35:$U$40,3,0)+AE1001</f>
        <v>0</v>
      </c>
      <c r="AP1001" s="3">
        <f>VLOOKUP(INT(VLOOKUP(U1001,模板计算相关数据!A:N,2,0)/30)+1,模板计算相关数据!$O$35:$U$40,4,0)+AF1001</f>
        <v>5000</v>
      </c>
      <c r="AQ1001" s="3">
        <f>VLOOKUP(INT(VLOOKUP(U1001,模板计算相关数据!A:N,2,0)/30)+1,模板计算相关数据!$O$35:$U$40,5,0)+AG1001</f>
        <v>0</v>
      </c>
      <c r="AR1001" s="3">
        <f>VLOOKUP(INT(VLOOKUP(U1001,模板计算相关数据!A:N,2,0)/30)+1,模板计算相关数据!$O$35:$U$40,6,0)+AH1001</f>
        <v>0</v>
      </c>
      <c r="AS1001" s="3">
        <f>VLOOKUP(INT(VLOOKUP(U1001,模板计算相关数据!A:N,2,0)/30)+1,模板计算相关数据!$O$35:$U$40,7,0)+AI1001</f>
        <v>10000</v>
      </c>
      <c r="AT1001" s="3">
        <f>VLOOKUP(INT(VLOOKUP(U1001,模板计算相关数据!A:N,2,0)/30)+1,模板计算相关数据!$O$35:$V$40,8,0)</f>
        <v>0</v>
      </c>
      <c r="AU1001" s="2"/>
    </row>
    <row r="1002" spans="1:47" x14ac:dyDescent="0.2">
      <c r="A1002" s="35">
        <v>53003013</v>
      </c>
      <c r="B1002" s="35"/>
      <c r="C1002" s="34" t="s">
        <v>1805</v>
      </c>
      <c r="D1002" s="2" t="s">
        <v>1490</v>
      </c>
      <c r="E1002" s="2"/>
      <c r="F1002" s="3">
        <v>6</v>
      </c>
      <c r="G1002" s="3">
        <v>1006001</v>
      </c>
      <c r="H1002" s="3">
        <v>4</v>
      </c>
      <c r="I1002" s="2">
        <v>4</v>
      </c>
      <c r="J1002" s="3">
        <v>6</v>
      </c>
      <c r="K1002" s="2"/>
      <c r="L1002" s="69" t="s">
        <v>1938</v>
      </c>
      <c r="M1002" s="2"/>
      <c r="N1002" s="2">
        <v>1</v>
      </c>
      <c r="O1002" s="2"/>
      <c r="P1002" s="3" t="s">
        <v>1615</v>
      </c>
      <c r="Q1002" s="95">
        <v>8</v>
      </c>
      <c r="R1002" s="133">
        <f>IF(P1002=模板计算相关数据!$AB$24,VLOOKUP(X1002,模板计算相关数据!$P$47:$T$50,2,0),VLOOKUP(X1002,模板计算相关数据!$P$4:$U$7,3,0))*VLOOKUP(Y1002,模板计算相关数据!$P$22:$X$30,8,0)</f>
        <v>5</v>
      </c>
      <c r="S1002" s="62">
        <v>2</v>
      </c>
      <c r="T1002" s="133">
        <f>IF(P1002=模板计算相关数据!$AB$24,VLOOKUP(X1002,模板计算相关数据!$P$47:$T$50,5,0),VLOOKUP(X1002,模板计算相关数据!$P$4:$U$7,6,0))*VLOOKUP(Y1002,模板计算相关数据!$P$22:$X$30,9,0)</f>
        <v>6.6666666666666661</v>
      </c>
      <c r="U1002" s="57">
        <v>56</v>
      </c>
      <c r="V1002" s="95">
        <f t="shared" si="82"/>
        <v>27</v>
      </c>
      <c r="W1002" s="29">
        <f>VLOOKUP(U1002,模板计算相关数据!A:N,2,0)</f>
        <v>24</v>
      </c>
      <c r="X1002" s="3" t="s">
        <v>151</v>
      </c>
      <c r="Y1002" s="3" t="s">
        <v>223</v>
      </c>
      <c r="Z1002" s="95">
        <v>1</v>
      </c>
      <c r="AA1002" s="95">
        <v>1</v>
      </c>
      <c r="AB1002" s="95">
        <v>1</v>
      </c>
      <c r="AC1002" s="95">
        <v>1</v>
      </c>
      <c r="AD1002" s="95">
        <v>2</v>
      </c>
      <c r="AE1002" s="95">
        <v>0</v>
      </c>
      <c r="AF1002" s="95">
        <v>0</v>
      </c>
      <c r="AG1002" s="95">
        <v>0</v>
      </c>
      <c r="AH1002" s="95">
        <v>0</v>
      </c>
      <c r="AI1002" s="95">
        <v>10000</v>
      </c>
      <c r="AJ1002" s="3">
        <f>INT(VLOOKUP(U1002,模板计算相关数据!A:N,4,0)*VLOOKUP(U1002,模板计算相关数据!A:N,14,0)*(1+MAX(0,(VLOOKUP(U1002,模板计算相关数据!A:N,7,0)-AQ1002))*VLOOKUP(U1002,模板计算相关数据!A:N,8,0))*(1-(AL1002+AM1002)*0.5/((AL1002+AM1002)*0.5+(VLOOKUP(U1002,模板计算相关数据!A:N,2,0)+模板计算相关数据!$AC$27)*模板计算相关数据!$AC$28))*Q1002*Z1002)</f>
        <v>4558</v>
      </c>
      <c r="AK1002" s="3">
        <f>INT(VLOOKUP(U1002,模板计算相关数据!A:N,3,0)/模板计算相关数据!$W$35/(1+MAX(0,(AO1002/10000-VLOOKUP(U1002,模板计算相关数据!A:N,9,0)))*AP1002/10000)/(1-VLOOKUP(U1002,模板计算相关数据!A:N,5,0)/(VLOOKUP(U1002,模板计算相关数据!A:N,5,0)+(VLOOKUP(U1002,模板计算相关数据!A:N,2,0)+模板计算相关数据!$AC$27)*模板计算相关数据!$AC$28))/S1002*AA1002)</f>
        <v>2290</v>
      </c>
      <c r="AL1002" s="3">
        <f>INT(VLOOKUP(U1002,模板计算相关数据!A:N,5,0)*VLOOKUP(X1002,模板计算相关数据!$P$4:$T$7,4,0)*VLOOKUP(Y1002,模板计算相关数据!$P$22:$U$30,4,0)*AB1002)</f>
        <v>1503</v>
      </c>
      <c r="AM1002" s="3">
        <f>INT(VLOOKUP(U1002,模板计算相关数据!A:N,6,0)*VLOOKUP(X1002,模板计算相关数据!$P$4:$T$7,4,0)*VLOOKUP(Y1002,模板计算相关数据!$P$22:$U$30,5,0)*AC1002)</f>
        <v>1836</v>
      </c>
      <c r="AN1002" s="3">
        <f>VLOOKUP(U1002,模板计算相关数据!A:N,10,0)*0.5*VLOOKUP(Y1002,模板计算相关数据!$P$22:$U$30,6,0)+AD1002</f>
        <v>252</v>
      </c>
      <c r="AO1002" s="3">
        <f>VLOOKUP(INT(VLOOKUP(U1002,模板计算相关数据!A:N,2,0)/30)+1,模板计算相关数据!$O$35:$U$40,3,0)+AE1002</f>
        <v>0</v>
      </c>
      <c r="AP1002" s="3">
        <f>VLOOKUP(INT(VLOOKUP(U1002,模板计算相关数据!A:N,2,0)/30)+1,模板计算相关数据!$O$35:$U$40,4,0)+AF1002</f>
        <v>5000</v>
      </c>
      <c r="AQ1002" s="3">
        <f>VLOOKUP(INT(VLOOKUP(U1002,模板计算相关数据!A:N,2,0)/30)+1,模板计算相关数据!$O$35:$U$40,5,0)+AG1002</f>
        <v>0</v>
      </c>
      <c r="AR1002" s="3">
        <f>VLOOKUP(INT(VLOOKUP(U1002,模板计算相关数据!A:N,2,0)/30)+1,模板计算相关数据!$O$35:$U$40,6,0)+AH1002</f>
        <v>0</v>
      </c>
      <c r="AS1002" s="3">
        <f>VLOOKUP(INT(VLOOKUP(U1002,模板计算相关数据!A:N,2,0)/30)+1,模板计算相关数据!$O$35:$U$40,7,0)+AI1002</f>
        <v>10000</v>
      </c>
      <c r="AT1002" s="3">
        <f>VLOOKUP(INT(VLOOKUP(U1002,模板计算相关数据!A:N,2,0)/30)+1,模板计算相关数据!$O$35:$V$40,8,0)</f>
        <v>0</v>
      </c>
      <c r="AU1002" s="2"/>
    </row>
    <row r="1003" spans="1:47" x14ac:dyDescent="0.2">
      <c r="A1003" s="86">
        <v>53003023</v>
      </c>
      <c r="B1003" s="86"/>
      <c r="C1003" s="69" t="s">
        <v>1804</v>
      </c>
      <c r="D1003" s="2" t="s">
        <v>1491</v>
      </c>
      <c r="E1003" s="2"/>
      <c r="F1003" s="3">
        <v>6</v>
      </c>
      <c r="G1003" s="3">
        <v>1006001</v>
      </c>
      <c r="H1003" s="3">
        <v>4</v>
      </c>
      <c r="I1003" s="2">
        <v>4</v>
      </c>
      <c r="J1003" s="3">
        <v>6</v>
      </c>
      <c r="K1003" s="2"/>
      <c r="L1003" s="69" t="s">
        <v>1938</v>
      </c>
      <c r="M1003" s="2"/>
      <c r="N1003" s="2">
        <v>1</v>
      </c>
      <c r="O1003" s="2"/>
      <c r="P1003" s="3" t="s">
        <v>1615</v>
      </c>
      <c r="Q1003" s="95">
        <v>8</v>
      </c>
      <c r="R1003" s="133">
        <f>IF(P1003=模板计算相关数据!$AB$24,VLOOKUP(X1003,模板计算相关数据!$P$47:$T$50,2,0),VLOOKUP(X1003,模板计算相关数据!$P$4:$U$7,3,0))*VLOOKUP(Y1003,模板计算相关数据!$P$22:$X$30,8,0)</f>
        <v>5</v>
      </c>
      <c r="S1003" s="62">
        <v>2</v>
      </c>
      <c r="T1003" s="133">
        <f>IF(P1003=模板计算相关数据!$AB$24,VLOOKUP(X1003,模板计算相关数据!$P$47:$T$50,5,0),VLOOKUP(X1003,模板计算相关数据!$P$4:$U$7,6,0))*VLOOKUP(Y1003,模板计算相关数据!$P$22:$X$30,9,0)</f>
        <v>6.6666666666666661</v>
      </c>
      <c r="U1003" s="57">
        <v>56</v>
      </c>
      <c r="V1003" s="95">
        <f t="shared" si="82"/>
        <v>27</v>
      </c>
      <c r="W1003" s="29">
        <f>VLOOKUP(U1003,模板计算相关数据!A:N,2,0)</f>
        <v>24</v>
      </c>
      <c r="X1003" s="3" t="s">
        <v>151</v>
      </c>
      <c r="Y1003" s="3" t="s">
        <v>223</v>
      </c>
      <c r="Z1003" s="95">
        <v>1</v>
      </c>
      <c r="AA1003" s="95">
        <v>1</v>
      </c>
      <c r="AB1003" s="95">
        <v>1</v>
      </c>
      <c r="AC1003" s="95">
        <v>1</v>
      </c>
      <c r="AD1003" s="95">
        <v>2</v>
      </c>
      <c r="AE1003" s="95">
        <v>0</v>
      </c>
      <c r="AF1003" s="95">
        <v>0</v>
      </c>
      <c r="AG1003" s="95">
        <v>0</v>
      </c>
      <c r="AH1003" s="95">
        <v>0</v>
      </c>
      <c r="AI1003" s="95">
        <v>10000</v>
      </c>
      <c r="AJ1003" s="3">
        <f>INT(VLOOKUP(U1003,模板计算相关数据!A:N,4,0)*VLOOKUP(U1003,模板计算相关数据!A:N,14,0)*(1+MAX(0,(VLOOKUP(U1003,模板计算相关数据!A:N,7,0)-AQ1003))*VLOOKUP(U1003,模板计算相关数据!A:N,8,0))*(1-(AL1003+AM1003)*0.5/((AL1003+AM1003)*0.5+(VLOOKUP(U1003,模板计算相关数据!A:N,2,0)+模板计算相关数据!$AC$27)*模板计算相关数据!$AC$28))*Q1003*Z1003)</f>
        <v>4558</v>
      </c>
      <c r="AK1003" s="3">
        <f>INT(VLOOKUP(U1003,模板计算相关数据!A:N,3,0)/模板计算相关数据!$W$35/(1+MAX(0,(AO1003/10000-VLOOKUP(U1003,模板计算相关数据!A:N,9,0)))*AP1003/10000)/(1-VLOOKUP(U1003,模板计算相关数据!A:N,5,0)/(VLOOKUP(U1003,模板计算相关数据!A:N,5,0)+(VLOOKUP(U1003,模板计算相关数据!A:N,2,0)+模板计算相关数据!$AC$27)*模板计算相关数据!$AC$28))/S1003*AA1003)</f>
        <v>2290</v>
      </c>
      <c r="AL1003" s="3">
        <f>INT(VLOOKUP(U1003,模板计算相关数据!A:N,5,0)*VLOOKUP(X1003,模板计算相关数据!$P$4:$T$7,4,0)*VLOOKUP(Y1003,模板计算相关数据!$P$22:$U$30,4,0)*AB1003)</f>
        <v>1503</v>
      </c>
      <c r="AM1003" s="3">
        <f>INT(VLOOKUP(U1003,模板计算相关数据!A:N,6,0)*VLOOKUP(X1003,模板计算相关数据!$P$4:$T$7,4,0)*VLOOKUP(Y1003,模板计算相关数据!$P$22:$U$30,5,0)*AC1003)</f>
        <v>1836</v>
      </c>
      <c r="AN1003" s="3">
        <f>VLOOKUP(U1003,模板计算相关数据!A:N,10,0)*0.5*VLOOKUP(Y1003,模板计算相关数据!$P$22:$U$30,6,0)+AD1003</f>
        <v>252</v>
      </c>
      <c r="AO1003" s="3">
        <f>VLOOKUP(INT(VLOOKUP(U1003,模板计算相关数据!A:N,2,0)/30)+1,模板计算相关数据!$O$35:$U$40,3,0)+AE1003</f>
        <v>0</v>
      </c>
      <c r="AP1003" s="3">
        <f>VLOOKUP(INT(VLOOKUP(U1003,模板计算相关数据!A:N,2,0)/30)+1,模板计算相关数据!$O$35:$U$40,4,0)+AF1003</f>
        <v>5000</v>
      </c>
      <c r="AQ1003" s="3">
        <f>VLOOKUP(INT(VLOOKUP(U1003,模板计算相关数据!A:N,2,0)/30)+1,模板计算相关数据!$O$35:$U$40,5,0)+AG1003</f>
        <v>0</v>
      </c>
      <c r="AR1003" s="3">
        <f>VLOOKUP(INT(VLOOKUP(U1003,模板计算相关数据!A:N,2,0)/30)+1,模板计算相关数据!$O$35:$U$40,6,0)+AH1003</f>
        <v>0</v>
      </c>
      <c r="AS1003" s="3">
        <f>VLOOKUP(INT(VLOOKUP(U1003,模板计算相关数据!A:N,2,0)/30)+1,模板计算相关数据!$O$35:$U$40,7,0)+AI1003</f>
        <v>10000</v>
      </c>
      <c r="AT1003" s="3">
        <f>VLOOKUP(INT(VLOOKUP(U1003,模板计算相关数据!A:N,2,0)/30)+1,模板计算相关数据!$O$35:$V$40,8,0)</f>
        <v>0</v>
      </c>
      <c r="AU1003" s="2"/>
    </row>
    <row r="1004" spans="1:47" x14ac:dyDescent="0.2">
      <c r="A1004" s="86">
        <v>53003033</v>
      </c>
      <c r="B1004" s="86"/>
      <c r="C1004" s="69" t="s">
        <v>1804</v>
      </c>
      <c r="D1004" s="2" t="s">
        <v>1492</v>
      </c>
      <c r="E1004" s="2"/>
      <c r="F1004" s="3">
        <v>6</v>
      </c>
      <c r="G1004" s="3">
        <v>1006001</v>
      </c>
      <c r="H1004" s="3">
        <v>4</v>
      </c>
      <c r="I1004" s="2">
        <v>4</v>
      </c>
      <c r="J1004" s="3">
        <v>6</v>
      </c>
      <c r="K1004" s="2"/>
      <c r="L1004" s="69" t="s">
        <v>1938</v>
      </c>
      <c r="M1004" s="2"/>
      <c r="N1004" s="2">
        <v>1</v>
      </c>
      <c r="O1004" s="2"/>
      <c r="P1004" s="3" t="s">
        <v>1615</v>
      </c>
      <c r="Q1004" s="95">
        <v>8</v>
      </c>
      <c r="R1004" s="133">
        <f>IF(P1004=模板计算相关数据!$AB$24,VLOOKUP(X1004,模板计算相关数据!$P$47:$T$50,2,0),VLOOKUP(X1004,模板计算相关数据!$P$4:$U$7,3,0))*VLOOKUP(Y1004,模板计算相关数据!$P$22:$X$30,8,0)</f>
        <v>5</v>
      </c>
      <c r="S1004" s="62">
        <v>2</v>
      </c>
      <c r="T1004" s="133">
        <f>IF(P1004=模板计算相关数据!$AB$24,VLOOKUP(X1004,模板计算相关数据!$P$47:$T$50,5,0),VLOOKUP(X1004,模板计算相关数据!$P$4:$U$7,6,0))*VLOOKUP(Y1004,模板计算相关数据!$P$22:$X$30,9,0)</f>
        <v>6.6666666666666661</v>
      </c>
      <c r="U1004" s="57">
        <v>56</v>
      </c>
      <c r="V1004" s="95">
        <f t="shared" si="82"/>
        <v>27</v>
      </c>
      <c r="W1004" s="29">
        <f>VLOOKUP(U1004,模板计算相关数据!A:N,2,0)</f>
        <v>24</v>
      </c>
      <c r="X1004" s="3" t="s">
        <v>151</v>
      </c>
      <c r="Y1004" s="3" t="s">
        <v>223</v>
      </c>
      <c r="Z1004" s="95">
        <v>1</v>
      </c>
      <c r="AA1004" s="95">
        <v>1</v>
      </c>
      <c r="AB1004" s="95">
        <v>1</v>
      </c>
      <c r="AC1004" s="95">
        <v>1</v>
      </c>
      <c r="AD1004" s="95">
        <v>2</v>
      </c>
      <c r="AE1004" s="95">
        <v>0</v>
      </c>
      <c r="AF1004" s="95">
        <v>0</v>
      </c>
      <c r="AG1004" s="95">
        <v>0</v>
      </c>
      <c r="AH1004" s="95">
        <v>0</v>
      </c>
      <c r="AI1004" s="95">
        <v>10000</v>
      </c>
      <c r="AJ1004" s="3">
        <f>INT(VLOOKUP(U1004,模板计算相关数据!A:N,4,0)*VLOOKUP(U1004,模板计算相关数据!A:N,14,0)*(1+MAX(0,(VLOOKUP(U1004,模板计算相关数据!A:N,7,0)-AQ1004))*VLOOKUP(U1004,模板计算相关数据!A:N,8,0))*(1-(AL1004+AM1004)*0.5/((AL1004+AM1004)*0.5+(VLOOKUP(U1004,模板计算相关数据!A:N,2,0)+模板计算相关数据!$AC$27)*模板计算相关数据!$AC$28))*Q1004*Z1004)</f>
        <v>4558</v>
      </c>
      <c r="AK1004" s="3">
        <f>INT(VLOOKUP(U1004,模板计算相关数据!A:N,3,0)/模板计算相关数据!$W$35/(1+MAX(0,(AO1004/10000-VLOOKUP(U1004,模板计算相关数据!A:N,9,0)))*AP1004/10000)/(1-VLOOKUP(U1004,模板计算相关数据!A:N,5,0)/(VLOOKUP(U1004,模板计算相关数据!A:N,5,0)+(VLOOKUP(U1004,模板计算相关数据!A:N,2,0)+模板计算相关数据!$AC$27)*模板计算相关数据!$AC$28))/S1004*AA1004)</f>
        <v>2290</v>
      </c>
      <c r="AL1004" s="3">
        <f>INT(VLOOKUP(U1004,模板计算相关数据!A:N,5,0)*VLOOKUP(X1004,模板计算相关数据!$P$4:$T$7,4,0)*VLOOKUP(Y1004,模板计算相关数据!$P$22:$U$30,4,0)*AB1004)</f>
        <v>1503</v>
      </c>
      <c r="AM1004" s="3">
        <f>INT(VLOOKUP(U1004,模板计算相关数据!A:N,6,0)*VLOOKUP(X1004,模板计算相关数据!$P$4:$T$7,4,0)*VLOOKUP(Y1004,模板计算相关数据!$P$22:$U$30,5,0)*AC1004)</f>
        <v>1836</v>
      </c>
      <c r="AN1004" s="3">
        <f>VLOOKUP(U1004,模板计算相关数据!A:N,10,0)*0.5*VLOOKUP(Y1004,模板计算相关数据!$P$22:$U$30,6,0)+AD1004</f>
        <v>252</v>
      </c>
      <c r="AO1004" s="3">
        <f>VLOOKUP(INT(VLOOKUP(U1004,模板计算相关数据!A:N,2,0)/30)+1,模板计算相关数据!$O$35:$U$40,3,0)+AE1004</f>
        <v>0</v>
      </c>
      <c r="AP1004" s="3">
        <f>VLOOKUP(INT(VLOOKUP(U1004,模板计算相关数据!A:N,2,0)/30)+1,模板计算相关数据!$O$35:$U$40,4,0)+AF1004</f>
        <v>5000</v>
      </c>
      <c r="AQ1004" s="3">
        <f>VLOOKUP(INT(VLOOKUP(U1004,模板计算相关数据!A:N,2,0)/30)+1,模板计算相关数据!$O$35:$U$40,5,0)+AG1004</f>
        <v>0</v>
      </c>
      <c r="AR1004" s="3">
        <f>VLOOKUP(INT(VLOOKUP(U1004,模板计算相关数据!A:N,2,0)/30)+1,模板计算相关数据!$O$35:$U$40,6,0)+AH1004</f>
        <v>0</v>
      </c>
      <c r="AS1004" s="3">
        <f>VLOOKUP(INT(VLOOKUP(U1004,模板计算相关数据!A:N,2,0)/30)+1,模板计算相关数据!$O$35:$U$40,7,0)+AI1004</f>
        <v>10000</v>
      </c>
      <c r="AT1004" s="3">
        <f>VLOOKUP(INT(VLOOKUP(U1004,模板计算相关数据!A:N,2,0)/30)+1,模板计算相关数据!$O$35:$V$40,8,0)</f>
        <v>0</v>
      </c>
      <c r="AU1004" s="2"/>
    </row>
    <row r="1005" spans="1:47" x14ac:dyDescent="0.2">
      <c r="A1005" s="86">
        <v>53003043</v>
      </c>
      <c r="B1005" s="86"/>
      <c r="C1005" s="69" t="s">
        <v>1804</v>
      </c>
      <c r="D1005" s="2" t="s">
        <v>1493</v>
      </c>
      <c r="E1005" s="2"/>
      <c r="F1005" s="3">
        <v>6</v>
      </c>
      <c r="G1005" s="3">
        <v>1006001</v>
      </c>
      <c r="H1005" s="3">
        <v>4</v>
      </c>
      <c r="I1005" s="2">
        <v>4</v>
      </c>
      <c r="J1005" s="3">
        <v>6</v>
      </c>
      <c r="K1005" s="2"/>
      <c r="L1005" s="69" t="s">
        <v>1938</v>
      </c>
      <c r="M1005" s="2"/>
      <c r="N1005" s="2">
        <v>1</v>
      </c>
      <c r="O1005" s="2"/>
      <c r="P1005" s="3" t="s">
        <v>1615</v>
      </c>
      <c r="Q1005" s="95">
        <v>8</v>
      </c>
      <c r="R1005" s="133">
        <f>IF(P1005=模板计算相关数据!$AB$24,VLOOKUP(X1005,模板计算相关数据!$P$47:$T$50,2,0),VLOOKUP(X1005,模板计算相关数据!$P$4:$U$7,3,0))*VLOOKUP(Y1005,模板计算相关数据!$P$22:$X$30,8,0)</f>
        <v>5</v>
      </c>
      <c r="S1005" s="62">
        <v>2</v>
      </c>
      <c r="T1005" s="133">
        <f>IF(P1005=模板计算相关数据!$AB$24,VLOOKUP(X1005,模板计算相关数据!$P$47:$T$50,5,0),VLOOKUP(X1005,模板计算相关数据!$P$4:$U$7,6,0))*VLOOKUP(Y1005,模板计算相关数据!$P$22:$X$30,9,0)</f>
        <v>6.6666666666666661</v>
      </c>
      <c r="U1005" s="57">
        <v>56</v>
      </c>
      <c r="V1005" s="95">
        <f t="shared" si="82"/>
        <v>27</v>
      </c>
      <c r="W1005" s="29">
        <f>VLOOKUP(U1005,模板计算相关数据!A:N,2,0)</f>
        <v>24</v>
      </c>
      <c r="X1005" s="3" t="s">
        <v>151</v>
      </c>
      <c r="Y1005" s="3" t="s">
        <v>223</v>
      </c>
      <c r="Z1005" s="95">
        <v>1</v>
      </c>
      <c r="AA1005" s="95">
        <v>1</v>
      </c>
      <c r="AB1005" s="95">
        <v>1</v>
      </c>
      <c r="AC1005" s="95">
        <v>1</v>
      </c>
      <c r="AD1005" s="95">
        <v>2</v>
      </c>
      <c r="AE1005" s="95">
        <v>0</v>
      </c>
      <c r="AF1005" s="95">
        <v>0</v>
      </c>
      <c r="AG1005" s="95">
        <v>0</v>
      </c>
      <c r="AH1005" s="95">
        <v>0</v>
      </c>
      <c r="AI1005" s="95">
        <v>10000</v>
      </c>
      <c r="AJ1005" s="3">
        <f>INT(VLOOKUP(U1005,模板计算相关数据!A:N,4,0)*VLOOKUP(U1005,模板计算相关数据!A:N,14,0)*(1+MAX(0,(VLOOKUP(U1005,模板计算相关数据!A:N,7,0)-AQ1005))*VLOOKUP(U1005,模板计算相关数据!A:N,8,0))*(1-(AL1005+AM1005)*0.5/((AL1005+AM1005)*0.5+(VLOOKUP(U1005,模板计算相关数据!A:N,2,0)+模板计算相关数据!$AC$27)*模板计算相关数据!$AC$28))*Q1005*Z1005)</f>
        <v>4558</v>
      </c>
      <c r="AK1005" s="3">
        <f>INT(VLOOKUP(U1005,模板计算相关数据!A:N,3,0)/模板计算相关数据!$W$35/(1+MAX(0,(AO1005/10000-VLOOKUP(U1005,模板计算相关数据!A:N,9,0)))*AP1005/10000)/(1-VLOOKUP(U1005,模板计算相关数据!A:N,5,0)/(VLOOKUP(U1005,模板计算相关数据!A:N,5,0)+(VLOOKUP(U1005,模板计算相关数据!A:N,2,0)+模板计算相关数据!$AC$27)*模板计算相关数据!$AC$28))/S1005*AA1005)</f>
        <v>2290</v>
      </c>
      <c r="AL1005" s="3">
        <f>INT(VLOOKUP(U1005,模板计算相关数据!A:N,5,0)*VLOOKUP(X1005,模板计算相关数据!$P$4:$T$7,4,0)*VLOOKUP(Y1005,模板计算相关数据!$P$22:$U$30,4,0)*AB1005)</f>
        <v>1503</v>
      </c>
      <c r="AM1005" s="3">
        <f>INT(VLOOKUP(U1005,模板计算相关数据!A:N,6,0)*VLOOKUP(X1005,模板计算相关数据!$P$4:$T$7,4,0)*VLOOKUP(Y1005,模板计算相关数据!$P$22:$U$30,5,0)*AC1005)</f>
        <v>1836</v>
      </c>
      <c r="AN1005" s="3">
        <f>VLOOKUP(U1005,模板计算相关数据!A:N,10,0)*0.5*VLOOKUP(Y1005,模板计算相关数据!$P$22:$U$30,6,0)+AD1005</f>
        <v>252</v>
      </c>
      <c r="AO1005" s="3">
        <f>VLOOKUP(INT(VLOOKUP(U1005,模板计算相关数据!A:N,2,0)/30)+1,模板计算相关数据!$O$35:$U$40,3,0)+AE1005</f>
        <v>0</v>
      </c>
      <c r="AP1005" s="3">
        <f>VLOOKUP(INT(VLOOKUP(U1005,模板计算相关数据!A:N,2,0)/30)+1,模板计算相关数据!$O$35:$U$40,4,0)+AF1005</f>
        <v>5000</v>
      </c>
      <c r="AQ1005" s="3">
        <f>VLOOKUP(INT(VLOOKUP(U1005,模板计算相关数据!A:N,2,0)/30)+1,模板计算相关数据!$O$35:$U$40,5,0)+AG1005</f>
        <v>0</v>
      </c>
      <c r="AR1005" s="3">
        <f>VLOOKUP(INT(VLOOKUP(U1005,模板计算相关数据!A:N,2,0)/30)+1,模板计算相关数据!$O$35:$U$40,6,0)+AH1005</f>
        <v>0</v>
      </c>
      <c r="AS1005" s="3">
        <f>VLOOKUP(INT(VLOOKUP(U1005,模板计算相关数据!A:N,2,0)/30)+1,模板计算相关数据!$O$35:$U$40,7,0)+AI1005</f>
        <v>10000</v>
      </c>
      <c r="AT1005" s="3">
        <f>VLOOKUP(INT(VLOOKUP(U1005,模板计算相关数据!A:N,2,0)/30)+1,模板计算相关数据!$O$35:$V$40,8,0)</f>
        <v>0</v>
      </c>
      <c r="AU1005" s="2"/>
    </row>
    <row r="1006" spans="1:47" x14ac:dyDescent="0.2">
      <c r="A1006" s="86">
        <v>53003053</v>
      </c>
      <c r="B1006" s="86"/>
      <c r="C1006" s="69" t="s">
        <v>1804</v>
      </c>
      <c r="D1006" s="2" t="s">
        <v>1494</v>
      </c>
      <c r="E1006" s="2"/>
      <c r="F1006" s="3">
        <v>6</v>
      </c>
      <c r="G1006" s="3">
        <v>1006001</v>
      </c>
      <c r="H1006" s="3">
        <v>4</v>
      </c>
      <c r="I1006" s="2">
        <v>4</v>
      </c>
      <c r="J1006" s="3">
        <v>6</v>
      </c>
      <c r="K1006" s="2"/>
      <c r="L1006" s="69" t="s">
        <v>1938</v>
      </c>
      <c r="M1006" s="2"/>
      <c r="N1006" s="2">
        <v>1</v>
      </c>
      <c r="O1006" s="2"/>
      <c r="P1006" s="3" t="s">
        <v>1615</v>
      </c>
      <c r="Q1006" s="95">
        <v>8</v>
      </c>
      <c r="R1006" s="133">
        <f>IF(P1006=模板计算相关数据!$AB$24,VLOOKUP(X1006,模板计算相关数据!$P$47:$T$50,2,0),VLOOKUP(X1006,模板计算相关数据!$P$4:$U$7,3,0))*VLOOKUP(Y1006,模板计算相关数据!$P$22:$X$30,8,0)</f>
        <v>5</v>
      </c>
      <c r="S1006" s="62">
        <v>2</v>
      </c>
      <c r="T1006" s="133">
        <f>IF(P1006=模板计算相关数据!$AB$24,VLOOKUP(X1006,模板计算相关数据!$P$47:$T$50,5,0),VLOOKUP(X1006,模板计算相关数据!$P$4:$U$7,6,0))*VLOOKUP(Y1006,模板计算相关数据!$P$22:$X$30,9,0)</f>
        <v>6.6666666666666661</v>
      </c>
      <c r="U1006" s="57">
        <v>56</v>
      </c>
      <c r="V1006" s="95">
        <f t="shared" si="82"/>
        <v>27</v>
      </c>
      <c r="W1006" s="29">
        <f>VLOOKUP(U1006,模板计算相关数据!A:N,2,0)</f>
        <v>24</v>
      </c>
      <c r="X1006" s="3" t="s">
        <v>151</v>
      </c>
      <c r="Y1006" s="3" t="s">
        <v>223</v>
      </c>
      <c r="Z1006" s="95">
        <v>1</v>
      </c>
      <c r="AA1006" s="95">
        <v>1</v>
      </c>
      <c r="AB1006" s="95">
        <v>1</v>
      </c>
      <c r="AC1006" s="95">
        <v>1</v>
      </c>
      <c r="AD1006" s="95">
        <v>2</v>
      </c>
      <c r="AE1006" s="95">
        <v>0</v>
      </c>
      <c r="AF1006" s="95">
        <v>0</v>
      </c>
      <c r="AG1006" s="95">
        <v>0</v>
      </c>
      <c r="AH1006" s="95">
        <v>0</v>
      </c>
      <c r="AI1006" s="95">
        <v>10000</v>
      </c>
      <c r="AJ1006" s="3">
        <f>INT(VLOOKUP(U1006,模板计算相关数据!A:N,4,0)*VLOOKUP(U1006,模板计算相关数据!A:N,14,0)*(1+MAX(0,(VLOOKUP(U1006,模板计算相关数据!A:N,7,0)-AQ1006))*VLOOKUP(U1006,模板计算相关数据!A:N,8,0))*(1-(AL1006+AM1006)*0.5/((AL1006+AM1006)*0.5+(VLOOKUP(U1006,模板计算相关数据!A:N,2,0)+模板计算相关数据!$AC$27)*模板计算相关数据!$AC$28))*Q1006*Z1006)</f>
        <v>4558</v>
      </c>
      <c r="AK1006" s="3">
        <f>INT(VLOOKUP(U1006,模板计算相关数据!A:N,3,0)/模板计算相关数据!$W$35/(1+MAX(0,(AO1006/10000-VLOOKUP(U1006,模板计算相关数据!A:N,9,0)))*AP1006/10000)/(1-VLOOKUP(U1006,模板计算相关数据!A:N,5,0)/(VLOOKUP(U1006,模板计算相关数据!A:N,5,0)+(VLOOKUP(U1006,模板计算相关数据!A:N,2,0)+模板计算相关数据!$AC$27)*模板计算相关数据!$AC$28))/S1006*AA1006)</f>
        <v>2290</v>
      </c>
      <c r="AL1006" s="3">
        <f>INT(VLOOKUP(U1006,模板计算相关数据!A:N,5,0)*VLOOKUP(X1006,模板计算相关数据!$P$4:$T$7,4,0)*VLOOKUP(Y1006,模板计算相关数据!$P$22:$U$30,4,0)*AB1006)</f>
        <v>1503</v>
      </c>
      <c r="AM1006" s="3">
        <f>INT(VLOOKUP(U1006,模板计算相关数据!A:N,6,0)*VLOOKUP(X1006,模板计算相关数据!$P$4:$T$7,4,0)*VLOOKUP(Y1006,模板计算相关数据!$P$22:$U$30,5,0)*AC1006)</f>
        <v>1836</v>
      </c>
      <c r="AN1006" s="3">
        <f>VLOOKUP(U1006,模板计算相关数据!A:N,10,0)*0.5*VLOOKUP(Y1006,模板计算相关数据!$P$22:$U$30,6,0)+AD1006</f>
        <v>252</v>
      </c>
      <c r="AO1006" s="3">
        <f>VLOOKUP(INT(VLOOKUP(U1006,模板计算相关数据!A:N,2,0)/30)+1,模板计算相关数据!$O$35:$U$40,3,0)+AE1006</f>
        <v>0</v>
      </c>
      <c r="AP1006" s="3">
        <f>VLOOKUP(INT(VLOOKUP(U1006,模板计算相关数据!A:N,2,0)/30)+1,模板计算相关数据!$O$35:$U$40,4,0)+AF1006</f>
        <v>5000</v>
      </c>
      <c r="AQ1006" s="3">
        <f>VLOOKUP(INT(VLOOKUP(U1006,模板计算相关数据!A:N,2,0)/30)+1,模板计算相关数据!$O$35:$U$40,5,0)+AG1006</f>
        <v>0</v>
      </c>
      <c r="AR1006" s="3">
        <f>VLOOKUP(INT(VLOOKUP(U1006,模板计算相关数据!A:N,2,0)/30)+1,模板计算相关数据!$O$35:$U$40,6,0)+AH1006</f>
        <v>0</v>
      </c>
      <c r="AS1006" s="3">
        <f>VLOOKUP(INT(VLOOKUP(U1006,模板计算相关数据!A:N,2,0)/30)+1,模板计算相关数据!$O$35:$U$40,7,0)+AI1006</f>
        <v>10000</v>
      </c>
      <c r="AT1006" s="3">
        <f>VLOOKUP(INT(VLOOKUP(U1006,模板计算相关数据!A:N,2,0)/30)+1,模板计算相关数据!$O$35:$V$40,8,0)</f>
        <v>0</v>
      </c>
      <c r="AU1006" s="2"/>
    </row>
    <row r="1007" spans="1:47" x14ac:dyDescent="0.2">
      <c r="A1007" s="35">
        <v>53003014</v>
      </c>
      <c r="B1007" s="35"/>
      <c r="C1007" s="34" t="s">
        <v>1806</v>
      </c>
      <c r="D1007" s="2" t="s">
        <v>1490</v>
      </c>
      <c r="E1007" s="2"/>
      <c r="F1007" s="3">
        <v>6</v>
      </c>
      <c r="G1007" s="3">
        <v>1006001</v>
      </c>
      <c r="H1007" s="3">
        <v>4</v>
      </c>
      <c r="I1007" s="2">
        <v>4</v>
      </c>
      <c r="J1007" s="3">
        <v>6</v>
      </c>
      <c r="K1007" s="2"/>
      <c r="L1007" s="69" t="s">
        <v>1939</v>
      </c>
      <c r="M1007" s="2"/>
      <c r="N1007" s="2">
        <v>1</v>
      </c>
      <c r="O1007" s="2"/>
      <c r="P1007" s="3" t="s">
        <v>1615</v>
      </c>
      <c r="Q1007" s="95">
        <v>8</v>
      </c>
      <c r="R1007" s="133">
        <f>IF(P1007=模板计算相关数据!$AB$24,VLOOKUP(X1007,模板计算相关数据!$P$47:$T$50,2,0),VLOOKUP(X1007,模板计算相关数据!$P$4:$U$7,3,0))*VLOOKUP(Y1007,模板计算相关数据!$P$22:$X$30,8,0)</f>
        <v>4.4674509803921572</v>
      </c>
      <c r="S1007" s="62">
        <v>2</v>
      </c>
      <c r="T1007" s="133">
        <f>IF(P1007=模板计算相关数据!$AB$24,VLOOKUP(X1007,模板计算相关数据!$P$47:$T$50,5,0),VLOOKUP(X1007,模板计算相关数据!$P$4:$U$7,6,0))*VLOOKUP(Y1007,模板计算相关数据!$P$22:$X$30,9,0)</f>
        <v>5.4739930589768004</v>
      </c>
      <c r="U1007" s="57">
        <v>56</v>
      </c>
      <c r="V1007" s="95">
        <f t="shared" si="82"/>
        <v>27</v>
      </c>
      <c r="W1007" s="29">
        <f>VLOOKUP(U1007,模板计算相关数据!A:N,2,0)</f>
        <v>24</v>
      </c>
      <c r="X1007" s="3" t="s">
        <v>151</v>
      </c>
      <c r="Y1007" s="3" t="s">
        <v>162</v>
      </c>
      <c r="Z1007" s="95">
        <v>1</v>
      </c>
      <c r="AA1007" s="95">
        <v>1</v>
      </c>
      <c r="AB1007" s="95">
        <v>1</v>
      </c>
      <c r="AC1007" s="95">
        <v>1</v>
      </c>
      <c r="AD1007" s="95">
        <v>1</v>
      </c>
      <c r="AE1007" s="95">
        <v>0</v>
      </c>
      <c r="AF1007" s="95">
        <v>0</v>
      </c>
      <c r="AG1007" s="95">
        <v>0</v>
      </c>
      <c r="AH1007" s="95">
        <v>0</v>
      </c>
      <c r="AI1007" s="95">
        <v>10000</v>
      </c>
      <c r="AJ1007" s="3">
        <f>INT(VLOOKUP(U1007,模板计算相关数据!A:N,4,0)*VLOOKUP(U1007,模板计算相关数据!A:N,14,0)*(1+MAX(0,(VLOOKUP(U1007,模板计算相关数据!A:N,7,0)-AQ1007))*VLOOKUP(U1007,模板计算相关数据!A:N,8,0))*(1-(AL1007+AM1007)*0.5/((AL1007+AM1007)*0.5+(VLOOKUP(U1007,模板计算相关数据!A:N,2,0)+模板计算相关数据!$AC$27)*模板计算相关数据!$AC$28))*Q1007*Z1007)</f>
        <v>4774</v>
      </c>
      <c r="AK1007" s="3">
        <f>INT(VLOOKUP(U1007,模板计算相关数据!A:N,3,0)/模板计算相关数据!$W$35/(1+MAX(0,(AO1007/10000-VLOOKUP(U1007,模板计算相关数据!A:N,9,0)))*AP1007/10000)/(1-VLOOKUP(U1007,模板计算相关数据!A:N,5,0)/(VLOOKUP(U1007,模板计算相关数据!A:N,5,0)+(VLOOKUP(U1007,模板计算相关数据!A:N,2,0)+模板计算相关数据!$AC$27)*模板计算相关数据!$AC$28))/S1007*AA1007)</f>
        <v>2290</v>
      </c>
      <c r="AL1007" s="3">
        <f>INT(VLOOKUP(U1007,模板计算相关数据!A:N,5,0)*VLOOKUP(X1007,模板计算相关数据!$P$4:$T$7,4,0)*VLOOKUP(Y1007,模板计算相关数据!$P$22:$U$30,4,0)*AB1007)</f>
        <v>962</v>
      </c>
      <c r="AM1007" s="3">
        <f>INT(VLOOKUP(U1007,模板计算相关数据!A:N,6,0)*VLOOKUP(X1007,模板计算相关数据!$P$4:$T$7,4,0)*VLOOKUP(Y1007,模板计算相关数据!$P$22:$U$30,5,0)*AC1007)</f>
        <v>1983</v>
      </c>
      <c r="AN1007" s="3">
        <f>VLOOKUP(U1007,模板计算相关数据!A:N,10,0)*0.5*VLOOKUP(Y1007,模板计算相关数据!$P$22:$U$30,6,0)+AD1007</f>
        <v>251</v>
      </c>
      <c r="AO1007" s="3">
        <f>VLOOKUP(INT(VLOOKUP(U1007,模板计算相关数据!A:N,2,0)/30)+1,模板计算相关数据!$O$35:$U$40,3,0)+AE1007</f>
        <v>0</v>
      </c>
      <c r="AP1007" s="3">
        <f>VLOOKUP(INT(VLOOKUP(U1007,模板计算相关数据!A:N,2,0)/30)+1,模板计算相关数据!$O$35:$U$40,4,0)+AF1007</f>
        <v>5000</v>
      </c>
      <c r="AQ1007" s="3">
        <f>VLOOKUP(INT(VLOOKUP(U1007,模板计算相关数据!A:N,2,0)/30)+1,模板计算相关数据!$O$35:$U$40,5,0)+AG1007</f>
        <v>0</v>
      </c>
      <c r="AR1007" s="3">
        <f>VLOOKUP(INT(VLOOKUP(U1007,模板计算相关数据!A:N,2,0)/30)+1,模板计算相关数据!$O$35:$U$40,6,0)+AH1007</f>
        <v>0</v>
      </c>
      <c r="AS1007" s="3">
        <f>VLOOKUP(INT(VLOOKUP(U1007,模板计算相关数据!A:N,2,0)/30)+1,模板计算相关数据!$O$35:$U$40,7,0)+AI1007</f>
        <v>10000</v>
      </c>
      <c r="AT1007" s="3">
        <f>VLOOKUP(INT(VLOOKUP(U1007,模板计算相关数据!A:N,2,0)/30)+1,模板计算相关数据!$O$35:$V$40,8,0)</f>
        <v>0</v>
      </c>
      <c r="AU1007" s="2"/>
    </row>
    <row r="1008" spans="1:47" x14ac:dyDescent="0.2">
      <c r="A1008" s="86">
        <v>53003024</v>
      </c>
      <c r="B1008" s="86"/>
      <c r="C1008" s="69" t="s">
        <v>1806</v>
      </c>
      <c r="D1008" s="2" t="s">
        <v>1491</v>
      </c>
      <c r="E1008" s="2"/>
      <c r="F1008" s="3">
        <v>6</v>
      </c>
      <c r="G1008" s="3">
        <v>1006001</v>
      </c>
      <c r="H1008" s="3">
        <v>4</v>
      </c>
      <c r="I1008" s="2">
        <v>4</v>
      </c>
      <c r="J1008" s="3">
        <v>6</v>
      </c>
      <c r="K1008" s="2"/>
      <c r="L1008" s="69" t="s">
        <v>1939</v>
      </c>
      <c r="M1008" s="2"/>
      <c r="N1008" s="2">
        <v>1</v>
      </c>
      <c r="O1008" s="2"/>
      <c r="P1008" s="3" t="s">
        <v>1615</v>
      </c>
      <c r="Q1008" s="95">
        <v>8</v>
      </c>
      <c r="R1008" s="133">
        <f>IF(P1008=模板计算相关数据!$AB$24,VLOOKUP(X1008,模板计算相关数据!$P$47:$T$50,2,0),VLOOKUP(X1008,模板计算相关数据!$P$4:$U$7,3,0))*VLOOKUP(Y1008,模板计算相关数据!$P$22:$X$30,8,0)</f>
        <v>4.4674509803921572</v>
      </c>
      <c r="S1008" s="62">
        <v>2</v>
      </c>
      <c r="T1008" s="133">
        <f>IF(P1008=模板计算相关数据!$AB$24,VLOOKUP(X1008,模板计算相关数据!$P$47:$T$50,5,0),VLOOKUP(X1008,模板计算相关数据!$P$4:$U$7,6,0))*VLOOKUP(Y1008,模板计算相关数据!$P$22:$X$30,9,0)</f>
        <v>5.4739930589768004</v>
      </c>
      <c r="U1008" s="57">
        <v>56</v>
      </c>
      <c r="V1008" s="95">
        <f t="shared" ref="V1008:V1069" si="83">W1008+3</f>
        <v>27</v>
      </c>
      <c r="W1008" s="29">
        <f>VLOOKUP(U1008,模板计算相关数据!A:N,2,0)</f>
        <v>24</v>
      </c>
      <c r="X1008" s="3" t="s">
        <v>151</v>
      </c>
      <c r="Y1008" s="3" t="s">
        <v>162</v>
      </c>
      <c r="Z1008" s="95">
        <v>1</v>
      </c>
      <c r="AA1008" s="95">
        <v>1</v>
      </c>
      <c r="AB1008" s="95">
        <v>1</v>
      </c>
      <c r="AC1008" s="95">
        <v>1</v>
      </c>
      <c r="AD1008" s="95">
        <v>1</v>
      </c>
      <c r="AE1008" s="95">
        <v>0</v>
      </c>
      <c r="AF1008" s="95">
        <v>0</v>
      </c>
      <c r="AG1008" s="95">
        <v>0</v>
      </c>
      <c r="AH1008" s="95">
        <v>0</v>
      </c>
      <c r="AI1008" s="95">
        <v>10000</v>
      </c>
      <c r="AJ1008" s="3">
        <f>INT(VLOOKUP(U1008,模板计算相关数据!A:N,4,0)*VLOOKUP(U1008,模板计算相关数据!A:N,14,0)*(1+MAX(0,(VLOOKUP(U1008,模板计算相关数据!A:N,7,0)-AQ1008))*VLOOKUP(U1008,模板计算相关数据!A:N,8,0))*(1-(AL1008+AM1008)*0.5/((AL1008+AM1008)*0.5+(VLOOKUP(U1008,模板计算相关数据!A:N,2,0)+模板计算相关数据!$AC$27)*模板计算相关数据!$AC$28))*Q1008*Z1008)</f>
        <v>4774</v>
      </c>
      <c r="AK1008" s="3">
        <f>INT(VLOOKUP(U1008,模板计算相关数据!A:N,3,0)/模板计算相关数据!$W$35/(1+MAX(0,(AO1008/10000-VLOOKUP(U1008,模板计算相关数据!A:N,9,0)))*AP1008/10000)/(1-VLOOKUP(U1008,模板计算相关数据!A:N,5,0)/(VLOOKUP(U1008,模板计算相关数据!A:N,5,0)+(VLOOKUP(U1008,模板计算相关数据!A:N,2,0)+模板计算相关数据!$AC$27)*模板计算相关数据!$AC$28))/S1008*AA1008)</f>
        <v>2290</v>
      </c>
      <c r="AL1008" s="3">
        <f>INT(VLOOKUP(U1008,模板计算相关数据!A:N,5,0)*VLOOKUP(X1008,模板计算相关数据!$P$4:$T$7,4,0)*VLOOKUP(Y1008,模板计算相关数据!$P$22:$U$30,4,0)*AB1008)</f>
        <v>962</v>
      </c>
      <c r="AM1008" s="3">
        <f>INT(VLOOKUP(U1008,模板计算相关数据!A:N,6,0)*VLOOKUP(X1008,模板计算相关数据!$P$4:$T$7,4,0)*VLOOKUP(Y1008,模板计算相关数据!$P$22:$U$30,5,0)*AC1008)</f>
        <v>1983</v>
      </c>
      <c r="AN1008" s="3">
        <f>VLOOKUP(U1008,模板计算相关数据!A:N,10,0)*0.5*VLOOKUP(Y1008,模板计算相关数据!$P$22:$U$30,6,0)+AD1008</f>
        <v>251</v>
      </c>
      <c r="AO1008" s="3">
        <f>VLOOKUP(INT(VLOOKUP(U1008,模板计算相关数据!A:N,2,0)/30)+1,模板计算相关数据!$O$35:$U$40,3,0)+AE1008</f>
        <v>0</v>
      </c>
      <c r="AP1008" s="3">
        <f>VLOOKUP(INT(VLOOKUP(U1008,模板计算相关数据!A:N,2,0)/30)+1,模板计算相关数据!$O$35:$U$40,4,0)+AF1008</f>
        <v>5000</v>
      </c>
      <c r="AQ1008" s="3">
        <f>VLOOKUP(INT(VLOOKUP(U1008,模板计算相关数据!A:N,2,0)/30)+1,模板计算相关数据!$O$35:$U$40,5,0)+AG1008</f>
        <v>0</v>
      </c>
      <c r="AR1008" s="3">
        <f>VLOOKUP(INT(VLOOKUP(U1008,模板计算相关数据!A:N,2,0)/30)+1,模板计算相关数据!$O$35:$U$40,6,0)+AH1008</f>
        <v>0</v>
      </c>
      <c r="AS1008" s="3">
        <f>VLOOKUP(INT(VLOOKUP(U1008,模板计算相关数据!A:N,2,0)/30)+1,模板计算相关数据!$O$35:$U$40,7,0)+AI1008</f>
        <v>10000</v>
      </c>
      <c r="AT1008" s="3">
        <f>VLOOKUP(INT(VLOOKUP(U1008,模板计算相关数据!A:N,2,0)/30)+1,模板计算相关数据!$O$35:$V$40,8,0)</f>
        <v>0</v>
      </c>
      <c r="AU1008" s="2"/>
    </row>
    <row r="1009" spans="1:47" x14ac:dyDescent="0.2">
      <c r="A1009" s="86">
        <v>53003034</v>
      </c>
      <c r="B1009" s="86"/>
      <c r="C1009" s="69" t="s">
        <v>1806</v>
      </c>
      <c r="D1009" s="2" t="s">
        <v>1492</v>
      </c>
      <c r="E1009" s="2"/>
      <c r="F1009" s="3">
        <v>6</v>
      </c>
      <c r="G1009" s="3">
        <v>1006001</v>
      </c>
      <c r="H1009" s="3">
        <v>4</v>
      </c>
      <c r="I1009" s="2">
        <v>4</v>
      </c>
      <c r="J1009" s="3">
        <v>6</v>
      </c>
      <c r="K1009" s="2"/>
      <c r="L1009" s="69" t="s">
        <v>1939</v>
      </c>
      <c r="M1009" s="2"/>
      <c r="N1009" s="2">
        <v>1</v>
      </c>
      <c r="O1009" s="2"/>
      <c r="P1009" s="3" t="s">
        <v>1615</v>
      </c>
      <c r="Q1009" s="95">
        <v>8</v>
      </c>
      <c r="R1009" s="133">
        <f>IF(P1009=模板计算相关数据!$AB$24,VLOOKUP(X1009,模板计算相关数据!$P$47:$T$50,2,0),VLOOKUP(X1009,模板计算相关数据!$P$4:$U$7,3,0))*VLOOKUP(Y1009,模板计算相关数据!$P$22:$X$30,8,0)</f>
        <v>4.4674509803921572</v>
      </c>
      <c r="S1009" s="62">
        <v>2</v>
      </c>
      <c r="T1009" s="133">
        <f>IF(P1009=模板计算相关数据!$AB$24,VLOOKUP(X1009,模板计算相关数据!$P$47:$T$50,5,0),VLOOKUP(X1009,模板计算相关数据!$P$4:$U$7,6,0))*VLOOKUP(Y1009,模板计算相关数据!$P$22:$X$30,9,0)</f>
        <v>5.4739930589768004</v>
      </c>
      <c r="U1009" s="57">
        <v>56</v>
      </c>
      <c r="V1009" s="95">
        <f t="shared" si="83"/>
        <v>27</v>
      </c>
      <c r="W1009" s="29">
        <f>VLOOKUP(U1009,模板计算相关数据!A:N,2,0)</f>
        <v>24</v>
      </c>
      <c r="X1009" s="3" t="s">
        <v>151</v>
      </c>
      <c r="Y1009" s="3" t="s">
        <v>162</v>
      </c>
      <c r="Z1009" s="95">
        <v>1</v>
      </c>
      <c r="AA1009" s="95">
        <v>1</v>
      </c>
      <c r="AB1009" s="95">
        <v>1</v>
      </c>
      <c r="AC1009" s="95">
        <v>1</v>
      </c>
      <c r="AD1009" s="95">
        <v>1</v>
      </c>
      <c r="AE1009" s="95">
        <v>0</v>
      </c>
      <c r="AF1009" s="95">
        <v>0</v>
      </c>
      <c r="AG1009" s="95">
        <v>0</v>
      </c>
      <c r="AH1009" s="95">
        <v>0</v>
      </c>
      <c r="AI1009" s="95">
        <v>10000</v>
      </c>
      <c r="AJ1009" s="3">
        <f>INT(VLOOKUP(U1009,模板计算相关数据!A:N,4,0)*VLOOKUP(U1009,模板计算相关数据!A:N,14,0)*(1+MAX(0,(VLOOKUP(U1009,模板计算相关数据!A:N,7,0)-AQ1009))*VLOOKUP(U1009,模板计算相关数据!A:N,8,0))*(1-(AL1009+AM1009)*0.5/((AL1009+AM1009)*0.5+(VLOOKUP(U1009,模板计算相关数据!A:N,2,0)+模板计算相关数据!$AC$27)*模板计算相关数据!$AC$28))*Q1009*Z1009)</f>
        <v>4774</v>
      </c>
      <c r="AK1009" s="3">
        <f>INT(VLOOKUP(U1009,模板计算相关数据!A:N,3,0)/模板计算相关数据!$W$35/(1+MAX(0,(AO1009/10000-VLOOKUP(U1009,模板计算相关数据!A:N,9,0)))*AP1009/10000)/(1-VLOOKUP(U1009,模板计算相关数据!A:N,5,0)/(VLOOKUP(U1009,模板计算相关数据!A:N,5,0)+(VLOOKUP(U1009,模板计算相关数据!A:N,2,0)+模板计算相关数据!$AC$27)*模板计算相关数据!$AC$28))/S1009*AA1009)</f>
        <v>2290</v>
      </c>
      <c r="AL1009" s="3">
        <f>INT(VLOOKUP(U1009,模板计算相关数据!A:N,5,0)*VLOOKUP(X1009,模板计算相关数据!$P$4:$T$7,4,0)*VLOOKUP(Y1009,模板计算相关数据!$P$22:$U$30,4,0)*AB1009)</f>
        <v>962</v>
      </c>
      <c r="AM1009" s="3">
        <f>INT(VLOOKUP(U1009,模板计算相关数据!A:N,6,0)*VLOOKUP(X1009,模板计算相关数据!$P$4:$T$7,4,0)*VLOOKUP(Y1009,模板计算相关数据!$P$22:$U$30,5,0)*AC1009)</f>
        <v>1983</v>
      </c>
      <c r="AN1009" s="3">
        <f>VLOOKUP(U1009,模板计算相关数据!A:N,10,0)*0.5*VLOOKUP(Y1009,模板计算相关数据!$P$22:$U$30,6,0)+AD1009</f>
        <v>251</v>
      </c>
      <c r="AO1009" s="3">
        <f>VLOOKUP(INT(VLOOKUP(U1009,模板计算相关数据!A:N,2,0)/30)+1,模板计算相关数据!$O$35:$U$40,3,0)+AE1009</f>
        <v>0</v>
      </c>
      <c r="AP1009" s="3">
        <f>VLOOKUP(INT(VLOOKUP(U1009,模板计算相关数据!A:N,2,0)/30)+1,模板计算相关数据!$O$35:$U$40,4,0)+AF1009</f>
        <v>5000</v>
      </c>
      <c r="AQ1009" s="3">
        <f>VLOOKUP(INT(VLOOKUP(U1009,模板计算相关数据!A:N,2,0)/30)+1,模板计算相关数据!$O$35:$U$40,5,0)+AG1009</f>
        <v>0</v>
      </c>
      <c r="AR1009" s="3">
        <f>VLOOKUP(INT(VLOOKUP(U1009,模板计算相关数据!A:N,2,0)/30)+1,模板计算相关数据!$O$35:$U$40,6,0)+AH1009</f>
        <v>0</v>
      </c>
      <c r="AS1009" s="3">
        <f>VLOOKUP(INT(VLOOKUP(U1009,模板计算相关数据!A:N,2,0)/30)+1,模板计算相关数据!$O$35:$U$40,7,0)+AI1009</f>
        <v>10000</v>
      </c>
      <c r="AT1009" s="3">
        <f>VLOOKUP(INT(VLOOKUP(U1009,模板计算相关数据!A:N,2,0)/30)+1,模板计算相关数据!$O$35:$V$40,8,0)</f>
        <v>0</v>
      </c>
      <c r="AU1009" s="2"/>
    </row>
    <row r="1010" spans="1:47" x14ac:dyDescent="0.2">
      <c r="A1010" s="86">
        <v>53003044</v>
      </c>
      <c r="B1010" s="86"/>
      <c r="C1010" s="69" t="s">
        <v>1806</v>
      </c>
      <c r="D1010" s="2" t="s">
        <v>1493</v>
      </c>
      <c r="E1010" s="2"/>
      <c r="F1010" s="3">
        <v>6</v>
      </c>
      <c r="G1010" s="3">
        <v>1006001</v>
      </c>
      <c r="H1010" s="3">
        <v>4</v>
      </c>
      <c r="I1010" s="2">
        <v>4</v>
      </c>
      <c r="J1010" s="3">
        <v>6</v>
      </c>
      <c r="K1010" s="2"/>
      <c r="L1010" s="69" t="s">
        <v>1939</v>
      </c>
      <c r="M1010" s="2"/>
      <c r="N1010" s="2">
        <v>1</v>
      </c>
      <c r="O1010" s="2"/>
      <c r="P1010" s="3" t="s">
        <v>1615</v>
      </c>
      <c r="Q1010" s="95">
        <v>8</v>
      </c>
      <c r="R1010" s="133">
        <f>IF(P1010=模板计算相关数据!$AB$24,VLOOKUP(X1010,模板计算相关数据!$P$47:$T$50,2,0),VLOOKUP(X1010,模板计算相关数据!$P$4:$U$7,3,0))*VLOOKUP(Y1010,模板计算相关数据!$P$22:$X$30,8,0)</f>
        <v>4.4674509803921572</v>
      </c>
      <c r="S1010" s="62">
        <v>2</v>
      </c>
      <c r="T1010" s="133">
        <f>IF(P1010=模板计算相关数据!$AB$24,VLOOKUP(X1010,模板计算相关数据!$P$47:$T$50,5,0),VLOOKUP(X1010,模板计算相关数据!$P$4:$U$7,6,0))*VLOOKUP(Y1010,模板计算相关数据!$P$22:$X$30,9,0)</f>
        <v>5.4739930589768004</v>
      </c>
      <c r="U1010" s="57">
        <v>56</v>
      </c>
      <c r="V1010" s="95">
        <f t="shared" si="83"/>
        <v>27</v>
      </c>
      <c r="W1010" s="29">
        <f>VLOOKUP(U1010,模板计算相关数据!A:N,2,0)</f>
        <v>24</v>
      </c>
      <c r="X1010" s="3" t="s">
        <v>151</v>
      </c>
      <c r="Y1010" s="3" t="s">
        <v>162</v>
      </c>
      <c r="Z1010" s="95">
        <v>1</v>
      </c>
      <c r="AA1010" s="95">
        <v>1</v>
      </c>
      <c r="AB1010" s="95">
        <v>1</v>
      </c>
      <c r="AC1010" s="95">
        <v>1</v>
      </c>
      <c r="AD1010" s="95">
        <v>1</v>
      </c>
      <c r="AE1010" s="95">
        <v>0</v>
      </c>
      <c r="AF1010" s="95">
        <v>0</v>
      </c>
      <c r="AG1010" s="95">
        <v>0</v>
      </c>
      <c r="AH1010" s="95">
        <v>0</v>
      </c>
      <c r="AI1010" s="95">
        <v>10000</v>
      </c>
      <c r="AJ1010" s="3">
        <f>INT(VLOOKUP(U1010,模板计算相关数据!A:N,4,0)*VLOOKUP(U1010,模板计算相关数据!A:N,14,0)*(1+MAX(0,(VLOOKUP(U1010,模板计算相关数据!A:N,7,0)-AQ1010))*VLOOKUP(U1010,模板计算相关数据!A:N,8,0))*(1-(AL1010+AM1010)*0.5/((AL1010+AM1010)*0.5+(VLOOKUP(U1010,模板计算相关数据!A:N,2,0)+模板计算相关数据!$AC$27)*模板计算相关数据!$AC$28))*Q1010*Z1010)</f>
        <v>4774</v>
      </c>
      <c r="AK1010" s="3">
        <f>INT(VLOOKUP(U1010,模板计算相关数据!A:N,3,0)/模板计算相关数据!$W$35/(1+MAX(0,(AO1010/10000-VLOOKUP(U1010,模板计算相关数据!A:N,9,0)))*AP1010/10000)/(1-VLOOKUP(U1010,模板计算相关数据!A:N,5,0)/(VLOOKUP(U1010,模板计算相关数据!A:N,5,0)+(VLOOKUP(U1010,模板计算相关数据!A:N,2,0)+模板计算相关数据!$AC$27)*模板计算相关数据!$AC$28))/S1010*AA1010)</f>
        <v>2290</v>
      </c>
      <c r="AL1010" s="3">
        <f>INT(VLOOKUP(U1010,模板计算相关数据!A:N,5,0)*VLOOKUP(X1010,模板计算相关数据!$P$4:$T$7,4,0)*VLOOKUP(Y1010,模板计算相关数据!$P$22:$U$30,4,0)*AB1010)</f>
        <v>962</v>
      </c>
      <c r="AM1010" s="3">
        <f>INT(VLOOKUP(U1010,模板计算相关数据!A:N,6,0)*VLOOKUP(X1010,模板计算相关数据!$P$4:$T$7,4,0)*VLOOKUP(Y1010,模板计算相关数据!$P$22:$U$30,5,0)*AC1010)</f>
        <v>1983</v>
      </c>
      <c r="AN1010" s="3">
        <f>VLOOKUP(U1010,模板计算相关数据!A:N,10,0)*0.5*VLOOKUP(Y1010,模板计算相关数据!$P$22:$U$30,6,0)+AD1010</f>
        <v>251</v>
      </c>
      <c r="AO1010" s="3">
        <f>VLOOKUP(INT(VLOOKUP(U1010,模板计算相关数据!A:N,2,0)/30)+1,模板计算相关数据!$O$35:$U$40,3,0)+AE1010</f>
        <v>0</v>
      </c>
      <c r="AP1010" s="3">
        <f>VLOOKUP(INT(VLOOKUP(U1010,模板计算相关数据!A:N,2,0)/30)+1,模板计算相关数据!$O$35:$U$40,4,0)+AF1010</f>
        <v>5000</v>
      </c>
      <c r="AQ1010" s="3">
        <f>VLOOKUP(INT(VLOOKUP(U1010,模板计算相关数据!A:N,2,0)/30)+1,模板计算相关数据!$O$35:$U$40,5,0)+AG1010</f>
        <v>0</v>
      </c>
      <c r="AR1010" s="3">
        <f>VLOOKUP(INT(VLOOKUP(U1010,模板计算相关数据!A:N,2,0)/30)+1,模板计算相关数据!$O$35:$U$40,6,0)+AH1010</f>
        <v>0</v>
      </c>
      <c r="AS1010" s="3">
        <f>VLOOKUP(INT(VLOOKUP(U1010,模板计算相关数据!A:N,2,0)/30)+1,模板计算相关数据!$O$35:$U$40,7,0)+AI1010</f>
        <v>10000</v>
      </c>
      <c r="AT1010" s="3">
        <f>VLOOKUP(INT(VLOOKUP(U1010,模板计算相关数据!A:N,2,0)/30)+1,模板计算相关数据!$O$35:$V$40,8,0)</f>
        <v>0</v>
      </c>
      <c r="AU1010" s="2"/>
    </row>
    <row r="1011" spans="1:47" x14ac:dyDescent="0.2">
      <c r="A1011" s="86">
        <v>53003054</v>
      </c>
      <c r="B1011" s="86"/>
      <c r="C1011" s="69" t="s">
        <v>1806</v>
      </c>
      <c r="D1011" s="2" t="s">
        <v>1494</v>
      </c>
      <c r="E1011" s="2"/>
      <c r="F1011" s="3">
        <v>6</v>
      </c>
      <c r="G1011" s="3">
        <v>1006001</v>
      </c>
      <c r="H1011" s="3">
        <v>4</v>
      </c>
      <c r="I1011" s="2">
        <v>4</v>
      </c>
      <c r="J1011" s="3">
        <v>6</v>
      </c>
      <c r="K1011" s="2"/>
      <c r="L1011" s="69" t="s">
        <v>1939</v>
      </c>
      <c r="M1011" s="2"/>
      <c r="N1011" s="2">
        <v>1</v>
      </c>
      <c r="O1011" s="2"/>
      <c r="P1011" s="3" t="s">
        <v>1615</v>
      </c>
      <c r="Q1011" s="95">
        <v>8</v>
      </c>
      <c r="R1011" s="133">
        <f>IF(P1011=模板计算相关数据!$AB$24,VLOOKUP(X1011,模板计算相关数据!$P$47:$T$50,2,0),VLOOKUP(X1011,模板计算相关数据!$P$4:$U$7,3,0))*VLOOKUP(Y1011,模板计算相关数据!$P$22:$X$30,8,0)</f>
        <v>4.4674509803921572</v>
      </c>
      <c r="S1011" s="62">
        <v>2</v>
      </c>
      <c r="T1011" s="133">
        <f>IF(P1011=模板计算相关数据!$AB$24,VLOOKUP(X1011,模板计算相关数据!$P$47:$T$50,5,0),VLOOKUP(X1011,模板计算相关数据!$P$4:$U$7,6,0))*VLOOKUP(Y1011,模板计算相关数据!$P$22:$X$30,9,0)</f>
        <v>5.4739930589768004</v>
      </c>
      <c r="U1011" s="57">
        <v>56</v>
      </c>
      <c r="V1011" s="95">
        <f t="shared" si="83"/>
        <v>27</v>
      </c>
      <c r="W1011" s="29">
        <f>VLOOKUP(U1011,模板计算相关数据!A:N,2,0)</f>
        <v>24</v>
      </c>
      <c r="X1011" s="3" t="s">
        <v>151</v>
      </c>
      <c r="Y1011" s="3" t="s">
        <v>162</v>
      </c>
      <c r="Z1011" s="95">
        <v>1</v>
      </c>
      <c r="AA1011" s="95">
        <v>1</v>
      </c>
      <c r="AB1011" s="95">
        <v>1</v>
      </c>
      <c r="AC1011" s="95">
        <v>1</v>
      </c>
      <c r="AD1011" s="95">
        <v>1</v>
      </c>
      <c r="AE1011" s="95">
        <v>0</v>
      </c>
      <c r="AF1011" s="95">
        <v>0</v>
      </c>
      <c r="AG1011" s="95">
        <v>0</v>
      </c>
      <c r="AH1011" s="95">
        <v>0</v>
      </c>
      <c r="AI1011" s="95">
        <v>10000</v>
      </c>
      <c r="AJ1011" s="3">
        <f>INT(VLOOKUP(U1011,模板计算相关数据!A:N,4,0)*VLOOKUP(U1011,模板计算相关数据!A:N,14,0)*(1+MAX(0,(VLOOKUP(U1011,模板计算相关数据!A:N,7,0)-AQ1011))*VLOOKUP(U1011,模板计算相关数据!A:N,8,0))*(1-(AL1011+AM1011)*0.5/((AL1011+AM1011)*0.5+(VLOOKUP(U1011,模板计算相关数据!A:N,2,0)+模板计算相关数据!$AC$27)*模板计算相关数据!$AC$28))*Q1011*Z1011)</f>
        <v>4774</v>
      </c>
      <c r="AK1011" s="3">
        <f>INT(VLOOKUP(U1011,模板计算相关数据!A:N,3,0)/模板计算相关数据!$W$35/(1+MAX(0,(AO1011/10000-VLOOKUP(U1011,模板计算相关数据!A:N,9,0)))*AP1011/10000)/(1-VLOOKUP(U1011,模板计算相关数据!A:N,5,0)/(VLOOKUP(U1011,模板计算相关数据!A:N,5,0)+(VLOOKUP(U1011,模板计算相关数据!A:N,2,0)+模板计算相关数据!$AC$27)*模板计算相关数据!$AC$28))/S1011*AA1011)</f>
        <v>2290</v>
      </c>
      <c r="AL1011" s="3">
        <f>INT(VLOOKUP(U1011,模板计算相关数据!A:N,5,0)*VLOOKUP(X1011,模板计算相关数据!$P$4:$T$7,4,0)*VLOOKUP(Y1011,模板计算相关数据!$P$22:$U$30,4,0)*AB1011)</f>
        <v>962</v>
      </c>
      <c r="AM1011" s="3">
        <f>INT(VLOOKUP(U1011,模板计算相关数据!A:N,6,0)*VLOOKUP(X1011,模板计算相关数据!$P$4:$T$7,4,0)*VLOOKUP(Y1011,模板计算相关数据!$P$22:$U$30,5,0)*AC1011)</f>
        <v>1983</v>
      </c>
      <c r="AN1011" s="3">
        <f>VLOOKUP(U1011,模板计算相关数据!A:N,10,0)*0.5*VLOOKUP(Y1011,模板计算相关数据!$P$22:$U$30,6,0)+AD1011</f>
        <v>251</v>
      </c>
      <c r="AO1011" s="3">
        <f>VLOOKUP(INT(VLOOKUP(U1011,模板计算相关数据!A:N,2,0)/30)+1,模板计算相关数据!$O$35:$U$40,3,0)+AE1011</f>
        <v>0</v>
      </c>
      <c r="AP1011" s="3">
        <f>VLOOKUP(INT(VLOOKUP(U1011,模板计算相关数据!A:N,2,0)/30)+1,模板计算相关数据!$O$35:$U$40,4,0)+AF1011</f>
        <v>5000</v>
      </c>
      <c r="AQ1011" s="3">
        <f>VLOOKUP(INT(VLOOKUP(U1011,模板计算相关数据!A:N,2,0)/30)+1,模板计算相关数据!$O$35:$U$40,5,0)+AG1011</f>
        <v>0</v>
      </c>
      <c r="AR1011" s="3">
        <f>VLOOKUP(INT(VLOOKUP(U1011,模板计算相关数据!A:N,2,0)/30)+1,模板计算相关数据!$O$35:$U$40,6,0)+AH1011</f>
        <v>0</v>
      </c>
      <c r="AS1011" s="3">
        <f>VLOOKUP(INT(VLOOKUP(U1011,模板计算相关数据!A:N,2,0)/30)+1,模板计算相关数据!$O$35:$U$40,7,0)+AI1011</f>
        <v>10000</v>
      </c>
      <c r="AT1011" s="3">
        <f>VLOOKUP(INT(VLOOKUP(U1011,模板计算相关数据!A:N,2,0)/30)+1,模板计算相关数据!$O$35:$V$40,8,0)</f>
        <v>0</v>
      </c>
      <c r="AU1011" s="2"/>
    </row>
    <row r="1012" spans="1:47" x14ac:dyDescent="0.2">
      <c r="A1012" s="35">
        <v>54001011</v>
      </c>
      <c r="B1012" s="35"/>
      <c r="C1012" s="34" t="s">
        <v>1500</v>
      </c>
      <c r="D1012" s="2" t="s">
        <v>1495</v>
      </c>
      <c r="E1012" s="2"/>
      <c r="F1012" s="3">
        <v>1</v>
      </c>
      <c r="G1012" s="3">
        <v>1001301</v>
      </c>
      <c r="H1012" s="3">
        <v>1</v>
      </c>
      <c r="I1012" s="2">
        <v>4</v>
      </c>
      <c r="J1012" s="3">
        <v>6</v>
      </c>
      <c r="K1012" s="2"/>
      <c r="L1012" s="69" t="s">
        <v>1531</v>
      </c>
      <c r="M1012" s="2"/>
      <c r="N1012" s="2">
        <v>1</v>
      </c>
      <c r="O1012" s="2"/>
      <c r="P1012" s="3" t="s">
        <v>1615</v>
      </c>
      <c r="Q1012" s="95">
        <f t="shared" ref="Q1012:Q1061" si="84">R1012</f>
        <v>4.417254901960785</v>
      </c>
      <c r="R1012" s="133">
        <f>IF(P1012=模板计算相关数据!$AB$24,VLOOKUP(X1012,模板计算相关数据!$P$47:$T$50,2,0),VLOOKUP(X1012,模板计算相关数据!$P$4:$U$7,3,0))*VLOOKUP(Y1012,模板计算相关数据!$P$22:$X$30,8,0)</f>
        <v>4.417254901960785</v>
      </c>
      <c r="S1012" s="62">
        <f t="shared" ref="S1012:S1061" si="85">T1012</f>
        <v>5.4285280003474252</v>
      </c>
      <c r="T1012" s="133">
        <f>IF(P1012=模板计算相关数据!$AB$24,VLOOKUP(X1012,模板计算相关数据!$P$47:$T$50,5,0),VLOOKUP(X1012,模板计算相关数据!$P$4:$U$7,6,0))*VLOOKUP(Y1012,模板计算相关数据!$P$22:$X$30,9,0)</f>
        <v>5.4285280003474252</v>
      </c>
      <c r="U1012" s="98">
        <v>54</v>
      </c>
      <c r="V1012" s="95">
        <f t="shared" si="83"/>
        <v>18</v>
      </c>
      <c r="W1012" s="29">
        <f>VLOOKUP(U1012,模板计算相关数据!A:N,2,0)</f>
        <v>15</v>
      </c>
      <c r="X1012" s="3" t="s">
        <v>151</v>
      </c>
      <c r="Y1012" s="3" t="s">
        <v>152</v>
      </c>
      <c r="Z1012" s="95">
        <v>1</v>
      </c>
      <c r="AA1012" s="95">
        <v>1</v>
      </c>
      <c r="AB1012" s="95">
        <v>1</v>
      </c>
      <c r="AC1012" s="95">
        <v>1</v>
      </c>
      <c r="AD1012" s="95">
        <v>0</v>
      </c>
      <c r="AE1012" s="95">
        <v>0</v>
      </c>
      <c r="AF1012" s="95">
        <v>0</v>
      </c>
      <c r="AG1012" s="95">
        <v>0</v>
      </c>
      <c r="AH1012" s="95">
        <v>0</v>
      </c>
      <c r="AI1012" s="95">
        <v>0</v>
      </c>
      <c r="AJ1012" s="3">
        <f>INT(VLOOKUP(U1012,模板计算相关数据!A:N,4,0)*VLOOKUP(U1012,模板计算相关数据!A:N,14,0)*(1+MAX(0,(VLOOKUP(U1012,模板计算相关数据!A:N,7,0)-AQ1012))*VLOOKUP(U1012,模板计算相关数据!A:N,8,0))*(1-(AL1012+AM1012)*0.5/((AL1012+AM1012)*0.5+(VLOOKUP(U1012,模板计算相关数据!A:N,2,0)+模板计算相关数据!$AC$27)*模板计算相关数据!$AC$28))*Q1012*Z1012)</f>
        <v>1337</v>
      </c>
      <c r="AK1012" s="3">
        <f>INT(VLOOKUP(U1012,模板计算相关数据!A:N,3,0)/模板计算相关数据!$W$35/(1+MAX(0,(AO1012/10000-VLOOKUP(U1012,模板计算相关数据!A:N,9,0)))*AP1012/10000)/(1-VLOOKUP(U1012,模板计算相关数据!A:N,5,0)/(VLOOKUP(U1012,模板计算相关数据!A:N,5,0)+(VLOOKUP(U1012,模板计算相关数据!A:N,2,0)+模板计算相关数据!$AC$27)*模板计算相关数据!$AC$28))/S1012*AA1012)</f>
        <v>376</v>
      </c>
      <c r="AL1012" s="3">
        <f>INT(VLOOKUP(U1012,模板计算相关数据!A:N,5,0)*VLOOKUP(X1012,模板计算相关数据!$P$4:$T$7,4,0)*VLOOKUP(Y1012,模板计算相关数据!$P$22:$U$30,4,0)*AB1012)</f>
        <v>852</v>
      </c>
      <c r="AM1012" s="3">
        <f>INT(VLOOKUP(U1012,模板计算相关数据!A:N,6,0)*VLOOKUP(X1012,模板计算相关数据!$P$4:$T$7,4,0)*VLOOKUP(Y1012,模板计算相关数据!$P$22:$U$30,5,0)*AC1012)</f>
        <v>505</v>
      </c>
      <c r="AN1012" s="3">
        <f>VLOOKUP(U1012,模板计算相关数据!A:N,10,0)*0.5*VLOOKUP(Y1012,模板计算相关数据!$P$22:$U$30,6,0)+AD1012</f>
        <v>250</v>
      </c>
      <c r="AO1012" s="3">
        <f>VLOOKUP(INT(VLOOKUP(U1012,模板计算相关数据!A:N,2,0)/30)+1,模板计算相关数据!$O$35:$U$40,3,0)+AE1012</f>
        <v>0</v>
      </c>
      <c r="AP1012" s="3">
        <f>VLOOKUP(INT(VLOOKUP(U1012,模板计算相关数据!A:N,2,0)/30)+1,模板计算相关数据!$O$35:$U$40,4,0)+AF1012</f>
        <v>5000</v>
      </c>
      <c r="AQ1012" s="3">
        <f>VLOOKUP(INT(VLOOKUP(U1012,模板计算相关数据!A:N,2,0)/30)+1,模板计算相关数据!$O$35:$U$40,5,0)+AG1012</f>
        <v>0</v>
      </c>
      <c r="AR1012" s="3">
        <f>VLOOKUP(INT(VLOOKUP(U1012,模板计算相关数据!A:N,2,0)/30)+1,模板计算相关数据!$O$35:$U$40,6,0)+AH1012</f>
        <v>0</v>
      </c>
      <c r="AS1012" s="3">
        <f>VLOOKUP(INT(VLOOKUP(U1012,模板计算相关数据!A:N,2,0)/30)+1,模板计算相关数据!$O$35:$U$40,7,0)+AI1012</f>
        <v>0</v>
      </c>
      <c r="AT1012" s="3">
        <f>VLOOKUP(INT(VLOOKUP(U1012,模板计算相关数据!A:N,2,0)/30)+1,模板计算相关数据!$O$35:$V$40,8,0)</f>
        <v>0</v>
      </c>
      <c r="AU1012" s="2"/>
    </row>
    <row r="1013" spans="1:47" x14ac:dyDescent="0.2">
      <c r="A1013" s="86">
        <v>54001021</v>
      </c>
      <c r="B1013" s="86"/>
      <c r="C1013" s="69" t="s">
        <v>1500</v>
      </c>
      <c r="D1013" s="2" t="s">
        <v>1496</v>
      </c>
      <c r="E1013" s="2"/>
      <c r="F1013" s="3">
        <v>1</v>
      </c>
      <c r="G1013" s="3">
        <v>1001301</v>
      </c>
      <c r="H1013" s="3">
        <v>1</v>
      </c>
      <c r="I1013" s="2">
        <v>4</v>
      </c>
      <c r="J1013" s="3">
        <v>6</v>
      </c>
      <c r="K1013" s="2"/>
      <c r="L1013" s="69" t="s">
        <v>1531</v>
      </c>
      <c r="M1013" s="2"/>
      <c r="N1013" s="2">
        <v>1</v>
      </c>
      <c r="O1013" s="2"/>
      <c r="P1013" s="3" t="s">
        <v>1615</v>
      </c>
      <c r="Q1013" s="95">
        <f t="shared" si="84"/>
        <v>4.417254901960785</v>
      </c>
      <c r="R1013" s="133">
        <f>IF(P1013=模板计算相关数据!$AB$24,VLOOKUP(X1013,模板计算相关数据!$P$47:$T$50,2,0),VLOOKUP(X1013,模板计算相关数据!$P$4:$U$7,3,0))*VLOOKUP(Y1013,模板计算相关数据!$P$22:$X$30,8,0)</f>
        <v>4.417254901960785</v>
      </c>
      <c r="S1013" s="62">
        <f t="shared" si="85"/>
        <v>5.4285280003474252</v>
      </c>
      <c r="T1013" s="133">
        <f>IF(P1013=模板计算相关数据!$AB$24,VLOOKUP(X1013,模板计算相关数据!$P$47:$T$50,5,0),VLOOKUP(X1013,模板计算相关数据!$P$4:$U$7,6,0))*VLOOKUP(Y1013,模板计算相关数据!$P$22:$X$30,9,0)</f>
        <v>5.4285280003474252</v>
      </c>
      <c r="U1013" s="98">
        <v>55</v>
      </c>
      <c r="V1013" s="95">
        <f t="shared" si="83"/>
        <v>22</v>
      </c>
      <c r="W1013" s="29">
        <f>VLOOKUP(U1013,模板计算相关数据!A:N,2,0)</f>
        <v>19</v>
      </c>
      <c r="X1013" s="3" t="s">
        <v>151</v>
      </c>
      <c r="Y1013" s="3" t="s">
        <v>152</v>
      </c>
      <c r="Z1013" s="95">
        <v>1</v>
      </c>
      <c r="AA1013" s="95">
        <v>1</v>
      </c>
      <c r="AB1013" s="95">
        <v>1</v>
      </c>
      <c r="AC1013" s="95">
        <v>1</v>
      </c>
      <c r="AD1013" s="95">
        <v>0</v>
      </c>
      <c r="AE1013" s="95">
        <v>0</v>
      </c>
      <c r="AF1013" s="95">
        <v>0</v>
      </c>
      <c r="AG1013" s="95">
        <v>0</v>
      </c>
      <c r="AH1013" s="95">
        <v>0</v>
      </c>
      <c r="AI1013" s="95">
        <v>0</v>
      </c>
      <c r="AJ1013" s="3">
        <f>INT(VLOOKUP(U1013,模板计算相关数据!A:N,4,0)*VLOOKUP(U1013,模板计算相关数据!A:N,14,0)*(1+MAX(0,(VLOOKUP(U1013,模板计算相关数据!A:N,7,0)-AQ1013))*VLOOKUP(U1013,模板计算相关数据!A:N,8,0))*(1-(AL1013+AM1013)*0.5/((AL1013+AM1013)*0.5+(VLOOKUP(U1013,模板计算相关数据!A:N,2,0)+模板计算相关数据!$AC$27)*模板计算相关数据!$AC$28))*Q1013*Z1013)</f>
        <v>2068</v>
      </c>
      <c r="AK1013" s="3">
        <f>INT(VLOOKUP(U1013,模板计算相关数据!A:N,3,0)/模板计算相关数据!$W$35/(1+MAX(0,(AO1013/10000-VLOOKUP(U1013,模板计算相关数据!A:N,9,0)))*AP1013/10000)/(1-VLOOKUP(U1013,模板计算相关数据!A:N,5,0)/(VLOOKUP(U1013,模板计算相关数据!A:N,5,0)+(VLOOKUP(U1013,模板计算相关数据!A:N,2,0)+模板计算相关数据!$AC$27)*模板计算相关数据!$AC$28))/S1013*AA1013)</f>
        <v>725</v>
      </c>
      <c r="AL1013" s="3">
        <f>INT(VLOOKUP(U1013,模板计算相关数据!A:N,5,0)*VLOOKUP(X1013,模板计算相关数据!$P$4:$T$7,4,0)*VLOOKUP(Y1013,模板计算相关数据!$P$22:$U$30,4,0)*AB1013)</f>
        <v>1414</v>
      </c>
      <c r="AM1013" s="3">
        <f>INT(VLOOKUP(U1013,模板计算相关数据!A:N,6,0)*VLOOKUP(X1013,模板计算相关数据!$P$4:$T$7,4,0)*VLOOKUP(Y1013,模板计算相关数据!$P$22:$U$30,5,0)*AC1013)</f>
        <v>829</v>
      </c>
      <c r="AN1013" s="3">
        <f>VLOOKUP(U1013,模板计算相关数据!A:N,10,0)*0.5*VLOOKUP(Y1013,模板计算相关数据!$P$22:$U$30,6,0)+AD1013</f>
        <v>250</v>
      </c>
      <c r="AO1013" s="3">
        <f>VLOOKUP(INT(VLOOKUP(U1013,模板计算相关数据!A:N,2,0)/30)+1,模板计算相关数据!$O$35:$U$40,3,0)+AE1013</f>
        <v>0</v>
      </c>
      <c r="AP1013" s="3">
        <f>VLOOKUP(INT(VLOOKUP(U1013,模板计算相关数据!A:N,2,0)/30)+1,模板计算相关数据!$O$35:$U$40,4,0)+AF1013</f>
        <v>5000</v>
      </c>
      <c r="AQ1013" s="3">
        <f>VLOOKUP(INT(VLOOKUP(U1013,模板计算相关数据!A:N,2,0)/30)+1,模板计算相关数据!$O$35:$U$40,5,0)+AG1013</f>
        <v>0</v>
      </c>
      <c r="AR1013" s="3">
        <f>VLOOKUP(INT(VLOOKUP(U1013,模板计算相关数据!A:N,2,0)/30)+1,模板计算相关数据!$O$35:$U$40,6,0)+AH1013</f>
        <v>0</v>
      </c>
      <c r="AS1013" s="3">
        <f>VLOOKUP(INT(VLOOKUP(U1013,模板计算相关数据!A:N,2,0)/30)+1,模板计算相关数据!$O$35:$U$40,7,0)+AI1013</f>
        <v>0</v>
      </c>
      <c r="AT1013" s="3">
        <f>VLOOKUP(INT(VLOOKUP(U1013,模板计算相关数据!A:N,2,0)/30)+1,模板计算相关数据!$O$35:$V$40,8,0)</f>
        <v>0</v>
      </c>
      <c r="AU1013" s="2"/>
    </row>
    <row r="1014" spans="1:47" x14ac:dyDescent="0.2">
      <c r="A1014" s="86">
        <v>54001031</v>
      </c>
      <c r="B1014" s="86"/>
      <c r="C1014" s="69" t="s">
        <v>1500</v>
      </c>
      <c r="D1014" s="2" t="s">
        <v>1497</v>
      </c>
      <c r="E1014" s="2"/>
      <c r="F1014" s="3">
        <v>1</v>
      </c>
      <c r="G1014" s="3">
        <v>1001301</v>
      </c>
      <c r="H1014" s="3">
        <v>1</v>
      </c>
      <c r="I1014" s="2">
        <v>4</v>
      </c>
      <c r="J1014" s="3">
        <v>6</v>
      </c>
      <c r="K1014" s="2"/>
      <c r="L1014" s="69" t="s">
        <v>1531</v>
      </c>
      <c r="M1014" s="2"/>
      <c r="N1014" s="2">
        <v>1</v>
      </c>
      <c r="O1014" s="2"/>
      <c r="P1014" s="3" t="s">
        <v>1615</v>
      </c>
      <c r="Q1014" s="95">
        <f t="shared" si="84"/>
        <v>4.417254901960785</v>
      </c>
      <c r="R1014" s="133">
        <f>IF(P1014=模板计算相关数据!$AB$24,VLOOKUP(X1014,模板计算相关数据!$P$47:$T$50,2,0),VLOOKUP(X1014,模板计算相关数据!$P$4:$U$7,3,0))*VLOOKUP(Y1014,模板计算相关数据!$P$22:$X$30,8,0)</f>
        <v>4.417254901960785</v>
      </c>
      <c r="S1014" s="62">
        <f t="shared" si="85"/>
        <v>5.4285280003474252</v>
      </c>
      <c r="T1014" s="133">
        <f>IF(P1014=模板计算相关数据!$AB$24,VLOOKUP(X1014,模板计算相关数据!$P$47:$T$50,5,0),VLOOKUP(X1014,模板计算相关数据!$P$4:$U$7,6,0))*VLOOKUP(Y1014,模板计算相关数据!$P$22:$X$30,9,0)</f>
        <v>5.4285280003474252</v>
      </c>
      <c r="U1014" s="98">
        <v>57</v>
      </c>
      <c r="V1014" s="95">
        <f t="shared" si="83"/>
        <v>31</v>
      </c>
      <c r="W1014" s="29">
        <f>VLOOKUP(U1014,模板计算相关数据!A:N,2,0)</f>
        <v>28</v>
      </c>
      <c r="X1014" s="3" t="s">
        <v>151</v>
      </c>
      <c r="Y1014" s="3" t="s">
        <v>152</v>
      </c>
      <c r="Z1014" s="95">
        <v>1</v>
      </c>
      <c r="AA1014" s="95">
        <v>1</v>
      </c>
      <c r="AB1014" s="95">
        <v>1</v>
      </c>
      <c r="AC1014" s="95">
        <v>1</v>
      </c>
      <c r="AD1014" s="95">
        <v>0</v>
      </c>
      <c r="AE1014" s="95">
        <v>0</v>
      </c>
      <c r="AF1014" s="95">
        <v>0</v>
      </c>
      <c r="AG1014" s="95">
        <v>0</v>
      </c>
      <c r="AH1014" s="95">
        <v>0</v>
      </c>
      <c r="AI1014" s="95">
        <v>0</v>
      </c>
      <c r="AJ1014" s="3">
        <f>INT(VLOOKUP(U1014,模板计算相关数据!A:N,4,0)*VLOOKUP(U1014,模板计算相关数据!A:N,14,0)*(1+MAX(0,(VLOOKUP(U1014,模板计算相关数据!A:N,7,0)-AQ1014))*VLOOKUP(U1014,模板计算相关数据!A:N,8,0))*(1-(AL1014+AM1014)*0.5/((AL1014+AM1014)*0.5+(VLOOKUP(U1014,模板计算相关数据!A:N,2,0)+模板计算相关数据!$AC$27)*模板计算相关数据!$AC$28))*Q1014*Z1014)</f>
        <v>2937</v>
      </c>
      <c r="AK1014" s="3">
        <f>INT(VLOOKUP(U1014,模板计算相关数据!A:N,3,0)/模板计算相关数据!$W$35/(1+MAX(0,(AO1014/10000-VLOOKUP(U1014,模板计算相关数据!A:N,9,0)))*AP1014/10000)/(1-VLOOKUP(U1014,模板计算相关数据!A:N,5,0)/(VLOOKUP(U1014,模板计算相关数据!A:N,5,0)+(VLOOKUP(U1014,模板计算相关数据!A:N,2,0)+模板计算相关数据!$AC$27)*模板计算相关数据!$AC$28))/S1014*AA1014)</f>
        <v>1077</v>
      </c>
      <c r="AL1014" s="3">
        <f>INT(VLOOKUP(U1014,模板计算相关数据!A:N,5,0)*VLOOKUP(X1014,模板计算相关数据!$P$4:$T$7,4,0)*VLOOKUP(Y1014,模板计算相关数据!$P$22:$U$30,4,0)*AB1014)</f>
        <v>2174</v>
      </c>
      <c r="AM1014" s="3">
        <f>INT(VLOOKUP(U1014,模板计算相关数据!A:N,6,0)*VLOOKUP(X1014,模板计算相关数据!$P$4:$T$7,4,0)*VLOOKUP(Y1014,模板计算相关数据!$P$22:$U$30,5,0)*AC1014)</f>
        <v>1288</v>
      </c>
      <c r="AN1014" s="3">
        <f>VLOOKUP(U1014,模板计算相关数据!A:N,10,0)*0.5*VLOOKUP(Y1014,模板计算相关数据!$P$22:$U$30,6,0)+AD1014</f>
        <v>250</v>
      </c>
      <c r="AO1014" s="3">
        <f>VLOOKUP(INT(VLOOKUP(U1014,模板计算相关数据!A:N,2,0)/30)+1,模板计算相关数据!$O$35:$U$40,3,0)+AE1014</f>
        <v>0</v>
      </c>
      <c r="AP1014" s="3">
        <f>VLOOKUP(INT(VLOOKUP(U1014,模板计算相关数据!A:N,2,0)/30)+1,模板计算相关数据!$O$35:$U$40,4,0)+AF1014</f>
        <v>5000</v>
      </c>
      <c r="AQ1014" s="3">
        <f>VLOOKUP(INT(VLOOKUP(U1014,模板计算相关数据!A:N,2,0)/30)+1,模板计算相关数据!$O$35:$U$40,5,0)+AG1014</f>
        <v>0</v>
      </c>
      <c r="AR1014" s="3">
        <f>VLOOKUP(INT(VLOOKUP(U1014,模板计算相关数据!A:N,2,0)/30)+1,模板计算相关数据!$O$35:$U$40,6,0)+AH1014</f>
        <v>0</v>
      </c>
      <c r="AS1014" s="3">
        <f>VLOOKUP(INT(VLOOKUP(U1014,模板计算相关数据!A:N,2,0)/30)+1,模板计算相关数据!$O$35:$U$40,7,0)+AI1014</f>
        <v>0</v>
      </c>
      <c r="AT1014" s="3">
        <f>VLOOKUP(INT(VLOOKUP(U1014,模板计算相关数据!A:N,2,0)/30)+1,模板计算相关数据!$O$35:$V$40,8,0)</f>
        <v>0</v>
      </c>
      <c r="AU1014" s="2"/>
    </row>
    <row r="1015" spans="1:47" x14ac:dyDescent="0.2">
      <c r="A1015" s="86">
        <v>54001041</v>
      </c>
      <c r="B1015" s="86"/>
      <c r="C1015" s="69" t="s">
        <v>1500</v>
      </c>
      <c r="D1015" s="2" t="s">
        <v>1498</v>
      </c>
      <c r="E1015" s="2"/>
      <c r="F1015" s="3">
        <v>1</v>
      </c>
      <c r="G1015" s="3">
        <v>1001301</v>
      </c>
      <c r="H1015" s="3">
        <v>1</v>
      </c>
      <c r="I1015" s="2">
        <v>4</v>
      </c>
      <c r="J1015" s="3">
        <v>6</v>
      </c>
      <c r="K1015" s="2"/>
      <c r="L1015" s="69" t="s">
        <v>1531</v>
      </c>
      <c r="M1015" s="2"/>
      <c r="N1015" s="2">
        <v>1</v>
      </c>
      <c r="O1015" s="2"/>
      <c r="P1015" s="3" t="s">
        <v>1615</v>
      </c>
      <c r="Q1015" s="95">
        <f t="shared" si="84"/>
        <v>4.417254901960785</v>
      </c>
      <c r="R1015" s="133">
        <f>IF(P1015=模板计算相关数据!$AB$24,VLOOKUP(X1015,模板计算相关数据!$P$47:$T$50,2,0),VLOOKUP(X1015,模板计算相关数据!$P$4:$U$7,3,0))*VLOOKUP(Y1015,模板计算相关数据!$P$22:$X$30,8,0)</f>
        <v>4.417254901960785</v>
      </c>
      <c r="S1015" s="62">
        <f t="shared" si="85"/>
        <v>5.4285280003474252</v>
      </c>
      <c r="T1015" s="133">
        <f>IF(P1015=模板计算相关数据!$AB$24,VLOOKUP(X1015,模板计算相关数据!$P$47:$T$50,5,0),VLOOKUP(X1015,模板计算相关数据!$P$4:$U$7,6,0))*VLOOKUP(Y1015,模板计算相关数据!$P$22:$X$30,9,0)</f>
        <v>5.4285280003474252</v>
      </c>
      <c r="U1015" s="98">
        <v>59</v>
      </c>
      <c r="V1015" s="95">
        <f t="shared" si="83"/>
        <v>38</v>
      </c>
      <c r="W1015" s="29">
        <f>VLOOKUP(U1015,模板计算相关数据!A:N,2,0)</f>
        <v>35</v>
      </c>
      <c r="X1015" s="3" t="s">
        <v>151</v>
      </c>
      <c r="Y1015" s="3" t="s">
        <v>152</v>
      </c>
      <c r="Z1015" s="95">
        <v>1</v>
      </c>
      <c r="AA1015" s="95">
        <v>1</v>
      </c>
      <c r="AB1015" s="95">
        <v>1</v>
      </c>
      <c r="AC1015" s="95">
        <v>1</v>
      </c>
      <c r="AD1015" s="95">
        <v>0</v>
      </c>
      <c r="AE1015" s="95">
        <v>0</v>
      </c>
      <c r="AF1015" s="95">
        <v>0</v>
      </c>
      <c r="AG1015" s="95">
        <v>0</v>
      </c>
      <c r="AH1015" s="95">
        <v>0</v>
      </c>
      <c r="AI1015" s="95">
        <v>0</v>
      </c>
      <c r="AJ1015" s="3">
        <f>INT(VLOOKUP(U1015,模板计算相关数据!A:N,4,0)*VLOOKUP(U1015,模板计算相关数据!A:N,14,0)*(1+MAX(0,(VLOOKUP(U1015,模板计算相关数据!A:N,7,0)-AQ1015))*VLOOKUP(U1015,模板计算相关数据!A:N,8,0))*(1-(AL1015+AM1015)*0.5/((AL1015+AM1015)*0.5+(VLOOKUP(U1015,模板计算相关数据!A:N,2,0)+模板计算相关数据!$AC$27)*模板计算相关数据!$AC$28))*Q1015*Z1015)</f>
        <v>3657</v>
      </c>
      <c r="AK1015" s="3">
        <f>INT(VLOOKUP(U1015,模板计算相关数据!A:N,3,0)/模板计算相关数据!$W$35/(1+MAX(0,(AO1015/10000-VLOOKUP(U1015,模板计算相关数据!A:N,9,0)))*AP1015/10000)/(1-VLOOKUP(U1015,模板计算相关数据!A:N,5,0)/(VLOOKUP(U1015,模板计算相关数据!A:N,5,0)+(VLOOKUP(U1015,模板计算相关数据!A:N,2,0)+模板计算相关数据!$AC$27)*模板计算相关数据!$AC$28))/S1015*AA1015)</f>
        <v>1300</v>
      </c>
      <c r="AL1015" s="3">
        <f>INT(VLOOKUP(U1015,模板计算相关数据!A:N,5,0)*VLOOKUP(X1015,模板计算相关数据!$P$4:$T$7,4,0)*VLOOKUP(Y1015,模板计算相关数据!$P$22:$U$30,4,0)*AB1015)</f>
        <v>2642</v>
      </c>
      <c r="AM1015" s="3">
        <f>INT(VLOOKUP(U1015,模板计算相关数据!A:N,6,0)*VLOOKUP(X1015,模板计算相关数据!$P$4:$T$7,4,0)*VLOOKUP(Y1015,模板计算相关数据!$P$22:$U$30,5,0)*AC1015)</f>
        <v>1560</v>
      </c>
      <c r="AN1015" s="3">
        <f>VLOOKUP(U1015,模板计算相关数据!A:N,10,0)*0.5*VLOOKUP(Y1015,模板计算相关数据!$P$22:$U$30,6,0)+AD1015</f>
        <v>250</v>
      </c>
      <c r="AO1015" s="3">
        <f>VLOOKUP(INT(VLOOKUP(U1015,模板计算相关数据!A:N,2,0)/30)+1,模板计算相关数据!$O$35:$U$40,3,0)+AE1015</f>
        <v>0</v>
      </c>
      <c r="AP1015" s="3">
        <f>VLOOKUP(INT(VLOOKUP(U1015,模板计算相关数据!A:N,2,0)/30)+1,模板计算相关数据!$O$35:$U$40,4,0)+AF1015</f>
        <v>5000</v>
      </c>
      <c r="AQ1015" s="3">
        <f>VLOOKUP(INT(VLOOKUP(U1015,模板计算相关数据!A:N,2,0)/30)+1,模板计算相关数据!$O$35:$U$40,5,0)+AG1015</f>
        <v>0</v>
      </c>
      <c r="AR1015" s="3">
        <f>VLOOKUP(INT(VLOOKUP(U1015,模板计算相关数据!A:N,2,0)/30)+1,模板计算相关数据!$O$35:$U$40,6,0)+AH1015</f>
        <v>0</v>
      </c>
      <c r="AS1015" s="3">
        <f>VLOOKUP(INT(VLOOKUP(U1015,模板计算相关数据!A:N,2,0)/30)+1,模板计算相关数据!$O$35:$U$40,7,0)+AI1015</f>
        <v>0</v>
      </c>
      <c r="AT1015" s="3">
        <f>VLOOKUP(INT(VLOOKUP(U1015,模板计算相关数据!A:N,2,0)/30)+1,模板计算相关数据!$O$35:$V$40,8,0)</f>
        <v>0</v>
      </c>
      <c r="AU1015" s="2"/>
    </row>
    <row r="1016" spans="1:47" x14ac:dyDescent="0.2">
      <c r="A1016" s="86">
        <v>54001051</v>
      </c>
      <c r="B1016" s="86"/>
      <c r="C1016" s="69" t="s">
        <v>1500</v>
      </c>
      <c r="D1016" s="2" t="s">
        <v>1499</v>
      </c>
      <c r="E1016" s="2"/>
      <c r="F1016" s="3">
        <v>1</v>
      </c>
      <c r="G1016" s="3">
        <v>1001301</v>
      </c>
      <c r="H1016" s="3">
        <v>1</v>
      </c>
      <c r="I1016" s="2">
        <v>4</v>
      </c>
      <c r="J1016" s="3">
        <v>6</v>
      </c>
      <c r="K1016" s="2"/>
      <c r="L1016" s="69" t="s">
        <v>1531</v>
      </c>
      <c r="M1016" s="2"/>
      <c r="N1016" s="2">
        <v>1</v>
      </c>
      <c r="O1016" s="2"/>
      <c r="P1016" s="3" t="s">
        <v>1615</v>
      </c>
      <c r="Q1016" s="95">
        <f t="shared" si="84"/>
        <v>4.417254901960785</v>
      </c>
      <c r="R1016" s="133">
        <f>IF(P1016=模板计算相关数据!$AB$24,VLOOKUP(X1016,模板计算相关数据!$P$47:$T$50,2,0),VLOOKUP(X1016,模板计算相关数据!$P$4:$U$7,3,0))*VLOOKUP(Y1016,模板计算相关数据!$P$22:$X$30,8,0)</f>
        <v>4.417254901960785</v>
      </c>
      <c r="S1016" s="62">
        <f t="shared" si="85"/>
        <v>5.4285280003474252</v>
      </c>
      <c r="T1016" s="133">
        <f>IF(P1016=模板计算相关数据!$AB$24,VLOOKUP(X1016,模板计算相关数据!$P$47:$T$50,5,0),VLOOKUP(X1016,模板计算相关数据!$P$4:$U$7,6,0))*VLOOKUP(Y1016,模板计算相关数据!$P$22:$X$30,9,0)</f>
        <v>5.4285280003474252</v>
      </c>
      <c r="U1016" s="98">
        <v>61</v>
      </c>
      <c r="V1016" s="95">
        <f t="shared" si="83"/>
        <v>44</v>
      </c>
      <c r="W1016" s="29">
        <f>VLOOKUP(U1016,模板计算相关数据!A:N,2,0)</f>
        <v>41</v>
      </c>
      <c r="X1016" s="3" t="s">
        <v>151</v>
      </c>
      <c r="Y1016" s="3" t="s">
        <v>152</v>
      </c>
      <c r="Z1016" s="95">
        <v>1</v>
      </c>
      <c r="AA1016" s="95">
        <v>1</v>
      </c>
      <c r="AB1016" s="95">
        <v>1</v>
      </c>
      <c r="AC1016" s="95">
        <v>1</v>
      </c>
      <c r="AD1016" s="95">
        <v>0</v>
      </c>
      <c r="AE1016" s="95">
        <v>0</v>
      </c>
      <c r="AF1016" s="95">
        <v>0</v>
      </c>
      <c r="AG1016" s="95">
        <v>0</v>
      </c>
      <c r="AH1016" s="95">
        <v>0</v>
      </c>
      <c r="AI1016" s="95">
        <v>0</v>
      </c>
      <c r="AJ1016" s="3">
        <f>INT(VLOOKUP(U1016,模板计算相关数据!A:N,4,0)*VLOOKUP(U1016,模板计算相关数据!A:N,14,0)*(1+MAX(0,(VLOOKUP(U1016,模板计算相关数据!A:N,7,0)-AQ1016))*VLOOKUP(U1016,模板计算相关数据!A:N,8,0))*(1-(AL1016+AM1016)*0.5/((AL1016+AM1016)*0.5+(VLOOKUP(U1016,模板计算相关数据!A:N,2,0)+模板计算相关数据!$AC$27)*模板计算相关数据!$AC$28))*Q1016*Z1016)</f>
        <v>4418</v>
      </c>
      <c r="AK1016" s="3">
        <f>INT(VLOOKUP(U1016,模板计算相关数据!A:N,3,0)/模板计算相关数据!$W$35/(1+MAX(0,(AO1016/10000-VLOOKUP(U1016,模板计算相关数据!A:N,9,0)))*AP1016/10000)/(1-VLOOKUP(U1016,模板计算相关数据!A:N,5,0)/(VLOOKUP(U1016,模板计算相关数据!A:N,5,0)+(VLOOKUP(U1016,模板计算相关数据!A:N,2,0)+模板计算相关数据!$AC$27)*模板计算相关数据!$AC$28))/S1016*AA1016)</f>
        <v>1634</v>
      </c>
      <c r="AL1016" s="3">
        <f>INT(VLOOKUP(U1016,模板计算相关数据!A:N,5,0)*VLOOKUP(X1016,模板计算相关数据!$P$4:$T$7,4,0)*VLOOKUP(Y1016,模板计算相关数据!$P$22:$U$30,4,0)*AB1016)</f>
        <v>3272</v>
      </c>
      <c r="AM1016" s="3">
        <f>INT(VLOOKUP(U1016,模板计算相关数据!A:N,6,0)*VLOOKUP(X1016,模板计算相关数据!$P$4:$T$7,4,0)*VLOOKUP(Y1016,模板计算相关数据!$P$22:$U$30,5,0)*AC1016)</f>
        <v>1932</v>
      </c>
      <c r="AN1016" s="3">
        <f>VLOOKUP(U1016,模板计算相关数据!A:N,10,0)*0.5*VLOOKUP(Y1016,模板计算相关数据!$P$22:$U$30,6,0)+AD1016</f>
        <v>250</v>
      </c>
      <c r="AO1016" s="3">
        <f>VLOOKUP(INT(VLOOKUP(U1016,模板计算相关数据!A:N,2,0)/30)+1,模板计算相关数据!$O$35:$U$40,3,0)+AE1016</f>
        <v>0</v>
      </c>
      <c r="AP1016" s="3">
        <f>VLOOKUP(INT(VLOOKUP(U1016,模板计算相关数据!A:N,2,0)/30)+1,模板计算相关数据!$O$35:$U$40,4,0)+AF1016</f>
        <v>5000</v>
      </c>
      <c r="AQ1016" s="3">
        <f>VLOOKUP(INT(VLOOKUP(U1016,模板计算相关数据!A:N,2,0)/30)+1,模板计算相关数据!$O$35:$U$40,5,0)+AG1016</f>
        <v>0</v>
      </c>
      <c r="AR1016" s="3">
        <f>VLOOKUP(INT(VLOOKUP(U1016,模板计算相关数据!A:N,2,0)/30)+1,模板计算相关数据!$O$35:$U$40,6,0)+AH1016</f>
        <v>0</v>
      </c>
      <c r="AS1016" s="3">
        <f>VLOOKUP(INT(VLOOKUP(U1016,模板计算相关数据!A:N,2,0)/30)+1,模板计算相关数据!$O$35:$U$40,7,0)+AI1016</f>
        <v>0</v>
      </c>
      <c r="AT1016" s="3">
        <f>VLOOKUP(INT(VLOOKUP(U1016,模板计算相关数据!A:N,2,0)/30)+1,模板计算相关数据!$O$35:$V$40,8,0)</f>
        <v>0</v>
      </c>
      <c r="AU1016" s="2"/>
    </row>
    <row r="1017" spans="1:47" x14ac:dyDescent="0.2">
      <c r="A1017" s="86">
        <v>54001012</v>
      </c>
      <c r="B1017" s="86"/>
      <c r="C1017" s="69" t="s">
        <v>1746</v>
      </c>
      <c r="D1017" s="2" t="s">
        <v>1495</v>
      </c>
      <c r="E1017" s="2"/>
      <c r="F1017" s="2">
        <v>2</v>
      </c>
      <c r="G1017" s="2">
        <v>1001401</v>
      </c>
      <c r="H1017" s="3">
        <v>4</v>
      </c>
      <c r="I1017" s="2">
        <v>4</v>
      </c>
      <c r="J1017" s="3">
        <v>6</v>
      </c>
      <c r="K1017" s="2"/>
      <c r="L1017" s="69" t="s">
        <v>1532</v>
      </c>
      <c r="M1017" s="2"/>
      <c r="N1017" s="2">
        <v>1</v>
      </c>
      <c r="O1017" s="2"/>
      <c r="P1017" s="3" t="s">
        <v>1615</v>
      </c>
      <c r="Q1017" s="95">
        <f t="shared" si="84"/>
        <v>4.4674509803921572</v>
      </c>
      <c r="R1017" s="133">
        <f>IF(P1017=模板计算相关数据!$AB$24,VLOOKUP(X1017,模板计算相关数据!$P$47:$T$50,2,0),VLOOKUP(X1017,模板计算相关数据!$P$4:$U$7,3,0))*VLOOKUP(Y1017,模板计算相关数据!$P$22:$X$30,8,0)</f>
        <v>4.4674509803921572</v>
      </c>
      <c r="S1017" s="62">
        <f t="shared" si="85"/>
        <v>5.4739930589768004</v>
      </c>
      <c r="T1017" s="133">
        <f>IF(P1017=模板计算相关数据!$AB$24,VLOOKUP(X1017,模板计算相关数据!$P$47:$T$50,5,0),VLOOKUP(X1017,模板计算相关数据!$P$4:$U$7,6,0))*VLOOKUP(Y1017,模板计算相关数据!$P$22:$X$30,9,0)</f>
        <v>5.4739930589768004</v>
      </c>
      <c r="U1017" s="98">
        <v>54</v>
      </c>
      <c r="V1017" s="95">
        <f t="shared" si="83"/>
        <v>18</v>
      </c>
      <c r="W1017" s="29">
        <f>VLOOKUP(U1017,模板计算相关数据!A:N,2,0)</f>
        <v>15</v>
      </c>
      <c r="X1017" s="3" t="s">
        <v>151</v>
      </c>
      <c r="Y1017" s="3" t="s">
        <v>162</v>
      </c>
      <c r="Z1017" s="95">
        <v>1</v>
      </c>
      <c r="AA1017" s="95">
        <v>1</v>
      </c>
      <c r="AB1017" s="95">
        <v>1</v>
      </c>
      <c r="AC1017" s="95">
        <v>1</v>
      </c>
      <c r="AD1017" s="95">
        <v>0</v>
      </c>
      <c r="AE1017" s="95">
        <v>0</v>
      </c>
      <c r="AF1017" s="95">
        <v>0</v>
      </c>
      <c r="AG1017" s="95">
        <v>0</v>
      </c>
      <c r="AH1017" s="95">
        <v>0</v>
      </c>
      <c r="AI1017" s="95">
        <v>0</v>
      </c>
      <c r="AJ1017" s="3">
        <f>INT(VLOOKUP(U1017,模板计算相关数据!A:N,4,0)*VLOOKUP(U1017,模板计算相关数据!A:N,14,0)*(1+MAX(0,(VLOOKUP(U1017,模板计算相关数据!A:N,7,0)-AQ1017))*VLOOKUP(U1017,模板计算相关数据!A:N,8,0))*(1-(AL1017+AM1017)*0.5/((AL1017+AM1017)*0.5+(VLOOKUP(U1017,模板计算相关数据!A:N,2,0)+模板计算相关数据!$AC$27)*模板计算相关数据!$AC$28))*Q1017*Z1017)</f>
        <v>1353</v>
      </c>
      <c r="AK1017" s="3">
        <f>INT(VLOOKUP(U1017,模板计算相关数据!A:N,3,0)/模板计算相关数据!$W$35/(1+MAX(0,(AO1017/10000-VLOOKUP(U1017,模板计算相关数据!A:N,9,0)))*AP1017/10000)/(1-VLOOKUP(U1017,模板计算相关数据!A:N,5,0)/(VLOOKUP(U1017,模板计算相关数据!A:N,5,0)+(VLOOKUP(U1017,模板计算相关数据!A:N,2,0)+模板计算相关数据!$AC$27)*模板计算相关数据!$AC$28))/S1017*AA1017)</f>
        <v>373</v>
      </c>
      <c r="AL1017" s="3">
        <f>INT(VLOOKUP(U1017,模板计算相关数据!A:N,5,0)*VLOOKUP(X1017,模板计算相关数据!$P$4:$T$7,4,0)*VLOOKUP(Y1017,模板计算相关数据!$P$22:$U$30,4,0)*AB1017)</f>
        <v>505</v>
      </c>
      <c r="AM1017" s="3">
        <f>INT(VLOOKUP(U1017,模板计算相关数据!A:N,6,0)*VLOOKUP(X1017,模板计算相关数据!$P$4:$T$7,4,0)*VLOOKUP(Y1017,模板计算相关数据!$P$22:$U$30,5,0)*AC1017)</f>
        <v>852</v>
      </c>
      <c r="AN1017" s="3">
        <f>VLOOKUP(U1017,模板计算相关数据!A:N,10,0)*0.5*VLOOKUP(Y1017,模板计算相关数据!$P$22:$U$30,6,0)+AD1017</f>
        <v>250</v>
      </c>
      <c r="AO1017" s="3">
        <f>VLOOKUP(INT(VLOOKUP(U1017,模板计算相关数据!A:N,2,0)/30)+1,模板计算相关数据!$O$35:$U$40,3,0)+AE1017</f>
        <v>0</v>
      </c>
      <c r="AP1017" s="3">
        <f>VLOOKUP(INT(VLOOKUP(U1017,模板计算相关数据!A:N,2,0)/30)+1,模板计算相关数据!$O$35:$U$40,4,0)+AF1017</f>
        <v>5000</v>
      </c>
      <c r="AQ1017" s="3">
        <f>VLOOKUP(INT(VLOOKUP(U1017,模板计算相关数据!A:N,2,0)/30)+1,模板计算相关数据!$O$35:$U$40,5,0)+AG1017</f>
        <v>0</v>
      </c>
      <c r="AR1017" s="3">
        <f>VLOOKUP(INT(VLOOKUP(U1017,模板计算相关数据!A:N,2,0)/30)+1,模板计算相关数据!$O$35:$U$40,6,0)+AH1017</f>
        <v>0</v>
      </c>
      <c r="AS1017" s="3">
        <f>VLOOKUP(INT(VLOOKUP(U1017,模板计算相关数据!A:N,2,0)/30)+1,模板计算相关数据!$O$35:$U$40,7,0)+AI1017</f>
        <v>0</v>
      </c>
      <c r="AT1017" s="3">
        <f>VLOOKUP(INT(VLOOKUP(U1017,模板计算相关数据!A:N,2,0)/30)+1,模板计算相关数据!$O$35:$V$40,8,0)</f>
        <v>0</v>
      </c>
      <c r="AU1017" s="2"/>
    </row>
    <row r="1018" spans="1:47" x14ac:dyDescent="0.2">
      <c r="A1018" s="86">
        <v>54001022</v>
      </c>
      <c r="B1018" s="86"/>
      <c r="C1018" s="69" t="s">
        <v>1746</v>
      </c>
      <c r="D1018" s="2" t="s">
        <v>1496</v>
      </c>
      <c r="E1018" s="2"/>
      <c r="F1018" s="2">
        <v>2</v>
      </c>
      <c r="G1018" s="2">
        <v>1001401</v>
      </c>
      <c r="H1018" s="3">
        <v>4</v>
      </c>
      <c r="I1018" s="2">
        <v>4</v>
      </c>
      <c r="J1018" s="3">
        <v>6</v>
      </c>
      <c r="K1018" s="2"/>
      <c r="L1018" s="69" t="s">
        <v>1532</v>
      </c>
      <c r="M1018" s="2"/>
      <c r="N1018" s="2">
        <v>1</v>
      </c>
      <c r="O1018" s="2"/>
      <c r="P1018" s="3" t="s">
        <v>1615</v>
      </c>
      <c r="Q1018" s="95">
        <f t="shared" si="84"/>
        <v>4.4674509803921572</v>
      </c>
      <c r="R1018" s="133">
        <f>IF(P1018=模板计算相关数据!$AB$24,VLOOKUP(X1018,模板计算相关数据!$P$47:$T$50,2,0),VLOOKUP(X1018,模板计算相关数据!$P$4:$U$7,3,0))*VLOOKUP(Y1018,模板计算相关数据!$P$22:$X$30,8,0)</f>
        <v>4.4674509803921572</v>
      </c>
      <c r="S1018" s="62">
        <f t="shared" si="85"/>
        <v>5.4739930589768004</v>
      </c>
      <c r="T1018" s="133">
        <f>IF(P1018=模板计算相关数据!$AB$24,VLOOKUP(X1018,模板计算相关数据!$P$47:$T$50,5,0),VLOOKUP(X1018,模板计算相关数据!$P$4:$U$7,6,0))*VLOOKUP(Y1018,模板计算相关数据!$P$22:$X$30,9,0)</f>
        <v>5.4739930589768004</v>
      </c>
      <c r="U1018" s="98">
        <v>55</v>
      </c>
      <c r="V1018" s="95">
        <f t="shared" si="83"/>
        <v>22</v>
      </c>
      <c r="W1018" s="29">
        <f>VLOOKUP(U1018,模板计算相关数据!A:N,2,0)</f>
        <v>19</v>
      </c>
      <c r="X1018" s="3" t="s">
        <v>151</v>
      </c>
      <c r="Y1018" s="3" t="s">
        <v>162</v>
      </c>
      <c r="Z1018" s="95">
        <v>1</v>
      </c>
      <c r="AA1018" s="95">
        <v>1</v>
      </c>
      <c r="AB1018" s="95">
        <v>1</v>
      </c>
      <c r="AC1018" s="95">
        <v>1</v>
      </c>
      <c r="AD1018" s="95">
        <v>0</v>
      </c>
      <c r="AE1018" s="95">
        <v>0</v>
      </c>
      <c r="AF1018" s="95">
        <v>0</v>
      </c>
      <c r="AG1018" s="95">
        <v>0</v>
      </c>
      <c r="AH1018" s="95">
        <v>0</v>
      </c>
      <c r="AI1018" s="95">
        <v>0</v>
      </c>
      <c r="AJ1018" s="3">
        <f>INT(VLOOKUP(U1018,模板计算相关数据!A:N,4,0)*VLOOKUP(U1018,模板计算相关数据!A:N,14,0)*(1+MAX(0,(VLOOKUP(U1018,模板计算相关数据!A:N,7,0)-AQ1018))*VLOOKUP(U1018,模板计算相关数据!A:N,8,0))*(1-(AL1018+AM1018)*0.5/((AL1018+AM1018)*0.5+(VLOOKUP(U1018,模板计算相关数据!A:N,2,0)+模板计算相关数据!$AC$27)*模板计算相关数据!$AC$28))*Q1018*Z1018)</f>
        <v>2093</v>
      </c>
      <c r="AK1018" s="3">
        <f>INT(VLOOKUP(U1018,模板计算相关数据!A:N,3,0)/模板计算相关数据!$W$35/(1+MAX(0,(AO1018/10000-VLOOKUP(U1018,模板计算相关数据!A:N,9,0)))*AP1018/10000)/(1-VLOOKUP(U1018,模板计算相关数据!A:N,5,0)/(VLOOKUP(U1018,模板计算相关数据!A:N,5,0)+(VLOOKUP(U1018,模板计算相关数据!A:N,2,0)+模板计算相关数据!$AC$27)*模板计算相关数据!$AC$28))/S1018*AA1018)</f>
        <v>719</v>
      </c>
      <c r="AL1018" s="3">
        <f>INT(VLOOKUP(U1018,模板计算相关数据!A:N,5,0)*VLOOKUP(X1018,模板计算相关数据!$P$4:$T$7,4,0)*VLOOKUP(Y1018,模板计算相关数据!$P$22:$U$30,4,0)*AB1018)</f>
        <v>838</v>
      </c>
      <c r="AM1018" s="3">
        <f>INT(VLOOKUP(U1018,模板计算相关数据!A:N,6,0)*VLOOKUP(X1018,模板计算相关数据!$P$4:$T$7,4,0)*VLOOKUP(Y1018,模板计算相关数据!$P$22:$U$30,5,0)*AC1018)</f>
        <v>1399</v>
      </c>
      <c r="AN1018" s="3">
        <f>VLOOKUP(U1018,模板计算相关数据!A:N,10,0)*0.5*VLOOKUP(Y1018,模板计算相关数据!$P$22:$U$30,6,0)+AD1018</f>
        <v>250</v>
      </c>
      <c r="AO1018" s="3">
        <f>VLOOKUP(INT(VLOOKUP(U1018,模板计算相关数据!A:N,2,0)/30)+1,模板计算相关数据!$O$35:$U$40,3,0)+AE1018</f>
        <v>0</v>
      </c>
      <c r="AP1018" s="3">
        <f>VLOOKUP(INT(VLOOKUP(U1018,模板计算相关数据!A:N,2,0)/30)+1,模板计算相关数据!$O$35:$U$40,4,0)+AF1018</f>
        <v>5000</v>
      </c>
      <c r="AQ1018" s="3">
        <f>VLOOKUP(INT(VLOOKUP(U1018,模板计算相关数据!A:N,2,0)/30)+1,模板计算相关数据!$O$35:$U$40,5,0)+AG1018</f>
        <v>0</v>
      </c>
      <c r="AR1018" s="3">
        <f>VLOOKUP(INT(VLOOKUP(U1018,模板计算相关数据!A:N,2,0)/30)+1,模板计算相关数据!$O$35:$U$40,6,0)+AH1018</f>
        <v>0</v>
      </c>
      <c r="AS1018" s="3">
        <f>VLOOKUP(INT(VLOOKUP(U1018,模板计算相关数据!A:N,2,0)/30)+1,模板计算相关数据!$O$35:$U$40,7,0)+AI1018</f>
        <v>0</v>
      </c>
      <c r="AT1018" s="3">
        <f>VLOOKUP(INT(VLOOKUP(U1018,模板计算相关数据!A:N,2,0)/30)+1,模板计算相关数据!$O$35:$V$40,8,0)</f>
        <v>0</v>
      </c>
      <c r="AU1018" s="2"/>
    </row>
    <row r="1019" spans="1:47" x14ac:dyDescent="0.2">
      <c r="A1019" s="86">
        <v>54001032</v>
      </c>
      <c r="B1019" s="86"/>
      <c r="C1019" s="69" t="s">
        <v>1746</v>
      </c>
      <c r="D1019" s="2" t="s">
        <v>1497</v>
      </c>
      <c r="E1019" s="2"/>
      <c r="F1019" s="2">
        <v>2</v>
      </c>
      <c r="G1019" s="2">
        <v>1001401</v>
      </c>
      <c r="H1019" s="3">
        <v>4</v>
      </c>
      <c r="I1019" s="2">
        <v>4</v>
      </c>
      <c r="J1019" s="3">
        <v>6</v>
      </c>
      <c r="K1019" s="2"/>
      <c r="L1019" s="69" t="s">
        <v>1532</v>
      </c>
      <c r="M1019" s="2"/>
      <c r="N1019" s="2">
        <v>1</v>
      </c>
      <c r="O1019" s="2"/>
      <c r="P1019" s="3" t="s">
        <v>1615</v>
      </c>
      <c r="Q1019" s="95">
        <f t="shared" si="84"/>
        <v>4.4674509803921572</v>
      </c>
      <c r="R1019" s="133">
        <f>IF(P1019=模板计算相关数据!$AB$24,VLOOKUP(X1019,模板计算相关数据!$P$47:$T$50,2,0),VLOOKUP(X1019,模板计算相关数据!$P$4:$U$7,3,0))*VLOOKUP(Y1019,模板计算相关数据!$P$22:$X$30,8,0)</f>
        <v>4.4674509803921572</v>
      </c>
      <c r="S1019" s="62">
        <f t="shared" si="85"/>
        <v>5.4739930589768004</v>
      </c>
      <c r="T1019" s="133">
        <f>IF(P1019=模板计算相关数据!$AB$24,VLOOKUP(X1019,模板计算相关数据!$P$47:$T$50,5,0),VLOOKUP(X1019,模板计算相关数据!$P$4:$U$7,6,0))*VLOOKUP(Y1019,模板计算相关数据!$P$22:$X$30,9,0)</f>
        <v>5.4739930589768004</v>
      </c>
      <c r="U1019" s="98">
        <v>57</v>
      </c>
      <c r="V1019" s="95">
        <f t="shared" si="83"/>
        <v>31</v>
      </c>
      <c r="W1019" s="29">
        <f>VLOOKUP(U1019,模板计算相关数据!A:N,2,0)</f>
        <v>28</v>
      </c>
      <c r="X1019" s="3" t="s">
        <v>151</v>
      </c>
      <c r="Y1019" s="3" t="s">
        <v>162</v>
      </c>
      <c r="Z1019" s="95">
        <v>1</v>
      </c>
      <c r="AA1019" s="95">
        <v>1</v>
      </c>
      <c r="AB1019" s="95">
        <v>1</v>
      </c>
      <c r="AC1019" s="95">
        <v>1</v>
      </c>
      <c r="AD1019" s="95">
        <v>0</v>
      </c>
      <c r="AE1019" s="95">
        <v>0</v>
      </c>
      <c r="AF1019" s="95">
        <v>0</v>
      </c>
      <c r="AG1019" s="95">
        <v>0</v>
      </c>
      <c r="AH1019" s="95">
        <v>0</v>
      </c>
      <c r="AI1019" s="95">
        <v>0</v>
      </c>
      <c r="AJ1019" s="3">
        <f>INT(VLOOKUP(U1019,模板计算相关数据!A:N,4,0)*VLOOKUP(U1019,模板计算相关数据!A:N,14,0)*(1+MAX(0,(VLOOKUP(U1019,模板计算相关数据!A:N,7,0)-AQ1019))*VLOOKUP(U1019,模板计算相关数据!A:N,8,0))*(1-(AL1019+AM1019)*0.5/((AL1019+AM1019)*0.5+(VLOOKUP(U1019,模板计算相关数据!A:N,2,0)+模板计算相关数据!$AC$27)*模板计算相关数据!$AC$28))*Q1019*Z1019)</f>
        <v>2971</v>
      </c>
      <c r="AK1019" s="3">
        <f>INT(VLOOKUP(U1019,模板计算相关数据!A:N,3,0)/模板计算相关数据!$W$35/(1+MAX(0,(AO1019/10000-VLOOKUP(U1019,模板计算相关数据!A:N,9,0)))*AP1019/10000)/(1-VLOOKUP(U1019,模板计算相关数据!A:N,5,0)/(VLOOKUP(U1019,模板计算相关数据!A:N,5,0)+(VLOOKUP(U1019,模板计算相关数据!A:N,2,0)+模板计算相关数据!$AC$27)*模板计算相关数据!$AC$28))/S1019*AA1019)</f>
        <v>1068</v>
      </c>
      <c r="AL1019" s="3">
        <f>INT(VLOOKUP(U1019,模板计算相关数据!A:N,5,0)*VLOOKUP(X1019,模板计算相关数据!$P$4:$T$7,4,0)*VLOOKUP(Y1019,模板计算相关数据!$P$22:$U$30,4,0)*AB1019)</f>
        <v>1288</v>
      </c>
      <c r="AM1019" s="3">
        <f>INT(VLOOKUP(U1019,模板计算相关数据!A:N,6,0)*VLOOKUP(X1019,模板计算相关数据!$P$4:$T$7,4,0)*VLOOKUP(Y1019,模板计算相关数据!$P$22:$U$30,5,0)*AC1019)</f>
        <v>2174</v>
      </c>
      <c r="AN1019" s="3">
        <f>VLOOKUP(U1019,模板计算相关数据!A:N,10,0)*0.5*VLOOKUP(Y1019,模板计算相关数据!$P$22:$U$30,6,0)+AD1019</f>
        <v>250</v>
      </c>
      <c r="AO1019" s="3">
        <f>VLOOKUP(INT(VLOOKUP(U1019,模板计算相关数据!A:N,2,0)/30)+1,模板计算相关数据!$O$35:$U$40,3,0)+AE1019</f>
        <v>0</v>
      </c>
      <c r="AP1019" s="3">
        <f>VLOOKUP(INT(VLOOKUP(U1019,模板计算相关数据!A:N,2,0)/30)+1,模板计算相关数据!$O$35:$U$40,4,0)+AF1019</f>
        <v>5000</v>
      </c>
      <c r="AQ1019" s="3">
        <f>VLOOKUP(INT(VLOOKUP(U1019,模板计算相关数据!A:N,2,0)/30)+1,模板计算相关数据!$O$35:$U$40,5,0)+AG1019</f>
        <v>0</v>
      </c>
      <c r="AR1019" s="3">
        <f>VLOOKUP(INT(VLOOKUP(U1019,模板计算相关数据!A:N,2,0)/30)+1,模板计算相关数据!$O$35:$U$40,6,0)+AH1019</f>
        <v>0</v>
      </c>
      <c r="AS1019" s="3">
        <f>VLOOKUP(INT(VLOOKUP(U1019,模板计算相关数据!A:N,2,0)/30)+1,模板计算相关数据!$O$35:$U$40,7,0)+AI1019</f>
        <v>0</v>
      </c>
      <c r="AT1019" s="3">
        <f>VLOOKUP(INT(VLOOKUP(U1019,模板计算相关数据!A:N,2,0)/30)+1,模板计算相关数据!$O$35:$V$40,8,0)</f>
        <v>0</v>
      </c>
      <c r="AU1019" s="2"/>
    </row>
    <row r="1020" spans="1:47" x14ac:dyDescent="0.2">
      <c r="A1020" s="86">
        <v>54001042</v>
      </c>
      <c r="B1020" s="86"/>
      <c r="C1020" s="69" t="s">
        <v>1746</v>
      </c>
      <c r="D1020" s="2" t="s">
        <v>1498</v>
      </c>
      <c r="E1020" s="2"/>
      <c r="F1020" s="2">
        <v>2</v>
      </c>
      <c r="G1020" s="2">
        <v>1001401</v>
      </c>
      <c r="H1020" s="3">
        <v>4</v>
      </c>
      <c r="I1020" s="2">
        <v>4</v>
      </c>
      <c r="J1020" s="3">
        <v>6</v>
      </c>
      <c r="K1020" s="2"/>
      <c r="L1020" s="69" t="s">
        <v>1532</v>
      </c>
      <c r="M1020" s="2"/>
      <c r="N1020" s="2">
        <v>1</v>
      </c>
      <c r="O1020" s="2"/>
      <c r="P1020" s="3" t="s">
        <v>1615</v>
      </c>
      <c r="Q1020" s="95">
        <f t="shared" si="84"/>
        <v>4.4674509803921572</v>
      </c>
      <c r="R1020" s="133">
        <f>IF(P1020=模板计算相关数据!$AB$24,VLOOKUP(X1020,模板计算相关数据!$P$47:$T$50,2,0),VLOOKUP(X1020,模板计算相关数据!$P$4:$U$7,3,0))*VLOOKUP(Y1020,模板计算相关数据!$P$22:$X$30,8,0)</f>
        <v>4.4674509803921572</v>
      </c>
      <c r="S1020" s="62">
        <f t="shared" si="85"/>
        <v>5.4739930589768004</v>
      </c>
      <c r="T1020" s="133">
        <f>IF(P1020=模板计算相关数据!$AB$24,VLOOKUP(X1020,模板计算相关数据!$P$47:$T$50,5,0),VLOOKUP(X1020,模板计算相关数据!$P$4:$U$7,6,0))*VLOOKUP(Y1020,模板计算相关数据!$P$22:$X$30,9,0)</f>
        <v>5.4739930589768004</v>
      </c>
      <c r="U1020" s="98">
        <v>59</v>
      </c>
      <c r="V1020" s="95">
        <f t="shared" si="83"/>
        <v>38</v>
      </c>
      <c r="W1020" s="29">
        <f>VLOOKUP(U1020,模板计算相关数据!A:N,2,0)</f>
        <v>35</v>
      </c>
      <c r="X1020" s="3" t="s">
        <v>151</v>
      </c>
      <c r="Y1020" s="3" t="s">
        <v>162</v>
      </c>
      <c r="Z1020" s="95">
        <v>1</v>
      </c>
      <c r="AA1020" s="95">
        <v>1</v>
      </c>
      <c r="AB1020" s="95">
        <v>1</v>
      </c>
      <c r="AC1020" s="95">
        <v>1</v>
      </c>
      <c r="AD1020" s="95">
        <v>0</v>
      </c>
      <c r="AE1020" s="95">
        <v>0</v>
      </c>
      <c r="AF1020" s="95">
        <v>0</v>
      </c>
      <c r="AG1020" s="95">
        <v>0</v>
      </c>
      <c r="AH1020" s="95">
        <v>0</v>
      </c>
      <c r="AI1020" s="95">
        <v>0</v>
      </c>
      <c r="AJ1020" s="3">
        <f>INT(VLOOKUP(U1020,模板计算相关数据!A:N,4,0)*VLOOKUP(U1020,模板计算相关数据!A:N,14,0)*(1+MAX(0,(VLOOKUP(U1020,模板计算相关数据!A:N,7,0)-AQ1020))*VLOOKUP(U1020,模板计算相关数据!A:N,8,0))*(1-(AL1020+AM1020)*0.5/((AL1020+AM1020)*0.5+(VLOOKUP(U1020,模板计算相关数据!A:N,2,0)+模板计算相关数据!$AC$27)*模板计算相关数据!$AC$28))*Q1020*Z1020)</f>
        <v>3700</v>
      </c>
      <c r="AK1020" s="3">
        <f>INT(VLOOKUP(U1020,模板计算相关数据!A:N,3,0)/模板计算相关数据!$W$35/(1+MAX(0,(AO1020/10000-VLOOKUP(U1020,模板计算相关数据!A:N,9,0)))*AP1020/10000)/(1-VLOOKUP(U1020,模板计算相关数据!A:N,5,0)/(VLOOKUP(U1020,模板计算相关数据!A:N,5,0)+(VLOOKUP(U1020,模板计算相关数据!A:N,2,0)+模板计算相关数据!$AC$27)*模板计算相关数据!$AC$28))/S1020*AA1020)</f>
        <v>1289</v>
      </c>
      <c r="AL1020" s="3">
        <f>INT(VLOOKUP(U1020,模板计算相关数据!A:N,5,0)*VLOOKUP(X1020,模板计算相关数据!$P$4:$T$7,4,0)*VLOOKUP(Y1020,模板计算相关数据!$P$22:$U$30,4,0)*AB1020)</f>
        <v>1566</v>
      </c>
      <c r="AM1020" s="3">
        <f>INT(VLOOKUP(U1020,模板计算相关数据!A:N,6,0)*VLOOKUP(X1020,模板计算相关数据!$P$4:$T$7,4,0)*VLOOKUP(Y1020,模板计算相关数据!$P$22:$U$30,5,0)*AC1020)</f>
        <v>2632</v>
      </c>
      <c r="AN1020" s="3">
        <f>VLOOKUP(U1020,模板计算相关数据!A:N,10,0)*0.5*VLOOKUP(Y1020,模板计算相关数据!$P$22:$U$30,6,0)+AD1020</f>
        <v>250</v>
      </c>
      <c r="AO1020" s="3">
        <f>VLOOKUP(INT(VLOOKUP(U1020,模板计算相关数据!A:N,2,0)/30)+1,模板计算相关数据!$O$35:$U$40,3,0)+AE1020</f>
        <v>0</v>
      </c>
      <c r="AP1020" s="3">
        <f>VLOOKUP(INT(VLOOKUP(U1020,模板计算相关数据!A:N,2,0)/30)+1,模板计算相关数据!$O$35:$U$40,4,0)+AF1020</f>
        <v>5000</v>
      </c>
      <c r="AQ1020" s="3">
        <f>VLOOKUP(INT(VLOOKUP(U1020,模板计算相关数据!A:N,2,0)/30)+1,模板计算相关数据!$O$35:$U$40,5,0)+AG1020</f>
        <v>0</v>
      </c>
      <c r="AR1020" s="3">
        <f>VLOOKUP(INT(VLOOKUP(U1020,模板计算相关数据!A:N,2,0)/30)+1,模板计算相关数据!$O$35:$U$40,6,0)+AH1020</f>
        <v>0</v>
      </c>
      <c r="AS1020" s="3">
        <f>VLOOKUP(INT(VLOOKUP(U1020,模板计算相关数据!A:N,2,0)/30)+1,模板计算相关数据!$O$35:$U$40,7,0)+AI1020</f>
        <v>0</v>
      </c>
      <c r="AT1020" s="3">
        <f>VLOOKUP(INT(VLOOKUP(U1020,模板计算相关数据!A:N,2,0)/30)+1,模板计算相关数据!$O$35:$V$40,8,0)</f>
        <v>0</v>
      </c>
      <c r="AU1020" s="2"/>
    </row>
    <row r="1021" spans="1:47" x14ac:dyDescent="0.2">
      <c r="A1021" s="86">
        <v>54001052</v>
      </c>
      <c r="B1021" s="86"/>
      <c r="C1021" s="69" t="s">
        <v>1746</v>
      </c>
      <c r="D1021" s="2" t="s">
        <v>1499</v>
      </c>
      <c r="E1021" s="2"/>
      <c r="F1021" s="2">
        <v>2</v>
      </c>
      <c r="G1021" s="2">
        <v>1001401</v>
      </c>
      <c r="H1021" s="3">
        <v>4</v>
      </c>
      <c r="I1021" s="2">
        <v>4</v>
      </c>
      <c r="J1021" s="3">
        <v>6</v>
      </c>
      <c r="K1021" s="2"/>
      <c r="L1021" s="69" t="s">
        <v>1532</v>
      </c>
      <c r="M1021" s="2"/>
      <c r="N1021" s="2">
        <v>1</v>
      </c>
      <c r="O1021" s="2"/>
      <c r="P1021" s="3" t="s">
        <v>1615</v>
      </c>
      <c r="Q1021" s="95">
        <f t="shared" si="84"/>
        <v>4.4674509803921572</v>
      </c>
      <c r="R1021" s="133">
        <f>IF(P1021=模板计算相关数据!$AB$24,VLOOKUP(X1021,模板计算相关数据!$P$47:$T$50,2,0),VLOOKUP(X1021,模板计算相关数据!$P$4:$U$7,3,0))*VLOOKUP(Y1021,模板计算相关数据!$P$22:$X$30,8,0)</f>
        <v>4.4674509803921572</v>
      </c>
      <c r="S1021" s="62">
        <f t="shared" si="85"/>
        <v>5.4739930589768004</v>
      </c>
      <c r="T1021" s="133">
        <f>IF(P1021=模板计算相关数据!$AB$24,VLOOKUP(X1021,模板计算相关数据!$P$47:$T$50,5,0),VLOOKUP(X1021,模板计算相关数据!$P$4:$U$7,6,0))*VLOOKUP(Y1021,模板计算相关数据!$P$22:$X$30,9,0)</f>
        <v>5.4739930589768004</v>
      </c>
      <c r="U1021" s="98">
        <v>61</v>
      </c>
      <c r="V1021" s="95">
        <f t="shared" si="83"/>
        <v>44</v>
      </c>
      <c r="W1021" s="29">
        <f>VLOOKUP(U1021,模板计算相关数据!A:N,2,0)</f>
        <v>41</v>
      </c>
      <c r="X1021" s="3" t="s">
        <v>151</v>
      </c>
      <c r="Y1021" s="3" t="s">
        <v>162</v>
      </c>
      <c r="Z1021" s="95">
        <v>1</v>
      </c>
      <c r="AA1021" s="95">
        <v>1</v>
      </c>
      <c r="AB1021" s="95">
        <v>1</v>
      </c>
      <c r="AC1021" s="95">
        <v>1</v>
      </c>
      <c r="AD1021" s="95">
        <v>0</v>
      </c>
      <c r="AE1021" s="95">
        <v>0</v>
      </c>
      <c r="AF1021" s="95">
        <v>0</v>
      </c>
      <c r="AG1021" s="95">
        <v>0</v>
      </c>
      <c r="AH1021" s="95">
        <v>0</v>
      </c>
      <c r="AI1021" s="95">
        <v>0</v>
      </c>
      <c r="AJ1021" s="3">
        <f>INT(VLOOKUP(U1021,模板计算相关数据!A:N,4,0)*VLOOKUP(U1021,模板计算相关数据!A:N,14,0)*(1+MAX(0,(VLOOKUP(U1021,模板计算相关数据!A:N,7,0)-AQ1021))*VLOOKUP(U1021,模板计算相关数据!A:N,8,0))*(1-(AL1021+AM1021)*0.5/((AL1021+AM1021)*0.5+(VLOOKUP(U1021,模板计算相关数据!A:N,2,0)+模板计算相关数据!$AC$27)*模板计算相关数据!$AC$28))*Q1021*Z1021)</f>
        <v>4470</v>
      </c>
      <c r="AK1021" s="3">
        <f>INT(VLOOKUP(U1021,模板计算相关数据!A:N,3,0)/模板计算相关数据!$W$35/(1+MAX(0,(AO1021/10000-VLOOKUP(U1021,模板计算相关数据!A:N,9,0)))*AP1021/10000)/(1-VLOOKUP(U1021,模板计算相关数据!A:N,5,0)/(VLOOKUP(U1021,模板计算相关数据!A:N,5,0)+(VLOOKUP(U1021,模板计算相关数据!A:N,2,0)+模板计算相关数据!$AC$27)*模板计算相关数据!$AC$28))/S1021*AA1021)</f>
        <v>1621</v>
      </c>
      <c r="AL1021" s="3">
        <f>INT(VLOOKUP(U1021,模板计算相关数据!A:N,5,0)*VLOOKUP(X1021,模板计算相关数据!$P$4:$T$7,4,0)*VLOOKUP(Y1021,模板计算相关数据!$P$22:$U$30,4,0)*AB1021)</f>
        <v>1939</v>
      </c>
      <c r="AM1021" s="3">
        <f>INT(VLOOKUP(U1021,模板计算相关数据!A:N,6,0)*VLOOKUP(X1021,模板计算相关数据!$P$4:$T$7,4,0)*VLOOKUP(Y1021,模板计算相关数据!$P$22:$U$30,5,0)*AC1021)</f>
        <v>3260</v>
      </c>
      <c r="AN1021" s="3">
        <f>VLOOKUP(U1021,模板计算相关数据!A:N,10,0)*0.5*VLOOKUP(Y1021,模板计算相关数据!$P$22:$U$30,6,0)+AD1021</f>
        <v>250</v>
      </c>
      <c r="AO1021" s="3">
        <f>VLOOKUP(INT(VLOOKUP(U1021,模板计算相关数据!A:N,2,0)/30)+1,模板计算相关数据!$O$35:$U$40,3,0)+AE1021</f>
        <v>0</v>
      </c>
      <c r="AP1021" s="3">
        <f>VLOOKUP(INT(VLOOKUP(U1021,模板计算相关数据!A:N,2,0)/30)+1,模板计算相关数据!$O$35:$U$40,4,0)+AF1021</f>
        <v>5000</v>
      </c>
      <c r="AQ1021" s="3">
        <f>VLOOKUP(INT(VLOOKUP(U1021,模板计算相关数据!A:N,2,0)/30)+1,模板计算相关数据!$O$35:$U$40,5,0)+AG1021</f>
        <v>0</v>
      </c>
      <c r="AR1021" s="3">
        <f>VLOOKUP(INT(VLOOKUP(U1021,模板计算相关数据!A:N,2,0)/30)+1,模板计算相关数据!$O$35:$U$40,6,0)+AH1021</f>
        <v>0</v>
      </c>
      <c r="AS1021" s="3">
        <f>VLOOKUP(INT(VLOOKUP(U1021,模板计算相关数据!A:N,2,0)/30)+1,模板计算相关数据!$O$35:$U$40,7,0)+AI1021</f>
        <v>0</v>
      </c>
      <c r="AT1021" s="3">
        <f>VLOOKUP(INT(VLOOKUP(U1021,模板计算相关数据!A:N,2,0)/30)+1,模板计算相关数据!$O$35:$V$40,8,0)</f>
        <v>0</v>
      </c>
      <c r="AU1021" s="2"/>
    </row>
    <row r="1022" spans="1:47" x14ac:dyDescent="0.2">
      <c r="A1022" s="35">
        <v>54002011</v>
      </c>
      <c r="B1022" s="35"/>
      <c r="C1022" s="34" t="s">
        <v>1434</v>
      </c>
      <c r="D1022" s="2" t="s">
        <v>1501</v>
      </c>
      <c r="E1022" s="2"/>
      <c r="F1022" s="2">
        <v>3</v>
      </c>
      <c r="G1022" s="2">
        <v>1001801</v>
      </c>
      <c r="H1022" s="3">
        <v>1</v>
      </c>
      <c r="I1022" s="2">
        <v>4</v>
      </c>
      <c r="J1022" s="3">
        <v>5</v>
      </c>
      <c r="K1022" s="2"/>
      <c r="L1022" s="69" t="s">
        <v>1533</v>
      </c>
      <c r="M1022" s="2"/>
      <c r="N1022" s="2">
        <v>1</v>
      </c>
      <c r="O1022" s="2"/>
      <c r="P1022" s="3" t="s">
        <v>1615</v>
      </c>
      <c r="Q1022" s="95">
        <f t="shared" si="84"/>
        <v>4.417254901960785</v>
      </c>
      <c r="R1022" s="133">
        <f>IF(P1022=模板计算相关数据!$AB$24,VLOOKUP(X1022,模板计算相关数据!$P$47:$T$50,2,0),VLOOKUP(X1022,模板计算相关数据!$P$4:$U$7,3,0))*VLOOKUP(Y1022,模板计算相关数据!$P$22:$X$30,8,0)</f>
        <v>4.417254901960785</v>
      </c>
      <c r="S1022" s="62">
        <f t="shared" si="85"/>
        <v>5.4285280003474252</v>
      </c>
      <c r="T1022" s="133">
        <f>IF(P1022=模板计算相关数据!$AB$24,VLOOKUP(X1022,模板计算相关数据!$P$47:$T$50,5,0),VLOOKUP(X1022,模板计算相关数据!$P$4:$U$7,6,0))*VLOOKUP(Y1022,模板计算相关数据!$P$22:$X$30,9,0)</f>
        <v>5.4285280003474252</v>
      </c>
      <c r="U1022" s="98">
        <v>54</v>
      </c>
      <c r="V1022" s="95">
        <f t="shared" si="83"/>
        <v>18</v>
      </c>
      <c r="W1022" s="29">
        <f>VLOOKUP(U1022,模板计算相关数据!A:N,2,0)</f>
        <v>15</v>
      </c>
      <c r="X1022" s="3" t="s">
        <v>151</v>
      </c>
      <c r="Y1022" s="3" t="s">
        <v>152</v>
      </c>
      <c r="Z1022" s="95">
        <v>1</v>
      </c>
      <c r="AA1022" s="95">
        <v>1</v>
      </c>
      <c r="AB1022" s="95">
        <v>1</v>
      </c>
      <c r="AC1022" s="95">
        <v>1</v>
      </c>
      <c r="AD1022" s="95">
        <v>0</v>
      </c>
      <c r="AE1022" s="95">
        <v>0</v>
      </c>
      <c r="AF1022" s="95">
        <v>0</v>
      </c>
      <c r="AG1022" s="95">
        <v>0</v>
      </c>
      <c r="AH1022" s="95">
        <v>0</v>
      </c>
      <c r="AI1022" s="95">
        <v>0</v>
      </c>
      <c r="AJ1022" s="3">
        <f>INT(VLOOKUP(U1022,模板计算相关数据!A:N,4,0)*VLOOKUP(U1022,模板计算相关数据!A:N,14,0)*(1+MAX(0,(VLOOKUP(U1022,模板计算相关数据!A:N,7,0)-AQ1022))*VLOOKUP(U1022,模板计算相关数据!A:N,8,0))*(1-(AL1022+AM1022)*0.5/((AL1022+AM1022)*0.5+(VLOOKUP(U1022,模板计算相关数据!A:N,2,0)+模板计算相关数据!$AC$27)*模板计算相关数据!$AC$28))*Q1022*Z1022)</f>
        <v>1337</v>
      </c>
      <c r="AK1022" s="3">
        <f>INT(VLOOKUP(U1022,模板计算相关数据!A:N,3,0)/模板计算相关数据!$W$35/(1+MAX(0,(AO1022/10000-VLOOKUP(U1022,模板计算相关数据!A:N,9,0)))*AP1022/10000)/(1-VLOOKUP(U1022,模板计算相关数据!A:N,5,0)/(VLOOKUP(U1022,模板计算相关数据!A:N,5,0)+(VLOOKUP(U1022,模板计算相关数据!A:N,2,0)+模板计算相关数据!$AC$27)*模板计算相关数据!$AC$28))/S1022*AA1022)</f>
        <v>376</v>
      </c>
      <c r="AL1022" s="3">
        <f>INT(VLOOKUP(U1022,模板计算相关数据!A:N,5,0)*VLOOKUP(X1022,模板计算相关数据!$P$4:$T$7,4,0)*VLOOKUP(Y1022,模板计算相关数据!$P$22:$U$30,4,0)*AB1022)</f>
        <v>852</v>
      </c>
      <c r="AM1022" s="3">
        <f>INT(VLOOKUP(U1022,模板计算相关数据!A:N,6,0)*VLOOKUP(X1022,模板计算相关数据!$P$4:$T$7,4,0)*VLOOKUP(Y1022,模板计算相关数据!$P$22:$U$30,5,0)*AC1022)</f>
        <v>505</v>
      </c>
      <c r="AN1022" s="3">
        <f>VLOOKUP(U1022,模板计算相关数据!A:N,10,0)*0.5*VLOOKUP(Y1022,模板计算相关数据!$P$22:$U$30,6,0)+AD1022</f>
        <v>250</v>
      </c>
      <c r="AO1022" s="3">
        <f>VLOOKUP(INT(VLOOKUP(U1022,模板计算相关数据!A:N,2,0)/30)+1,模板计算相关数据!$O$35:$U$40,3,0)+AE1022</f>
        <v>0</v>
      </c>
      <c r="AP1022" s="3">
        <f>VLOOKUP(INT(VLOOKUP(U1022,模板计算相关数据!A:N,2,0)/30)+1,模板计算相关数据!$O$35:$U$40,4,0)+AF1022</f>
        <v>5000</v>
      </c>
      <c r="AQ1022" s="3">
        <f>VLOOKUP(INT(VLOOKUP(U1022,模板计算相关数据!A:N,2,0)/30)+1,模板计算相关数据!$O$35:$U$40,5,0)+AG1022</f>
        <v>0</v>
      </c>
      <c r="AR1022" s="3">
        <f>VLOOKUP(INT(VLOOKUP(U1022,模板计算相关数据!A:N,2,0)/30)+1,模板计算相关数据!$O$35:$U$40,6,0)+AH1022</f>
        <v>0</v>
      </c>
      <c r="AS1022" s="3">
        <f>VLOOKUP(INT(VLOOKUP(U1022,模板计算相关数据!A:N,2,0)/30)+1,模板计算相关数据!$O$35:$U$40,7,0)+AI1022</f>
        <v>0</v>
      </c>
      <c r="AT1022" s="3">
        <f>VLOOKUP(INT(VLOOKUP(U1022,模板计算相关数据!A:N,2,0)/30)+1,模板计算相关数据!$O$35:$V$40,8,0)</f>
        <v>0</v>
      </c>
      <c r="AU1022" s="2"/>
    </row>
    <row r="1023" spans="1:47" x14ac:dyDescent="0.2">
      <c r="A1023" s="86">
        <v>54002021</v>
      </c>
      <c r="B1023" s="86"/>
      <c r="C1023" s="69" t="s">
        <v>1434</v>
      </c>
      <c r="D1023" s="2" t="s">
        <v>1502</v>
      </c>
      <c r="E1023" s="2"/>
      <c r="F1023" s="2">
        <v>3</v>
      </c>
      <c r="G1023" s="2">
        <v>1001801</v>
      </c>
      <c r="H1023" s="3">
        <v>1</v>
      </c>
      <c r="I1023" s="2">
        <v>4</v>
      </c>
      <c r="J1023" s="3">
        <v>5</v>
      </c>
      <c r="K1023" s="2"/>
      <c r="L1023" s="69" t="s">
        <v>1533</v>
      </c>
      <c r="M1023" s="2"/>
      <c r="N1023" s="2">
        <v>1</v>
      </c>
      <c r="O1023" s="2"/>
      <c r="P1023" s="3" t="s">
        <v>1615</v>
      </c>
      <c r="Q1023" s="95">
        <f t="shared" si="84"/>
        <v>4.417254901960785</v>
      </c>
      <c r="R1023" s="133">
        <f>IF(P1023=模板计算相关数据!$AB$24,VLOOKUP(X1023,模板计算相关数据!$P$47:$T$50,2,0),VLOOKUP(X1023,模板计算相关数据!$P$4:$U$7,3,0))*VLOOKUP(Y1023,模板计算相关数据!$P$22:$X$30,8,0)</f>
        <v>4.417254901960785</v>
      </c>
      <c r="S1023" s="62">
        <f t="shared" si="85"/>
        <v>5.4285280003474252</v>
      </c>
      <c r="T1023" s="133">
        <f>IF(P1023=模板计算相关数据!$AB$24,VLOOKUP(X1023,模板计算相关数据!$P$47:$T$50,5,0),VLOOKUP(X1023,模板计算相关数据!$P$4:$U$7,6,0))*VLOOKUP(Y1023,模板计算相关数据!$P$22:$X$30,9,0)</f>
        <v>5.4285280003474252</v>
      </c>
      <c r="U1023" s="98">
        <v>55</v>
      </c>
      <c r="V1023" s="95">
        <f t="shared" si="83"/>
        <v>22</v>
      </c>
      <c r="W1023" s="29">
        <f>VLOOKUP(U1023,模板计算相关数据!A:N,2,0)</f>
        <v>19</v>
      </c>
      <c r="X1023" s="3" t="s">
        <v>151</v>
      </c>
      <c r="Y1023" s="3" t="s">
        <v>152</v>
      </c>
      <c r="Z1023" s="95">
        <v>1</v>
      </c>
      <c r="AA1023" s="95">
        <v>1</v>
      </c>
      <c r="AB1023" s="95">
        <v>1</v>
      </c>
      <c r="AC1023" s="95">
        <v>1</v>
      </c>
      <c r="AD1023" s="95">
        <v>0</v>
      </c>
      <c r="AE1023" s="95">
        <v>0</v>
      </c>
      <c r="AF1023" s="95">
        <v>0</v>
      </c>
      <c r="AG1023" s="95">
        <v>0</v>
      </c>
      <c r="AH1023" s="95">
        <v>0</v>
      </c>
      <c r="AI1023" s="95">
        <v>0</v>
      </c>
      <c r="AJ1023" s="3">
        <f>INT(VLOOKUP(U1023,模板计算相关数据!A:N,4,0)*VLOOKUP(U1023,模板计算相关数据!A:N,14,0)*(1+MAX(0,(VLOOKUP(U1023,模板计算相关数据!A:N,7,0)-AQ1023))*VLOOKUP(U1023,模板计算相关数据!A:N,8,0))*(1-(AL1023+AM1023)*0.5/((AL1023+AM1023)*0.5+(VLOOKUP(U1023,模板计算相关数据!A:N,2,0)+模板计算相关数据!$AC$27)*模板计算相关数据!$AC$28))*Q1023*Z1023)</f>
        <v>2068</v>
      </c>
      <c r="AK1023" s="3">
        <f>INT(VLOOKUP(U1023,模板计算相关数据!A:N,3,0)/模板计算相关数据!$W$35/(1+MAX(0,(AO1023/10000-VLOOKUP(U1023,模板计算相关数据!A:N,9,0)))*AP1023/10000)/(1-VLOOKUP(U1023,模板计算相关数据!A:N,5,0)/(VLOOKUP(U1023,模板计算相关数据!A:N,5,0)+(VLOOKUP(U1023,模板计算相关数据!A:N,2,0)+模板计算相关数据!$AC$27)*模板计算相关数据!$AC$28))/S1023*AA1023)</f>
        <v>725</v>
      </c>
      <c r="AL1023" s="3">
        <f>INT(VLOOKUP(U1023,模板计算相关数据!A:N,5,0)*VLOOKUP(X1023,模板计算相关数据!$P$4:$T$7,4,0)*VLOOKUP(Y1023,模板计算相关数据!$P$22:$U$30,4,0)*AB1023)</f>
        <v>1414</v>
      </c>
      <c r="AM1023" s="3">
        <f>INT(VLOOKUP(U1023,模板计算相关数据!A:N,6,0)*VLOOKUP(X1023,模板计算相关数据!$P$4:$T$7,4,0)*VLOOKUP(Y1023,模板计算相关数据!$P$22:$U$30,5,0)*AC1023)</f>
        <v>829</v>
      </c>
      <c r="AN1023" s="3">
        <f>VLOOKUP(U1023,模板计算相关数据!A:N,10,0)*0.5*VLOOKUP(Y1023,模板计算相关数据!$P$22:$U$30,6,0)+AD1023</f>
        <v>250</v>
      </c>
      <c r="AO1023" s="3">
        <f>VLOOKUP(INT(VLOOKUP(U1023,模板计算相关数据!A:N,2,0)/30)+1,模板计算相关数据!$O$35:$U$40,3,0)+AE1023</f>
        <v>0</v>
      </c>
      <c r="AP1023" s="3">
        <f>VLOOKUP(INT(VLOOKUP(U1023,模板计算相关数据!A:N,2,0)/30)+1,模板计算相关数据!$O$35:$U$40,4,0)+AF1023</f>
        <v>5000</v>
      </c>
      <c r="AQ1023" s="3">
        <f>VLOOKUP(INT(VLOOKUP(U1023,模板计算相关数据!A:N,2,0)/30)+1,模板计算相关数据!$O$35:$U$40,5,0)+AG1023</f>
        <v>0</v>
      </c>
      <c r="AR1023" s="3">
        <f>VLOOKUP(INT(VLOOKUP(U1023,模板计算相关数据!A:N,2,0)/30)+1,模板计算相关数据!$O$35:$U$40,6,0)+AH1023</f>
        <v>0</v>
      </c>
      <c r="AS1023" s="3">
        <f>VLOOKUP(INT(VLOOKUP(U1023,模板计算相关数据!A:N,2,0)/30)+1,模板计算相关数据!$O$35:$U$40,7,0)+AI1023</f>
        <v>0</v>
      </c>
      <c r="AT1023" s="3">
        <f>VLOOKUP(INT(VLOOKUP(U1023,模板计算相关数据!A:N,2,0)/30)+1,模板计算相关数据!$O$35:$V$40,8,0)</f>
        <v>0</v>
      </c>
      <c r="AU1023" s="2"/>
    </row>
    <row r="1024" spans="1:47" x14ac:dyDescent="0.2">
      <c r="A1024" s="86">
        <v>54002031</v>
      </c>
      <c r="B1024" s="86"/>
      <c r="C1024" s="69" t="s">
        <v>1434</v>
      </c>
      <c r="D1024" s="2" t="s">
        <v>1503</v>
      </c>
      <c r="E1024" s="2"/>
      <c r="F1024" s="2">
        <v>3</v>
      </c>
      <c r="G1024" s="2">
        <v>1001801</v>
      </c>
      <c r="H1024" s="3">
        <v>1</v>
      </c>
      <c r="I1024" s="2">
        <v>4</v>
      </c>
      <c r="J1024" s="3">
        <v>5</v>
      </c>
      <c r="K1024" s="2"/>
      <c r="L1024" s="69" t="s">
        <v>1533</v>
      </c>
      <c r="M1024" s="2"/>
      <c r="N1024" s="2">
        <v>1</v>
      </c>
      <c r="O1024" s="2"/>
      <c r="P1024" s="3" t="s">
        <v>1615</v>
      </c>
      <c r="Q1024" s="95">
        <f t="shared" si="84"/>
        <v>4.417254901960785</v>
      </c>
      <c r="R1024" s="133">
        <f>IF(P1024=模板计算相关数据!$AB$24,VLOOKUP(X1024,模板计算相关数据!$P$47:$T$50,2,0),VLOOKUP(X1024,模板计算相关数据!$P$4:$U$7,3,0))*VLOOKUP(Y1024,模板计算相关数据!$P$22:$X$30,8,0)</f>
        <v>4.417254901960785</v>
      </c>
      <c r="S1024" s="62">
        <f t="shared" si="85"/>
        <v>5.4285280003474252</v>
      </c>
      <c r="T1024" s="133">
        <f>IF(P1024=模板计算相关数据!$AB$24,VLOOKUP(X1024,模板计算相关数据!$P$47:$T$50,5,0),VLOOKUP(X1024,模板计算相关数据!$P$4:$U$7,6,0))*VLOOKUP(Y1024,模板计算相关数据!$P$22:$X$30,9,0)</f>
        <v>5.4285280003474252</v>
      </c>
      <c r="U1024" s="98">
        <v>57</v>
      </c>
      <c r="V1024" s="95">
        <f t="shared" si="83"/>
        <v>31</v>
      </c>
      <c r="W1024" s="29">
        <f>VLOOKUP(U1024,模板计算相关数据!A:N,2,0)</f>
        <v>28</v>
      </c>
      <c r="X1024" s="3" t="s">
        <v>151</v>
      </c>
      <c r="Y1024" s="3" t="s">
        <v>152</v>
      </c>
      <c r="Z1024" s="95">
        <v>1</v>
      </c>
      <c r="AA1024" s="95">
        <v>1</v>
      </c>
      <c r="AB1024" s="95">
        <v>1</v>
      </c>
      <c r="AC1024" s="95">
        <v>1</v>
      </c>
      <c r="AD1024" s="95">
        <v>0</v>
      </c>
      <c r="AE1024" s="95">
        <v>0</v>
      </c>
      <c r="AF1024" s="95">
        <v>0</v>
      </c>
      <c r="AG1024" s="95">
        <v>0</v>
      </c>
      <c r="AH1024" s="95">
        <v>0</v>
      </c>
      <c r="AI1024" s="95">
        <v>0</v>
      </c>
      <c r="AJ1024" s="3">
        <f>INT(VLOOKUP(U1024,模板计算相关数据!A:N,4,0)*VLOOKUP(U1024,模板计算相关数据!A:N,14,0)*(1+MAX(0,(VLOOKUP(U1024,模板计算相关数据!A:N,7,0)-AQ1024))*VLOOKUP(U1024,模板计算相关数据!A:N,8,0))*(1-(AL1024+AM1024)*0.5/((AL1024+AM1024)*0.5+(VLOOKUP(U1024,模板计算相关数据!A:N,2,0)+模板计算相关数据!$AC$27)*模板计算相关数据!$AC$28))*Q1024*Z1024)</f>
        <v>2937</v>
      </c>
      <c r="AK1024" s="3">
        <f>INT(VLOOKUP(U1024,模板计算相关数据!A:N,3,0)/模板计算相关数据!$W$35/(1+MAX(0,(AO1024/10000-VLOOKUP(U1024,模板计算相关数据!A:N,9,0)))*AP1024/10000)/(1-VLOOKUP(U1024,模板计算相关数据!A:N,5,0)/(VLOOKUP(U1024,模板计算相关数据!A:N,5,0)+(VLOOKUP(U1024,模板计算相关数据!A:N,2,0)+模板计算相关数据!$AC$27)*模板计算相关数据!$AC$28))/S1024*AA1024)</f>
        <v>1077</v>
      </c>
      <c r="AL1024" s="3">
        <f>INT(VLOOKUP(U1024,模板计算相关数据!A:N,5,0)*VLOOKUP(X1024,模板计算相关数据!$P$4:$T$7,4,0)*VLOOKUP(Y1024,模板计算相关数据!$P$22:$U$30,4,0)*AB1024)</f>
        <v>2174</v>
      </c>
      <c r="AM1024" s="3">
        <f>INT(VLOOKUP(U1024,模板计算相关数据!A:N,6,0)*VLOOKUP(X1024,模板计算相关数据!$P$4:$T$7,4,0)*VLOOKUP(Y1024,模板计算相关数据!$P$22:$U$30,5,0)*AC1024)</f>
        <v>1288</v>
      </c>
      <c r="AN1024" s="3">
        <f>VLOOKUP(U1024,模板计算相关数据!A:N,10,0)*0.5*VLOOKUP(Y1024,模板计算相关数据!$P$22:$U$30,6,0)+AD1024</f>
        <v>250</v>
      </c>
      <c r="AO1024" s="3">
        <f>VLOOKUP(INT(VLOOKUP(U1024,模板计算相关数据!A:N,2,0)/30)+1,模板计算相关数据!$O$35:$U$40,3,0)+AE1024</f>
        <v>0</v>
      </c>
      <c r="AP1024" s="3">
        <f>VLOOKUP(INT(VLOOKUP(U1024,模板计算相关数据!A:N,2,0)/30)+1,模板计算相关数据!$O$35:$U$40,4,0)+AF1024</f>
        <v>5000</v>
      </c>
      <c r="AQ1024" s="3">
        <f>VLOOKUP(INT(VLOOKUP(U1024,模板计算相关数据!A:N,2,0)/30)+1,模板计算相关数据!$O$35:$U$40,5,0)+AG1024</f>
        <v>0</v>
      </c>
      <c r="AR1024" s="3">
        <f>VLOOKUP(INT(VLOOKUP(U1024,模板计算相关数据!A:N,2,0)/30)+1,模板计算相关数据!$O$35:$U$40,6,0)+AH1024</f>
        <v>0</v>
      </c>
      <c r="AS1024" s="3">
        <f>VLOOKUP(INT(VLOOKUP(U1024,模板计算相关数据!A:N,2,0)/30)+1,模板计算相关数据!$O$35:$U$40,7,0)+AI1024</f>
        <v>0</v>
      </c>
      <c r="AT1024" s="3">
        <f>VLOOKUP(INT(VLOOKUP(U1024,模板计算相关数据!A:N,2,0)/30)+1,模板计算相关数据!$O$35:$V$40,8,0)</f>
        <v>0</v>
      </c>
      <c r="AU1024" s="2"/>
    </row>
    <row r="1025" spans="1:47" x14ac:dyDescent="0.2">
      <c r="A1025" s="86">
        <v>54002041</v>
      </c>
      <c r="B1025" s="86"/>
      <c r="C1025" s="69" t="s">
        <v>1434</v>
      </c>
      <c r="D1025" s="2" t="s">
        <v>1504</v>
      </c>
      <c r="E1025" s="2"/>
      <c r="F1025" s="2">
        <v>3</v>
      </c>
      <c r="G1025" s="2">
        <v>1001801</v>
      </c>
      <c r="H1025" s="3">
        <v>1</v>
      </c>
      <c r="I1025" s="2">
        <v>4</v>
      </c>
      <c r="J1025" s="3">
        <v>5</v>
      </c>
      <c r="K1025" s="2"/>
      <c r="L1025" s="69" t="s">
        <v>1533</v>
      </c>
      <c r="M1025" s="2"/>
      <c r="N1025" s="2">
        <v>1</v>
      </c>
      <c r="O1025" s="2"/>
      <c r="P1025" s="3" t="s">
        <v>1615</v>
      </c>
      <c r="Q1025" s="95">
        <f t="shared" si="84"/>
        <v>4.417254901960785</v>
      </c>
      <c r="R1025" s="133">
        <f>IF(P1025=模板计算相关数据!$AB$24,VLOOKUP(X1025,模板计算相关数据!$P$47:$T$50,2,0),VLOOKUP(X1025,模板计算相关数据!$P$4:$U$7,3,0))*VLOOKUP(Y1025,模板计算相关数据!$P$22:$X$30,8,0)</f>
        <v>4.417254901960785</v>
      </c>
      <c r="S1025" s="62">
        <f t="shared" si="85"/>
        <v>5.4285280003474252</v>
      </c>
      <c r="T1025" s="133">
        <f>IF(P1025=模板计算相关数据!$AB$24,VLOOKUP(X1025,模板计算相关数据!$P$47:$T$50,5,0),VLOOKUP(X1025,模板计算相关数据!$P$4:$U$7,6,0))*VLOOKUP(Y1025,模板计算相关数据!$P$22:$X$30,9,0)</f>
        <v>5.4285280003474252</v>
      </c>
      <c r="U1025" s="98">
        <v>59</v>
      </c>
      <c r="V1025" s="95">
        <f t="shared" si="83"/>
        <v>38</v>
      </c>
      <c r="W1025" s="29">
        <f>VLOOKUP(U1025,模板计算相关数据!A:N,2,0)</f>
        <v>35</v>
      </c>
      <c r="X1025" s="3" t="s">
        <v>151</v>
      </c>
      <c r="Y1025" s="3" t="s">
        <v>152</v>
      </c>
      <c r="Z1025" s="95">
        <v>1</v>
      </c>
      <c r="AA1025" s="95">
        <v>1</v>
      </c>
      <c r="AB1025" s="95">
        <v>1</v>
      </c>
      <c r="AC1025" s="95">
        <v>1</v>
      </c>
      <c r="AD1025" s="95">
        <v>0</v>
      </c>
      <c r="AE1025" s="95">
        <v>0</v>
      </c>
      <c r="AF1025" s="95">
        <v>0</v>
      </c>
      <c r="AG1025" s="95">
        <v>0</v>
      </c>
      <c r="AH1025" s="95">
        <v>0</v>
      </c>
      <c r="AI1025" s="95">
        <v>0</v>
      </c>
      <c r="AJ1025" s="3">
        <f>INT(VLOOKUP(U1025,模板计算相关数据!A:N,4,0)*VLOOKUP(U1025,模板计算相关数据!A:N,14,0)*(1+MAX(0,(VLOOKUP(U1025,模板计算相关数据!A:N,7,0)-AQ1025))*VLOOKUP(U1025,模板计算相关数据!A:N,8,0))*(1-(AL1025+AM1025)*0.5/((AL1025+AM1025)*0.5+(VLOOKUP(U1025,模板计算相关数据!A:N,2,0)+模板计算相关数据!$AC$27)*模板计算相关数据!$AC$28))*Q1025*Z1025)</f>
        <v>3657</v>
      </c>
      <c r="AK1025" s="3">
        <f>INT(VLOOKUP(U1025,模板计算相关数据!A:N,3,0)/模板计算相关数据!$W$35/(1+MAX(0,(AO1025/10000-VLOOKUP(U1025,模板计算相关数据!A:N,9,0)))*AP1025/10000)/(1-VLOOKUP(U1025,模板计算相关数据!A:N,5,0)/(VLOOKUP(U1025,模板计算相关数据!A:N,5,0)+(VLOOKUP(U1025,模板计算相关数据!A:N,2,0)+模板计算相关数据!$AC$27)*模板计算相关数据!$AC$28))/S1025*AA1025)</f>
        <v>1300</v>
      </c>
      <c r="AL1025" s="3">
        <f>INT(VLOOKUP(U1025,模板计算相关数据!A:N,5,0)*VLOOKUP(X1025,模板计算相关数据!$P$4:$T$7,4,0)*VLOOKUP(Y1025,模板计算相关数据!$P$22:$U$30,4,0)*AB1025)</f>
        <v>2642</v>
      </c>
      <c r="AM1025" s="3">
        <f>INT(VLOOKUP(U1025,模板计算相关数据!A:N,6,0)*VLOOKUP(X1025,模板计算相关数据!$P$4:$T$7,4,0)*VLOOKUP(Y1025,模板计算相关数据!$P$22:$U$30,5,0)*AC1025)</f>
        <v>1560</v>
      </c>
      <c r="AN1025" s="3">
        <f>VLOOKUP(U1025,模板计算相关数据!A:N,10,0)*0.5*VLOOKUP(Y1025,模板计算相关数据!$P$22:$U$30,6,0)+AD1025</f>
        <v>250</v>
      </c>
      <c r="AO1025" s="3">
        <f>VLOOKUP(INT(VLOOKUP(U1025,模板计算相关数据!A:N,2,0)/30)+1,模板计算相关数据!$O$35:$U$40,3,0)+AE1025</f>
        <v>0</v>
      </c>
      <c r="AP1025" s="3">
        <f>VLOOKUP(INT(VLOOKUP(U1025,模板计算相关数据!A:N,2,0)/30)+1,模板计算相关数据!$O$35:$U$40,4,0)+AF1025</f>
        <v>5000</v>
      </c>
      <c r="AQ1025" s="3">
        <f>VLOOKUP(INT(VLOOKUP(U1025,模板计算相关数据!A:N,2,0)/30)+1,模板计算相关数据!$O$35:$U$40,5,0)+AG1025</f>
        <v>0</v>
      </c>
      <c r="AR1025" s="3">
        <f>VLOOKUP(INT(VLOOKUP(U1025,模板计算相关数据!A:N,2,0)/30)+1,模板计算相关数据!$O$35:$U$40,6,0)+AH1025</f>
        <v>0</v>
      </c>
      <c r="AS1025" s="3">
        <f>VLOOKUP(INT(VLOOKUP(U1025,模板计算相关数据!A:N,2,0)/30)+1,模板计算相关数据!$O$35:$U$40,7,0)+AI1025</f>
        <v>0</v>
      </c>
      <c r="AT1025" s="3">
        <f>VLOOKUP(INT(VLOOKUP(U1025,模板计算相关数据!A:N,2,0)/30)+1,模板计算相关数据!$O$35:$V$40,8,0)</f>
        <v>0</v>
      </c>
      <c r="AU1025" s="2"/>
    </row>
    <row r="1026" spans="1:47" x14ac:dyDescent="0.2">
      <c r="A1026" s="86">
        <v>54002051</v>
      </c>
      <c r="B1026" s="86"/>
      <c r="C1026" s="69" t="s">
        <v>1434</v>
      </c>
      <c r="D1026" s="2" t="s">
        <v>1505</v>
      </c>
      <c r="E1026" s="2"/>
      <c r="F1026" s="2">
        <v>3</v>
      </c>
      <c r="G1026" s="2">
        <v>1001801</v>
      </c>
      <c r="H1026" s="3">
        <v>1</v>
      </c>
      <c r="I1026" s="2">
        <v>4</v>
      </c>
      <c r="J1026" s="3">
        <v>5</v>
      </c>
      <c r="K1026" s="2"/>
      <c r="L1026" s="69" t="s">
        <v>1533</v>
      </c>
      <c r="M1026" s="2"/>
      <c r="N1026" s="2">
        <v>1</v>
      </c>
      <c r="O1026" s="2"/>
      <c r="P1026" s="3" t="s">
        <v>1615</v>
      </c>
      <c r="Q1026" s="95">
        <f t="shared" si="84"/>
        <v>4.417254901960785</v>
      </c>
      <c r="R1026" s="133">
        <f>IF(P1026=模板计算相关数据!$AB$24,VLOOKUP(X1026,模板计算相关数据!$P$47:$T$50,2,0),VLOOKUP(X1026,模板计算相关数据!$P$4:$U$7,3,0))*VLOOKUP(Y1026,模板计算相关数据!$P$22:$X$30,8,0)</f>
        <v>4.417254901960785</v>
      </c>
      <c r="S1026" s="62">
        <f t="shared" si="85"/>
        <v>5.4285280003474252</v>
      </c>
      <c r="T1026" s="133">
        <f>IF(P1026=模板计算相关数据!$AB$24,VLOOKUP(X1026,模板计算相关数据!$P$47:$T$50,5,0),VLOOKUP(X1026,模板计算相关数据!$P$4:$U$7,6,0))*VLOOKUP(Y1026,模板计算相关数据!$P$22:$X$30,9,0)</f>
        <v>5.4285280003474252</v>
      </c>
      <c r="U1026" s="98">
        <v>61</v>
      </c>
      <c r="V1026" s="95">
        <f t="shared" si="83"/>
        <v>44</v>
      </c>
      <c r="W1026" s="29">
        <f>VLOOKUP(U1026,模板计算相关数据!A:N,2,0)</f>
        <v>41</v>
      </c>
      <c r="X1026" s="3" t="s">
        <v>151</v>
      </c>
      <c r="Y1026" s="3" t="s">
        <v>152</v>
      </c>
      <c r="Z1026" s="95">
        <v>1</v>
      </c>
      <c r="AA1026" s="95">
        <v>1</v>
      </c>
      <c r="AB1026" s="95">
        <v>1</v>
      </c>
      <c r="AC1026" s="95">
        <v>1</v>
      </c>
      <c r="AD1026" s="95">
        <v>0</v>
      </c>
      <c r="AE1026" s="95">
        <v>0</v>
      </c>
      <c r="AF1026" s="95">
        <v>0</v>
      </c>
      <c r="AG1026" s="95">
        <v>0</v>
      </c>
      <c r="AH1026" s="95">
        <v>0</v>
      </c>
      <c r="AI1026" s="95">
        <v>0</v>
      </c>
      <c r="AJ1026" s="3">
        <f>INT(VLOOKUP(U1026,模板计算相关数据!A:N,4,0)*VLOOKUP(U1026,模板计算相关数据!A:N,14,0)*(1+MAX(0,(VLOOKUP(U1026,模板计算相关数据!A:N,7,0)-AQ1026))*VLOOKUP(U1026,模板计算相关数据!A:N,8,0))*(1-(AL1026+AM1026)*0.5/((AL1026+AM1026)*0.5+(VLOOKUP(U1026,模板计算相关数据!A:N,2,0)+模板计算相关数据!$AC$27)*模板计算相关数据!$AC$28))*Q1026*Z1026)</f>
        <v>4418</v>
      </c>
      <c r="AK1026" s="3">
        <f>INT(VLOOKUP(U1026,模板计算相关数据!A:N,3,0)/模板计算相关数据!$W$35/(1+MAX(0,(AO1026/10000-VLOOKUP(U1026,模板计算相关数据!A:N,9,0)))*AP1026/10000)/(1-VLOOKUP(U1026,模板计算相关数据!A:N,5,0)/(VLOOKUP(U1026,模板计算相关数据!A:N,5,0)+(VLOOKUP(U1026,模板计算相关数据!A:N,2,0)+模板计算相关数据!$AC$27)*模板计算相关数据!$AC$28))/S1026*AA1026)</f>
        <v>1634</v>
      </c>
      <c r="AL1026" s="3">
        <f>INT(VLOOKUP(U1026,模板计算相关数据!A:N,5,0)*VLOOKUP(X1026,模板计算相关数据!$P$4:$T$7,4,0)*VLOOKUP(Y1026,模板计算相关数据!$P$22:$U$30,4,0)*AB1026)</f>
        <v>3272</v>
      </c>
      <c r="AM1026" s="3">
        <f>INT(VLOOKUP(U1026,模板计算相关数据!A:N,6,0)*VLOOKUP(X1026,模板计算相关数据!$P$4:$T$7,4,0)*VLOOKUP(Y1026,模板计算相关数据!$P$22:$U$30,5,0)*AC1026)</f>
        <v>1932</v>
      </c>
      <c r="AN1026" s="3">
        <f>VLOOKUP(U1026,模板计算相关数据!A:N,10,0)*0.5*VLOOKUP(Y1026,模板计算相关数据!$P$22:$U$30,6,0)+AD1026</f>
        <v>250</v>
      </c>
      <c r="AO1026" s="3">
        <f>VLOOKUP(INT(VLOOKUP(U1026,模板计算相关数据!A:N,2,0)/30)+1,模板计算相关数据!$O$35:$U$40,3,0)+AE1026</f>
        <v>0</v>
      </c>
      <c r="AP1026" s="3">
        <f>VLOOKUP(INT(VLOOKUP(U1026,模板计算相关数据!A:N,2,0)/30)+1,模板计算相关数据!$O$35:$U$40,4,0)+AF1026</f>
        <v>5000</v>
      </c>
      <c r="AQ1026" s="3">
        <f>VLOOKUP(INT(VLOOKUP(U1026,模板计算相关数据!A:N,2,0)/30)+1,模板计算相关数据!$O$35:$U$40,5,0)+AG1026</f>
        <v>0</v>
      </c>
      <c r="AR1026" s="3">
        <f>VLOOKUP(INT(VLOOKUP(U1026,模板计算相关数据!A:N,2,0)/30)+1,模板计算相关数据!$O$35:$U$40,6,0)+AH1026</f>
        <v>0</v>
      </c>
      <c r="AS1026" s="3">
        <f>VLOOKUP(INT(VLOOKUP(U1026,模板计算相关数据!A:N,2,0)/30)+1,模板计算相关数据!$O$35:$U$40,7,0)+AI1026</f>
        <v>0</v>
      </c>
      <c r="AT1026" s="3">
        <f>VLOOKUP(INT(VLOOKUP(U1026,模板计算相关数据!A:N,2,0)/30)+1,模板计算相关数据!$O$35:$V$40,8,0)</f>
        <v>0</v>
      </c>
      <c r="AU1026" s="2"/>
    </row>
    <row r="1027" spans="1:47" x14ac:dyDescent="0.2">
      <c r="A1027" s="86">
        <v>54002012</v>
      </c>
      <c r="B1027" s="86"/>
      <c r="C1027" s="69" t="s">
        <v>1506</v>
      </c>
      <c r="D1027" s="2" t="s">
        <v>1501</v>
      </c>
      <c r="E1027" s="2"/>
      <c r="F1027" s="2">
        <v>2</v>
      </c>
      <c r="G1027" s="2">
        <v>1001901</v>
      </c>
      <c r="H1027" s="3">
        <v>3</v>
      </c>
      <c r="I1027" s="2">
        <v>4</v>
      </c>
      <c r="J1027" s="3">
        <v>5</v>
      </c>
      <c r="K1027" s="2"/>
      <c r="L1027" s="69" t="s">
        <v>1534</v>
      </c>
      <c r="M1027" s="2"/>
      <c r="N1027" s="2">
        <v>1</v>
      </c>
      <c r="O1027" s="2"/>
      <c r="P1027" s="3" t="s">
        <v>1615</v>
      </c>
      <c r="Q1027" s="95">
        <f t="shared" si="84"/>
        <v>5.6000000000000014</v>
      </c>
      <c r="R1027" s="133">
        <f>IF(P1027=模板计算相关数据!$AB$24,VLOOKUP(X1027,模板计算相关数据!$P$47:$T$50,2,0),VLOOKUP(X1027,模板计算相关数据!$P$4:$U$7,3,0))*VLOOKUP(Y1027,模板计算相关数据!$P$22:$X$30,8,0)</f>
        <v>5.6000000000000014</v>
      </c>
      <c r="S1027" s="62">
        <f t="shared" si="85"/>
        <v>6.6693344004268367</v>
      </c>
      <c r="T1027" s="133">
        <f>IF(P1027=模板计算相关数据!$AB$24,VLOOKUP(X1027,模板计算相关数据!$P$47:$T$50,5,0),VLOOKUP(X1027,模板计算相关数据!$P$4:$U$7,6,0))*VLOOKUP(Y1027,模板计算相关数据!$P$22:$X$30,9,0)</f>
        <v>6.6693344004268367</v>
      </c>
      <c r="U1027" s="98">
        <v>54</v>
      </c>
      <c r="V1027" s="95">
        <f t="shared" si="83"/>
        <v>18</v>
      </c>
      <c r="W1027" s="29">
        <f>VLOOKUP(U1027,模板计算相关数据!A:N,2,0)</f>
        <v>15</v>
      </c>
      <c r="X1027" s="3" t="s">
        <v>151</v>
      </c>
      <c r="Y1027" s="3" t="s">
        <v>255</v>
      </c>
      <c r="Z1027" s="95">
        <v>1</v>
      </c>
      <c r="AA1027" s="95">
        <v>1</v>
      </c>
      <c r="AB1027" s="95">
        <v>1</v>
      </c>
      <c r="AC1027" s="95">
        <v>1</v>
      </c>
      <c r="AD1027" s="95">
        <v>0</v>
      </c>
      <c r="AE1027" s="95">
        <v>0</v>
      </c>
      <c r="AF1027" s="95">
        <v>0</v>
      </c>
      <c r="AG1027" s="95">
        <v>0</v>
      </c>
      <c r="AH1027" s="95">
        <v>0</v>
      </c>
      <c r="AI1027" s="95">
        <v>0</v>
      </c>
      <c r="AJ1027" s="3">
        <f>INT(VLOOKUP(U1027,模板计算相关数据!A:N,4,0)*VLOOKUP(U1027,模板计算相关数据!A:N,14,0)*(1+MAX(0,(VLOOKUP(U1027,模板计算相关数据!A:N,7,0)-AQ1027))*VLOOKUP(U1027,模板计算相关数据!A:N,8,0))*(1-(AL1027+AM1027)*0.5/((AL1027+AM1027)*0.5+(VLOOKUP(U1027,模板计算相关数据!A:N,2,0)+模板计算相关数据!$AC$27)*模板计算相关数据!$AC$28))*Q1027*Z1027)</f>
        <v>1624</v>
      </c>
      <c r="AK1027" s="3">
        <f>INT(VLOOKUP(U1027,模板计算相关数据!A:N,3,0)/模板计算相关数据!$W$35/(1+MAX(0,(AO1027/10000-VLOOKUP(U1027,模板计算相关数据!A:N,9,0)))*AP1027/10000)/(1-VLOOKUP(U1027,模板计算相关数据!A:N,5,0)/(VLOOKUP(U1027,模板计算相关数据!A:N,5,0)+(VLOOKUP(U1027,模板计算相关数据!A:N,2,0)+模板计算相关数据!$AC$27)*模板计算相关数据!$AC$28))/S1027*AA1027)</f>
        <v>306</v>
      </c>
      <c r="AL1027" s="3">
        <f>INT(VLOOKUP(U1027,模板计算相关数据!A:N,5,0)*VLOOKUP(X1027,模板计算相关数据!$P$4:$T$7,4,0)*VLOOKUP(Y1027,模板计算相关数据!$P$22:$U$30,4,0)*AB1027)</f>
        <v>552</v>
      </c>
      <c r="AM1027" s="3">
        <f>INT(VLOOKUP(U1027,模板计算相关数据!A:N,6,0)*VLOOKUP(X1027,模板计算相关数据!$P$4:$T$7,4,0)*VLOOKUP(Y1027,模板计算相关数据!$P$22:$U$30,5,0)*AC1027)</f>
        <v>1026</v>
      </c>
      <c r="AN1027" s="3">
        <f>VLOOKUP(U1027,模板计算相关数据!A:N,10,0)*0.5*VLOOKUP(Y1027,模板计算相关数据!$P$22:$U$30,6,0)+AD1027</f>
        <v>225</v>
      </c>
      <c r="AO1027" s="3">
        <f>VLOOKUP(INT(VLOOKUP(U1027,模板计算相关数据!A:N,2,0)/30)+1,模板计算相关数据!$O$35:$U$40,3,0)+AE1027</f>
        <v>0</v>
      </c>
      <c r="AP1027" s="3">
        <f>VLOOKUP(INT(VLOOKUP(U1027,模板计算相关数据!A:N,2,0)/30)+1,模板计算相关数据!$O$35:$U$40,4,0)+AF1027</f>
        <v>5000</v>
      </c>
      <c r="AQ1027" s="3">
        <f>VLOOKUP(INT(VLOOKUP(U1027,模板计算相关数据!A:N,2,0)/30)+1,模板计算相关数据!$O$35:$U$40,5,0)+AG1027</f>
        <v>0</v>
      </c>
      <c r="AR1027" s="3">
        <f>VLOOKUP(INT(VLOOKUP(U1027,模板计算相关数据!A:N,2,0)/30)+1,模板计算相关数据!$O$35:$U$40,6,0)+AH1027</f>
        <v>0</v>
      </c>
      <c r="AS1027" s="3">
        <f>VLOOKUP(INT(VLOOKUP(U1027,模板计算相关数据!A:N,2,0)/30)+1,模板计算相关数据!$O$35:$U$40,7,0)+AI1027</f>
        <v>0</v>
      </c>
      <c r="AT1027" s="3">
        <f>VLOOKUP(INT(VLOOKUP(U1027,模板计算相关数据!A:N,2,0)/30)+1,模板计算相关数据!$O$35:$V$40,8,0)</f>
        <v>0</v>
      </c>
      <c r="AU1027" s="2"/>
    </row>
    <row r="1028" spans="1:47" x14ac:dyDescent="0.2">
      <c r="A1028" s="86">
        <v>54002022</v>
      </c>
      <c r="B1028" s="86"/>
      <c r="C1028" s="69" t="s">
        <v>1506</v>
      </c>
      <c r="D1028" s="2" t="s">
        <v>1502</v>
      </c>
      <c r="E1028" s="2"/>
      <c r="F1028" s="2">
        <v>2</v>
      </c>
      <c r="G1028" s="2">
        <v>1001901</v>
      </c>
      <c r="H1028" s="3">
        <v>3</v>
      </c>
      <c r="I1028" s="2">
        <v>4</v>
      </c>
      <c r="J1028" s="3">
        <v>5</v>
      </c>
      <c r="K1028" s="2"/>
      <c r="L1028" s="69" t="s">
        <v>1534</v>
      </c>
      <c r="M1028" s="2"/>
      <c r="N1028" s="2">
        <v>1</v>
      </c>
      <c r="O1028" s="2"/>
      <c r="P1028" s="3" t="s">
        <v>1615</v>
      </c>
      <c r="Q1028" s="95">
        <f t="shared" si="84"/>
        <v>5.6000000000000014</v>
      </c>
      <c r="R1028" s="133">
        <f>IF(P1028=模板计算相关数据!$AB$24,VLOOKUP(X1028,模板计算相关数据!$P$47:$T$50,2,0),VLOOKUP(X1028,模板计算相关数据!$P$4:$U$7,3,0))*VLOOKUP(Y1028,模板计算相关数据!$P$22:$X$30,8,0)</f>
        <v>5.6000000000000014</v>
      </c>
      <c r="S1028" s="62">
        <f t="shared" si="85"/>
        <v>6.6693344004268367</v>
      </c>
      <c r="T1028" s="133">
        <f>IF(P1028=模板计算相关数据!$AB$24,VLOOKUP(X1028,模板计算相关数据!$P$47:$T$50,5,0),VLOOKUP(X1028,模板计算相关数据!$P$4:$U$7,6,0))*VLOOKUP(Y1028,模板计算相关数据!$P$22:$X$30,9,0)</f>
        <v>6.6693344004268367</v>
      </c>
      <c r="U1028" s="98">
        <v>55</v>
      </c>
      <c r="V1028" s="95">
        <f t="shared" si="83"/>
        <v>22</v>
      </c>
      <c r="W1028" s="29">
        <f>VLOOKUP(U1028,模板计算相关数据!A:N,2,0)</f>
        <v>19</v>
      </c>
      <c r="X1028" s="3" t="s">
        <v>151</v>
      </c>
      <c r="Y1028" s="3" t="s">
        <v>255</v>
      </c>
      <c r="Z1028" s="95">
        <v>1</v>
      </c>
      <c r="AA1028" s="95">
        <v>1</v>
      </c>
      <c r="AB1028" s="95">
        <v>1</v>
      </c>
      <c r="AC1028" s="95">
        <v>1</v>
      </c>
      <c r="AD1028" s="95">
        <v>0</v>
      </c>
      <c r="AE1028" s="95">
        <v>0</v>
      </c>
      <c r="AF1028" s="95">
        <v>0</v>
      </c>
      <c r="AG1028" s="95">
        <v>0</v>
      </c>
      <c r="AH1028" s="95">
        <v>0</v>
      </c>
      <c r="AI1028" s="95">
        <v>0</v>
      </c>
      <c r="AJ1028" s="3">
        <f>INT(VLOOKUP(U1028,模板计算相关数据!A:N,4,0)*VLOOKUP(U1028,模板计算相关数据!A:N,14,0)*(1+MAX(0,(VLOOKUP(U1028,模板计算相关数据!A:N,7,0)-AQ1028))*VLOOKUP(U1028,模板计算相关数据!A:N,8,0))*(1-(AL1028+AM1028)*0.5/((AL1028+AM1028)*0.5+(VLOOKUP(U1028,模板计算相关数据!A:N,2,0)+模板计算相关数据!$AC$27)*模板计算相关数据!$AC$28))*Q1028*Z1028)</f>
        <v>2488</v>
      </c>
      <c r="AK1028" s="3">
        <f>INT(VLOOKUP(U1028,模板计算相关数据!A:N,3,0)/模板计算相关数据!$W$35/(1+MAX(0,(AO1028/10000-VLOOKUP(U1028,模板计算相关数据!A:N,9,0)))*AP1028/10000)/(1-VLOOKUP(U1028,模板计算相关数据!A:N,5,0)/(VLOOKUP(U1028,模板计算相关数据!A:N,5,0)+(VLOOKUP(U1028,模板计算相关数据!A:N,2,0)+模板计算相关数据!$AC$27)*模板计算相关数据!$AC$28))/S1028*AA1028)</f>
        <v>590</v>
      </c>
      <c r="AL1028" s="3">
        <f>INT(VLOOKUP(U1028,模板计算相关数据!A:N,5,0)*VLOOKUP(X1028,模板计算相关数据!$P$4:$T$7,4,0)*VLOOKUP(Y1028,模板计算相关数据!$P$22:$U$30,4,0)*AB1028)</f>
        <v>916</v>
      </c>
      <c r="AM1028" s="3">
        <f>INT(VLOOKUP(U1028,模板计算相关数据!A:N,6,0)*VLOOKUP(X1028,模板计算相关数据!$P$4:$T$7,4,0)*VLOOKUP(Y1028,模板计算相关数据!$P$22:$U$30,5,0)*AC1028)</f>
        <v>1684</v>
      </c>
      <c r="AN1028" s="3">
        <f>VLOOKUP(U1028,模板计算相关数据!A:N,10,0)*0.5*VLOOKUP(Y1028,模板计算相关数据!$P$22:$U$30,6,0)+AD1028</f>
        <v>225</v>
      </c>
      <c r="AO1028" s="3">
        <f>VLOOKUP(INT(VLOOKUP(U1028,模板计算相关数据!A:N,2,0)/30)+1,模板计算相关数据!$O$35:$U$40,3,0)+AE1028</f>
        <v>0</v>
      </c>
      <c r="AP1028" s="3">
        <f>VLOOKUP(INT(VLOOKUP(U1028,模板计算相关数据!A:N,2,0)/30)+1,模板计算相关数据!$O$35:$U$40,4,0)+AF1028</f>
        <v>5000</v>
      </c>
      <c r="AQ1028" s="3">
        <f>VLOOKUP(INT(VLOOKUP(U1028,模板计算相关数据!A:N,2,0)/30)+1,模板计算相关数据!$O$35:$U$40,5,0)+AG1028</f>
        <v>0</v>
      </c>
      <c r="AR1028" s="3">
        <f>VLOOKUP(INT(VLOOKUP(U1028,模板计算相关数据!A:N,2,0)/30)+1,模板计算相关数据!$O$35:$U$40,6,0)+AH1028</f>
        <v>0</v>
      </c>
      <c r="AS1028" s="3">
        <f>VLOOKUP(INT(VLOOKUP(U1028,模板计算相关数据!A:N,2,0)/30)+1,模板计算相关数据!$O$35:$U$40,7,0)+AI1028</f>
        <v>0</v>
      </c>
      <c r="AT1028" s="3">
        <f>VLOOKUP(INT(VLOOKUP(U1028,模板计算相关数据!A:N,2,0)/30)+1,模板计算相关数据!$O$35:$V$40,8,0)</f>
        <v>0</v>
      </c>
      <c r="AU1028" s="2"/>
    </row>
    <row r="1029" spans="1:47" x14ac:dyDescent="0.2">
      <c r="A1029" s="86">
        <v>54002032</v>
      </c>
      <c r="B1029" s="86"/>
      <c r="C1029" s="69" t="s">
        <v>1506</v>
      </c>
      <c r="D1029" s="2" t="s">
        <v>1503</v>
      </c>
      <c r="E1029" s="2"/>
      <c r="F1029" s="2">
        <v>2</v>
      </c>
      <c r="G1029" s="2">
        <v>1001901</v>
      </c>
      <c r="H1029" s="3">
        <v>3</v>
      </c>
      <c r="I1029" s="2">
        <v>4</v>
      </c>
      <c r="J1029" s="3">
        <v>5</v>
      </c>
      <c r="K1029" s="2"/>
      <c r="L1029" s="69" t="s">
        <v>1534</v>
      </c>
      <c r="M1029" s="2"/>
      <c r="N1029" s="2">
        <v>1</v>
      </c>
      <c r="O1029" s="2"/>
      <c r="P1029" s="3" t="s">
        <v>1615</v>
      </c>
      <c r="Q1029" s="95">
        <f t="shared" si="84"/>
        <v>5.6000000000000014</v>
      </c>
      <c r="R1029" s="133">
        <f>IF(P1029=模板计算相关数据!$AB$24,VLOOKUP(X1029,模板计算相关数据!$P$47:$T$50,2,0),VLOOKUP(X1029,模板计算相关数据!$P$4:$U$7,3,0))*VLOOKUP(Y1029,模板计算相关数据!$P$22:$X$30,8,0)</f>
        <v>5.6000000000000014</v>
      </c>
      <c r="S1029" s="62">
        <f t="shared" si="85"/>
        <v>6.6693344004268367</v>
      </c>
      <c r="T1029" s="133">
        <f>IF(P1029=模板计算相关数据!$AB$24,VLOOKUP(X1029,模板计算相关数据!$P$47:$T$50,5,0),VLOOKUP(X1029,模板计算相关数据!$P$4:$U$7,6,0))*VLOOKUP(Y1029,模板计算相关数据!$P$22:$X$30,9,0)</f>
        <v>6.6693344004268367</v>
      </c>
      <c r="U1029" s="98">
        <v>57</v>
      </c>
      <c r="V1029" s="95">
        <f t="shared" si="83"/>
        <v>31</v>
      </c>
      <c r="W1029" s="29">
        <f>VLOOKUP(U1029,模板计算相关数据!A:N,2,0)</f>
        <v>28</v>
      </c>
      <c r="X1029" s="3" t="s">
        <v>151</v>
      </c>
      <c r="Y1029" s="3" t="s">
        <v>255</v>
      </c>
      <c r="Z1029" s="95">
        <v>1</v>
      </c>
      <c r="AA1029" s="95">
        <v>1</v>
      </c>
      <c r="AB1029" s="95">
        <v>1</v>
      </c>
      <c r="AC1029" s="95">
        <v>1</v>
      </c>
      <c r="AD1029" s="95">
        <v>0</v>
      </c>
      <c r="AE1029" s="95">
        <v>0</v>
      </c>
      <c r="AF1029" s="95">
        <v>0</v>
      </c>
      <c r="AG1029" s="95">
        <v>0</v>
      </c>
      <c r="AH1029" s="95">
        <v>0</v>
      </c>
      <c r="AI1029" s="95">
        <v>0</v>
      </c>
      <c r="AJ1029" s="3">
        <f>INT(VLOOKUP(U1029,模板计算相关数据!A:N,4,0)*VLOOKUP(U1029,模板计算相关数据!A:N,14,0)*(1+MAX(0,(VLOOKUP(U1029,模板计算相关数据!A:N,7,0)-AQ1029))*VLOOKUP(U1029,模板计算相关数据!A:N,8,0))*(1-(AL1029+AM1029)*0.5/((AL1029+AM1029)*0.5+(VLOOKUP(U1029,模板计算相关数据!A:N,2,0)+模板计算相关数据!$AC$27)*模板计算相关数据!$AC$28))*Q1029*Z1029)</f>
        <v>3518</v>
      </c>
      <c r="AK1029" s="3">
        <f>INT(VLOOKUP(U1029,模板计算相关数据!A:N,3,0)/模板计算相关数据!$W$35/(1+MAX(0,(AO1029/10000-VLOOKUP(U1029,模板计算相关数据!A:N,9,0)))*AP1029/10000)/(1-VLOOKUP(U1029,模板计算相关数据!A:N,5,0)/(VLOOKUP(U1029,模板计算相关数据!A:N,5,0)+(VLOOKUP(U1029,模板计算相关数据!A:N,2,0)+模板计算相关数据!$AC$27)*模板计算相关数据!$AC$28))/S1029*AA1029)</f>
        <v>877</v>
      </c>
      <c r="AL1029" s="3">
        <f>INT(VLOOKUP(U1029,模板计算相关数据!A:N,5,0)*VLOOKUP(X1029,模板计算相关数据!$P$4:$T$7,4,0)*VLOOKUP(Y1029,模板计算相关数据!$P$22:$U$30,4,0)*AB1029)</f>
        <v>1409</v>
      </c>
      <c r="AM1029" s="3">
        <f>INT(VLOOKUP(U1029,模板计算相关数据!A:N,6,0)*VLOOKUP(X1029,模板计算相关数据!$P$4:$T$7,4,0)*VLOOKUP(Y1029,模板计算相关数据!$P$22:$U$30,5,0)*AC1029)</f>
        <v>2617</v>
      </c>
      <c r="AN1029" s="3">
        <f>VLOOKUP(U1029,模板计算相关数据!A:N,10,0)*0.5*VLOOKUP(Y1029,模板计算相关数据!$P$22:$U$30,6,0)+AD1029</f>
        <v>225</v>
      </c>
      <c r="AO1029" s="3">
        <f>VLOOKUP(INT(VLOOKUP(U1029,模板计算相关数据!A:N,2,0)/30)+1,模板计算相关数据!$O$35:$U$40,3,0)+AE1029</f>
        <v>0</v>
      </c>
      <c r="AP1029" s="3">
        <f>VLOOKUP(INT(VLOOKUP(U1029,模板计算相关数据!A:N,2,0)/30)+1,模板计算相关数据!$O$35:$U$40,4,0)+AF1029</f>
        <v>5000</v>
      </c>
      <c r="AQ1029" s="3">
        <f>VLOOKUP(INT(VLOOKUP(U1029,模板计算相关数据!A:N,2,0)/30)+1,模板计算相关数据!$O$35:$U$40,5,0)+AG1029</f>
        <v>0</v>
      </c>
      <c r="AR1029" s="3">
        <f>VLOOKUP(INT(VLOOKUP(U1029,模板计算相关数据!A:N,2,0)/30)+1,模板计算相关数据!$O$35:$U$40,6,0)+AH1029</f>
        <v>0</v>
      </c>
      <c r="AS1029" s="3">
        <f>VLOOKUP(INT(VLOOKUP(U1029,模板计算相关数据!A:N,2,0)/30)+1,模板计算相关数据!$O$35:$U$40,7,0)+AI1029</f>
        <v>0</v>
      </c>
      <c r="AT1029" s="3">
        <f>VLOOKUP(INT(VLOOKUP(U1029,模板计算相关数据!A:N,2,0)/30)+1,模板计算相关数据!$O$35:$V$40,8,0)</f>
        <v>0</v>
      </c>
      <c r="AU1029" s="2"/>
    </row>
    <row r="1030" spans="1:47" x14ac:dyDescent="0.2">
      <c r="A1030" s="86">
        <v>54002042</v>
      </c>
      <c r="B1030" s="86"/>
      <c r="C1030" s="69" t="s">
        <v>1506</v>
      </c>
      <c r="D1030" s="2" t="s">
        <v>1504</v>
      </c>
      <c r="E1030" s="2"/>
      <c r="F1030" s="2">
        <v>2</v>
      </c>
      <c r="G1030" s="2">
        <v>1001901</v>
      </c>
      <c r="H1030" s="3">
        <v>3</v>
      </c>
      <c r="I1030" s="2">
        <v>4</v>
      </c>
      <c r="J1030" s="3">
        <v>5</v>
      </c>
      <c r="K1030" s="2"/>
      <c r="L1030" s="69" t="s">
        <v>1534</v>
      </c>
      <c r="M1030" s="2"/>
      <c r="N1030" s="2">
        <v>1</v>
      </c>
      <c r="O1030" s="2"/>
      <c r="P1030" s="3" t="s">
        <v>1615</v>
      </c>
      <c r="Q1030" s="95">
        <f t="shared" si="84"/>
        <v>5.6000000000000014</v>
      </c>
      <c r="R1030" s="133">
        <f>IF(P1030=模板计算相关数据!$AB$24,VLOOKUP(X1030,模板计算相关数据!$P$47:$T$50,2,0),VLOOKUP(X1030,模板计算相关数据!$P$4:$U$7,3,0))*VLOOKUP(Y1030,模板计算相关数据!$P$22:$X$30,8,0)</f>
        <v>5.6000000000000014</v>
      </c>
      <c r="S1030" s="62">
        <f t="shared" si="85"/>
        <v>6.6693344004268367</v>
      </c>
      <c r="T1030" s="133">
        <f>IF(P1030=模板计算相关数据!$AB$24,VLOOKUP(X1030,模板计算相关数据!$P$47:$T$50,5,0),VLOOKUP(X1030,模板计算相关数据!$P$4:$U$7,6,0))*VLOOKUP(Y1030,模板计算相关数据!$P$22:$X$30,9,0)</f>
        <v>6.6693344004268367</v>
      </c>
      <c r="U1030" s="98">
        <v>59</v>
      </c>
      <c r="V1030" s="95">
        <f t="shared" si="83"/>
        <v>38</v>
      </c>
      <c r="W1030" s="29">
        <f>VLOOKUP(U1030,模板计算相关数据!A:N,2,0)</f>
        <v>35</v>
      </c>
      <c r="X1030" s="3" t="s">
        <v>151</v>
      </c>
      <c r="Y1030" s="3" t="s">
        <v>255</v>
      </c>
      <c r="Z1030" s="95">
        <v>1</v>
      </c>
      <c r="AA1030" s="95">
        <v>1</v>
      </c>
      <c r="AB1030" s="95">
        <v>1</v>
      </c>
      <c r="AC1030" s="95">
        <v>1</v>
      </c>
      <c r="AD1030" s="95">
        <v>0</v>
      </c>
      <c r="AE1030" s="95">
        <v>0</v>
      </c>
      <c r="AF1030" s="95">
        <v>0</v>
      </c>
      <c r="AG1030" s="95">
        <v>0</v>
      </c>
      <c r="AH1030" s="95">
        <v>0</v>
      </c>
      <c r="AI1030" s="95">
        <v>0</v>
      </c>
      <c r="AJ1030" s="3">
        <f>INT(VLOOKUP(U1030,模板计算相关数据!A:N,4,0)*VLOOKUP(U1030,模板计算相关数据!A:N,14,0)*(1+MAX(0,(VLOOKUP(U1030,模板计算相关数据!A:N,7,0)-AQ1030))*VLOOKUP(U1030,模板计算相关数据!A:N,8,0))*(1-(AL1030+AM1030)*0.5/((AL1030+AM1030)*0.5+(VLOOKUP(U1030,模板计算相关数据!A:N,2,0)+模板计算相关数据!$AC$27)*模板计算相关数据!$AC$28))*Q1030*Z1030)</f>
        <v>4382</v>
      </c>
      <c r="AK1030" s="3">
        <f>INT(VLOOKUP(U1030,模板计算相关数据!A:N,3,0)/模板计算相关数据!$W$35/(1+MAX(0,(AO1030/10000-VLOOKUP(U1030,模板计算相关数据!A:N,9,0)))*AP1030/10000)/(1-VLOOKUP(U1030,模板计算相关数据!A:N,5,0)/(VLOOKUP(U1030,模板计算相关数据!A:N,5,0)+(VLOOKUP(U1030,模板计算相关数据!A:N,2,0)+模板计算相关数据!$AC$27)*模板计算相关数据!$AC$28))/S1030*AA1030)</f>
        <v>1058</v>
      </c>
      <c r="AL1030" s="3">
        <f>INT(VLOOKUP(U1030,模板计算相关数据!A:N,5,0)*VLOOKUP(X1030,模板计算相关数据!$P$4:$T$7,4,0)*VLOOKUP(Y1030,模板计算相关数据!$P$22:$U$30,4,0)*AB1030)</f>
        <v>1713</v>
      </c>
      <c r="AM1030" s="3">
        <f>INT(VLOOKUP(U1030,模板计算相关数据!A:N,6,0)*VLOOKUP(X1030,模板计算相关数据!$P$4:$T$7,4,0)*VLOOKUP(Y1030,模板计算相关数据!$P$22:$U$30,5,0)*AC1030)</f>
        <v>3168</v>
      </c>
      <c r="AN1030" s="3">
        <f>VLOOKUP(U1030,模板计算相关数据!A:N,10,0)*0.5*VLOOKUP(Y1030,模板计算相关数据!$P$22:$U$30,6,0)+AD1030</f>
        <v>225</v>
      </c>
      <c r="AO1030" s="3">
        <f>VLOOKUP(INT(VLOOKUP(U1030,模板计算相关数据!A:N,2,0)/30)+1,模板计算相关数据!$O$35:$U$40,3,0)+AE1030</f>
        <v>0</v>
      </c>
      <c r="AP1030" s="3">
        <f>VLOOKUP(INT(VLOOKUP(U1030,模板计算相关数据!A:N,2,0)/30)+1,模板计算相关数据!$O$35:$U$40,4,0)+AF1030</f>
        <v>5000</v>
      </c>
      <c r="AQ1030" s="3">
        <f>VLOOKUP(INT(VLOOKUP(U1030,模板计算相关数据!A:N,2,0)/30)+1,模板计算相关数据!$O$35:$U$40,5,0)+AG1030</f>
        <v>0</v>
      </c>
      <c r="AR1030" s="3">
        <f>VLOOKUP(INT(VLOOKUP(U1030,模板计算相关数据!A:N,2,0)/30)+1,模板计算相关数据!$O$35:$U$40,6,0)+AH1030</f>
        <v>0</v>
      </c>
      <c r="AS1030" s="3">
        <f>VLOOKUP(INT(VLOOKUP(U1030,模板计算相关数据!A:N,2,0)/30)+1,模板计算相关数据!$O$35:$U$40,7,0)+AI1030</f>
        <v>0</v>
      </c>
      <c r="AT1030" s="3">
        <f>VLOOKUP(INT(VLOOKUP(U1030,模板计算相关数据!A:N,2,0)/30)+1,模板计算相关数据!$O$35:$V$40,8,0)</f>
        <v>0</v>
      </c>
      <c r="AU1030" s="2"/>
    </row>
    <row r="1031" spans="1:47" x14ac:dyDescent="0.2">
      <c r="A1031" s="86">
        <v>54002052</v>
      </c>
      <c r="B1031" s="86"/>
      <c r="C1031" s="69" t="s">
        <v>1506</v>
      </c>
      <c r="D1031" s="2" t="s">
        <v>1505</v>
      </c>
      <c r="E1031" s="2"/>
      <c r="F1031" s="2">
        <v>2</v>
      </c>
      <c r="G1031" s="2">
        <v>1001901</v>
      </c>
      <c r="H1031" s="3">
        <v>3</v>
      </c>
      <c r="I1031" s="2">
        <v>4</v>
      </c>
      <c r="J1031" s="3">
        <v>5</v>
      </c>
      <c r="K1031" s="2"/>
      <c r="L1031" s="69" t="s">
        <v>1534</v>
      </c>
      <c r="M1031" s="2"/>
      <c r="N1031" s="2">
        <v>1</v>
      </c>
      <c r="O1031" s="2"/>
      <c r="P1031" s="3" t="s">
        <v>1615</v>
      </c>
      <c r="Q1031" s="95">
        <f t="shared" si="84"/>
        <v>5.6000000000000014</v>
      </c>
      <c r="R1031" s="133">
        <f>IF(P1031=模板计算相关数据!$AB$24,VLOOKUP(X1031,模板计算相关数据!$P$47:$T$50,2,0),VLOOKUP(X1031,模板计算相关数据!$P$4:$U$7,3,0))*VLOOKUP(Y1031,模板计算相关数据!$P$22:$X$30,8,0)</f>
        <v>5.6000000000000014</v>
      </c>
      <c r="S1031" s="62">
        <f t="shared" si="85"/>
        <v>6.6693344004268367</v>
      </c>
      <c r="T1031" s="133">
        <f>IF(P1031=模板计算相关数据!$AB$24,VLOOKUP(X1031,模板计算相关数据!$P$47:$T$50,5,0),VLOOKUP(X1031,模板计算相关数据!$P$4:$U$7,6,0))*VLOOKUP(Y1031,模板计算相关数据!$P$22:$X$30,9,0)</f>
        <v>6.6693344004268367</v>
      </c>
      <c r="U1031" s="98">
        <v>61</v>
      </c>
      <c r="V1031" s="95">
        <f t="shared" si="83"/>
        <v>44</v>
      </c>
      <c r="W1031" s="29">
        <f>VLOOKUP(U1031,模板计算相关数据!A:N,2,0)</f>
        <v>41</v>
      </c>
      <c r="X1031" s="3" t="s">
        <v>151</v>
      </c>
      <c r="Y1031" s="3" t="s">
        <v>255</v>
      </c>
      <c r="Z1031" s="95">
        <v>1</v>
      </c>
      <c r="AA1031" s="95">
        <v>1</v>
      </c>
      <c r="AB1031" s="95">
        <v>1</v>
      </c>
      <c r="AC1031" s="95">
        <v>1</v>
      </c>
      <c r="AD1031" s="95">
        <v>0</v>
      </c>
      <c r="AE1031" s="95">
        <v>0</v>
      </c>
      <c r="AF1031" s="95">
        <v>0</v>
      </c>
      <c r="AG1031" s="95">
        <v>0</v>
      </c>
      <c r="AH1031" s="95">
        <v>0</v>
      </c>
      <c r="AI1031" s="95">
        <v>0</v>
      </c>
      <c r="AJ1031" s="3">
        <f>INT(VLOOKUP(U1031,模板计算相关数据!A:N,4,0)*VLOOKUP(U1031,模板计算相关数据!A:N,14,0)*(1+MAX(0,(VLOOKUP(U1031,模板计算相关数据!A:N,7,0)-AQ1031))*VLOOKUP(U1031,模板计算相关数据!A:N,8,0))*(1-(AL1031+AM1031)*0.5/((AL1031+AM1031)*0.5+(VLOOKUP(U1031,模板计算相关数据!A:N,2,0)+模板计算相关数据!$AC$27)*模板计算相关数据!$AC$28))*Q1031*Z1031)</f>
        <v>5281</v>
      </c>
      <c r="AK1031" s="3">
        <f>INT(VLOOKUP(U1031,模板计算相关数据!A:N,3,0)/模板计算相关数据!$W$35/(1+MAX(0,(AO1031/10000-VLOOKUP(U1031,模板计算相关数据!A:N,9,0)))*AP1031/10000)/(1-VLOOKUP(U1031,模板计算相关数据!A:N,5,0)/(VLOOKUP(U1031,模板计算相关数据!A:N,5,0)+(VLOOKUP(U1031,模板计算相关数据!A:N,2,0)+模板计算相关数据!$AC$27)*模板计算相关数据!$AC$28))/S1031*AA1031)</f>
        <v>1330</v>
      </c>
      <c r="AL1031" s="3">
        <f>INT(VLOOKUP(U1031,模板计算相关数据!A:N,5,0)*VLOOKUP(X1031,模板计算相关数据!$P$4:$T$7,4,0)*VLOOKUP(Y1031,模板计算相关数据!$P$22:$U$30,4,0)*AB1031)</f>
        <v>2121</v>
      </c>
      <c r="AM1031" s="3">
        <f>INT(VLOOKUP(U1031,模板计算相关数据!A:N,6,0)*VLOOKUP(X1031,模板计算相关数据!$P$4:$T$7,4,0)*VLOOKUP(Y1031,模板计算相关数据!$P$22:$U$30,5,0)*AC1031)</f>
        <v>3924</v>
      </c>
      <c r="AN1031" s="3">
        <f>VLOOKUP(U1031,模板计算相关数据!A:N,10,0)*0.5*VLOOKUP(Y1031,模板计算相关数据!$P$22:$U$30,6,0)+AD1031</f>
        <v>225</v>
      </c>
      <c r="AO1031" s="3">
        <f>VLOOKUP(INT(VLOOKUP(U1031,模板计算相关数据!A:N,2,0)/30)+1,模板计算相关数据!$O$35:$U$40,3,0)+AE1031</f>
        <v>0</v>
      </c>
      <c r="AP1031" s="3">
        <f>VLOOKUP(INT(VLOOKUP(U1031,模板计算相关数据!A:N,2,0)/30)+1,模板计算相关数据!$O$35:$U$40,4,0)+AF1031</f>
        <v>5000</v>
      </c>
      <c r="AQ1031" s="3">
        <f>VLOOKUP(INT(VLOOKUP(U1031,模板计算相关数据!A:N,2,0)/30)+1,模板计算相关数据!$O$35:$U$40,5,0)+AG1031</f>
        <v>0</v>
      </c>
      <c r="AR1031" s="3">
        <f>VLOOKUP(INT(VLOOKUP(U1031,模板计算相关数据!A:N,2,0)/30)+1,模板计算相关数据!$O$35:$U$40,6,0)+AH1031</f>
        <v>0</v>
      </c>
      <c r="AS1031" s="3">
        <f>VLOOKUP(INT(VLOOKUP(U1031,模板计算相关数据!A:N,2,0)/30)+1,模板计算相关数据!$O$35:$U$40,7,0)+AI1031</f>
        <v>0</v>
      </c>
      <c r="AT1031" s="3">
        <f>VLOOKUP(INT(VLOOKUP(U1031,模板计算相关数据!A:N,2,0)/30)+1,模板计算相关数据!$O$35:$V$40,8,0)</f>
        <v>0</v>
      </c>
      <c r="AU1031" s="2"/>
    </row>
    <row r="1032" spans="1:47" x14ac:dyDescent="0.2">
      <c r="A1032" s="86">
        <v>54002013</v>
      </c>
      <c r="B1032" s="86"/>
      <c r="C1032" s="69" t="s">
        <v>1507</v>
      </c>
      <c r="D1032" s="2" t="s">
        <v>1501</v>
      </c>
      <c r="E1032" s="2"/>
      <c r="F1032" s="2">
        <v>4</v>
      </c>
      <c r="G1032" s="2">
        <v>1002001</v>
      </c>
      <c r="H1032" s="3">
        <v>5</v>
      </c>
      <c r="I1032" s="2">
        <v>4</v>
      </c>
      <c r="J1032" s="3">
        <v>5</v>
      </c>
      <c r="K1032" s="2"/>
      <c r="L1032" s="69" t="s">
        <v>1535</v>
      </c>
      <c r="M1032" s="2"/>
      <c r="N1032" s="2">
        <v>1</v>
      </c>
      <c r="O1032" s="2"/>
      <c r="P1032" s="3" t="s">
        <v>1615</v>
      </c>
      <c r="Q1032" s="95">
        <f t="shared" si="84"/>
        <v>5.7709803921568623</v>
      </c>
      <c r="R1032" s="133">
        <f>IF(P1032=模板计算相关数据!$AB$24,VLOOKUP(X1032,模板计算相关数据!$P$47:$T$50,2,0),VLOOKUP(X1032,模板计算相关数据!$P$4:$U$7,3,0))*VLOOKUP(Y1032,模板计算相关数据!$P$22:$X$30,8,0)</f>
        <v>5.7709803921568623</v>
      </c>
      <c r="S1032" s="62">
        <f t="shared" si="85"/>
        <v>6.4077918749198997</v>
      </c>
      <c r="T1032" s="133">
        <f>IF(P1032=模板计算相关数据!$AB$24,VLOOKUP(X1032,模板计算相关数据!$P$47:$T$50,5,0),VLOOKUP(X1032,模板计算相关数据!$P$4:$U$7,6,0))*VLOOKUP(Y1032,模板计算相关数据!$P$22:$X$30,9,0)</f>
        <v>6.4077918749198997</v>
      </c>
      <c r="U1032" s="98">
        <v>54</v>
      </c>
      <c r="V1032" s="95">
        <f t="shared" si="83"/>
        <v>18</v>
      </c>
      <c r="W1032" s="29">
        <f>VLOOKUP(U1032,模板计算相关数据!A:N,2,0)</f>
        <v>15</v>
      </c>
      <c r="X1032" s="3" t="s">
        <v>151</v>
      </c>
      <c r="Y1032" s="3" t="s">
        <v>159</v>
      </c>
      <c r="Z1032" s="95">
        <v>1</v>
      </c>
      <c r="AA1032" s="95">
        <v>1</v>
      </c>
      <c r="AB1032" s="95">
        <v>1</v>
      </c>
      <c r="AC1032" s="95">
        <v>1</v>
      </c>
      <c r="AD1032" s="95">
        <v>0</v>
      </c>
      <c r="AE1032" s="95">
        <v>0</v>
      </c>
      <c r="AF1032" s="95">
        <v>0</v>
      </c>
      <c r="AG1032" s="95">
        <v>0</v>
      </c>
      <c r="AH1032" s="95">
        <v>0</v>
      </c>
      <c r="AI1032" s="95">
        <v>0</v>
      </c>
      <c r="AJ1032" s="3">
        <f>INT(VLOOKUP(U1032,模板计算相关数据!A:N,4,0)*VLOOKUP(U1032,模板计算相关数据!A:N,14,0)*(1+MAX(0,(VLOOKUP(U1032,模板计算相关数据!A:N,7,0)-AQ1032))*VLOOKUP(U1032,模板计算相关数据!A:N,8,0))*(1-(AL1032+AM1032)*0.5/((AL1032+AM1032)*0.5+(VLOOKUP(U1032,模板计算相关数据!A:N,2,0)+模板计算相关数据!$AC$27)*模板计算相关数据!$AC$28))*Q1032*Z1032)</f>
        <v>1694</v>
      </c>
      <c r="AK1032" s="3">
        <f>INT(VLOOKUP(U1032,模板计算相关数据!A:N,3,0)/模板计算相关数据!$W$35/(1+MAX(0,(AO1032/10000-VLOOKUP(U1032,模板计算相关数据!A:N,9,0)))*AP1032/10000)/(1-VLOOKUP(U1032,模板计算相关数据!A:N,5,0)/(VLOOKUP(U1032,模板计算相关数据!A:N,5,0)+(VLOOKUP(U1032,模板计算相关数据!A:N,2,0)+模板计算相关数据!$AC$27)*模板计算相关数据!$AC$28))/S1032*AA1032)</f>
        <v>319</v>
      </c>
      <c r="AL1032" s="3">
        <f>INT(VLOOKUP(U1032,模板计算相关数据!A:N,5,0)*VLOOKUP(X1032,模板计算相关数据!$P$4:$T$7,4,0)*VLOOKUP(Y1032,模板计算相关数据!$P$22:$U$30,4,0)*AB1032)</f>
        <v>979</v>
      </c>
      <c r="AM1032" s="3">
        <f>INT(VLOOKUP(U1032,模板计算相关数据!A:N,6,0)*VLOOKUP(X1032,模板计算相关数据!$P$4:$T$7,4,0)*VLOOKUP(Y1032,模板计算相关数据!$P$22:$U$30,5,0)*AC1032)</f>
        <v>536</v>
      </c>
      <c r="AN1032" s="3">
        <f>VLOOKUP(U1032,模板计算相关数据!A:N,10,0)*0.5*VLOOKUP(Y1032,模板计算相关数据!$P$22:$U$30,6,0)+AD1032</f>
        <v>275</v>
      </c>
      <c r="AO1032" s="3">
        <f>VLOOKUP(INT(VLOOKUP(U1032,模板计算相关数据!A:N,2,0)/30)+1,模板计算相关数据!$O$35:$U$40,3,0)+AE1032</f>
        <v>0</v>
      </c>
      <c r="AP1032" s="3">
        <f>VLOOKUP(INT(VLOOKUP(U1032,模板计算相关数据!A:N,2,0)/30)+1,模板计算相关数据!$O$35:$U$40,4,0)+AF1032</f>
        <v>5000</v>
      </c>
      <c r="AQ1032" s="3">
        <f>VLOOKUP(INT(VLOOKUP(U1032,模板计算相关数据!A:N,2,0)/30)+1,模板计算相关数据!$O$35:$U$40,5,0)+AG1032</f>
        <v>0</v>
      </c>
      <c r="AR1032" s="3">
        <f>VLOOKUP(INT(VLOOKUP(U1032,模板计算相关数据!A:N,2,0)/30)+1,模板计算相关数据!$O$35:$U$40,6,0)+AH1032</f>
        <v>0</v>
      </c>
      <c r="AS1032" s="3">
        <f>VLOOKUP(INT(VLOOKUP(U1032,模板计算相关数据!A:N,2,0)/30)+1,模板计算相关数据!$O$35:$U$40,7,0)+AI1032</f>
        <v>0</v>
      </c>
      <c r="AT1032" s="3">
        <f>VLOOKUP(INT(VLOOKUP(U1032,模板计算相关数据!A:N,2,0)/30)+1,模板计算相关数据!$O$35:$V$40,8,0)</f>
        <v>0</v>
      </c>
      <c r="AU1032" s="2"/>
    </row>
    <row r="1033" spans="1:47" x14ac:dyDescent="0.2">
      <c r="A1033" s="86">
        <v>54002023</v>
      </c>
      <c r="B1033" s="86"/>
      <c r="C1033" s="69" t="s">
        <v>1507</v>
      </c>
      <c r="D1033" s="2" t="s">
        <v>1502</v>
      </c>
      <c r="E1033" s="2"/>
      <c r="F1033" s="2">
        <v>4</v>
      </c>
      <c r="G1033" s="2">
        <v>1002001</v>
      </c>
      <c r="H1033" s="3">
        <v>5</v>
      </c>
      <c r="I1033" s="2">
        <v>4</v>
      </c>
      <c r="J1033" s="3">
        <v>5</v>
      </c>
      <c r="K1033" s="2"/>
      <c r="L1033" s="69" t="s">
        <v>1535</v>
      </c>
      <c r="M1033" s="2"/>
      <c r="N1033" s="2">
        <v>1</v>
      </c>
      <c r="O1033" s="2"/>
      <c r="P1033" s="3" t="s">
        <v>1615</v>
      </c>
      <c r="Q1033" s="95">
        <f t="shared" si="84"/>
        <v>5.7709803921568623</v>
      </c>
      <c r="R1033" s="133">
        <f>IF(P1033=模板计算相关数据!$AB$24,VLOOKUP(X1033,模板计算相关数据!$P$47:$T$50,2,0),VLOOKUP(X1033,模板计算相关数据!$P$4:$U$7,3,0))*VLOOKUP(Y1033,模板计算相关数据!$P$22:$X$30,8,0)</f>
        <v>5.7709803921568623</v>
      </c>
      <c r="S1033" s="62">
        <f t="shared" si="85"/>
        <v>6.4077918749198997</v>
      </c>
      <c r="T1033" s="133">
        <f>IF(P1033=模板计算相关数据!$AB$24,VLOOKUP(X1033,模板计算相关数据!$P$47:$T$50,5,0),VLOOKUP(X1033,模板计算相关数据!$P$4:$U$7,6,0))*VLOOKUP(Y1033,模板计算相关数据!$P$22:$X$30,9,0)</f>
        <v>6.4077918749198997</v>
      </c>
      <c r="U1033" s="98">
        <v>55</v>
      </c>
      <c r="V1033" s="95">
        <f t="shared" si="83"/>
        <v>22</v>
      </c>
      <c r="W1033" s="29">
        <f>VLOOKUP(U1033,模板计算相关数据!A:N,2,0)</f>
        <v>19</v>
      </c>
      <c r="X1033" s="3" t="s">
        <v>151</v>
      </c>
      <c r="Y1033" s="3" t="s">
        <v>159</v>
      </c>
      <c r="Z1033" s="95">
        <v>1</v>
      </c>
      <c r="AA1033" s="95">
        <v>1</v>
      </c>
      <c r="AB1033" s="95">
        <v>1</v>
      </c>
      <c r="AC1033" s="95">
        <v>1</v>
      </c>
      <c r="AD1033" s="95">
        <v>0</v>
      </c>
      <c r="AE1033" s="95">
        <v>0</v>
      </c>
      <c r="AF1033" s="95">
        <v>0</v>
      </c>
      <c r="AG1033" s="95">
        <v>0</v>
      </c>
      <c r="AH1033" s="95">
        <v>0</v>
      </c>
      <c r="AI1033" s="95">
        <v>0</v>
      </c>
      <c r="AJ1033" s="3">
        <f>INT(VLOOKUP(U1033,模板计算相关数据!A:N,4,0)*VLOOKUP(U1033,模板计算相关数据!A:N,14,0)*(1+MAX(0,(VLOOKUP(U1033,模板计算相关数据!A:N,7,0)-AQ1033))*VLOOKUP(U1033,模板计算相关数据!A:N,8,0))*(1-(AL1033+AM1033)*0.5/((AL1033+AM1033)*0.5+(VLOOKUP(U1033,模板计算相关数据!A:N,2,0)+模板计算相关数据!$AC$27)*模板计算相关数据!$AC$28))*Q1033*Z1033)</f>
        <v>2600</v>
      </c>
      <c r="AK1033" s="3">
        <f>INT(VLOOKUP(U1033,模板计算相关数据!A:N,3,0)/模板计算相关数据!$W$35/(1+MAX(0,(AO1033/10000-VLOOKUP(U1033,模板计算相关数据!A:N,9,0)))*AP1033/10000)/(1-VLOOKUP(U1033,模板计算相关数据!A:N,5,0)/(VLOOKUP(U1033,模板计算相关数据!A:N,5,0)+(VLOOKUP(U1033,模板计算相关数据!A:N,2,0)+模板计算相关数据!$AC$27)*模板计算相关数据!$AC$28))/S1033*AA1033)</f>
        <v>614</v>
      </c>
      <c r="AL1033" s="3">
        <f>INT(VLOOKUP(U1033,模板计算相关数据!A:N,5,0)*VLOOKUP(X1033,模板计算相关数据!$P$4:$T$7,4,0)*VLOOKUP(Y1033,模板计算相关数据!$P$22:$U$30,4,0)*AB1033)</f>
        <v>1623</v>
      </c>
      <c r="AM1033" s="3">
        <f>INT(VLOOKUP(U1033,模板计算相关数据!A:N,6,0)*VLOOKUP(X1033,模板计算相关数据!$P$4:$T$7,4,0)*VLOOKUP(Y1033,模板计算相关数据!$P$22:$U$30,5,0)*AC1033)</f>
        <v>881</v>
      </c>
      <c r="AN1033" s="3">
        <f>VLOOKUP(U1033,模板计算相关数据!A:N,10,0)*0.5*VLOOKUP(Y1033,模板计算相关数据!$P$22:$U$30,6,0)+AD1033</f>
        <v>275</v>
      </c>
      <c r="AO1033" s="3">
        <f>VLOOKUP(INT(VLOOKUP(U1033,模板计算相关数据!A:N,2,0)/30)+1,模板计算相关数据!$O$35:$U$40,3,0)+AE1033</f>
        <v>0</v>
      </c>
      <c r="AP1033" s="3">
        <f>VLOOKUP(INT(VLOOKUP(U1033,模板计算相关数据!A:N,2,0)/30)+1,模板计算相关数据!$O$35:$U$40,4,0)+AF1033</f>
        <v>5000</v>
      </c>
      <c r="AQ1033" s="3">
        <f>VLOOKUP(INT(VLOOKUP(U1033,模板计算相关数据!A:N,2,0)/30)+1,模板计算相关数据!$O$35:$U$40,5,0)+AG1033</f>
        <v>0</v>
      </c>
      <c r="AR1033" s="3">
        <f>VLOOKUP(INT(VLOOKUP(U1033,模板计算相关数据!A:N,2,0)/30)+1,模板计算相关数据!$O$35:$U$40,6,0)+AH1033</f>
        <v>0</v>
      </c>
      <c r="AS1033" s="3">
        <f>VLOOKUP(INT(VLOOKUP(U1033,模板计算相关数据!A:N,2,0)/30)+1,模板计算相关数据!$O$35:$U$40,7,0)+AI1033</f>
        <v>0</v>
      </c>
      <c r="AT1033" s="3">
        <f>VLOOKUP(INT(VLOOKUP(U1033,模板计算相关数据!A:N,2,0)/30)+1,模板计算相关数据!$O$35:$V$40,8,0)</f>
        <v>0</v>
      </c>
      <c r="AU1033" s="2"/>
    </row>
    <row r="1034" spans="1:47" x14ac:dyDescent="0.2">
      <c r="A1034" s="86">
        <v>54002033</v>
      </c>
      <c r="B1034" s="86"/>
      <c r="C1034" s="69" t="s">
        <v>1507</v>
      </c>
      <c r="D1034" s="2" t="s">
        <v>1503</v>
      </c>
      <c r="E1034" s="2"/>
      <c r="F1034" s="2">
        <v>4</v>
      </c>
      <c r="G1034" s="2">
        <v>1002001</v>
      </c>
      <c r="H1034" s="3">
        <v>5</v>
      </c>
      <c r="I1034" s="2">
        <v>4</v>
      </c>
      <c r="J1034" s="3">
        <v>5</v>
      </c>
      <c r="K1034" s="2"/>
      <c r="L1034" s="69" t="s">
        <v>1535</v>
      </c>
      <c r="M1034" s="2"/>
      <c r="N1034" s="2">
        <v>1</v>
      </c>
      <c r="O1034" s="2"/>
      <c r="P1034" s="3" t="s">
        <v>1615</v>
      </c>
      <c r="Q1034" s="95">
        <f t="shared" si="84"/>
        <v>5.7709803921568623</v>
      </c>
      <c r="R1034" s="133">
        <f>IF(P1034=模板计算相关数据!$AB$24,VLOOKUP(X1034,模板计算相关数据!$P$47:$T$50,2,0),VLOOKUP(X1034,模板计算相关数据!$P$4:$U$7,3,0))*VLOOKUP(Y1034,模板计算相关数据!$P$22:$X$30,8,0)</f>
        <v>5.7709803921568623</v>
      </c>
      <c r="S1034" s="62">
        <f t="shared" si="85"/>
        <v>6.4077918749198997</v>
      </c>
      <c r="T1034" s="133">
        <f>IF(P1034=模板计算相关数据!$AB$24,VLOOKUP(X1034,模板计算相关数据!$P$47:$T$50,5,0),VLOOKUP(X1034,模板计算相关数据!$P$4:$U$7,6,0))*VLOOKUP(Y1034,模板计算相关数据!$P$22:$X$30,9,0)</f>
        <v>6.4077918749198997</v>
      </c>
      <c r="U1034" s="98">
        <v>57</v>
      </c>
      <c r="V1034" s="95">
        <f t="shared" si="83"/>
        <v>31</v>
      </c>
      <c r="W1034" s="29">
        <f>VLOOKUP(U1034,模板计算相关数据!A:N,2,0)</f>
        <v>28</v>
      </c>
      <c r="X1034" s="3" t="s">
        <v>151</v>
      </c>
      <c r="Y1034" s="3" t="s">
        <v>159</v>
      </c>
      <c r="Z1034" s="95">
        <v>1</v>
      </c>
      <c r="AA1034" s="95">
        <v>1</v>
      </c>
      <c r="AB1034" s="95">
        <v>1</v>
      </c>
      <c r="AC1034" s="95">
        <v>1</v>
      </c>
      <c r="AD1034" s="95">
        <v>0</v>
      </c>
      <c r="AE1034" s="95">
        <v>0</v>
      </c>
      <c r="AF1034" s="95">
        <v>0</v>
      </c>
      <c r="AG1034" s="95">
        <v>0</v>
      </c>
      <c r="AH1034" s="95">
        <v>0</v>
      </c>
      <c r="AI1034" s="95">
        <v>0</v>
      </c>
      <c r="AJ1034" s="3">
        <f>INT(VLOOKUP(U1034,模板计算相关数据!A:N,4,0)*VLOOKUP(U1034,模板计算相关数据!A:N,14,0)*(1+MAX(0,(VLOOKUP(U1034,模板计算相关数据!A:N,7,0)-AQ1034))*VLOOKUP(U1034,模板计算相关数据!A:N,8,0))*(1-(AL1034+AM1034)*0.5/((AL1034+AM1034)*0.5+(VLOOKUP(U1034,模板计算相关数据!A:N,2,0)+模板计算相关数据!$AC$27)*模板计算相关数据!$AC$28))*Q1034*Z1034)</f>
        <v>3683</v>
      </c>
      <c r="AK1034" s="3">
        <f>INT(VLOOKUP(U1034,模板计算相关数据!A:N,3,0)/模板计算相关数据!$W$35/(1+MAX(0,(AO1034/10000-VLOOKUP(U1034,模板计算相关数据!A:N,9,0)))*AP1034/10000)/(1-VLOOKUP(U1034,模板计算相关数据!A:N,5,0)/(VLOOKUP(U1034,模板计算相关数据!A:N,5,0)+(VLOOKUP(U1034,模板计算相关数据!A:N,2,0)+模板计算相关数据!$AC$27)*模板计算相关数据!$AC$28))/S1034*AA1034)</f>
        <v>912</v>
      </c>
      <c r="AL1034" s="3">
        <f>INT(VLOOKUP(U1034,模板计算相关数据!A:N,5,0)*VLOOKUP(X1034,模板计算相关数据!$P$4:$T$7,4,0)*VLOOKUP(Y1034,模板计算相关数据!$P$22:$U$30,4,0)*AB1034)</f>
        <v>2496</v>
      </c>
      <c r="AM1034" s="3">
        <f>INT(VLOOKUP(U1034,模板计算相关数据!A:N,6,0)*VLOOKUP(X1034,模板计算相关数据!$P$4:$T$7,4,0)*VLOOKUP(Y1034,模板计算相关数据!$P$22:$U$30,5,0)*AC1034)</f>
        <v>1369</v>
      </c>
      <c r="AN1034" s="3">
        <f>VLOOKUP(U1034,模板计算相关数据!A:N,10,0)*0.5*VLOOKUP(Y1034,模板计算相关数据!$P$22:$U$30,6,0)+AD1034</f>
        <v>275</v>
      </c>
      <c r="AO1034" s="3">
        <f>VLOOKUP(INT(VLOOKUP(U1034,模板计算相关数据!A:N,2,0)/30)+1,模板计算相关数据!$O$35:$U$40,3,0)+AE1034</f>
        <v>0</v>
      </c>
      <c r="AP1034" s="3">
        <f>VLOOKUP(INT(VLOOKUP(U1034,模板计算相关数据!A:N,2,0)/30)+1,模板计算相关数据!$O$35:$U$40,4,0)+AF1034</f>
        <v>5000</v>
      </c>
      <c r="AQ1034" s="3">
        <f>VLOOKUP(INT(VLOOKUP(U1034,模板计算相关数据!A:N,2,0)/30)+1,模板计算相关数据!$O$35:$U$40,5,0)+AG1034</f>
        <v>0</v>
      </c>
      <c r="AR1034" s="3">
        <f>VLOOKUP(INT(VLOOKUP(U1034,模板计算相关数据!A:N,2,0)/30)+1,模板计算相关数据!$O$35:$U$40,6,0)+AH1034</f>
        <v>0</v>
      </c>
      <c r="AS1034" s="3">
        <f>VLOOKUP(INT(VLOOKUP(U1034,模板计算相关数据!A:N,2,0)/30)+1,模板计算相关数据!$O$35:$U$40,7,0)+AI1034</f>
        <v>0</v>
      </c>
      <c r="AT1034" s="3">
        <f>VLOOKUP(INT(VLOOKUP(U1034,模板计算相关数据!A:N,2,0)/30)+1,模板计算相关数据!$O$35:$V$40,8,0)</f>
        <v>0</v>
      </c>
      <c r="AU1034" s="2"/>
    </row>
    <row r="1035" spans="1:47" x14ac:dyDescent="0.2">
      <c r="A1035" s="86">
        <v>54002043</v>
      </c>
      <c r="B1035" s="86"/>
      <c r="C1035" s="69" t="s">
        <v>1507</v>
      </c>
      <c r="D1035" s="2" t="s">
        <v>1504</v>
      </c>
      <c r="E1035" s="2"/>
      <c r="F1035" s="2">
        <v>4</v>
      </c>
      <c r="G1035" s="2">
        <v>1002001</v>
      </c>
      <c r="H1035" s="3">
        <v>5</v>
      </c>
      <c r="I1035" s="2">
        <v>4</v>
      </c>
      <c r="J1035" s="3">
        <v>5</v>
      </c>
      <c r="K1035" s="2"/>
      <c r="L1035" s="69" t="s">
        <v>1535</v>
      </c>
      <c r="M1035" s="2"/>
      <c r="N1035" s="2">
        <v>1</v>
      </c>
      <c r="O1035" s="2"/>
      <c r="P1035" s="3" t="s">
        <v>1615</v>
      </c>
      <c r="Q1035" s="95">
        <f t="shared" si="84"/>
        <v>5.7709803921568623</v>
      </c>
      <c r="R1035" s="133">
        <f>IF(P1035=模板计算相关数据!$AB$24,VLOOKUP(X1035,模板计算相关数据!$P$47:$T$50,2,0),VLOOKUP(X1035,模板计算相关数据!$P$4:$U$7,3,0))*VLOOKUP(Y1035,模板计算相关数据!$P$22:$X$30,8,0)</f>
        <v>5.7709803921568623</v>
      </c>
      <c r="S1035" s="62">
        <f t="shared" si="85"/>
        <v>6.4077918749198997</v>
      </c>
      <c r="T1035" s="133">
        <f>IF(P1035=模板计算相关数据!$AB$24,VLOOKUP(X1035,模板计算相关数据!$P$47:$T$50,5,0),VLOOKUP(X1035,模板计算相关数据!$P$4:$U$7,6,0))*VLOOKUP(Y1035,模板计算相关数据!$P$22:$X$30,9,0)</f>
        <v>6.4077918749198997</v>
      </c>
      <c r="U1035" s="98">
        <v>59</v>
      </c>
      <c r="V1035" s="95">
        <f t="shared" si="83"/>
        <v>38</v>
      </c>
      <c r="W1035" s="29">
        <f>VLOOKUP(U1035,模板计算相关数据!A:N,2,0)</f>
        <v>35</v>
      </c>
      <c r="X1035" s="3" t="s">
        <v>151</v>
      </c>
      <c r="Y1035" s="3" t="s">
        <v>159</v>
      </c>
      <c r="Z1035" s="95">
        <v>1</v>
      </c>
      <c r="AA1035" s="95">
        <v>1</v>
      </c>
      <c r="AB1035" s="95">
        <v>1</v>
      </c>
      <c r="AC1035" s="95">
        <v>1</v>
      </c>
      <c r="AD1035" s="95">
        <v>0</v>
      </c>
      <c r="AE1035" s="95">
        <v>0</v>
      </c>
      <c r="AF1035" s="95">
        <v>0</v>
      </c>
      <c r="AG1035" s="95">
        <v>0</v>
      </c>
      <c r="AH1035" s="95">
        <v>0</v>
      </c>
      <c r="AI1035" s="95">
        <v>0</v>
      </c>
      <c r="AJ1035" s="3">
        <f>INT(VLOOKUP(U1035,模板计算相关数据!A:N,4,0)*VLOOKUP(U1035,模板计算相关数据!A:N,14,0)*(1+MAX(0,(VLOOKUP(U1035,模板计算相关数据!A:N,7,0)-AQ1035))*VLOOKUP(U1035,模板计算相关数据!A:N,8,0))*(1-(AL1035+AM1035)*0.5/((AL1035+AM1035)*0.5+(VLOOKUP(U1035,模板计算相关数据!A:N,2,0)+模板计算相关数据!$AC$27)*模板计算相关数据!$AC$28))*Q1035*Z1035)</f>
        <v>4586</v>
      </c>
      <c r="AK1035" s="3">
        <f>INT(VLOOKUP(U1035,模板计算相关数据!A:N,3,0)/模板计算相关数据!$W$35/(1+MAX(0,(AO1035/10000-VLOOKUP(U1035,模板计算相关数据!A:N,9,0)))*AP1035/10000)/(1-VLOOKUP(U1035,模板计算相关数据!A:N,5,0)/(VLOOKUP(U1035,模板计算相关数据!A:N,5,0)+(VLOOKUP(U1035,模板计算相关数据!A:N,2,0)+模板计算相关数据!$AC$27)*模板计算相关数据!$AC$28))/S1035*AA1035)</f>
        <v>1101</v>
      </c>
      <c r="AL1035" s="3">
        <f>INT(VLOOKUP(U1035,模板计算相关数据!A:N,5,0)*VLOOKUP(X1035,模板计算相关数据!$P$4:$T$7,4,0)*VLOOKUP(Y1035,模板计算相关数据!$P$22:$U$30,4,0)*AB1035)</f>
        <v>3034</v>
      </c>
      <c r="AM1035" s="3">
        <f>INT(VLOOKUP(U1035,模板计算相关数据!A:N,6,0)*VLOOKUP(X1035,模板计算相关数据!$P$4:$T$7,4,0)*VLOOKUP(Y1035,模板计算相关数据!$P$22:$U$30,5,0)*AC1035)</f>
        <v>1657</v>
      </c>
      <c r="AN1035" s="3">
        <f>VLOOKUP(U1035,模板计算相关数据!A:N,10,0)*0.5*VLOOKUP(Y1035,模板计算相关数据!$P$22:$U$30,6,0)+AD1035</f>
        <v>275</v>
      </c>
      <c r="AO1035" s="3">
        <f>VLOOKUP(INT(VLOOKUP(U1035,模板计算相关数据!A:N,2,0)/30)+1,模板计算相关数据!$O$35:$U$40,3,0)+AE1035</f>
        <v>0</v>
      </c>
      <c r="AP1035" s="3">
        <f>VLOOKUP(INT(VLOOKUP(U1035,模板计算相关数据!A:N,2,0)/30)+1,模板计算相关数据!$O$35:$U$40,4,0)+AF1035</f>
        <v>5000</v>
      </c>
      <c r="AQ1035" s="3">
        <f>VLOOKUP(INT(VLOOKUP(U1035,模板计算相关数据!A:N,2,0)/30)+1,模板计算相关数据!$O$35:$U$40,5,0)+AG1035</f>
        <v>0</v>
      </c>
      <c r="AR1035" s="3">
        <f>VLOOKUP(INT(VLOOKUP(U1035,模板计算相关数据!A:N,2,0)/30)+1,模板计算相关数据!$O$35:$U$40,6,0)+AH1035</f>
        <v>0</v>
      </c>
      <c r="AS1035" s="3">
        <f>VLOOKUP(INT(VLOOKUP(U1035,模板计算相关数据!A:N,2,0)/30)+1,模板计算相关数据!$O$35:$U$40,7,0)+AI1035</f>
        <v>0</v>
      </c>
      <c r="AT1035" s="3">
        <f>VLOOKUP(INT(VLOOKUP(U1035,模板计算相关数据!A:N,2,0)/30)+1,模板计算相关数据!$O$35:$V$40,8,0)</f>
        <v>0</v>
      </c>
      <c r="AU1035" s="2"/>
    </row>
    <row r="1036" spans="1:47" x14ac:dyDescent="0.2">
      <c r="A1036" s="86">
        <v>54002053</v>
      </c>
      <c r="B1036" s="86"/>
      <c r="C1036" s="69" t="s">
        <v>1507</v>
      </c>
      <c r="D1036" s="2" t="s">
        <v>1505</v>
      </c>
      <c r="E1036" s="2"/>
      <c r="F1036" s="2">
        <v>4</v>
      </c>
      <c r="G1036" s="2">
        <v>1002001</v>
      </c>
      <c r="H1036" s="3">
        <v>5</v>
      </c>
      <c r="I1036" s="2">
        <v>4</v>
      </c>
      <c r="J1036" s="3">
        <v>5</v>
      </c>
      <c r="K1036" s="2"/>
      <c r="L1036" s="69" t="s">
        <v>1535</v>
      </c>
      <c r="M1036" s="2"/>
      <c r="N1036" s="2">
        <v>1</v>
      </c>
      <c r="O1036" s="2"/>
      <c r="P1036" s="3" t="s">
        <v>1615</v>
      </c>
      <c r="Q1036" s="95">
        <f t="shared" si="84"/>
        <v>5.7709803921568623</v>
      </c>
      <c r="R1036" s="133">
        <f>IF(P1036=模板计算相关数据!$AB$24,VLOOKUP(X1036,模板计算相关数据!$P$47:$T$50,2,0),VLOOKUP(X1036,模板计算相关数据!$P$4:$U$7,3,0))*VLOOKUP(Y1036,模板计算相关数据!$P$22:$X$30,8,0)</f>
        <v>5.7709803921568623</v>
      </c>
      <c r="S1036" s="62">
        <f t="shared" si="85"/>
        <v>6.4077918749198997</v>
      </c>
      <c r="T1036" s="133">
        <f>IF(P1036=模板计算相关数据!$AB$24,VLOOKUP(X1036,模板计算相关数据!$P$47:$T$50,5,0),VLOOKUP(X1036,模板计算相关数据!$P$4:$U$7,6,0))*VLOOKUP(Y1036,模板计算相关数据!$P$22:$X$30,9,0)</f>
        <v>6.4077918749198997</v>
      </c>
      <c r="U1036" s="98">
        <v>61</v>
      </c>
      <c r="V1036" s="95">
        <f t="shared" si="83"/>
        <v>44</v>
      </c>
      <c r="W1036" s="29">
        <f>VLOOKUP(U1036,模板计算相关数据!A:N,2,0)</f>
        <v>41</v>
      </c>
      <c r="X1036" s="3" t="s">
        <v>151</v>
      </c>
      <c r="Y1036" s="3" t="s">
        <v>159</v>
      </c>
      <c r="Z1036" s="95">
        <v>1</v>
      </c>
      <c r="AA1036" s="95">
        <v>1</v>
      </c>
      <c r="AB1036" s="95">
        <v>1</v>
      </c>
      <c r="AC1036" s="95">
        <v>1</v>
      </c>
      <c r="AD1036" s="95">
        <v>0</v>
      </c>
      <c r="AE1036" s="95">
        <v>0</v>
      </c>
      <c r="AF1036" s="95">
        <v>0</v>
      </c>
      <c r="AG1036" s="95">
        <v>0</v>
      </c>
      <c r="AH1036" s="95">
        <v>0</v>
      </c>
      <c r="AI1036" s="95">
        <v>0</v>
      </c>
      <c r="AJ1036" s="3">
        <f>INT(VLOOKUP(U1036,模板计算相关数据!A:N,4,0)*VLOOKUP(U1036,模板计算相关数据!A:N,14,0)*(1+MAX(0,(VLOOKUP(U1036,模板计算相关数据!A:N,7,0)-AQ1036))*VLOOKUP(U1036,模板计算相关数据!A:N,8,0))*(1-(AL1036+AM1036)*0.5/((AL1036+AM1036)*0.5+(VLOOKUP(U1036,模板计算相关数据!A:N,2,0)+模板计算相关数据!$AC$27)*模板计算相关数据!$AC$28))*Q1036*Z1036)</f>
        <v>5530</v>
      </c>
      <c r="AK1036" s="3">
        <f>INT(VLOOKUP(U1036,模板计算相关数据!A:N,3,0)/模板计算相关数据!$W$35/(1+MAX(0,(AO1036/10000-VLOOKUP(U1036,模板计算相关数据!A:N,9,0)))*AP1036/10000)/(1-VLOOKUP(U1036,模板计算相关数据!A:N,5,0)/(VLOOKUP(U1036,模板计算相关数据!A:N,5,0)+(VLOOKUP(U1036,模板计算相关数据!A:N,2,0)+模板计算相关数据!$AC$27)*模板计算相关数据!$AC$28))/S1036*AA1036)</f>
        <v>1384</v>
      </c>
      <c r="AL1036" s="3">
        <f>INT(VLOOKUP(U1036,模板计算相关数据!A:N,5,0)*VLOOKUP(X1036,模板计算相关数据!$P$4:$T$7,4,0)*VLOOKUP(Y1036,模板计算相关数据!$P$22:$U$30,4,0)*AB1036)</f>
        <v>3757</v>
      </c>
      <c r="AM1036" s="3">
        <f>INT(VLOOKUP(U1036,模板计算相关数据!A:N,6,0)*VLOOKUP(X1036,模板计算相关数据!$P$4:$T$7,4,0)*VLOOKUP(Y1036,模板计算相关数据!$P$22:$U$30,5,0)*AC1036)</f>
        <v>2053</v>
      </c>
      <c r="AN1036" s="3">
        <f>VLOOKUP(U1036,模板计算相关数据!A:N,10,0)*0.5*VLOOKUP(Y1036,模板计算相关数据!$P$22:$U$30,6,0)+AD1036</f>
        <v>275</v>
      </c>
      <c r="AO1036" s="3">
        <f>VLOOKUP(INT(VLOOKUP(U1036,模板计算相关数据!A:N,2,0)/30)+1,模板计算相关数据!$O$35:$U$40,3,0)+AE1036</f>
        <v>0</v>
      </c>
      <c r="AP1036" s="3">
        <f>VLOOKUP(INT(VLOOKUP(U1036,模板计算相关数据!A:N,2,0)/30)+1,模板计算相关数据!$O$35:$U$40,4,0)+AF1036</f>
        <v>5000</v>
      </c>
      <c r="AQ1036" s="3">
        <f>VLOOKUP(INT(VLOOKUP(U1036,模板计算相关数据!A:N,2,0)/30)+1,模板计算相关数据!$O$35:$U$40,5,0)+AG1036</f>
        <v>0</v>
      </c>
      <c r="AR1036" s="3">
        <f>VLOOKUP(INT(VLOOKUP(U1036,模板计算相关数据!A:N,2,0)/30)+1,模板计算相关数据!$O$35:$U$40,6,0)+AH1036</f>
        <v>0</v>
      </c>
      <c r="AS1036" s="3">
        <f>VLOOKUP(INT(VLOOKUP(U1036,模板计算相关数据!A:N,2,0)/30)+1,模板计算相关数据!$O$35:$U$40,7,0)+AI1036</f>
        <v>0</v>
      </c>
      <c r="AT1036" s="3">
        <f>VLOOKUP(INT(VLOOKUP(U1036,模板计算相关数据!A:N,2,0)/30)+1,模板计算相关数据!$O$35:$V$40,8,0)</f>
        <v>0</v>
      </c>
      <c r="AU1036" s="2"/>
    </row>
    <row r="1037" spans="1:47" x14ac:dyDescent="0.2">
      <c r="A1037" s="35">
        <v>54003011</v>
      </c>
      <c r="B1037" s="35"/>
      <c r="C1037" s="34" t="s">
        <v>1705</v>
      </c>
      <c r="D1037" s="2" t="s">
        <v>1718</v>
      </c>
      <c r="E1037" s="2"/>
      <c r="F1037" s="2">
        <v>3</v>
      </c>
      <c r="G1037" s="2">
        <v>1002601</v>
      </c>
      <c r="H1037" s="3">
        <v>5</v>
      </c>
      <c r="I1037" s="2">
        <v>3</v>
      </c>
      <c r="J1037" s="3">
        <v>5</v>
      </c>
      <c r="K1037" s="2"/>
      <c r="L1037" s="69" t="s">
        <v>1528</v>
      </c>
      <c r="M1037" s="2"/>
      <c r="N1037" s="2">
        <v>1</v>
      </c>
      <c r="O1037" s="2"/>
      <c r="P1037" s="3" t="s">
        <v>1615</v>
      </c>
      <c r="Q1037" s="95">
        <f t="shared" si="84"/>
        <v>5.7709803921568623</v>
      </c>
      <c r="R1037" s="133">
        <f>IF(P1037=模板计算相关数据!$AB$24,VLOOKUP(X1037,模板计算相关数据!$P$47:$T$50,2,0),VLOOKUP(X1037,模板计算相关数据!$P$4:$U$7,3,0))*VLOOKUP(Y1037,模板计算相关数据!$P$22:$X$30,8,0)</f>
        <v>5.7709803921568623</v>
      </c>
      <c r="S1037" s="62">
        <f t="shared" si="85"/>
        <v>6.4077918749198997</v>
      </c>
      <c r="T1037" s="133">
        <f>IF(P1037=模板计算相关数据!$AB$24,VLOOKUP(X1037,模板计算相关数据!$P$47:$T$50,5,0),VLOOKUP(X1037,模板计算相关数据!$P$4:$U$7,6,0))*VLOOKUP(Y1037,模板计算相关数据!$P$22:$X$30,9,0)</f>
        <v>6.4077918749198997</v>
      </c>
      <c r="U1037" s="98">
        <v>54</v>
      </c>
      <c r="V1037" s="95">
        <f t="shared" si="83"/>
        <v>18</v>
      </c>
      <c r="W1037" s="29">
        <f>VLOOKUP(U1037,模板计算相关数据!A:N,2,0)</f>
        <v>15</v>
      </c>
      <c r="X1037" s="3" t="s">
        <v>151</v>
      </c>
      <c r="Y1037" s="3" t="s">
        <v>159</v>
      </c>
      <c r="Z1037" s="95">
        <v>1</v>
      </c>
      <c r="AA1037" s="95">
        <v>1</v>
      </c>
      <c r="AB1037" s="95">
        <v>1</v>
      </c>
      <c r="AC1037" s="95">
        <v>1</v>
      </c>
      <c r="AD1037" s="95">
        <v>0</v>
      </c>
      <c r="AE1037" s="95">
        <v>0</v>
      </c>
      <c r="AF1037" s="95">
        <v>0</v>
      </c>
      <c r="AG1037" s="95">
        <v>0</v>
      </c>
      <c r="AH1037" s="95">
        <v>0</v>
      </c>
      <c r="AI1037" s="95">
        <v>0</v>
      </c>
      <c r="AJ1037" s="3">
        <f>INT(VLOOKUP(U1037,模板计算相关数据!A:N,4,0)*VLOOKUP(U1037,模板计算相关数据!A:N,14,0)*(1+MAX(0,(VLOOKUP(U1037,模板计算相关数据!A:N,7,0)-AQ1037))*VLOOKUP(U1037,模板计算相关数据!A:N,8,0))*(1-(AL1037+AM1037)*0.5/((AL1037+AM1037)*0.5+(VLOOKUP(U1037,模板计算相关数据!A:N,2,0)+模板计算相关数据!$AC$27)*模板计算相关数据!$AC$28))*Q1037*Z1037)</f>
        <v>1694</v>
      </c>
      <c r="AK1037" s="3">
        <f>INT(VLOOKUP(U1037,模板计算相关数据!A:N,3,0)/模板计算相关数据!$W$35/(1+MAX(0,(AO1037/10000-VLOOKUP(U1037,模板计算相关数据!A:N,9,0)))*AP1037/10000)/(1-VLOOKUP(U1037,模板计算相关数据!A:N,5,0)/(VLOOKUP(U1037,模板计算相关数据!A:N,5,0)+(VLOOKUP(U1037,模板计算相关数据!A:N,2,0)+模板计算相关数据!$AC$27)*模板计算相关数据!$AC$28))/S1037*AA1037)</f>
        <v>319</v>
      </c>
      <c r="AL1037" s="3">
        <f>INT(VLOOKUP(U1037,模板计算相关数据!A:N,5,0)*VLOOKUP(X1037,模板计算相关数据!$P$4:$T$7,4,0)*VLOOKUP(Y1037,模板计算相关数据!$P$22:$U$30,4,0)*AB1037)</f>
        <v>979</v>
      </c>
      <c r="AM1037" s="3">
        <f>INT(VLOOKUP(U1037,模板计算相关数据!A:N,6,0)*VLOOKUP(X1037,模板计算相关数据!$P$4:$T$7,4,0)*VLOOKUP(Y1037,模板计算相关数据!$P$22:$U$30,5,0)*AC1037)</f>
        <v>536</v>
      </c>
      <c r="AN1037" s="3">
        <f>VLOOKUP(U1037,模板计算相关数据!A:N,10,0)*0.5*VLOOKUP(Y1037,模板计算相关数据!$P$22:$U$30,6,0)+AD1037</f>
        <v>275</v>
      </c>
      <c r="AO1037" s="3">
        <f>VLOOKUP(INT(VLOOKUP(U1037,模板计算相关数据!A:N,2,0)/30)+1,模板计算相关数据!$O$35:$U$40,3,0)+AE1037</f>
        <v>0</v>
      </c>
      <c r="AP1037" s="3">
        <f>VLOOKUP(INT(VLOOKUP(U1037,模板计算相关数据!A:N,2,0)/30)+1,模板计算相关数据!$O$35:$U$40,4,0)+AF1037</f>
        <v>5000</v>
      </c>
      <c r="AQ1037" s="3">
        <f>VLOOKUP(INT(VLOOKUP(U1037,模板计算相关数据!A:N,2,0)/30)+1,模板计算相关数据!$O$35:$U$40,5,0)+AG1037</f>
        <v>0</v>
      </c>
      <c r="AR1037" s="3">
        <f>VLOOKUP(INT(VLOOKUP(U1037,模板计算相关数据!A:N,2,0)/30)+1,模板计算相关数据!$O$35:$U$40,6,0)+AH1037</f>
        <v>0</v>
      </c>
      <c r="AS1037" s="3">
        <f>VLOOKUP(INT(VLOOKUP(U1037,模板计算相关数据!A:N,2,0)/30)+1,模板计算相关数据!$O$35:$U$40,7,0)+AI1037</f>
        <v>0</v>
      </c>
      <c r="AT1037" s="3">
        <f>VLOOKUP(INT(VLOOKUP(U1037,模板计算相关数据!A:N,2,0)/30)+1,模板计算相关数据!$O$35:$V$40,8,0)</f>
        <v>0</v>
      </c>
      <c r="AU1037" s="2"/>
    </row>
    <row r="1038" spans="1:47" x14ac:dyDescent="0.2">
      <c r="A1038" s="86">
        <v>54003021</v>
      </c>
      <c r="B1038" s="86"/>
      <c r="C1038" s="69" t="s">
        <v>1705</v>
      </c>
      <c r="D1038" s="2" t="s">
        <v>1719</v>
      </c>
      <c r="E1038" s="2"/>
      <c r="F1038" s="2">
        <v>3</v>
      </c>
      <c r="G1038" s="2">
        <v>1002601</v>
      </c>
      <c r="H1038" s="3">
        <v>5</v>
      </c>
      <c r="I1038" s="2">
        <v>3</v>
      </c>
      <c r="J1038" s="3">
        <v>5</v>
      </c>
      <c r="K1038" s="2"/>
      <c r="L1038" s="69" t="s">
        <v>1528</v>
      </c>
      <c r="M1038" s="2"/>
      <c r="N1038" s="2">
        <v>1</v>
      </c>
      <c r="O1038" s="2"/>
      <c r="P1038" s="3" t="s">
        <v>1615</v>
      </c>
      <c r="Q1038" s="95">
        <f t="shared" si="84"/>
        <v>5.7709803921568623</v>
      </c>
      <c r="R1038" s="133">
        <f>IF(P1038=模板计算相关数据!$AB$24,VLOOKUP(X1038,模板计算相关数据!$P$47:$T$50,2,0),VLOOKUP(X1038,模板计算相关数据!$P$4:$U$7,3,0))*VLOOKUP(Y1038,模板计算相关数据!$P$22:$X$30,8,0)</f>
        <v>5.7709803921568623</v>
      </c>
      <c r="S1038" s="62">
        <f t="shared" si="85"/>
        <v>6.4077918749198997</v>
      </c>
      <c r="T1038" s="133">
        <f>IF(P1038=模板计算相关数据!$AB$24,VLOOKUP(X1038,模板计算相关数据!$P$47:$T$50,5,0),VLOOKUP(X1038,模板计算相关数据!$P$4:$U$7,6,0))*VLOOKUP(Y1038,模板计算相关数据!$P$22:$X$30,9,0)</f>
        <v>6.4077918749198997</v>
      </c>
      <c r="U1038" s="98">
        <v>55</v>
      </c>
      <c r="V1038" s="95">
        <f t="shared" si="83"/>
        <v>22</v>
      </c>
      <c r="W1038" s="29">
        <f>VLOOKUP(U1038,模板计算相关数据!A:N,2,0)</f>
        <v>19</v>
      </c>
      <c r="X1038" s="3" t="s">
        <v>151</v>
      </c>
      <c r="Y1038" s="3" t="s">
        <v>159</v>
      </c>
      <c r="Z1038" s="95">
        <v>1</v>
      </c>
      <c r="AA1038" s="95">
        <v>1</v>
      </c>
      <c r="AB1038" s="95">
        <v>1</v>
      </c>
      <c r="AC1038" s="95">
        <v>1</v>
      </c>
      <c r="AD1038" s="95">
        <v>0</v>
      </c>
      <c r="AE1038" s="95">
        <v>0</v>
      </c>
      <c r="AF1038" s="95">
        <v>0</v>
      </c>
      <c r="AG1038" s="95">
        <v>0</v>
      </c>
      <c r="AH1038" s="95">
        <v>0</v>
      </c>
      <c r="AI1038" s="95">
        <v>0</v>
      </c>
      <c r="AJ1038" s="3">
        <f>INT(VLOOKUP(U1038,模板计算相关数据!A:N,4,0)*VLOOKUP(U1038,模板计算相关数据!A:N,14,0)*(1+MAX(0,(VLOOKUP(U1038,模板计算相关数据!A:N,7,0)-AQ1038))*VLOOKUP(U1038,模板计算相关数据!A:N,8,0))*(1-(AL1038+AM1038)*0.5/((AL1038+AM1038)*0.5+(VLOOKUP(U1038,模板计算相关数据!A:N,2,0)+模板计算相关数据!$AC$27)*模板计算相关数据!$AC$28))*Q1038*Z1038)</f>
        <v>2600</v>
      </c>
      <c r="AK1038" s="3">
        <f>INT(VLOOKUP(U1038,模板计算相关数据!A:N,3,0)/模板计算相关数据!$W$35/(1+MAX(0,(AO1038/10000-VLOOKUP(U1038,模板计算相关数据!A:N,9,0)))*AP1038/10000)/(1-VLOOKUP(U1038,模板计算相关数据!A:N,5,0)/(VLOOKUP(U1038,模板计算相关数据!A:N,5,0)+(VLOOKUP(U1038,模板计算相关数据!A:N,2,0)+模板计算相关数据!$AC$27)*模板计算相关数据!$AC$28))/S1038*AA1038)</f>
        <v>614</v>
      </c>
      <c r="AL1038" s="3">
        <f>INT(VLOOKUP(U1038,模板计算相关数据!A:N,5,0)*VLOOKUP(X1038,模板计算相关数据!$P$4:$T$7,4,0)*VLOOKUP(Y1038,模板计算相关数据!$P$22:$U$30,4,0)*AB1038)</f>
        <v>1623</v>
      </c>
      <c r="AM1038" s="3">
        <f>INT(VLOOKUP(U1038,模板计算相关数据!A:N,6,0)*VLOOKUP(X1038,模板计算相关数据!$P$4:$T$7,4,0)*VLOOKUP(Y1038,模板计算相关数据!$P$22:$U$30,5,0)*AC1038)</f>
        <v>881</v>
      </c>
      <c r="AN1038" s="3">
        <f>VLOOKUP(U1038,模板计算相关数据!A:N,10,0)*0.5*VLOOKUP(Y1038,模板计算相关数据!$P$22:$U$30,6,0)+AD1038</f>
        <v>275</v>
      </c>
      <c r="AO1038" s="3">
        <f>VLOOKUP(INT(VLOOKUP(U1038,模板计算相关数据!A:N,2,0)/30)+1,模板计算相关数据!$O$35:$U$40,3,0)+AE1038</f>
        <v>0</v>
      </c>
      <c r="AP1038" s="3">
        <f>VLOOKUP(INT(VLOOKUP(U1038,模板计算相关数据!A:N,2,0)/30)+1,模板计算相关数据!$O$35:$U$40,4,0)+AF1038</f>
        <v>5000</v>
      </c>
      <c r="AQ1038" s="3">
        <f>VLOOKUP(INT(VLOOKUP(U1038,模板计算相关数据!A:N,2,0)/30)+1,模板计算相关数据!$O$35:$U$40,5,0)+AG1038</f>
        <v>0</v>
      </c>
      <c r="AR1038" s="3">
        <f>VLOOKUP(INT(VLOOKUP(U1038,模板计算相关数据!A:N,2,0)/30)+1,模板计算相关数据!$O$35:$U$40,6,0)+AH1038</f>
        <v>0</v>
      </c>
      <c r="AS1038" s="3">
        <f>VLOOKUP(INT(VLOOKUP(U1038,模板计算相关数据!A:N,2,0)/30)+1,模板计算相关数据!$O$35:$U$40,7,0)+AI1038</f>
        <v>0</v>
      </c>
      <c r="AT1038" s="3">
        <f>VLOOKUP(INT(VLOOKUP(U1038,模板计算相关数据!A:N,2,0)/30)+1,模板计算相关数据!$O$35:$V$40,8,0)</f>
        <v>0</v>
      </c>
      <c r="AU1038" s="2"/>
    </row>
    <row r="1039" spans="1:47" x14ac:dyDescent="0.2">
      <c r="A1039" s="86">
        <v>54003031</v>
      </c>
      <c r="B1039" s="86"/>
      <c r="C1039" s="69" t="s">
        <v>1705</v>
      </c>
      <c r="D1039" s="2" t="s">
        <v>1720</v>
      </c>
      <c r="E1039" s="2"/>
      <c r="F1039" s="2">
        <v>3</v>
      </c>
      <c r="G1039" s="2">
        <v>1002601</v>
      </c>
      <c r="H1039" s="3">
        <v>5</v>
      </c>
      <c r="I1039" s="2">
        <v>3</v>
      </c>
      <c r="J1039" s="3">
        <v>5</v>
      </c>
      <c r="K1039" s="2"/>
      <c r="L1039" s="69" t="s">
        <v>1528</v>
      </c>
      <c r="M1039" s="2"/>
      <c r="N1039" s="2">
        <v>1</v>
      </c>
      <c r="O1039" s="2"/>
      <c r="P1039" s="3" t="s">
        <v>1615</v>
      </c>
      <c r="Q1039" s="95">
        <f t="shared" si="84"/>
        <v>5.7709803921568623</v>
      </c>
      <c r="R1039" s="133">
        <f>IF(P1039=模板计算相关数据!$AB$24,VLOOKUP(X1039,模板计算相关数据!$P$47:$T$50,2,0),VLOOKUP(X1039,模板计算相关数据!$P$4:$U$7,3,0))*VLOOKUP(Y1039,模板计算相关数据!$P$22:$X$30,8,0)</f>
        <v>5.7709803921568623</v>
      </c>
      <c r="S1039" s="62">
        <f t="shared" si="85"/>
        <v>6.4077918749198997</v>
      </c>
      <c r="T1039" s="133">
        <f>IF(P1039=模板计算相关数据!$AB$24,VLOOKUP(X1039,模板计算相关数据!$P$47:$T$50,5,0),VLOOKUP(X1039,模板计算相关数据!$P$4:$U$7,6,0))*VLOOKUP(Y1039,模板计算相关数据!$P$22:$X$30,9,0)</f>
        <v>6.4077918749198997</v>
      </c>
      <c r="U1039" s="98">
        <v>57</v>
      </c>
      <c r="V1039" s="95">
        <f t="shared" si="83"/>
        <v>31</v>
      </c>
      <c r="W1039" s="29">
        <f>VLOOKUP(U1039,模板计算相关数据!A:N,2,0)</f>
        <v>28</v>
      </c>
      <c r="X1039" s="3" t="s">
        <v>151</v>
      </c>
      <c r="Y1039" s="3" t="s">
        <v>159</v>
      </c>
      <c r="Z1039" s="95">
        <v>1</v>
      </c>
      <c r="AA1039" s="95">
        <v>1</v>
      </c>
      <c r="AB1039" s="95">
        <v>1</v>
      </c>
      <c r="AC1039" s="95">
        <v>1</v>
      </c>
      <c r="AD1039" s="95">
        <v>0</v>
      </c>
      <c r="AE1039" s="95">
        <v>0</v>
      </c>
      <c r="AF1039" s="95">
        <v>0</v>
      </c>
      <c r="AG1039" s="95">
        <v>0</v>
      </c>
      <c r="AH1039" s="95">
        <v>0</v>
      </c>
      <c r="AI1039" s="95">
        <v>0</v>
      </c>
      <c r="AJ1039" s="3">
        <f>INT(VLOOKUP(U1039,模板计算相关数据!A:N,4,0)*VLOOKUP(U1039,模板计算相关数据!A:N,14,0)*(1+MAX(0,(VLOOKUP(U1039,模板计算相关数据!A:N,7,0)-AQ1039))*VLOOKUP(U1039,模板计算相关数据!A:N,8,0))*(1-(AL1039+AM1039)*0.5/((AL1039+AM1039)*0.5+(VLOOKUP(U1039,模板计算相关数据!A:N,2,0)+模板计算相关数据!$AC$27)*模板计算相关数据!$AC$28))*Q1039*Z1039)</f>
        <v>3683</v>
      </c>
      <c r="AK1039" s="3">
        <f>INT(VLOOKUP(U1039,模板计算相关数据!A:N,3,0)/模板计算相关数据!$W$35/(1+MAX(0,(AO1039/10000-VLOOKUP(U1039,模板计算相关数据!A:N,9,0)))*AP1039/10000)/(1-VLOOKUP(U1039,模板计算相关数据!A:N,5,0)/(VLOOKUP(U1039,模板计算相关数据!A:N,5,0)+(VLOOKUP(U1039,模板计算相关数据!A:N,2,0)+模板计算相关数据!$AC$27)*模板计算相关数据!$AC$28))/S1039*AA1039)</f>
        <v>912</v>
      </c>
      <c r="AL1039" s="3">
        <f>INT(VLOOKUP(U1039,模板计算相关数据!A:N,5,0)*VLOOKUP(X1039,模板计算相关数据!$P$4:$T$7,4,0)*VLOOKUP(Y1039,模板计算相关数据!$P$22:$U$30,4,0)*AB1039)</f>
        <v>2496</v>
      </c>
      <c r="AM1039" s="3">
        <f>INT(VLOOKUP(U1039,模板计算相关数据!A:N,6,0)*VLOOKUP(X1039,模板计算相关数据!$P$4:$T$7,4,0)*VLOOKUP(Y1039,模板计算相关数据!$P$22:$U$30,5,0)*AC1039)</f>
        <v>1369</v>
      </c>
      <c r="AN1039" s="3">
        <f>VLOOKUP(U1039,模板计算相关数据!A:N,10,0)*0.5*VLOOKUP(Y1039,模板计算相关数据!$P$22:$U$30,6,0)+AD1039</f>
        <v>275</v>
      </c>
      <c r="AO1039" s="3">
        <f>VLOOKUP(INT(VLOOKUP(U1039,模板计算相关数据!A:N,2,0)/30)+1,模板计算相关数据!$O$35:$U$40,3,0)+AE1039</f>
        <v>0</v>
      </c>
      <c r="AP1039" s="3">
        <f>VLOOKUP(INT(VLOOKUP(U1039,模板计算相关数据!A:N,2,0)/30)+1,模板计算相关数据!$O$35:$U$40,4,0)+AF1039</f>
        <v>5000</v>
      </c>
      <c r="AQ1039" s="3">
        <f>VLOOKUP(INT(VLOOKUP(U1039,模板计算相关数据!A:N,2,0)/30)+1,模板计算相关数据!$O$35:$U$40,5,0)+AG1039</f>
        <v>0</v>
      </c>
      <c r="AR1039" s="3">
        <f>VLOOKUP(INT(VLOOKUP(U1039,模板计算相关数据!A:N,2,0)/30)+1,模板计算相关数据!$O$35:$U$40,6,0)+AH1039</f>
        <v>0</v>
      </c>
      <c r="AS1039" s="3">
        <f>VLOOKUP(INT(VLOOKUP(U1039,模板计算相关数据!A:N,2,0)/30)+1,模板计算相关数据!$O$35:$U$40,7,0)+AI1039</f>
        <v>0</v>
      </c>
      <c r="AT1039" s="3">
        <f>VLOOKUP(INT(VLOOKUP(U1039,模板计算相关数据!A:N,2,0)/30)+1,模板计算相关数据!$O$35:$V$40,8,0)</f>
        <v>0</v>
      </c>
      <c r="AU1039" s="2"/>
    </row>
    <row r="1040" spans="1:47" x14ac:dyDescent="0.2">
      <c r="A1040" s="86">
        <v>54003041</v>
      </c>
      <c r="B1040" s="86"/>
      <c r="C1040" s="69" t="s">
        <v>1705</v>
      </c>
      <c r="D1040" s="2" t="s">
        <v>1721</v>
      </c>
      <c r="E1040" s="2"/>
      <c r="F1040" s="2">
        <v>3</v>
      </c>
      <c r="G1040" s="2">
        <v>1002601</v>
      </c>
      <c r="H1040" s="3">
        <v>5</v>
      </c>
      <c r="I1040" s="2">
        <v>3</v>
      </c>
      <c r="J1040" s="3">
        <v>5</v>
      </c>
      <c r="K1040" s="2"/>
      <c r="L1040" s="69" t="s">
        <v>1528</v>
      </c>
      <c r="M1040" s="2"/>
      <c r="N1040" s="2">
        <v>1</v>
      </c>
      <c r="O1040" s="2"/>
      <c r="P1040" s="3" t="s">
        <v>1615</v>
      </c>
      <c r="Q1040" s="95">
        <f t="shared" si="84"/>
        <v>5.7709803921568623</v>
      </c>
      <c r="R1040" s="133">
        <f>IF(P1040=模板计算相关数据!$AB$24,VLOOKUP(X1040,模板计算相关数据!$P$47:$T$50,2,0),VLOOKUP(X1040,模板计算相关数据!$P$4:$U$7,3,0))*VLOOKUP(Y1040,模板计算相关数据!$P$22:$X$30,8,0)</f>
        <v>5.7709803921568623</v>
      </c>
      <c r="S1040" s="62">
        <f t="shared" si="85"/>
        <v>6.4077918749198997</v>
      </c>
      <c r="T1040" s="133">
        <f>IF(P1040=模板计算相关数据!$AB$24,VLOOKUP(X1040,模板计算相关数据!$P$47:$T$50,5,0),VLOOKUP(X1040,模板计算相关数据!$P$4:$U$7,6,0))*VLOOKUP(Y1040,模板计算相关数据!$P$22:$X$30,9,0)</f>
        <v>6.4077918749198997</v>
      </c>
      <c r="U1040" s="98">
        <v>59</v>
      </c>
      <c r="V1040" s="95">
        <f t="shared" si="83"/>
        <v>38</v>
      </c>
      <c r="W1040" s="29">
        <f>VLOOKUP(U1040,模板计算相关数据!A:N,2,0)</f>
        <v>35</v>
      </c>
      <c r="X1040" s="3" t="s">
        <v>151</v>
      </c>
      <c r="Y1040" s="3" t="s">
        <v>159</v>
      </c>
      <c r="Z1040" s="95">
        <v>1</v>
      </c>
      <c r="AA1040" s="95">
        <v>1</v>
      </c>
      <c r="AB1040" s="95">
        <v>1</v>
      </c>
      <c r="AC1040" s="95">
        <v>1</v>
      </c>
      <c r="AD1040" s="95">
        <v>0</v>
      </c>
      <c r="AE1040" s="95">
        <v>0</v>
      </c>
      <c r="AF1040" s="95">
        <v>0</v>
      </c>
      <c r="AG1040" s="95">
        <v>0</v>
      </c>
      <c r="AH1040" s="95">
        <v>0</v>
      </c>
      <c r="AI1040" s="95">
        <v>0</v>
      </c>
      <c r="AJ1040" s="3">
        <f>INT(VLOOKUP(U1040,模板计算相关数据!A:N,4,0)*VLOOKUP(U1040,模板计算相关数据!A:N,14,0)*(1+MAX(0,(VLOOKUP(U1040,模板计算相关数据!A:N,7,0)-AQ1040))*VLOOKUP(U1040,模板计算相关数据!A:N,8,0))*(1-(AL1040+AM1040)*0.5/((AL1040+AM1040)*0.5+(VLOOKUP(U1040,模板计算相关数据!A:N,2,0)+模板计算相关数据!$AC$27)*模板计算相关数据!$AC$28))*Q1040*Z1040)</f>
        <v>4586</v>
      </c>
      <c r="AK1040" s="3">
        <f>INT(VLOOKUP(U1040,模板计算相关数据!A:N,3,0)/模板计算相关数据!$W$35/(1+MAX(0,(AO1040/10000-VLOOKUP(U1040,模板计算相关数据!A:N,9,0)))*AP1040/10000)/(1-VLOOKUP(U1040,模板计算相关数据!A:N,5,0)/(VLOOKUP(U1040,模板计算相关数据!A:N,5,0)+(VLOOKUP(U1040,模板计算相关数据!A:N,2,0)+模板计算相关数据!$AC$27)*模板计算相关数据!$AC$28))/S1040*AA1040)</f>
        <v>1101</v>
      </c>
      <c r="AL1040" s="3">
        <f>INT(VLOOKUP(U1040,模板计算相关数据!A:N,5,0)*VLOOKUP(X1040,模板计算相关数据!$P$4:$T$7,4,0)*VLOOKUP(Y1040,模板计算相关数据!$P$22:$U$30,4,0)*AB1040)</f>
        <v>3034</v>
      </c>
      <c r="AM1040" s="3">
        <f>INT(VLOOKUP(U1040,模板计算相关数据!A:N,6,0)*VLOOKUP(X1040,模板计算相关数据!$P$4:$T$7,4,0)*VLOOKUP(Y1040,模板计算相关数据!$P$22:$U$30,5,0)*AC1040)</f>
        <v>1657</v>
      </c>
      <c r="AN1040" s="3">
        <f>VLOOKUP(U1040,模板计算相关数据!A:N,10,0)*0.5*VLOOKUP(Y1040,模板计算相关数据!$P$22:$U$30,6,0)+AD1040</f>
        <v>275</v>
      </c>
      <c r="AO1040" s="3">
        <f>VLOOKUP(INT(VLOOKUP(U1040,模板计算相关数据!A:N,2,0)/30)+1,模板计算相关数据!$O$35:$U$40,3,0)+AE1040</f>
        <v>0</v>
      </c>
      <c r="AP1040" s="3">
        <f>VLOOKUP(INT(VLOOKUP(U1040,模板计算相关数据!A:N,2,0)/30)+1,模板计算相关数据!$O$35:$U$40,4,0)+AF1040</f>
        <v>5000</v>
      </c>
      <c r="AQ1040" s="3">
        <f>VLOOKUP(INT(VLOOKUP(U1040,模板计算相关数据!A:N,2,0)/30)+1,模板计算相关数据!$O$35:$U$40,5,0)+AG1040</f>
        <v>0</v>
      </c>
      <c r="AR1040" s="3">
        <f>VLOOKUP(INT(VLOOKUP(U1040,模板计算相关数据!A:N,2,0)/30)+1,模板计算相关数据!$O$35:$U$40,6,0)+AH1040</f>
        <v>0</v>
      </c>
      <c r="AS1040" s="3">
        <f>VLOOKUP(INT(VLOOKUP(U1040,模板计算相关数据!A:N,2,0)/30)+1,模板计算相关数据!$O$35:$U$40,7,0)+AI1040</f>
        <v>0</v>
      </c>
      <c r="AT1040" s="3">
        <f>VLOOKUP(INT(VLOOKUP(U1040,模板计算相关数据!A:N,2,0)/30)+1,模板计算相关数据!$O$35:$V$40,8,0)</f>
        <v>0</v>
      </c>
      <c r="AU1040" s="2"/>
    </row>
    <row r="1041" spans="1:47" x14ac:dyDescent="0.2">
      <c r="A1041" s="86">
        <v>54003051</v>
      </c>
      <c r="B1041" s="86"/>
      <c r="C1041" s="69" t="s">
        <v>1705</v>
      </c>
      <c r="D1041" s="2" t="s">
        <v>1722</v>
      </c>
      <c r="E1041" s="2"/>
      <c r="F1041" s="2">
        <v>3</v>
      </c>
      <c r="G1041" s="2">
        <v>1002601</v>
      </c>
      <c r="H1041" s="3">
        <v>5</v>
      </c>
      <c r="I1041" s="2">
        <v>3</v>
      </c>
      <c r="J1041" s="3">
        <v>5</v>
      </c>
      <c r="K1041" s="2"/>
      <c r="L1041" s="69" t="s">
        <v>1528</v>
      </c>
      <c r="M1041" s="2"/>
      <c r="N1041" s="2">
        <v>1</v>
      </c>
      <c r="O1041" s="2"/>
      <c r="P1041" s="3" t="s">
        <v>1615</v>
      </c>
      <c r="Q1041" s="95">
        <f t="shared" si="84"/>
        <v>5.7709803921568623</v>
      </c>
      <c r="R1041" s="133">
        <f>IF(P1041=模板计算相关数据!$AB$24,VLOOKUP(X1041,模板计算相关数据!$P$47:$T$50,2,0),VLOOKUP(X1041,模板计算相关数据!$P$4:$U$7,3,0))*VLOOKUP(Y1041,模板计算相关数据!$P$22:$X$30,8,0)</f>
        <v>5.7709803921568623</v>
      </c>
      <c r="S1041" s="62">
        <f t="shared" si="85"/>
        <v>6.4077918749198997</v>
      </c>
      <c r="T1041" s="133">
        <f>IF(P1041=模板计算相关数据!$AB$24,VLOOKUP(X1041,模板计算相关数据!$P$47:$T$50,5,0),VLOOKUP(X1041,模板计算相关数据!$P$4:$U$7,6,0))*VLOOKUP(Y1041,模板计算相关数据!$P$22:$X$30,9,0)</f>
        <v>6.4077918749198997</v>
      </c>
      <c r="U1041" s="98">
        <v>61</v>
      </c>
      <c r="V1041" s="95">
        <f t="shared" si="83"/>
        <v>44</v>
      </c>
      <c r="W1041" s="29">
        <f>VLOOKUP(U1041,模板计算相关数据!A:N,2,0)</f>
        <v>41</v>
      </c>
      <c r="X1041" s="3" t="s">
        <v>151</v>
      </c>
      <c r="Y1041" s="3" t="s">
        <v>159</v>
      </c>
      <c r="Z1041" s="95">
        <v>1</v>
      </c>
      <c r="AA1041" s="95">
        <v>1</v>
      </c>
      <c r="AB1041" s="95">
        <v>1</v>
      </c>
      <c r="AC1041" s="95">
        <v>1</v>
      </c>
      <c r="AD1041" s="95">
        <v>0</v>
      </c>
      <c r="AE1041" s="95">
        <v>0</v>
      </c>
      <c r="AF1041" s="95">
        <v>0</v>
      </c>
      <c r="AG1041" s="95">
        <v>0</v>
      </c>
      <c r="AH1041" s="95">
        <v>0</v>
      </c>
      <c r="AI1041" s="95">
        <v>0</v>
      </c>
      <c r="AJ1041" s="3">
        <f>INT(VLOOKUP(U1041,模板计算相关数据!A:N,4,0)*VLOOKUP(U1041,模板计算相关数据!A:N,14,0)*(1+MAX(0,(VLOOKUP(U1041,模板计算相关数据!A:N,7,0)-AQ1041))*VLOOKUP(U1041,模板计算相关数据!A:N,8,0))*(1-(AL1041+AM1041)*0.5/((AL1041+AM1041)*0.5+(VLOOKUP(U1041,模板计算相关数据!A:N,2,0)+模板计算相关数据!$AC$27)*模板计算相关数据!$AC$28))*Q1041*Z1041)</f>
        <v>5530</v>
      </c>
      <c r="AK1041" s="3">
        <f>INT(VLOOKUP(U1041,模板计算相关数据!A:N,3,0)/模板计算相关数据!$W$35/(1+MAX(0,(AO1041/10000-VLOOKUP(U1041,模板计算相关数据!A:N,9,0)))*AP1041/10000)/(1-VLOOKUP(U1041,模板计算相关数据!A:N,5,0)/(VLOOKUP(U1041,模板计算相关数据!A:N,5,0)+(VLOOKUP(U1041,模板计算相关数据!A:N,2,0)+模板计算相关数据!$AC$27)*模板计算相关数据!$AC$28))/S1041*AA1041)</f>
        <v>1384</v>
      </c>
      <c r="AL1041" s="3">
        <f>INT(VLOOKUP(U1041,模板计算相关数据!A:N,5,0)*VLOOKUP(X1041,模板计算相关数据!$P$4:$T$7,4,0)*VLOOKUP(Y1041,模板计算相关数据!$P$22:$U$30,4,0)*AB1041)</f>
        <v>3757</v>
      </c>
      <c r="AM1041" s="3">
        <f>INT(VLOOKUP(U1041,模板计算相关数据!A:N,6,0)*VLOOKUP(X1041,模板计算相关数据!$P$4:$T$7,4,0)*VLOOKUP(Y1041,模板计算相关数据!$P$22:$U$30,5,0)*AC1041)</f>
        <v>2053</v>
      </c>
      <c r="AN1041" s="3">
        <f>VLOOKUP(U1041,模板计算相关数据!A:N,10,0)*0.5*VLOOKUP(Y1041,模板计算相关数据!$P$22:$U$30,6,0)+AD1041</f>
        <v>275</v>
      </c>
      <c r="AO1041" s="3">
        <f>VLOOKUP(INT(VLOOKUP(U1041,模板计算相关数据!A:N,2,0)/30)+1,模板计算相关数据!$O$35:$U$40,3,0)+AE1041</f>
        <v>0</v>
      </c>
      <c r="AP1041" s="3">
        <f>VLOOKUP(INT(VLOOKUP(U1041,模板计算相关数据!A:N,2,0)/30)+1,模板计算相关数据!$O$35:$U$40,4,0)+AF1041</f>
        <v>5000</v>
      </c>
      <c r="AQ1041" s="3">
        <f>VLOOKUP(INT(VLOOKUP(U1041,模板计算相关数据!A:N,2,0)/30)+1,模板计算相关数据!$O$35:$U$40,5,0)+AG1041</f>
        <v>0</v>
      </c>
      <c r="AR1041" s="3">
        <f>VLOOKUP(INT(VLOOKUP(U1041,模板计算相关数据!A:N,2,0)/30)+1,模板计算相关数据!$O$35:$U$40,6,0)+AH1041</f>
        <v>0</v>
      </c>
      <c r="AS1041" s="3">
        <f>VLOOKUP(INT(VLOOKUP(U1041,模板计算相关数据!A:N,2,0)/30)+1,模板计算相关数据!$O$35:$U$40,7,0)+AI1041</f>
        <v>0</v>
      </c>
      <c r="AT1041" s="3">
        <f>VLOOKUP(INT(VLOOKUP(U1041,模板计算相关数据!A:N,2,0)/30)+1,模板计算相关数据!$O$35:$V$40,8,0)</f>
        <v>0</v>
      </c>
      <c r="AU1041" s="2"/>
    </row>
    <row r="1042" spans="1:47" x14ac:dyDescent="0.2">
      <c r="A1042" s="86">
        <v>54003012</v>
      </c>
      <c r="B1042" s="86"/>
      <c r="C1042" s="69" t="s">
        <v>1706</v>
      </c>
      <c r="D1042" s="2" t="s">
        <v>1718</v>
      </c>
      <c r="E1042" s="2"/>
      <c r="F1042" s="2">
        <v>1</v>
      </c>
      <c r="G1042" s="2">
        <v>1002501</v>
      </c>
      <c r="H1042" s="3">
        <v>1</v>
      </c>
      <c r="I1042" s="2">
        <v>3</v>
      </c>
      <c r="J1042" s="3">
        <v>5</v>
      </c>
      <c r="K1042" s="3">
        <v>2</v>
      </c>
      <c r="L1042" s="69" t="s">
        <v>1536</v>
      </c>
      <c r="M1042" s="2"/>
      <c r="N1042" s="2">
        <v>1</v>
      </c>
      <c r="O1042" s="2"/>
      <c r="P1042" s="3" t="s">
        <v>1615</v>
      </c>
      <c r="Q1042" s="95">
        <f t="shared" si="84"/>
        <v>4.417254901960785</v>
      </c>
      <c r="R1042" s="133">
        <f>IF(P1042=模板计算相关数据!$AB$24,VLOOKUP(X1042,模板计算相关数据!$P$47:$T$50,2,0),VLOOKUP(X1042,模板计算相关数据!$P$4:$U$7,3,0))*VLOOKUP(Y1042,模板计算相关数据!$P$22:$X$30,8,0)</f>
        <v>4.417254901960785</v>
      </c>
      <c r="S1042" s="62">
        <f t="shared" si="85"/>
        <v>5.4285280003474252</v>
      </c>
      <c r="T1042" s="133">
        <f>IF(P1042=模板计算相关数据!$AB$24,VLOOKUP(X1042,模板计算相关数据!$P$47:$T$50,5,0),VLOOKUP(X1042,模板计算相关数据!$P$4:$U$7,6,0))*VLOOKUP(Y1042,模板计算相关数据!$P$22:$X$30,9,0)</f>
        <v>5.4285280003474252</v>
      </c>
      <c r="U1042" s="98">
        <v>54</v>
      </c>
      <c r="V1042" s="95">
        <f t="shared" si="83"/>
        <v>18</v>
      </c>
      <c r="W1042" s="29">
        <f>VLOOKUP(U1042,模板计算相关数据!A:N,2,0)</f>
        <v>15</v>
      </c>
      <c r="X1042" s="3" t="s">
        <v>151</v>
      </c>
      <c r="Y1042" s="3" t="s">
        <v>152</v>
      </c>
      <c r="Z1042" s="95">
        <v>1</v>
      </c>
      <c r="AA1042" s="95">
        <v>1</v>
      </c>
      <c r="AB1042" s="95">
        <v>1</v>
      </c>
      <c r="AC1042" s="95">
        <v>1</v>
      </c>
      <c r="AD1042" s="95">
        <v>0</v>
      </c>
      <c r="AE1042" s="95">
        <v>0</v>
      </c>
      <c r="AF1042" s="95">
        <v>0</v>
      </c>
      <c r="AG1042" s="95">
        <v>0</v>
      </c>
      <c r="AH1042" s="95">
        <v>0</v>
      </c>
      <c r="AI1042" s="95">
        <v>0</v>
      </c>
      <c r="AJ1042" s="3">
        <f>INT(VLOOKUP(U1042,模板计算相关数据!A:N,4,0)*VLOOKUP(U1042,模板计算相关数据!A:N,14,0)*(1+MAX(0,(VLOOKUP(U1042,模板计算相关数据!A:N,7,0)-AQ1042))*VLOOKUP(U1042,模板计算相关数据!A:N,8,0))*(1-(AL1042+AM1042)*0.5/((AL1042+AM1042)*0.5+(VLOOKUP(U1042,模板计算相关数据!A:N,2,0)+模板计算相关数据!$AC$27)*模板计算相关数据!$AC$28))*Q1042*Z1042)</f>
        <v>1337</v>
      </c>
      <c r="AK1042" s="3">
        <f>INT(VLOOKUP(U1042,模板计算相关数据!A:N,3,0)/模板计算相关数据!$W$35/(1+MAX(0,(AO1042/10000-VLOOKUP(U1042,模板计算相关数据!A:N,9,0)))*AP1042/10000)/(1-VLOOKUP(U1042,模板计算相关数据!A:N,5,0)/(VLOOKUP(U1042,模板计算相关数据!A:N,5,0)+(VLOOKUP(U1042,模板计算相关数据!A:N,2,0)+模板计算相关数据!$AC$27)*模板计算相关数据!$AC$28))/S1042*AA1042)</f>
        <v>376</v>
      </c>
      <c r="AL1042" s="3">
        <f>INT(VLOOKUP(U1042,模板计算相关数据!A:N,5,0)*VLOOKUP(X1042,模板计算相关数据!$P$4:$T$7,4,0)*VLOOKUP(Y1042,模板计算相关数据!$P$22:$U$30,4,0)*AB1042)</f>
        <v>852</v>
      </c>
      <c r="AM1042" s="3">
        <f>INT(VLOOKUP(U1042,模板计算相关数据!A:N,6,0)*VLOOKUP(X1042,模板计算相关数据!$P$4:$T$7,4,0)*VLOOKUP(Y1042,模板计算相关数据!$P$22:$U$30,5,0)*AC1042)</f>
        <v>505</v>
      </c>
      <c r="AN1042" s="3">
        <f>VLOOKUP(U1042,模板计算相关数据!A:N,10,0)*0.5*VLOOKUP(Y1042,模板计算相关数据!$P$22:$U$30,6,0)+AD1042</f>
        <v>250</v>
      </c>
      <c r="AO1042" s="3">
        <f>VLOOKUP(INT(VLOOKUP(U1042,模板计算相关数据!A:N,2,0)/30)+1,模板计算相关数据!$O$35:$U$40,3,0)+AE1042</f>
        <v>0</v>
      </c>
      <c r="AP1042" s="3">
        <f>VLOOKUP(INT(VLOOKUP(U1042,模板计算相关数据!A:N,2,0)/30)+1,模板计算相关数据!$O$35:$U$40,4,0)+AF1042</f>
        <v>5000</v>
      </c>
      <c r="AQ1042" s="3">
        <f>VLOOKUP(INT(VLOOKUP(U1042,模板计算相关数据!A:N,2,0)/30)+1,模板计算相关数据!$O$35:$U$40,5,0)+AG1042</f>
        <v>0</v>
      </c>
      <c r="AR1042" s="3">
        <f>VLOOKUP(INT(VLOOKUP(U1042,模板计算相关数据!A:N,2,0)/30)+1,模板计算相关数据!$O$35:$U$40,6,0)+AH1042</f>
        <v>0</v>
      </c>
      <c r="AS1042" s="3">
        <f>VLOOKUP(INT(VLOOKUP(U1042,模板计算相关数据!A:N,2,0)/30)+1,模板计算相关数据!$O$35:$U$40,7,0)+AI1042</f>
        <v>0</v>
      </c>
      <c r="AT1042" s="3">
        <f>VLOOKUP(INT(VLOOKUP(U1042,模板计算相关数据!A:N,2,0)/30)+1,模板计算相关数据!$O$35:$V$40,8,0)</f>
        <v>0</v>
      </c>
      <c r="AU1042" s="2"/>
    </row>
    <row r="1043" spans="1:47" x14ac:dyDescent="0.2">
      <c r="A1043" s="86">
        <v>54003022</v>
      </c>
      <c r="B1043" s="86"/>
      <c r="C1043" s="69" t="s">
        <v>1706</v>
      </c>
      <c r="D1043" s="2" t="s">
        <v>1719</v>
      </c>
      <c r="E1043" s="2"/>
      <c r="F1043" s="2">
        <v>1</v>
      </c>
      <c r="G1043" s="2">
        <v>1002501</v>
      </c>
      <c r="H1043" s="3">
        <v>1</v>
      </c>
      <c r="I1043" s="2">
        <v>3</v>
      </c>
      <c r="J1043" s="3">
        <v>5</v>
      </c>
      <c r="K1043" s="3">
        <v>2</v>
      </c>
      <c r="L1043" s="69" t="s">
        <v>1536</v>
      </c>
      <c r="M1043" s="2"/>
      <c r="N1043" s="2">
        <v>1</v>
      </c>
      <c r="O1043" s="2"/>
      <c r="P1043" s="3" t="s">
        <v>1615</v>
      </c>
      <c r="Q1043" s="95">
        <f t="shared" si="84"/>
        <v>4.417254901960785</v>
      </c>
      <c r="R1043" s="133">
        <f>IF(P1043=模板计算相关数据!$AB$24,VLOOKUP(X1043,模板计算相关数据!$P$47:$T$50,2,0),VLOOKUP(X1043,模板计算相关数据!$P$4:$U$7,3,0))*VLOOKUP(Y1043,模板计算相关数据!$P$22:$X$30,8,0)</f>
        <v>4.417254901960785</v>
      </c>
      <c r="S1043" s="62">
        <f t="shared" si="85"/>
        <v>5.4285280003474252</v>
      </c>
      <c r="T1043" s="133">
        <f>IF(P1043=模板计算相关数据!$AB$24,VLOOKUP(X1043,模板计算相关数据!$P$47:$T$50,5,0),VLOOKUP(X1043,模板计算相关数据!$P$4:$U$7,6,0))*VLOOKUP(Y1043,模板计算相关数据!$P$22:$X$30,9,0)</f>
        <v>5.4285280003474252</v>
      </c>
      <c r="U1043" s="98">
        <v>55</v>
      </c>
      <c r="V1043" s="95">
        <f t="shared" si="83"/>
        <v>22</v>
      </c>
      <c r="W1043" s="29">
        <f>VLOOKUP(U1043,模板计算相关数据!A:N,2,0)</f>
        <v>19</v>
      </c>
      <c r="X1043" s="3" t="s">
        <v>151</v>
      </c>
      <c r="Y1043" s="3" t="s">
        <v>152</v>
      </c>
      <c r="Z1043" s="95">
        <v>1</v>
      </c>
      <c r="AA1043" s="95">
        <v>1</v>
      </c>
      <c r="AB1043" s="95">
        <v>1</v>
      </c>
      <c r="AC1043" s="95">
        <v>1</v>
      </c>
      <c r="AD1043" s="95">
        <v>0</v>
      </c>
      <c r="AE1043" s="95">
        <v>0</v>
      </c>
      <c r="AF1043" s="95">
        <v>0</v>
      </c>
      <c r="AG1043" s="95">
        <v>0</v>
      </c>
      <c r="AH1043" s="95">
        <v>0</v>
      </c>
      <c r="AI1043" s="95">
        <v>0</v>
      </c>
      <c r="AJ1043" s="3">
        <f>INT(VLOOKUP(U1043,模板计算相关数据!A:N,4,0)*VLOOKUP(U1043,模板计算相关数据!A:N,14,0)*(1+MAX(0,(VLOOKUP(U1043,模板计算相关数据!A:N,7,0)-AQ1043))*VLOOKUP(U1043,模板计算相关数据!A:N,8,0))*(1-(AL1043+AM1043)*0.5/((AL1043+AM1043)*0.5+(VLOOKUP(U1043,模板计算相关数据!A:N,2,0)+模板计算相关数据!$AC$27)*模板计算相关数据!$AC$28))*Q1043*Z1043)</f>
        <v>2068</v>
      </c>
      <c r="AK1043" s="3">
        <f>INT(VLOOKUP(U1043,模板计算相关数据!A:N,3,0)/模板计算相关数据!$W$35/(1+MAX(0,(AO1043/10000-VLOOKUP(U1043,模板计算相关数据!A:N,9,0)))*AP1043/10000)/(1-VLOOKUP(U1043,模板计算相关数据!A:N,5,0)/(VLOOKUP(U1043,模板计算相关数据!A:N,5,0)+(VLOOKUP(U1043,模板计算相关数据!A:N,2,0)+模板计算相关数据!$AC$27)*模板计算相关数据!$AC$28))/S1043*AA1043)</f>
        <v>725</v>
      </c>
      <c r="AL1043" s="3">
        <f>INT(VLOOKUP(U1043,模板计算相关数据!A:N,5,0)*VLOOKUP(X1043,模板计算相关数据!$P$4:$T$7,4,0)*VLOOKUP(Y1043,模板计算相关数据!$P$22:$U$30,4,0)*AB1043)</f>
        <v>1414</v>
      </c>
      <c r="AM1043" s="3">
        <f>INT(VLOOKUP(U1043,模板计算相关数据!A:N,6,0)*VLOOKUP(X1043,模板计算相关数据!$P$4:$T$7,4,0)*VLOOKUP(Y1043,模板计算相关数据!$P$22:$U$30,5,0)*AC1043)</f>
        <v>829</v>
      </c>
      <c r="AN1043" s="3">
        <f>VLOOKUP(U1043,模板计算相关数据!A:N,10,0)*0.5*VLOOKUP(Y1043,模板计算相关数据!$P$22:$U$30,6,0)+AD1043</f>
        <v>250</v>
      </c>
      <c r="AO1043" s="3">
        <f>VLOOKUP(INT(VLOOKUP(U1043,模板计算相关数据!A:N,2,0)/30)+1,模板计算相关数据!$O$35:$U$40,3,0)+AE1043</f>
        <v>0</v>
      </c>
      <c r="AP1043" s="3">
        <f>VLOOKUP(INT(VLOOKUP(U1043,模板计算相关数据!A:N,2,0)/30)+1,模板计算相关数据!$O$35:$U$40,4,0)+AF1043</f>
        <v>5000</v>
      </c>
      <c r="AQ1043" s="3">
        <f>VLOOKUP(INT(VLOOKUP(U1043,模板计算相关数据!A:N,2,0)/30)+1,模板计算相关数据!$O$35:$U$40,5,0)+AG1043</f>
        <v>0</v>
      </c>
      <c r="AR1043" s="3">
        <f>VLOOKUP(INT(VLOOKUP(U1043,模板计算相关数据!A:N,2,0)/30)+1,模板计算相关数据!$O$35:$U$40,6,0)+AH1043</f>
        <v>0</v>
      </c>
      <c r="AS1043" s="3">
        <f>VLOOKUP(INT(VLOOKUP(U1043,模板计算相关数据!A:N,2,0)/30)+1,模板计算相关数据!$O$35:$U$40,7,0)+AI1043</f>
        <v>0</v>
      </c>
      <c r="AT1043" s="3">
        <f>VLOOKUP(INT(VLOOKUP(U1043,模板计算相关数据!A:N,2,0)/30)+1,模板计算相关数据!$O$35:$V$40,8,0)</f>
        <v>0</v>
      </c>
      <c r="AU1043" s="2"/>
    </row>
    <row r="1044" spans="1:47" x14ac:dyDescent="0.2">
      <c r="A1044" s="86">
        <v>54003032</v>
      </c>
      <c r="B1044" s="86"/>
      <c r="C1044" s="69" t="s">
        <v>1706</v>
      </c>
      <c r="D1044" s="2" t="s">
        <v>1720</v>
      </c>
      <c r="E1044" s="2"/>
      <c r="F1044" s="2">
        <v>1</v>
      </c>
      <c r="G1044" s="2">
        <v>1002501</v>
      </c>
      <c r="H1044" s="3">
        <v>1</v>
      </c>
      <c r="I1044" s="2">
        <v>3</v>
      </c>
      <c r="J1044" s="3">
        <v>5</v>
      </c>
      <c r="K1044" s="3">
        <v>2</v>
      </c>
      <c r="L1044" s="69" t="s">
        <v>1536</v>
      </c>
      <c r="M1044" s="2"/>
      <c r="N1044" s="2">
        <v>1</v>
      </c>
      <c r="O1044" s="2"/>
      <c r="P1044" s="3" t="s">
        <v>1615</v>
      </c>
      <c r="Q1044" s="95">
        <f t="shared" si="84"/>
        <v>4.417254901960785</v>
      </c>
      <c r="R1044" s="133">
        <f>IF(P1044=模板计算相关数据!$AB$24,VLOOKUP(X1044,模板计算相关数据!$P$47:$T$50,2,0),VLOOKUP(X1044,模板计算相关数据!$P$4:$U$7,3,0))*VLOOKUP(Y1044,模板计算相关数据!$P$22:$X$30,8,0)</f>
        <v>4.417254901960785</v>
      </c>
      <c r="S1044" s="62">
        <f t="shared" si="85"/>
        <v>5.4285280003474252</v>
      </c>
      <c r="T1044" s="133">
        <f>IF(P1044=模板计算相关数据!$AB$24,VLOOKUP(X1044,模板计算相关数据!$P$47:$T$50,5,0),VLOOKUP(X1044,模板计算相关数据!$P$4:$U$7,6,0))*VLOOKUP(Y1044,模板计算相关数据!$P$22:$X$30,9,0)</f>
        <v>5.4285280003474252</v>
      </c>
      <c r="U1044" s="98">
        <v>57</v>
      </c>
      <c r="V1044" s="95">
        <f t="shared" si="83"/>
        <v>31</v>
      </c>
      <c r="W1044" s="29">
        <f>VLOOKUP(U1044,模板计算相关数据!A:N,2,0)</f>
        <v>28</v>
      </c>
      <c r="X1044" s="3" t="s">
        <v>151</v>
      </c>
      <c r="Y1044" s="3" t="s">
        <v>152</v>
      </c>
      <c r="Z1044" s="95">
        <v>1</v>
      </c>
      <c r="AA1044" s="95">
        <v>1</v>
      </c>
      <c r="AB1044" s="95">
        <v>1</v>
      </c>
      <c r="AC1044" s="95">
        <v>1</v>
      </c>
      <c r="AD1044" s="95">
        <v>0</v>
      </c>
      <c r="AE1044" s="95">
        <v>0</v>
      </c>
      <c r="AF1044" s="95">
        <v>0</v>
      </c>
      <c r="AG1044" s="95">
        <v>0</v>
      </c>
      <c r="AH1044" s="95">
        <v>0</v>
      </c>
      <c r="AI1044" s="95">
        <v>0</v>
      </c>
      <c r="AJ1044" s="3">
        <f>INT(VLOOKUP(U1044,模板计算相关数据!A:N,4,0)*VLOOKUP(U1044,模板计算相关数据!A:N,14,0)*(1+MAX(0,(VLOOKUP(U1044,模板计算相关数据!A:N,7,0)-AQ1044))*VLOOKUP(U1044,模板计算相关数据!A:N,8,0))*(1-(AL1044+AM1044)*0.5/((AL1044+AM1044)*0.5+(VLOOKUP(U1044,模板计算相关数据!A:N,2,0)+模板计算相关数据!$AC$27)*模板计算相关数据!$AC$28))*Q1044*Z1044)</f>
        <v>2937</v>
      </c>
      <c r="AK1044" s="3">
        <f>INT(VLOOKUP(U1044,模板计算相关数据!A:N,3,0)/模板计算相关数据!$W$35/(1+MAX(0,(AO1044/10000-VLOOKUP(U1044,模板计算相关数据!A:N,9,0)))*AP1044/10000)/(1-VLOOKUP(U1044,模板计算相关数据!A:N,5,0)/(VLOOKUP(U1044,模板计算相关数据!A:N,5,0)+(VLOOKUP(U1044,模板计算相关数据!A:N,2,0)+模板计算相关数据!$AC$27)*模板计算相关数据!$AC$28))/S1044*AA1044)</f>
        <v>1077</v>
      </c>
      <c r="AL1044" s="3">
        <f>INT(VLOOKUP(U1044,模板计算相关数据!A:N,5,0)*VLOOKUP(X1044,模板计算相关数据!$P$4:$T$7,4,0)*VLOOKUP(Y1044,模板计算相关数据!$P$22:$U$30,4,0)*AB1044)</f>
        <v>2174</v>
      </c>
      <c r="AM1044" s="3">
        <f>INT(VLOOKUP(U1044,模板计算相关数据!A:N,6,0)*VLOOKUP(X1044,模板计算相关数据!$P$4:$T$7,4,0)*VLOOKUP(Y1044,模板计算相关数据!$P$22:$U$30,5,0)*AC1044)</f>
        <v>1288</v>
      </c>
      <c r="AN1044" s="3">
        <f>VLOOKUP(U1044,模板计算相关数据!A:N,10,0)*0.5*VLOOKUP(Y1044,模板计算相关数据!$P$22:$U$30,6,0)+AD1044</f>
        <v>250</v>
      </c>
      <c r="AO1044" s="3">
        <f>VLOOKUP(INT(VLOOKUP(U1044,模板计算相关数据!A:N,2,0)/30)+1,模板计算相关数据!$O$35:$U$40,3,0)+AE1044</f>
        <v>0</v>
      </c>
      <c r="AP1044" s="3">
        <f>VLOOKUP(INT(VLOOKUP(U1044,模板计算相关数据!A:N,2,0)/30)+1,模板计算相关数据!$O$35:$U$40,4,0)+AF1044</f>
        <v>5000</v>
      </c>
      <c r="AQ1044" s="3">
        <f>VLOOKUP(INT(VLOOKUP(U1044,模板计算相关数据!A:N,2,0)/30)+1,模板计算相关数据!$O$35:$U$40,5,0)+AG1044</f>
        <v>0</v>
      </c>
      <c r="AR1044" s="3">
        <f>VLOOKUP(INT(VLOOKUP(U1044,模板计算相关数据!A:N,2,0)/30)+1,模板计算相关数据!$O$35:$U$40,6,0)+AH1044</f>
        <v>0</v>
      </c>
      <c r="AS1044" s="3">
        <f>VLOOKUP(INT(VLOOKUP(U1044,模板计算相关数据!A:N,2,0)/30)+1,模板计算相关数据!$O$35:$U$40,7,0)+AI1044</f>
        <v>0</v>
      </c>
      <c r="AT1044" s="3">
        <f>VLOOKUP(INT(VLOOKUP(U1044,模板计算相关数据!A:N,2,0)/30)+1,模板计算相关数据!$O$35:$V$40,8,0)</f>
        <v>0</v>
      </c>
      <c r="AU1044" s="2"/>
    </row>
    <row r="1045" spans="1:47" x14ac:dyDescent="0.2">
      <c r="A1045" s="86">
        <v>54003042</v>
      </c>
      <c r="B1045" s="86"/>
      <c r="C1045" s="69" t="s">
        <v>1706</v>
      </c>
      <c r="D1045" s="2" t="s">
        <v>1721</v>
      </c>
      <c r="E1045" s="2"/>
      <c r="F1045" s="2">
        <v>1</v>
      </c>
      <c r="G1045" s="2">
        <v>1002501</v>
      </c>
      <c r="H1045" s="3">
        <v>1</v>
      </c>
      <c r="I1045" s="2">
        <v>3</v>
      </c>
      <c r="J1045" s="3">
        <v>5</v>
      </c>
      <c r="K1045" s="3">
        <v>2</v>
      </c>
      <c r="L1045" s="69" t="s">
        <v>1536</v>
      </c>
      <c r="M1045" s="2"/>
      <c r="N1045" s="2">
        <v>1</v>
      </c>
      <c r="O1045" s="2"/>
      <c r="P1045" s="3" t="s">
        <v>1615</v>
      </c>
      <c r="Q1045" s="95">
        <f t="shared" si="84"/>
        <v>4.417254901960785</v>
      </c>
      <c r="R1045" s="133">
        <f>IF(P1045=模板计算相关数据!$AB$24,VLOOKUP(X1045,模板计算相关数据!$P$47:$T$50,2,0),VLOOKUP(X1045,模板计算相关数据!$P$4:$U$7,3,0))*VLOOKUP(Y1045,模板计算相关数据!$P$22:$X$30,8,0)</f>
        <v>4.417254901960785</v>
      </c>
      <c r="S1045" s="62">
        <f t="shared" si="85"/>
        <v>5.4285280003474252</v>
      </c>
      <c r="T1045" s="133">
        <f>IF(P1045=模板计算相关数据!$AB$24,VLOOKUP(X1045,模板计算相关数据!$P$47:$T$50,5,0),VLOOKUP(X1045,模板计算相关数据!$P$4:$U$7,6,0))*VLOOKUP(Y1045,模板计算相关数据!$P$22:$X$30,9,0)</f>
        <v>5.4285280003474252</v>
      </c>
      <c r="U1045" s="98">
        <v>59</v>
      </c>
      <c r="V1045" s="95">
        <f t="shared" si="83"/>
        <v>38</v>
      </c>
      <c r="W1045" s="29">
        <f>VLOOKUP(U1045,模板计算相关数据!A:N,2,0)</f>
        <v>35</v>
      </c>
      <c r="X1045" s="3" t="s">
        <v>151</v>
      </c>
      <c r="Y1045" s="3" t="s">
        <v>152</v>
      </c>
      <c r="Z1045" s="95">
        <v>1</v>
      </c>
      <c r="AA1045" s="95">
        <v>1</v>
      </c>
      <c r="AB1045" s="95">
        <v>1</v>
      </c>
      <c r="AC1045" s="95">
        <v>1</v>
      </c>
      <c r="AD1045" s="95">
        <v>0</v>
      </c>
      <c r="AE1045" s="95">
        <v>0</v>
      </c>
      <c r="AF1045" s="95">
        <v>0</v>
      </c>
      <c r="AG1045" s="95">
        <v>0</v>
      </c>
      <c r="AH1045" s="95">
        <v>0</v>
      </c>
      <c r="AI1045" s="95">
        <v>0</v>
      </c>
      <c r="AJ1045" s="3">
        <f>INT(VLOOKUP(U1045,模板计算相关数据!A:N,4,0)*VLOOKUP(U1045,模板计算相关数据!A:N,14,0)*(1+MAX(0,(VLOOKUP(U1045,模板计算相关数据!A:N,7,0)-AQ1045))*VLOOKUP(U1045,模板计算相关数据!A:N,8,0))*(1-(AL1045+AM1045)*0.5/((AL1045+AM1045)*0.5+(VLOOKUP(U1045,模板计算相关数据!A:N,2,0)+模板计算相关数据!$AC$27)*模板计算相关数据!$AC$28))*Q1045*Z1045)</f>
        <v>3657</v>
      </c>
      <c r="AK1045" s="3">
        <f>INT(VLOOKUP(U1045,模板计算相关数据!A:N,3,0)/模板计算相关数据!$W$35/(1+MAX(0,(AO1045/10000-VLOOKUP(U1045,模板计算相关数据!A:N,9,0)))*AP1045/10000)/(1-VLOOKUP(U1045,模板计算相关数据!A:N,5,0)/(VLOOKUP(U1045,模板计算相关数据!A:N,5,0)+(VLOOKUP(U1045,模板计算相关数据!A:N,2,0)+模板计算相关数据!$AC$27)*模板计算相关数据!$AC$28))/S1045*AA1045)</f>
        <v>1300</v>
      </c>
      <c r="AL1045" s="3">
        <f>INT(VLOOKUP(U1045,模板计算相关数据!A:N,5,0)*VLOOKUP(X1045,模板计算相关数据!$P$4:$T$7,4,0)*VLOOKUP(Y1045,模板计算相关数据!$P$22:$U$30,4,0)*AB1045)</f>
        <v>2642</v>
      </c>
      <c r="AM1045" s="3">
        <f>INT(VLOOKUP(U1045,模板计算相关数据!A:N,6,0)*VLOOKUP(X1045,模板计算相关数据!$P$4:$T$7,4,0)*VLOOKUP(Y1045,模板计算相关数据!$P$22:$U$30,5,0)*AC1045)</f>
        <v>1560</v>
      </c>
      <c r="AN1045" s="3">
        <f>VLOOKUP(U1045,模板计算相关数据!A:N,10,0)*0.5*VLOOKUP(Y1045,模板计算相关数据!$P$22:$U$30,6,0)+AD1045</f>
        <v>250</v>
      </c>
      <c r="AO1045" s="3">
        <f>VLOOKUP(INT(VLOOKUP(U1045,模板计算相关数据!A:N,2,0)/30)+1,模板计算相关数据!$O$35:$U$40,3,0)+AE1045</f>
        <v>0</v>
      </c>
      <c r="AP1045" s="3">
        <f>VLOOKUP(INT(VLOOKUP(U1045,模板计算相关数据!A:N,2,0)/30)+1,模板计算相关数据!$O$35:$U$40,4,0)+AF1045</f>
        <v>5000</v>
      </c>
      <c r="AQ1045" s="3">
        <f>VLOOKUP(INT(VLOOKUP(U1045,模板计算相关数据!A:N,2,0)/30)+1,模板计算相关数据!$O$35:$U$40,5,0)+AG1045</f>
        <v>0</v>
      </c>
      <c r="AR1045" s="3">
        <f>VLOOKUP(INT(VLOOKUP(U1045,模板计算相关数据!A:N,2,0)/30)+1,模板计算相关数据!$O$35:$U$40,6,0)+AH1045</f>
        <v>0</v>
      </c>
      <c r="AS1045" s="3">
        <f>VLOOKUP(INT(VLOOKUP(U1045,模板计算相关数据!A:N,2,0)/30)+1,模板计算相关数据!$O$35:$U$40,7,0)+AI1045</f>
        <v>0</v>
      </c>
      <c r="AT1045" s="3">
        <f>VLOOKUP(INT(VLOOKUP(U1045,模板计算相关数据!A:N,2,0)/30)+1,模板计算相关数据!$O$35:$V$40,8,0)</f>
        <v>0</v>
      </c>
      <c r="AU1045" s="2"/>
    </row>
    <row r="1046" spans="1:47" x14ac:dyDescent="0.2">
      <c r="A1046" s="86">
        <v>54003052</v>
      </c>
      <c r="B1046" s="86"/>
      <c r="C1046" s="69" t="s">
        <v>1706</v>
      </c>
      <c r="D1046" s="2" t="s">
        <v>1722</v>
      </c>
      <c r="E1046" s="2"/>
      <c r="F1046" s="2">
        <v>1</v>
      </c>
      <c r="G1046" s="2">
        <v>1002501</v>
      </c>
      <c r="H1046" s="3">
        <v>1</v>
      </c>
      <c r="I1046" s="2">
        <v>3</v>
      </c>
      <c r="J1046" s="3">
        <v>5</v>
      </c>
      <c r="K1046" s="3">
        <v>2</v>
      </c>
      <c r="L1046" s="69" t="s">
        <v>1536</v>
      </c>
      <c r="M1046" s="2"/>
      <c r="N1046" s="2">
        <v>1</v>
      </c>
      <c r="O1046" s="2"/>
      <c r="P1046" s="3" t="s">
        <v>1615</v>
      </c>
      <c r="Q1046" s="95">
        <f t="shared" si="84"/>
        <v>4.417254901960785</v>
      </c>
      <c r="R1046" s="133">
        <f>IF(P1046=模板计算相关数据!$AB$24,VLOOKUP(X1046,模板计算相关数据!$P$47:$T$50,2,0),VLOOKUP(X1046,模板计算相关数据!$P$4:$U$7,3,0))*VLOOKUP(Y1046,模板计算相关数据!$P$22:$X$30,8,0)</f>
        <v>4.417254901960785</v>
      </c>
      <c r="S1046" s="62">
        <f t="shared" si="85"/>
        <v>5.4285280003474252</v>
      </c>
      <c r="T1046" s="133">
        <f>IF(P1046=模板计算相关数据!$AB$24,VLOOKUP(X1046,模板计算相关数据!$P$47:$T$50,5,0),VLOOKUP(X1046,模板计算相关数据!$P$4:$U$7,6,0))*VLOOKUP(Y1046,模板计算相关数据!$P$22:$X$30,9,0)</f>
        <v>5.4285280003474252</v>
      </c>
      <c r="U1046" s="98">
        <v>61</v>
      </c>
      <c r="V1046" s="95">
        <f t="shared" si="83"/>
        <v>44</v>
      </c>
      <c r="W1046" s="29">
        <f>VLOOKUP(U1046,模板计算相关数据!A:N,2,0)</f>
        <v>41</v>
      </c>
      <c r="X1046" s="3" t="s">
        <v>151</v>
      </c>
      <c r="Y1046" s="3" t="s">
        <v>152</v>
      </c>
      <c r="Z1046" s="95">
        <v>1</v>
      </c>
      <c r="AA1046" s="95">
        <v>1</v>
      </c>
      <c r="AB1046" s="95">
        <v>1</v>
      </c>
      <c r="AC1046" s="95">
        <v>1</v>
      </c>
      <c r="AD1046" s="95">
        <v>0</v>
      </c>
      <c r="AE1046" s="95">
        <v>0</v>
      </c>
      <c r="AF1046" s="95">
        <v>0</v>
      </c>
      <c r="AG1046" s="95">
        <v>0</v>
      </c>
      <c r="AH1046" s="95">
        <v>0</v>
      </c>
      <c r="AI1046" s="95">
        <v>0</v>
      </c>
      <c r="AJ1046" s="3">
        <f>INT(VLOOKUP(U1046,模板计算相关数据!A:N,4,0)*VLOOKUP(U1046,模板计算相关数据!A:N,14,0)*(1+MAX(0,(VLOOKUP(U1046,模板计算相关数据!A:N,7,0)-AQ1046))*VLOOKUP(U1046,模板计算相关数据!A:N,8,0))*(1-(AL1046+AM1046)*0.5/((AL1046+AM1046)*0.5+(VLOOKUP(U1046,模板计算相关数据!A:N,2,0)+模板计算相关数据!$AC$27)*模板计算相关数据!$AC$28))*Q1046*Z1046)</f>
        <v>4418</v>
      </c>
      <c r="AK1046" s="3">
        <f>INT(VLOOKUP(U1046,模板计算相关数据!A:N,3,0)/模板计算相关数据!$W$35/(1+MAX(0,(AO1046/10000-VLOOKUP(U1046,模板计算相关数据!A:N,9,0)))*AP1046/10000)/(1-VLOOKUP(U1046,模板计算相关数据!A:N,5,0)/(VLOOKUP(U1046,模板计算相关数据!A:N,5,0)+(VLOOKUP(U1046,模板计算相关数据!A:N,2,0)+模板计算相关数据!$AC$27)*模板计算相关数据!$AC$28))/S1046*AA1046)</f>
        <v>1634</v>
      </c>
      <c r="AL1046" s="3">
        <f>INT(VLOOKUP(U1046,模板计算相关数据!A:N,5,0)*VLOOKUP(X1046,模板计算相关数据!$P$4:$T$7,4,0)*VLOOKUP(Y1046,模板计算相关数据!$P$22:$U$30,4,0)*AB1046)</f>
        <v>3272</v>
      </c>
      <c r="AM1046" s="3">
        <f>INT(VLOOKUP(U1046,模板计算相关数据!A:N,6,0)*VLOOKUP(X1046,模板计算相关数据!$P$4:$T$7,4,0)*VLOOKUP(Y1046,模板计算相关数据!$P$22:$U$30,5,0)*AC1046)</f>
        <v>1932</v>
      </c>
      <c r="AN1046" s="3">
        <f>VLOOKUP(U1046,模板计算相关数据!A:N,10,0)*0.5*VLOOKUP(Y1046,模板计算相关数据!$P$22:$U$30,6,0)+AD1046</f>
        <v>250</v>
      </c>
      <c r="AO1046" s="3">
        <f>VLOOKUP(INT(VLOOKUP(U1046,模板计算相关数据!A:N,2,0)/30)+1,模板计算相关数据!$O$35:$U$40,3,0)+AE1046</f>
        <v>0</v>
      </c>
      <c r="AP1046" s="3">
        <f>VLOOKUP(INT(VLOOKUP(U1046,模板计算相关数据!A:N,2,0)/30)+1,模板计算相关数据!$O$35:$U$40,4,0)+AF1046</f>
        <v>5000</v>
      </c>
      <c r="AQ1046" s="3">
        <f>VLOOKUP(INT(VLOOKUP(U1046,模板计算相关数据!A:N,2,0)/30)+1,模板计算相关数据!$O$35:$U$40,5,0)+AG1046</f>
        <v>0</v>
      </c>
      <c r="AR1046" s="3">
        <f>VLOOKUP(INT(VLOOKUP(U1046,模板计算相关数据!A:N,2,0)/30)+1,模板计算相关数据!$O$35:$U$40,6,0)+AH1046</f>
        <v>0</v>
      </c>
      <c r="AS1046" s="3">
        <f>VLOOKUP(INT(VLOOKUP(U1046,模板计算相关数据!A:N,2,0)/30)+1,模板计算相关数据!$O$35:$U$40,7,0)+AI1046</f>
        <v>0</v>
      </c>
      <c r="AT1046" s="3">
        <f>VLOOKUP(INT(VLOOKUP(U1046,模板计算相关数据!A:N,2,0)/30)+1,模板计算相关数据!$O$35:$V$40,8,0)</f>
        <v>0</v>
      </c>
      <c r="AU1046" s="2"/>
    </row>
    <row r="1047" spans="1:47" x14ac:dyDescent="0.2">
      <c r="A1047" s="35">
        <v>54004011</v>
      </c>
      <c r="B1047" s="35"/>
      <c r="C1047" s="34" t="s">
        <v>1513</v>
      </c>
      <c r="D1047" s="19" t="s">
        <v>1508</v>
      </c>
      <c r="E1047" s="2"/>
      <c r="F1047" s="2">
        <v>5</v>
      </c>
      <c r="G1047" s="3">
        <v>1002101</v>
      </c>
      <c r="H1047" s="3">
        <v>4</v>
      </c>
      <c r="I1047" s="2">
        <v>4</v>
      </c>
      <c r="J1047" s="3">
        <v>6</v>
      </c>
      <c r="K1047" s="2"/>
      <c r="L1047" s="69" t="s">
        <v>1537</v>
      </c>
      <c r="M1047" s="2"/>
      <c r="N1047" s="2">
        <v>1</v>
      </c>
      <c r="O1047" s="2"/>
      <c r="P1047" s="3" t="s">
        <v>1615</v>
      </c>
      <c r="Q1047" s="95">
        <f t="shared" si="84"/>
        <v>4.4674509803921572</v>
      </c>
      <c r="R1047" s="133">
        <f>IF(P1047=模板计算相关数据!$AB$24,VLOOKUP(X1047,模板计算相关数据!$P$47:$T$50,2,0),VLOOKUP(X1047,模板计算相关数据!$P$4:$U$7,3,0))*VLOOKUP(Y1047,模板计算相关数据!$P$22:$X$30,8,0)</f>
        <v>4.4674509803921572</v>
      </c>
      <c r="S1047" s="62">
        <f t="shared" si="85"/>
        <v>5.4739930589768004</v>
      </c>
      <c r="T1047" s="133">
        <f>IF(P1047=模板计算相关数据!$AB$24,VLOOKUP(X1047,模板计算相关数据!$P$47:$T$50,5,0),VLOOKUP(X1047,模板计算相关数据!$P$4:$U$7,6,0))*VLOOKUP(Y1047,模板计算相关数据!$P$22:$X$30,9,0)</f>
        <v>5.4739930589768004</v>
      </c>
      <c r="U1047" s="98">
        <v>54</v>
      </c>
      <c r="V1047" s="95">
        <f t="shared" si="83"/>
        <v>18</v>
      </c>
      <c r="W1047" s="29">
        <f>VLOOKUP(U1047,模板计算相关数据!A:N,2,0)</f>
        <v>15</v>
      </c>
      <c r="X1047" s="3" t="s">
        <v>151</v>
      </c>
      <c r="Y1047" s="3" t="s">
        <v>162</v>
      </c>
      <c r="Z1047" s="95">
        <v>1</v>
      </c>
      <c r="AA1047" s="95">
        <v>1</v>
      </c>
      <c r="AB1047" s="95">
        <v>1</v>
      </c>
      <c r="AC1047" s="95">
        <v>1</v>
      </c>
      <c r="AD1047" s="95">
        <v>0</v>
      </c>
      <c r="AE1047" s="95">
        <v>0</v>
      </c>
      <c r="AF1047" s="95">
        <v>0</v>
      </c>
      <c r="AG1047" s="95">
        <v>0</v>
      </c>
      <c r="AH1047" s="95">
        <v>0</v>
      </c>
      <c r="AI1047" s="95">
        <v>0</v>
      </c>
      <c r="AJ1047" s="3">
        <f>INT(VLOOKUP(U1047,模板计算相关数据!A:N,4,0)*VLOOKUP(U1047,模板计算相关数据!A:N,14,0)*(1+MAX(0,(VLOOKUP(U1047,模板计算相关数据!A:N,7,0)-AQ1047))*VLOOKUP(U1047,模板计算相关数据!A:N,8,0))*(1-(AL1047+AM1047)*0.5/((AL1047+AM1047)*0.5+(VLOOKUP(U1047,模板计算相关数据!A:N,2,0)+模板计算相关数据!$AC$27)*模板计算相关数据!$AC$28))*Q1047*Z1047)</f>
        <v>1353</v>
      </c>
      <c r="AK1047" s="3">
        <f>INT(VLOOKUP(U1047,模板计算相关数据!A:N,3,0)/模板计算相关数据!$W$35/(1+MAX(0,(AO1047/10000-VLOOKUP(U1047,模板计算相关数据!A:N,9,0)))*AP1047/10000)/(1-VLOOKUP(U1047,模板计算相关数据!A:N,5,0)/(VLOOKUP(U1047,模板计算相关数据!A:N,5,0)+(VLOOKUP(U1047,模板计算相关数据!A:N,2,0)+模板计算相关数据!$AC$27)*模板计算相关数据!$AC$28))/S1047*AA1047)</f>
        <v>373</v>
      </c>
      <c r="AL1047" s="3">
        <f>INT(VLOOKUP(U1047,模板计算相关数据!A:N,5,0)*VLOOKUP(X1047,模板计算相关数据!$P$4:$T$7,4,0)*VLOOKUP(Y1047,模板计算相关数据!$P$22:$U$30,4,0)*AB1047)</f>
        <v>505</v>
      </c>
      <c r="AM1047" s="3">
        <f>INT(VLOOKUP(U1047,模板计算相关数据!A:N,6,0)*VLOOKUP(X1047,模板计算相关数据!$P$4:$T$7,4,0)*VLOOKUP(Y1047,模板计算相关数据!$P$22:$U$30,5,0)*AC1047)</f>
        <v>852</v>
      </c>
      <c r="AN1047" s="3">
        <f>VLOOKUP(U1047,模板计算相关数据!A:N,10,0)*0.5*VLOOKUP(Y1047,模板计算相关数据!$P$22:$U$30,6,0)+AD1047</f>
        <v>250</v>
      </c>
      <c r="AO1047" s="3">
        <f>VLOOKUP(INT(VLOOKUP(U1047,模板计算相关数据!A:N,2,0)/30)+1,模板计算相关数据!$O$35:$U$40,3,0)+AE1047</f>
        <v>0</v>
      </c>
      <c r="AP1047" s="3">
        <f>VLOOKUP(INT(VLOOKUP(U1047,模板计算相关数据!A:N,2,0)/30)+1,模板计算相关数据!$O$35:$U$40,4,0)+AF1047</f>
        <v>5000</v>
      </c>
      <c r="AQ1047" s="3">
        <f>VLOOKUP(INT(VLOOKUP(U1047,模板计算相关数据!A:N,2,0)/30)+1,模板计算相关数据!$O$35:$U$40,5,0)+AG1047</f>
        <v>0</v>
      </c>
      <c r="AR1047" s="3">
        <f>VLOOKUP(INT(VLOOKUP(U1047,模板计算相关数据!A:N,2,0)/30)+1,模板计算相关数据!$O$35:$U$40,6,0)+AH1047</f>
        <v>0</v>
      </c>
      <c r="AS1047" s="3">
        <f>VLOOKUP(INT(VLOOKUP(U1047,模板计算相关数据!A:N,2,0)/30)+1,模板计算相关数据!$O$35:$U$40,7,0)+AI1047</f>
        <v>0</v>
      </c>
      <c r="AT1047" s="3">
        <f>VLOOKUP(INT(VLOOKUP(U1047,模板计算相关数据!A:N,2,0)/30)+1,模板计算相关数据!$O$35:$V$40,8,0)</f>
        <v>0</v>
      </c>
      <c r="AU1047" s="2"/>
    </row>
    <row r="1048" spans="1:47" x14ac:dyDescent="0.2">
      <c r="A1048" s="86">
        <v>54004021</v>
      </c>
      <c r="B1048" s="86"/>
      <c r="C1048" s="69" t="s">
        <v>1513</v>
      </c>
      <c r="D1048" s="2" t="s">
        <v>1509</v>
      </c>
      <c r="E1048" s="2"/>
      <c r="F1048" s="2">
        <v>5</v>
      </c>
      <c r="G1048" s="3">
        <v>1002101</v>
      </c>
      <c r="H1048" s="3">
        <v>4</v>
      </c>
      <c r="I1048" s="2">
        <v>4</v>
      </c>
      <c r="J1048" s="3">
        <v>6</v>
      </c>
      <c r="K1048" s="2"/>
      <c r="L1048" s="69" t="s">
        <v>1537</v>
      </c>
      <c r="M1048" s="2"/>
      <c r="N1048" s="2">
        <v>1</v>
      </c>
      <c r="O1048" s="2"/>
      <c r="P1048" s="3" t="s">
        <v>1615</v>
      </c>
      <c r="Q1048" s="95">
        <f t="shared" si="84"/>
        <v>4.4674509803921572</v>
      </c>
      <c r="R1048" s="133">
        <f>IF(P1048=模板计算相关数据!$AB$24,VLOOKUP(X1048,模板计算相关数据!$P$47:$T$50,2,0),VLOOKUP(X1048,模板计算相关数据!$P$4:$U$7,3,0))*VLOOKUP(Y1048,模板计算相关数据!$P$22:$X$30,8,0)</f>
        <v>4.4674509803921572</v>
      </c>
      <c r="S1048" s="62">
        <f t="shared" si="85"/>
        <v>5.4739930589768004</v>
      </c>
      <c r="T1048" s="133">
        <f>IF(P1048=模板计算相关数据!$AB$24,VLOOKUP(X1048,模板计算相关数据!$P$47:$T$50,5,0),VLOOKUP(X1048,模板计算相关数据!$P$4:$U$7,6,0))*VLOOKUP(Y1048,模板计算相关数据!$P$22:$X$30,9,0)</f>
        <v>5.4739930589768004</v>
      </c>
      <c r="U1048" s="98">
        <v>55</v>
      </c>
      <c r="V1048" s="95">
        <f t="shared" si="83"/>
        <v>22</v>
      </c>
      <c r="W1048" s="29">
        <f>VLOOKUP(U1048,模板计算相关数据!A:N,2,0)</f>
        <v>19</v>
      </c>
      <c r="X1048" s="3" t="s">
        <v>151</v>
      </c>
      <c r="Y1048" s="3" t="s">
        <v>162</v>
      </c>
      <c r="Z1048" s="95">
        <v>1</v>
      </c>
      <c r="AA1048" s="95">
        <v>1</v>
      </c>
      <c r="AB1048" s="95">
        <v>1</v>
      </c>
      <c r="AC1048" s="95">
        <v>1</v>
      </c>
      <c r="AD1048" s="95">
        <v>0</v>
      </c>
      <c r="AE1048" s="95">
        <v>0</v>
      </c>
      <c r="AF1048" s="95">
        <v>0</v>
      </c>
      <c r="AG1048" s="95">
        <v>0</v>
      </c>
      <c r="AH1048" s="95">
        <v>0</v>
      </c>
      <c r="AI1048" s="95">
        <v>0</v>
      </c>
      <c r="AJ1048" s="3">
        <f>INT(VLOOKUP(U1048,模板计算相关数据!A:N,4,0)*VLOOKUP(U1048,模板计算相关数据!A:N,14,0)*(1+MAX(0,(VLOOKUP(U1048,模板计算相关数据!A:N,7,0)-AQ1048))*VLOOKUP(U1048,模板计算相关数据!A:N,8,0))*(1-(AL1048+AM1048)*0.5/((AL1048+AM1048)*0.5+(VLOOKUP(U1048,模板计算相关数据!A:N,2,0)+模板计算相关数据!$AC$27)*模板计算相关数据!$AC$28))*Q1048*Z1048)</f>
        <v>2093</v>
      </c>
      <c r="AK1048" s="3">
        <f>INT(VLOOKUP(U1048,模板计算相关数据!A:N,3,0)/模板计算相关数据!$W$35/(1+MAX(0,(AO1048/10000-VLOOKUP(U1048,模板计算相关数据!A:N,9,0)))*AP1048/10000)/(1-VLOOKUP(U1048,模板计算相关数据!A:N,5,0)/(VLOOKUP(U1048,模板计算相关数据!A:N,5,0)+(VLOOKUP(U1048,模板计算相关数据!A:N,2,0)+模板计算相关数据!$AC$27)*模板计算相关数据!$AC$28))/S1048*AA1048)</f>
        <v>719</v>
      </c>
      <c r="AL1048" s="3">
        <f>INT(VLOOKUP(U1048,模板计算相关数据!A:N,5,0)*VLOOKUP(X1048,模板计算相关数据!$P$4:$T$7,4,0)*VLOOKUP(Y1048,模板计算相关数据!$P$22:$U$30,4,0)*AB1048)</f>
        <v>838</v>
      </c>
      <c r="AM1048" s="3">
        <f>INT(VLOOKUP(U1048,模板计算相关数据!A:N,6,0)*VLOOKUP(X1048,模板计算相关数据!$P$4:$T$7,4,0)*VLOOKUP(Y1048,模板计算相关数据!$P$22:$U$30,5,0)*AC1048)</f>
        <v>1399</v>
      </c>
      <c r="AN1048" s="3">
        <f>VLOOKUP(U1048,模板计算相关数据!A:N,10,0)*0.5*VLOOKUP(Y1048,模板计算相关数据!$P$22:$U$30,6,0)+AD1048</f>
        <v>250</v>
      </c>
      <c r="AO1048" s="3">
        <f>VLOOKUP(INT(VLOOKUP(U1048,模板计算相关数据!A:N,2,0)/30)+1,模板计算相关数据!$O$35:$U$40,3,0)+AE1048</f>
        <v>0</v>
      </c>
      <c r="AP1048" s="3">
        <f>VLOOKUP(INT(VLOOKUP(U1048,模板计算相关数据!A:N,2,0)/30)+1,模板计算相关数据!$O$35:$U$40,4,0)+AF1048</f>
        <v>5000</v>
      </c>
      <c r="AQ1048" s="3">
        <f>VLOOKUP(INT(VLOOKUP(U1048,模板计算相关数据!A:N,2,0)/30)+1,模板计算相关数据!$O$35:$U$40,5,0)+AG1048</f>
        <v>0</v>
      </c>
      <c r="AR1048" s="3">
        <f>VLOOKUP(INT(VLOOKUP(U1048,模板计算相关数据!A:N,2,0)/30)+1,模板计算相关数据!$O$35:$U$40,6,0)+AH1048</f>
        <v>0</v>
      </c>
      <c r="AS1048" s="3">
        <f>VLOOKUP(INT(VLOOKUP(U1048,模板计算相关数据!A:N,2,0)/30)+1,模板计算相关数据!$O$35:$U$40,7,0)+AI1048</f>
        <v>0</v>
      </c>
      <c r="AT1048" s="3">
        <f>VLOOKUP(INT(VLOOKUP(U1048,模板计算相关数据!A:N,2,0)/30)+1,模板计算相关数据!$O$35:$V$40,8,0)</f>
        <v>0</v>
      </c>
      <c r="AU1048" s="2"/>
    </row>
    <row r="1049" spans="1:47" x14ac:dyDescent="0.2">
      <c r="A1049" s="86">
        <v>54004031</v>
      </c>
      <c r="B1049" s="86"/>
      <c r="C1049" s="69" t="s">
        <v>1513</v>
      </c>
      <c r="D1049" s="2" t="s">
        <v>1510</v>
      </c>
      <c r="E1049" s="2"/>
      <c r="F1049" s="2">
        <v>5</v>
      </c>
      <c r="G1049" s="3">
        <v>1002101</v>
      </c>
      <c r="H1049" s="3">
        <v>4</v>
      </c>
      <c r="I1049" s="2">
        <v>4</v>
      </c>
      <c r="J1049" s="3">
        <v>6</v>
      </c>
      <c r="K1049" s="2"/>
      <c r="L1049" s="69" t="s">
        <v>1537</v>
      </c>
      <c r="M1049" s="2"/>
      <c r="N1049" s="2">
        <v>1</v>
      </c>
      <c r="O1049" s="2"/>
      <c r="P1049" s="3" t="s">
        <v>1615</v>
      </c>
      <c r="Q1049" s="95">
        <f t="shared" si="84"/>
        <v>4.4674509803921572</v>
      </c>
      <c r="R1049" s="133">
        <f>IF(P1049=模板计算相关数据!$AB$24,VLOOKUP(X1049,模板计算相关数据!$P$47:$T$50,2,0),VLOOKUP(X1049,模板计算相关数据!$P$4:$U$7,3,0))*VLOOKUP(Y1049,模板计算相关数据!$P$22:$X$30,8,0)</f>
        <v>4.4674509803921572</v>
      </c>
      <c r="S1049" s="62">
        <f t="shared" si="85"/>
        <v>5.4739930589768004</v>
      </c>
      <c r="T1049" s="133">
        <f>IF(P1049=模板计算相关数据!$AB$24,VLOOKUP(X1049,模板计算相关数据!$P$47:$T$50,5,0),VLOOKUP(X1049,模板计算相关数据!$P$4:$U$7,6,0))*VLOOKUP(Y1049,模板计算相关数据!$P$22:$X$30,9,0)</f>
        <v>5.4739930589768004</v>
      </c>
      <c r="U1049" s="98">
        <v>57</v>
      </c>
      <c r="V1049" s="95">
        <f t="shared" si="83"/>
        <v>31</v>
      </c>
      <c r="W1049" s="29">
        <f>VLOOKUP(U1049,模板计算相关数据!A:N,2,0)</f>
        <v>28</v>
      </c>
      <c r="X1049" s="3" t="s">
        <v>151</v>
      </c>
      <c r="Y1049" s="3" t="s">
        <v>162</v>
      </c>
      <c r="Z1049" s="95">
        <v>1</v>
      </c>
      <c r="AA1049" s="95">
        <v>1</v>
      </c>
      <c r="AB1049" s="95">
        <v>1</v>
      </c>
      <c r="AC1049" s="95">
        <v>1</v>
      </c>
      <c r="AD1049" s="95">
        <v>0</v>
      </c>
      <c r="AE1049" s="95">
        <v>0</v>
      </c>
      <c r="AF1049" s="95">
        <v>0</v>
      </c>
      <c r="AG1049" s="95">
        <v>0</v>
      </c>
      <c r="AH1049" s="95">
        <v>0</v>
      </c>
      <c r="AI1049" s="95">
        <v>0</v>
      </c>
      <c r="AJ1049" s="3">
        <f>INT(VLOOKUP(U1049,模板计算相关数据!A:N,4,0)*VLOOKUP(U1049,模板计算相关数据!A:N,14,0)*(1+MAX(0,(VLOOKUP(U1049,模板计算相关数据!A:N,7,0)-AQ1049))*VLOOKUP(U1049,模板计算相关数据!A:N,8,0))*(1-(AL1049+AM1049)*0.5/((AL1049+AM1049)*0.5+(VLOOKUP(U1049,模板计算相关数据!A:N,2,0)+模板计算相关数据!$AC$27)*模板计算相关数据!$AC$28))*Q1049*Z1049)</f>
        <v>2971</v>
      </c>
      <c r="AK1049" s="3">
        <f>INT(VLOOKUP(U1049,模板计算相关数据!A:N,3,0)/模板计算相关数据!$W$35/(1+MAX(0,(AO1049/10000-VLOOKUP(U1049,模板计算相关数据!A:N,9,0)))*AP1049/10000)/(1-VLOOKUP(U1049,模板计算相关数据!A:N,5,0)/(VLOOKUP(U1049,模板计算相关数据!A:N,5,0)+(VLOOKUP(U1049,模板计算相关数据!A:N,2,0)+模板计算相关数据!$AC$27)*模板计算相关数据!$AC$28))/S1049*AA1049)</f>
        <v>1068</v>
      </c>
      <c r="AL1049" s="3">
        <f>INT(VLOOKUP(U1049,模板计算相关数据!A:N,5,0)*VLOOKUP(X1049,模板计算相关数据!$P$4:$T$7,4,0)*VLOOKUP(Y1049,模板计算相关数据!$P$22:$U$30,4,0)*AB1049)</f>
        <v>1288</v>
      </c>
      <c r="AM1049" s="3">
        <f>INT(VLOOKUP(U1049,模板计算相关数据!A:N,6,0)*VLOOKUP(X1049,模板计算相关数据!$P$4:$T$7,4,0)*VLOOKUP(Y1049,模板计算相关数据!$P$22:$U$30,5,0)*AC1049)</f>
        <v>2174</v>
      </c>
      <c r="AN1049" s="3">
        <f>VLOOKUP(U1049,模板计算相关数据!A:N,10,0)*0.5*VLOOKUP(Y1049,模板计算相关数据!$P$22:$U$30,6,0)+AD1049</f>
        <v>250</v>
      </c>
      <c r="AO1049" s="3">
        <f>VLOOKUP(INT(VLOOKUP(U1049,模板计算相关数据!A:N,2,0)/30)+1,模板计算相关数据!$O$35:$U$40,3,0)+AE1049</f>
        <v>0</v>
      </c>
      <c r="AP1049" s="3">
        <f>VLOOKUP(INT(VLOOKUP(U1049,模板计算相关数据!A:N,2,0)/30)+1,模板计算相关数据!$O$35:$U$40,4,0)+AF1049</f>
        <v>5000</v>
      </c>
      <c r="AQ1049" s="3">
        <f>VLOOKUP(INT(VLOOKUP(U1049,模板计算相关数据!A:N,2,0)/30)+1,模板计算相关数据!$O$35:$U$40,5,0)+AG1049</f>
        <v>0</v>
      </c>
      <c r="AR1049" s="3">
        <f>VLOOKUP(INT(VLOOKUP(U1049,模板计算相关数据!A:N,2,0)/30)+1,模板计算相关数据!$O$35:$U$40,6,0)+AH1049</f>
        <v>0</v>
      </c>
      <c r="AS1049" s="3">
        <f>VLOOKUP(INT(VLOOKUP(U1049,模板计算相关数据!A:N,2,0)/30)+1,模板计算相关数据!$O$35:$U$40,7,0)+AI1049</f>
        <v>0</v>
      </c>
      <c r="AT1049" s="3">
        <f>VLOOKUP(INT(VLOOKUP(U1049,模板计算相关数据!A:N,2,0)/30)+1,模板计算相关数据!$O$35:$V$40,8,0)</f>
        <v>0</v>
      </c>
      <c r="AU1049" s="2"/>
    </row>
    <row r="1050" spans="1:47" x14ac:dyDescent="0.2">
      <c r="A1050" s="86">
        <v>54004041</v>
      </c>
      <c r="B1050" s="86"/>
      <c r="C1050" s="69" t="s">
        <v>1513</v>
      </c>
      <c r="D1050" s="2" t="s">
        <v>1511</v>
      </c>
      <c r="E1050" s="2"/>
      <c r="F1050" s="2">
        <v>5</v>
      </c>
      <c r="G1050" s="3">
        <v>1002101</v>
      </c>
      <c r="H1050" s="3">
        <v>4</v>
      </c>
      <c r="I1050" s="2">
        <v>4</v>
      </c>
      <c r="J1050" s="3">
        <v>6</v>
      </c>
      <c r="K1050" s="2"/>
      <c r="L1050" s="69" t="s">
        <v>1537</v>
      </c>
      <c r="M1050" s="2"/>
      <c r="N1050" s="2">
        <v>1</v>
      </c>
      <c r="O1050" s="2"/>
      <c r="P1050" s="3" t="s">
        <v>1615</v>
      </c>
      <c r="Q1050" s="95">
        <f t="shared" si="84"/>
        <v>4.4674509803921572</v>
      </c>
      <c r="R1050" s="133">
        <f>IF(P1050=模板计算相关数据!$AB$24,VLOOKUP(X1050,模板计算相关数据!$P$47:$T$50,2,0),VLOOKUP(X1050,模板计算相关数据!$P$4:$U$7,3,0))*VLOOKUP(Y1050,模板计算相关数据!$P$22:$X$30,8,0)</f>
        <v>4.4674509803921572</v>
      </c>
      <c r="S1050" s="62">
        <f t="shared" si="85"/>
        <v>5.4739930589768004</v>
      </c>
      <c r="T1050" s="133">
        <f>IF(P1050=模板计算相关数据!$AB$24,VLOOKUP(X1050,模板计算相关数据!$P$47:$T$50,5,0),VLOOKUP(X1050,模板计算相关数据!$P$4:$U$7,6,0))*VLOOKUP(Y1050,模板计算相关数据!$P$22:$X$30,9,0)</f>
        <v>5.4739930589768004</v>
      </c>
      <c r="U1050" s="98">
        <v>59</v>
      </c>
      <c r="V1050" s="95">
        <f t="shared" si="83"/>
        <v>38</v>
      </c>
      <c r="W1050" s="29">
        <f>VLOOKUP(U1050,模板计算相关数据!A:N,2,0)</f>
        <v>35</v>
      </c>
      <c r="X1050" s="3" t="s">
        <v>151</v>
      </c>
      <c r="Y1050" s="3" t="s">
        <v>162</v>
      </c>
      <c r="Z1050" s="95">
        <v>1</v>
      </c>
      <c r="AA1050" s="95">
        <v>1</v>
      </c>
      <c r="AB1050" s="95">
        <v>1</v>
      </c>
      <c r="AC1050" s="95">
        <v>1</v>
      </c>
      <c r="AD1050" s="95">
        <v>0</v>
      </c>
      <c r="AE1050" s="95">
        <v>0</v>
      </c>
      <c r="AF1050" s="95">
        <v>0</v>
      </c>
      <c r="AG1050" s="95">
        <v>0</v>
      </c>
      <c r="AH1050" s="95">
        <v>0</v>
      </c>
      <c r="AI1050" s="95">
        <v>0</v>
      </c>
      <c r="AJ1050" s="3">
        <f>INT(VLOOKUP(U1050,模板计算相关数据!A:N,4,0)*VLOOKUP(U1050,模板计算相关数据!A:N,14,0)*(1+MAX(0,(VLOOKUP(U1050,模板计算相关数据!A:N,7,0)-AQ1050))*VLOOKUP(U1050,模板计算相关数据!A:N,8,0))*(1-(AL1050+AM1050)*0.5/((AL1050+AM1050)*0.5+(VLOOKUP(U1050,模板计算相关数据!A:N,2,0)+模板计算相关数据!$AC$27)*模板计算相关数据!$AC$28))*Q1050*Z1050)</f>
        <v>3700</v>
      </c>
      <c r="AK1050" s="3">
        <f>INT(VLOOKUP(U1050,模板计算相关数据!A:N,3,0)/模板计算相关数据!$W$35/(1+MAX(0,(AO1050/10000-VLOOKUP(U1050,模板计算相关数据!A:N,9,0)))*AP1050/10000)/(1-VLOOKUP(U1050,模板计算相关数据!A:N,5,0)/(VLOOKUP(U1050,模板计算相关数据!A:N,5,0)+(VLOOKUP(U1050,模板计算相关数据!A:N,2,0)+模板计算相关数据!$AC$27)*模板计算相关数据!$AC$28))/S1050*AA1050)</f>
        <v>1289</v>
      </c>
      <c r="AL1050" s="3">
        <f>INT(VLOOKUP(U1050,模板计算相关数据!A:N,5,0)*VLOOKUP(X1050,模板计算相关数据!$P$4:$T$7,4,0)*VLOOKUP(Y1050,模板计算相关数据!$P$22:$U$30,4,0)*AB1050)</f>
        <v>1566</v>
      </c>
      <c r="AM1050" s="3">
        <f>INT(VLOOKUP(U1050,模板计算相关数据!A:N,6,0)*VLOOKUP(X1050,模板计算相关数据!$P$4:$T$7,4,0)*VLOOKUP(Y1050,模板计算相关数据!$P$22:$U$30,5,0)*AC1050)</f>
        <v>2632</v>
      </c>
      <c r="AN1050" s="3">
        <f>VLOOKUP(U1050,模板计算相关数据!A:N,10,0)*0.5*VLOOKUP(Y1050,模板计算相关数据!$P$22:$U$30,6,0)+AD1050</f>
        <v>250</v>
      </c>
      <c r="AO1050" s="3">
        <f>VLOOKUP(INT(VLOOKUP(U1050,模板计算相关数据!A:N,2,0)/30)+1,模板计算相关数据!$O$35:$U$40,3,0)+AE1050</f>
        <v>0</v>
      </c>
      <c r="AP1050" s="3">
        <f>VLOOKUP(INT(VLOOKUP(U1050,模板计算相关数据!A:N,2,0)/30)+1,模板计算相关数据!$O$35:$U$40,4,0)+AF1050</f>
        <v>5000</v>
      </c>
      <c r="AQ1050" s="3">
        <f>VLOOKUP(INT(VLOOKUP(U1050,模板计算相关数据!A:N,2,0)/30)+1,模板计算相关数据!$O$35:$U$40,5,0)+AG1050</f>
        <v>0</v>
      </c>
      <c r="AR1050" s="3">
        <f>VLOOKUP(INT(VLOOKUP(U1050,模板计算相关数据!A:N,2,0)/30)+1,模板计算相关数据!$O$35:$U$40,6,0)+AH1050</f>
        <v>0</v>
      </c>
      <c r="AS1050" s="3">
        <f>VLOOKUP(INT(VLOOKUP(U1050,模板计算相关数据!A:N,2,0)/30)+1,模板计算相关数据!$O$35:$U$40,7,0)+AI1050</f>
        <v>0</v>
      </c>
      <c r="AT1050" s="3">
        <f>VLOOKUP(INT(VLOOKUP(U1050,模板计算相关数据!A:N,2,0)/30)+1,模板计算相关数据!$O$35:$V$40,8,0)</f>
        <v>0</v>
      </c>
      <c r="AU1050" s="2"/>
    </row>
    <row r="1051" spans="1:47" x14ac:dyDescent="0.2">
      <c r="A1051" s="86">
        <v>54004051</v>
      </c>
      <c r="B1051" s="86"/>
      <c r="C1051" s="69" t="s">
        <v>1513</v>
      </c>
      <c r="D1051" s="2" t="s">
        <v>1512</v>
      </c>
      <c r="E1051" s="2"/>
      <c r="F1051" s="2">
        <v>5</v>
      </c>
      <c r="G1051" s="3">
        <v>1002101</v>
      </c>
      <c r="H1051" s="3">
        <v>4</v>
      </c>
      <c r="I1051" s="2">
        <v>4</v>
      </c>
      <c r="J1051" s="3">
        <v>6</v>
      </c>
      <c r="K1051" s="2"/>
      <c r="L1051" s="69" t="s">
        <v>1537</v>
      </c>
      <c r="M1051" s="2"/>
      <c r="N1051" s="2">
        <v>1</v>
      </c>
      <c r="O1051" s="2"/>
      <c r="P1051" s="3" t="s">
        <v>1615</v>
      </c>
      <c r="Q1051" s="95">
        <f t="shared" si="84"/>
        <v>4.4674509803921572</v>
      </c>
      <c r="R1051" s="133">
        <f>IF(P1051=模板计算相关数据!$AB$24,VLOOKUP(X1051,模板计算相关数据!$P$47:$T$50,2,0),VLOOKUP(X1051,模板计算相关数据!$P$4:$U$7,3,0))*VLOOKUP(Y1051,模板计算相关数据!$P$22:$X$30,8,0)</f>
        <v>4.4674509803921572</v>
      </c>
      <c r="S1051" s="62">
        <f t="shared" si="85"/>
        <v>5.4739930589768004</v>
      </c>
      <c r="T1051" s="133">
        <f>IF(P1051=模板计算相关数据!$AB$24,VLOOKUP(X1051,模板计算相关数据!$P$47:$T$50,5,0),VLOOKUP(X1051,模板计算相关数据!$P$4:$U$7,6,0))*VLOOKUP(Y1051,模板计算相关数据!$P$22:$X$30,9,0)</f>
        <v>5.4739930589768004</v>
      </c>
      <c r="U1051" s="98">
        <v>61</v>
      </c>
      <c r="V1051" s="95">
        <f t="shared" si="83"/>
        <v>44</v>
      </c>
      <c r="W1051" s="29">
        <f>VLOOKUP(U1051,模板计算相关数据!A:N,2,0)</f>
        <v>41</v>
      </c>
      <c r="X1051" s="3" t="s">
        <v>151</v>
      </c>
      <c r="Y1051" s="3" t="s">
        <v>162</v>
      </c>
      <c r="Z1051" s="95">
        <v>1</v>
      </c>
      <c r="AA1051" s="95">
        <v>1</v>
      </c>
      <c r="AB1051" s="95">
        <v>1</v>
      </c>
      <c r="AC1051" s="95">
        <v>1</v>
      </c>
      <c r="AD1051" s="95">
        <v>0</v>
      </c>
      <c r="AE1051" s="95">
        <v>0</v>
      </c>
      <c r="AF1051" s="95">
        <v>0</v>
      </c>
      <c r="AG1051" s="95">
        <v>0</v>
      </c>
      <c r="AH1051" s="95">
        <v>0</v>
      </c>
      <c r="AI1051" s="95">
        <v>0</v>
      </c>
      <c r="AJ1051" s="3">
        <f>INT(VLOOKUP(U1051,模板计算相关数据!A:N,4,0)*VLOOKUP(U1051,模板计算相关数据!A:N,14,0)*(1+MAX(0,(VLOOKUP(U1051,模板计算相关数据!A:N,7,0)-AQ1051))*VLOOKUP(U1051,模板计算相关数据!A:N,8,0))*(1-(AL1051+AM1051)*0.5/((AL1051+AM1051)*0.5+(VLOOKUP(U1051,模板计算相关数据!A:N,2,0)+模板计算相关数据!$AC$27)*模板计算相关数据!$AC$28))*Q1051*Z1051)</f>
        <v>4470</v>
      </c>
      <c r="AK1051" s="3">
        <f>INT(VLOOKUP(U1051,模板计算相关数据!A:N,3,0)/模板计算相关数据!$W$35/(1+MAX(0,(AO1051/10000-VLOOKUP(U1051,模板计算相关数据!A:N,9,0)))*AP1051/10000)/(1-VLOOKUP(U1051,模板计算相关数据!A:N,5,0)/(VLOOKUP(U1051,模板计算相关数据!A:N,5,0)+(VLOOKUP(U1051,模板计算相关数据!A:N,2,0)+模板计算相关数据!$AC$27)*模板计算相关数据!$AC$28))/S1051*AA1051)</f>
        <v>1621</v>
      </c>
      <c r="AL1051" s="3">
        <f>INT(VLOOKUP(U1051,模板计算相关数据!A:N,5,0)*VLOOKUP(X1051,模板计算相关数据!$P$4:$T$7,4,0)*VLOOKUP(Y1051,模板计算相关数据!$P$22:$U$30,4,0)*AB1051)</f>
        <v>1939</v>
      </c>
      <c r="AM1051" s="3">
        <f>INT(VLOOKUP(U1051,模板计算相关数据!A:N,6,0)*VLOOKUP(X1051,模板计算相关数据!$P$4:$T$7,4,0)*VLOOKUP(Y1051,模板计算相关数据!$P$22:$U$30,5,0)*AC1051)</f>
        <v>3260</v>
      </c>
      <c r="AN1051" s="3">
        <f>VLOOKUP(U1051,模板计算相关数据!A:N,10,0)*0.5*VLOOKUP(Y1051,模板计算相关数据!$P$22:$U$30,6,0)+AD1051</f>
        <v>250</v>
      </c>
      <c r="AO1051" s="3">
        <f>VLOOKUP(INT(VLOOKUP(U1051,模板计算相关数据!A:N,2,0)/30)+1,模板计算相关数据!$O$35:$U$40,3,0)+AE1051</f>
        <v>0</v>
      </c>
      <c r="AP1051" s="3">
        <f>VLOOKUP(INT(VLOOKUP(U1051,模板计算相关数据!A:N,2,0)/30)+1,模板计算相关数据!$O$35:$U$40,4,0)+AF1051</f>
        <v>5000</v>
      </c>
      <c r="AQ1051" s="3">
        <f>VLOOKUP(INT(VLOOKUP(U1051,模板计算相关数据!A:N,2,0)/30)+1,模板计算相关数据!$O$35:$U$40,5,0)+AG1051</f>
        <v>0</v>
      </c>
      <c r="AR1051" s="3">
        <f>VLOOKUP(INT(VLOOKUP(U1051,模板计算相关数据!A:N,2,0)/30)+1,模板计算相关数据!$O$35:$U$40,6,0)+AH1051</f>
        <v>0</v>
      </c>
      <c r="AS1051" s="3">
        <f>VLOOKUP(INT(VLOOKUP(U1051,模板计算相关数据!A:N,2,0)/30)+1,模板计算相关数据!$O$35:$U$40,7,0)+AI1051</f>
        <v>0</v>
      </c>
      <c r="AT1051" s="3">
        <f>VLOOKUP(INT(VLOOKUP(U1051,模板计算相关数据!A:N,2,0)/30)+1,模板计算相关数据!$O$35:$V$40,8,0)</f>
        <v>0</v>
      </c>
      <c r="AU1051" s="2"/>
    </row>
    <row r="1052" spans="1:47" x14ac:dyDescent="0.2">
      <c r="A1052" s="86">
        <v>54004012</v>
      </c>
      <c r="B1052" s="86"/>
      <c r="C1052" s="69" t="s">
        <v>1514</v>
      </c>
      <c r="D1052" s="2" t="s">
        <v>1508</v>
      </c>
      <c r="E1052" s="2"/>
      <c r="F1052" s="2">
        <v>5</v>
      </c>
      <c r="G1052" s="3">
        <v>1002201</v>
      </c>
      <c r="H1052" s="3">
        <v>1</v>
      </c>
      <c r="I1052" s="2">
        <v>4</v>
      </c>
      <c r="J1052" s="3">
        <v>6</v>
      </c>
      <c r="K1052" s="2"/>
      <c r="L1052" s="69" t="s">
        <v>1538</v>
      </c>
      <c r="M1052" s="2"/>
      <c r="N1052" s="2">
        <v>1</v>
      </c>
      <c r="O1052" s="2"/>
      <c r="P1052" s="3" t="s">
        <v>1615</v>
      </c>
      <c r="Q1052" s="95">
        <f t="shared" si="84"/>
        <v>4.417254901960785</v>
      </c>
      <c r="R1052" s="133">
        <f>IF(P1052=模板计算相关数据!$AB$24,VLOOKUP(X1052,模板计算相关数据!$P$47:$T$50,2,0),VLOOKUP(X1052,模板计算相关数据!$P$4:$U$7,3,0))*VLOOKUP(Y1052,模板计算相关数据!$P$22:$X$30,8,0)</f>
        <v>4.417254901960785</v>
      </c>
      <c r="S1052" s="62">
        <f t="shared" si="85"/>
        <v>5.4285280003474252</v>
      </c>
      <c r="T1052" s="133">
        <f>IF(P1052=模板计算相关数据!$AB$24,VLOOKUP(X1052,模板计算相关数据!$P$47:$T$50,5,0),VLOOKUP(X1052,模板计算相关数据!$P$4:$U$7,6,0))*VLOOKUP(Y1052,模板计算相关数据!$P$22:$X$30,9,0)</f>
        <v>5.4285280003474252</v>
      </c>
      <c r="U1052" s="98">
        <v>54</v>
      </c>
      <c r="V1052" s="95">
        <f t="shared" si="83"/>
        <v>18</v>
      </c>
      <c r="W1052" s="29">
        <f>VLOOKUP(U1052,模板计算相关数据!A:N,2,0)</f>
        <v>15</v>
      </c>
      <c r="X1052" s="3" t="s">
        <v>151</v>
      </c>
      <c r="Y1052" s="3" t="s">
        <v>152</v>
      </c>
      <c r="Z1052" s="95">
        <v>1</v>
      </c>
      <c r="AA1052" s="95">
        <v>1</v>
      </c>
      <c r="AB1052" s="95">
        <v>1</v>
      </c>
      <c r="AC1052" s="95">
        <v>1</v>
      </c>
      <c r="AD1052" s="95">
        <v>0</v>
      </c>
      <c r="AE1052" s="95">
        <v>0</v>
      </c>
      <c r="AF1052" s="95">
        <v>0</v>
      </c>
      <c r="AG1052" s="95">
        <v>0</v>
      </c>
      <c r="AH1052" s="95">
        <v>0</v>
      </c>
      <c r="AI1052" s="95">
        <v>0</v>
      </c>
      <c r="AJ1052" s="3">
        <f>INT(VLOOKUP(U1052,模板计算相关数据!A:N,4,0)*VLOOKUP(U1052,模板计算相关数据!A:N,14,0)*(1+MAX(0,(VLOOKUP(U1052,模板计算相关数据!A:N,7,0)-AQ1052))*VLOOKUP(U1052,模板计算相关数据!A:N,8,0))*(1-(AL1052+AM1052)*0.5/((AL1052+AM1052)*0.5+(VLOOKUP(U1052,模板计算相关数据!A:N,2,0)+模板计算相关数据!$AC$27)*模板计算相关数据!$AC$28))*Q1052*Z1052)</f>
        <v>1337</v>
      </c>
      <c r="AK1052" s="3">
        <f>INT(VLOOKUP(U1052,模板计算相关数据!A:N,3,0)/模板计算相关数据!$W$35/(1+MAX(0,(AO1052/10000-VLOOKUP(U1052,模板计算相关数据!A:N,9,0)))*AP1052/10000)/(1-VLOOKUP(U1052,模板计算相关数据!A:N,5,0)/(VLOOKUP(U1052,模板计算相关数据!A:N,5,0)+(VLOOKUP(U1052,模板计算相关数据!A:N,2,0)+模板计算相关数据!$AC$27)*模板计算相关数据!$AC$28))/S1052*AA1052)</f>
        <v>376</v>
      </c>
      <c r="AL1052" s="3">
        <f>INT(VLOOKUP(U1052,模板计算相关数据!A:N,5,0)*VLOOKUP(X1052,模板计算相关数据!$P$4:$T$7,4,0)*VLOOKUP(Y1052,模板计算相关数据!$P$22:$U$30,4,0)*AB1052)</f>
        <v>852</v>
      </c>
      <c r="AM1052" s="3">
        <f>INT(VLOOKUP(U1052,模板计算相关数据!A:N,6,0)*VLOOKUP(X1052,模板计算相关数据!$P$4:$T$7,4,0)*VLOOKUP(Y1052,模板计算相关数据!$P$22:$U$30,5,0)*AC1052)</f>
        <v>505</v>
      </c>
      <c r="AN1052" s="3">
        <f>VLOOKUP(U1052,模板计算相关数据!A:N,10,0)*0.5*VLOOKUP(Y1052,模板计算相关数据!$P$22:$U$30,6,0)+AD1052</f>
        <v>250</v>
      </c>
      <c r="AO1052" s="3">
        <f>VLOOKUP(INT(VLOOKUP(U1052,模板计算相关数据!A:N,2,0)/30)+1,模板计算相关数据!$O$35:$U$40,3,0)+AE1052</f>
        <v>0</v>
      </c>
      <c r="AP1052" s="3">
        <f>VLOOKUP(INT(VLOOKUP(U1052,模板计算相关数据!A:N,2,0)/30)+1,模板计算相关数据!$O$35:$U$40,4,0)+AF1052</f>
        <v>5000</v>
      </c>
      <c r="AQ1052" s="3">
        <f>VLOOKUP(INT(VLOOKUP(U1052,模板计算相关数据!A:N,2,0)/30)+1,模板计算相关数据!$O$35:$U$40,5,0)+AG1052</f>
        <v>0</v>
      </c>
      <c r="AR1052" s="3">
        <f>VLOOKUP(INT(VLOOKUP(U1052,模板计算相关数据!A:N,2,0)/30)+1,模板计算相关数据!$O$35:$U$40,6,0)+AH1052</f>
        <v>0</v>
      </c>
      <c r="AS1052" s="3">
        <f>VLOOKUP(INT(VLOOKUP(U1052,模板计算相关数据!A:N,2,0)/30)+1,模板计算相关数据!$O$35:$U$40,7,0)+AI1052</f>
        <v>0</v>
      </c>
      <c r="AT1052" s="3">
        <f>VLOOKUP(INT(VLOOKUP(U1052,模板计算相关数据!A:N,2,0)/30)+1,模板计算相关数据!$O$35:$V$40,8,0)</f>
        <v>0</v>
      </c>
      <c r="AU1052" s="2"/>
    </row>
    <row r="1053" spans="1:47" x14ac:dyDescent="0.2">
      <c r="A1053" s="86">
        <v>54004022</v>
      </c>
      <c r="B1053" s="86"/>
      <c r="C1053" s="69" t="s">
        <v>1514</v>
      </c>
      <c r="D1053" s="2" t="s">
        <v>1509</v>
      </c>
      <c r="E1053" s="2"/>
      <c r="F1053" s="2">
        <v>5</v>
      </c>
      <c r="G1053" s="3">
        <v>1002201</v>
      </c>
      <c r="H1053" s="3">
        <v>1</v>
      </c>
      <c r="I1053" s="2">
        <v>4</v>
      </c>
      <c r="J1053" s="3">
        <v>6</v>
      </c>
      <c r="K1053" s="2"/>
      <c r="L1053" s="69" t="s">
        <v>1538</v>
      </c>
      <c r="M1053" s="2"/>
      <c r="N1053" s="2">
        <v>1</v>
      </c>
      <c r="O1053" s="2"/>
      <c r="P1053" s="3" t="s">
        <v>1615</v>
      </c>
      <c r="Q1053" s="95">
        <f t="shared" si="84"/>
        <v>4.417254901960785</v>
      </c>
      <c r="R1053" s="133">
        <f>IF(P1053=模板计算相关数据!$AB$24,VLOOKUP(X1053,模板计算相关数据!$P$47:$T$50,2,0),VLOOKUP(X1053,模板计算相关数据!$P$4:$U$7,3,0))*VLOOKUP(Y1053,模板计算相关数据!$P$22:$X$30,8,0)</f>
        <v>4.417254901960785</v>
      </c>
      <c r="S1053" s="62">
        <f t="shared" si="85"/>
        <v>5.4285280003474252</v>
      </c>
      <c r="T1053" s="133">
        <f>IF(P1053=模板计算相关数据!$AB$24,VLOOKUP(X1053,模板计算相关数据!$P$47:$T$50,5,0),VLOOKUP(X1053,模板计算相关数据!$P$4:$U$7,6,0))*VLOOKUP(Y1053,模板计算相关数据!$P$22:$X$30,9,0)</f>
        <v>5.4285280003474252</v>
      </c>
      <c r="U1053" s="98">
        <v>55</v>
      </c>
      <c r="V1053" s="95">
        <f t="shared" si="83"/>
        <v>22</v>
      </c>
      <c r="W1053" s="29">
        <f>VLOOKUP(U1053,模板计算相关数据!A:N,2,0)</f>
        <v>19</v>
      </c>
      <c r="X1053" s="3" t="s">
        <v>151</v>
      </c>
      <c r="Y1053" s="3" t="s">
        <v>152</v>
      </c>
      <c r="Z1053" s="95">
        <v>1</v>
      </c>
      <c r="AA1053" s="95">
        <v>1</v>
      </c>
      <c r="AB1053" s="95">
        <v>1</v>
      </c>
      <c r="AC1053" s="95">
        <v>1</v>
      </c>
      <c r="AD1053" s="95">
        <v>0</v>
      </c>
      <c r="AE1053" s="95">
        <v>0</v>
      </c>
      <c r="AF1053" s="95">
        <v>0</v>
      </c>
      <c r="AG1053" s="95">
        <v>0</v>
      </c>
      <c r="AH1053" s="95">
        <v>0</v>
      </c>
      <c r="AI1053" s="95">
        <v>0</v>
      </c>
      <c r="AJ1053" s="3">
        <f>INT(VLOOKUP(U1053,模板计算相关数据!A:N,4,0)*VLOOKUP(U1053,模板计算相关数据!A:N,14,0)*(1+MAX(0,(VLOOKUP(U1053,模板计算相关数据!A:N,7,0)-AQ1053))*VLOOKUP(U1053,模板计算相关数据!A:N,8,0))*(1-(AL1053+AM1053)*0.5/((AL1053+AM1053)*0.5+(VLOOKUP(U1053,模板计算相关数据!A:N,2,0)+模板计算相关数据!$AC$27)*模板计算相关数据!$AC$28))*Q1053*Z1053)</f>
        <v>2068</v>
      </c>
      <c r="AK1053" s="3">
        <f>INT(VLOOKUP(U1053,模板计算相关数据!A:N,3,0)/模板计算相关数据!$W$35/(1+MAX(0,(AO1053/10000-VLOOKUP(U1053,模板计算相关数据!A:N,9,0)))*AP1053/10000)/(1-VLOOKUP(U1053,模板计算相关数据!A:N,5,0)/(VLOOKUP(U1053,模板计算相关数据!A:N,5,0)+(VLOOKUP(U1053,模板计算相关数据!A:N,2,0)+模板计算相关数据!$AC$27)*模板计算相关数据!$AC$28))/S1053*AA1053)</f>
        <v>725</v>
      </c>
      <c r="AL1053" s="3">
        <f>INT(VLOOKUP(U1053,模板计算相关数据!A:N,5,0)*VLOOKUP(X1053,模板计算相关数据!$P$4:$T$7,4,0)*VLOOKUP(Y1053,模板计算相关数据!$P$22:$U$30,4,0)*AB1053)</f>
        <v>1414</v>
      </c>
      <c r="AM1053" s="3">
        <f>INT(VLOOKUP(U1053,模板计算相关数据!A:N,6,0)*VLOOKUP(X1053,模板计算相关数据!$P$4:$T$7,4,0)*VLOOKUP(Y1053,模板计算相关数据!$P$22:$U$30,5,0)*AC1053)</f>
        <v>829</v>
      </c>
      <c r="AN1053" s="3">
        <f>VLOOKUP(U1053,模板计算相关数据!A:N,10,0)*0.5*VLOOKUP(Y1053,模板计算相关数据!$P$22:$U$30,6,0)+AD1053</f>
        <v>250</v>
      </c>
      <c r="AO1053" s="3">
        <f>VLOOKUP(INT(VLOOKUP(U1053,模板计算相关数据!A:N,2,0)/30)+1,模板计算相关数据!$O$35:$U$40,3,0)+AE1053</f>
        <v>0</v>
      </c>
      <c r="AP1053" s="3">
        <f>VLOOKUP(INT(VLOOKUP(U1053,模板计算相关数据!A:N,2,0)/30)+1,模板计算相关数据!$O$35:$U$40,4,0)+AF1053</f>
        <v>5000</v>
      </c>
      <c r="AQ1053" s="3">
        <f>VLOOKUP(INT(VLOOKUP(U1053,模板计算相关数据!A:N,2,0)/30)+1,模板计算相关数据!$O$35:$U$40,5,0)+AG1053</f>
        <v>0</v>
      </c>
      <c r="AR1053" s="3">
        <f>VLOOKUP(INT(VLOOKUP(U1053,模板计算相关数据!A:N,2,0)/30)+1,模板计算相关数据!$O$35:$U$40,6,0)+AH1053</f>
        <v>0</v>
      </c>
      <c r="AS1053" s="3">
        <f>VLOOKUP(INT(VLOOKUP(U1053,模板计算相关数据!A:N,2,0)/30)+1,模板计算相关数据!$O$35:$U$40,7,0)+AI1053</f>
        <v>0</v>
      </c>
      <c r="AT1053" s="3">
        <f>VLOOKUP(INT(VLOOKUP(U1053,模板计算相关数据!A:N,2,0)/30)+1,模板计算相关数据!$O$35:$V$40,8,0)</f>
        <v>0</v>
      </c>
      <c r="AU1053" s="2"/>
    </row>
    <row r="1054" spans="1:47" x14ac:dyDescent="0.2">
      <c r="A1054" s="86">
        <v>54004032</v>
      </c>
      <c r="B1054" s="86"/>
      <c r="C1054" s="69" t="s">
        <v>1514</v>
      </c>
      <c r="D1054" s="2" t="s">
        <v>1510</v>
      </c>
      <c r="E1054" s="2"/>
      <c r="F1054" s="2">
        <v>5</v>
      </c>
      <c r="G1054" s="3">
        <v>1002201</v>
      </c>
      <c r="H1054" s="3">
        <v>1</v>
      </c>
      <c r="I1054" s="2">
        <v>4</v>
      </c>
      <c r="J1054" s="3">
        <v>6</v>
      </c>
      <c r="K1054" s="2"/>
      <c r="L1054" s="69" t="s">
        <v>1538</v>
      </c>
      <c r="M1054" s="2"/>
      <c r="N1054" s="2">
        <v>1</v>
      </c>
      <c r="O1054" s="2"/>
      <c r="P1054" s="3" t="s">
        <v>1615</v>
      </c>
      <c r="Q1054" s="95">
        <f t="shared" si="84"/>
        <v>4.417254901960785</v>
      </c>
      <c r="R1054" s="133">
        <f>IF(P1054=模板计算相关数据!$AB$24,VLOOKUP(X1054,模板计算相关数据!$P$47:$T$50,2,0),VLOOKUP(X1054,模板计算相关数据!$P$4:$U$7,3,0))*VLOOKUP(Y1054,模板计算相关数据!$P$22:$X$30,8,0)</f>
        <v>4.417254901960785</v>
      </c>
      <c r="S1054" s="62">
        <f t="shared" si="85"/>
        <v>5.4285280003474252</v>
      </c>
      <c r="T1054" s="133">
        <f>IF(P1054=模板计算相关数据!$AB$24,VLOOKUP(X1054,模板计算相关数据!$P$47:$T$50,5,0),VLOOKUP(X1054,模板计算相关数据!$P$4:$U$7,6,0))*VLOOKUP(Y1054,模板计算相关数据!$P$22:$X$30,9,0)</f>
        <v>5.4285280003474252</v>
      </c>
      <c r="U1054" s="98">
        <v>57</v>
      </c>
      <c r="V1054" s="95">
        <f t="shared" si="83"/>
        <v>31</v>
      </c>
      <c r="W1054" s="29">
        <f>VLOOKUP(U1054,模板计算相关数据!A:N,2,0)</f>
        <v>28</v>
      </c>
      <c r="X1054" s="3" t="s">
        <v>151</v>
      </c>
      <c r="Y1054" s="3" t="s">
        <v>152</v>
      </c>
      <c r="Z1054" s="95">
        <v>1</v>
      </c>
      <c r="AA1054" s="95">
        <v>1</v>
      </c>
      <c r="AB1054" s="95">
        <v>1</v>
      </c>
      <c r="AC1054" s="95">
        <v>1</v>
      </c>
      <c r="AD1054" s="95">
        <v>0</v>
      </c>
      <c r="AE1054" s="95">
        <v>0</v>
      </c>
      <c r="AF1054" s="95">
        <v>0</v>
      </c>
      <c r="AG1054" s="95">
        <v>0</v>
      </c>
      <c r="AH1054" s="95">
        <v>0</v>
      </c>
      <c r="AI1054" s="95">
        <v>0</v>
      </c>
      <c r="AJ1054" s="3">
        <f>INT(VLOOKUP(U1054,模板计算相关数据!A:N,4,0)*VLOOKUP(U1054,模板计算相关数据!A:N,14,0)*(1+MAX(0,(VLOOKUP(U1054,模板计算相关数据!A:N,7,0)-AQ1054))*VLOOKUP(U1054,模板计算相关数据!A:N,8,0))*(1-(AL1054+AM1054)*0.5/((AL1054+AM1054)*0.5+(VLOOKUP(U1054,模板计算相关数据!A:N,2,0)+模板计算相关数据!$AC$27)*模板计算相关数据!$AC$28))*Q1054*Z1054)</f>
        <v>2937</v>
      </c>
      <c r="AK1054" s="3">
        <f>INT(VLOOKUP(U1054,模板计算相关数据!A:N,3,0)/模板计算相关数据!$W$35/(1+MAX(0,(AO1054/10000-VLOOKUP(U1054,模板计算相关数据!A:N,9,0)))*AP1054/10000)/(1-VLOOKUP(U1054,模板计算相关数据!A:N,5,0)/(VLOOKUP(U1054,模板计算相关数据!A:N,5,0)+(VLOOKUP(U1054,模板计算相关数据!A:N,2,0)+模板计算相关数据!$AC$27)*模板计算相关数据!$AC$28))/S1054*AA1054)</f>
        <v>1077</v>
      </c>
      <c r="AL1054" s="3">
        <f>INT(VLOOKUP(U1054,模板计算相关数据!A:N,5,0)*VLOOKUP(X1054,模板计算相关数据!$P$4:$T$7,4,0)*VLOOKUP(Y1054,模板计算相关数据!$P$22:$U$30,4,0)*AB1054)</f>
        <v>2174</v>
      </c>
      <c r="AM1054" s="3">
        <f>INT(VLOOKUP(U1054,模板计算相关数据!A:N,6,0)*VLOOKUP(X1054,模板计算相关数据!$P$4:$T$7,4,0)*VLOOKUP(Y1054,模板计算相关数据!$P$22:$U$30,5,0)*AC1054)</f>
        <v>1288</v>
      </c>
      <c r="AN1054" s="3">
        <f>VLOOKUP(U1054,模板计算相关数据!A:N,10,0)*0.5*VLOOKUP(Y1054,模板计算相关数据!$P$22:$U$30,6,0)+AD1054</f>
        <v>250</v>
      </c>
      <c r="AO1054" s="3">
        <f>VLOOKUP(INT(VLOOKUP(U1054,模板计算相关数据!A:N,2,0)/30)+1,模板计算相关数据!$O$35:$U$40,3,0)+AE1054</f>
        <v>0</v>
      </c>
      <c r="AP1054" s="3">
        <f>VLOOKUP(INT(VLOOKUP(U1054,模板计算相关数据!A:N,2,0)/30)+1,模板计算相关数据!$O$35:$U$40,4,0)+AF1054</f>
        <v>5000</v>
      </c>
      <c r="AQ1054" s="3">
        <f>VLOOKUP(INT(VLOOKUP(U1054,模板计算相关数据!A:N,2,0)/30)+1,模板计算相关数据!$O$35:$U$40,5,0)+AG1054</f>
        <v>0</v>
      </c>
      <c r="AR1054" s="3">
        <f>VLOOKUP(INT(VLOOKUP(U1054,模板计算相关数据!A:N,2,0)/30)+1,模板计算相关数据!$O$35:$U$40,6,0)+AH1054</f>
        <v>0</v>
      </c>
      <c r="AS1054" s="3">
        <f>VLOOKUP(INT(VLOOKUP(U1054,模板计算相关数据!A:N,2,0)/30)+1,模板计算相关数据!$O$35:$U$40,7,0)+AI1054</f>
        <v>0</v>
      </c>
      <c r="AT1054" s="3">
        <f>VLOOKUP(INT(VLOOKUP(U1054,模板计算相关数据!A:N,2,0)/30)+1,模板计算相关数据!$O$35:$V$40,8,0)</f>
        <v>0</v>
      </c>
      <c r="AU1054" s="2"/>
    </row>
    <row r="1055" spans="1:47" x14ac:dyDescent="0.2">
      <c r="A1055" s="86">
        <v>54004042</v>
      </c>
      <c r="B1055" s="86"/>
      <c r="C1055" s="69" t="s">
        <v>1514</v>
      </c>
      <c r="D1055" s="2" t="s">
        <v>1511</v>
      </c>
      <c r="E1055" s="2"/>
      <c r="F1055" s="2">
        <v>5</v>
      </c>
      <c r="G1055" s="3">
        <v>1002201</v>
      </c>
      <c r="H1055" s="3">
        <v>1</v>
      </c>
      <c r="I1055" s="2">
        <v>4</v>
      </c>
      <c r="J1055" s="3">
        <v>6</v>
      </c>
      <c r="K1055" s="2"/>
      <c r="L1055" s="69" t="s">
        <v>1538</v>
      </c>
      <c r="M1055" s="2"/>
      <c r="N1055" s="2">
        <v>1</v>
      </c>
      <c r="O1055" s="2"/>
      <c r="P1055" s="3" t="s">
        <v>1615</v>
      </c>
      <c r="Q1055" s="95">
        <f t="shared" si="84"/>
        <v>4.417254901960785</v>
      </c>
      <c r="R1055" s="133">
        <f>IF(P1055=模板计算相关数据!$AB$24,VLOOKUP(X1055,模板计算相关数据!$P$47:$T$50,2,0),VLOOKUP(X1055,模板计算相关数据!$P$4:$U$7,3,0))*VLOOKUP(Y1055,模板计算相关数据!$P$22:$X$30,8,0)</f>
        <v>4.417254901960785</v>
      </c>
      <c r="S1055" s="62">
        <f t="shared" si="85"/>
        <v>5.4285280003474252</v>
      </c>
      <c r="T1055" s="133">
        <f>IF(P1055=模板计算相关数据!$AB$24,VLOOKUP(X1055,模板计算相关数据!$P$47:$T$50,5,0),VLOOKUP(X1055,模板计算相关数据!$P$4:$U$7,6,0))*VLOOKUP(Y1055,模板计算相关数据!$P$22:$X$30,9,0)</f>
        <v>5.4285280003474252</v>
      </c>
      <c r="U1055" s="98">
        <v>59</v>
      </c>
      <c r="V1055" s="95">
        <f t="shared" si="83"/>
        <v>38</v>
      </c>
      <c r="W1055" s="29">
        <f>VLOOKUP(U1055,模板计算相关数据!A:N,2,0)</f>
        <v>35</v>
      </c>
      <c r="X1055" s="3" t="s">
        <v>151</v>
      </c>
      <c r="Y1055" s="3" t="s">
        <v>152</v>
      </c>
      <c r="Z1055" s="95">
        <v>1</v>
      </c>
      <c r="AA1055" s="95">
        <v>1</v>
      </c>
      <c r="AB1055" s="95">
        <v>1</v>
      </c>
      <c r="AC1055" s="95">
        <v>1</v>
      </c>
      <c r="AD1055" s="95">
        <v>0</v>
      </c>
      <c r="AE1055" s="95">
        <v>0</v>
      </c>
      <c r="AF1055" s="95">
        <v>0</v>
      </c>
      <c r="AG1055" s="95">
        <v>0</v>
      </c>
      <c r="AH1055" s="95">
        <v>0</v>
      </c>
      <c r="AI1055" s="95">
        <v>0</v>
      </c>
      <c r="AJ1055" s="3">
        <f>INT(VLOOKUP(U1055,模板计算相关数据!A:N,4,0)*VLOOKUP(U1055,模板计算相关数据!A:N,14,0)*(1+MAX(0,(VLOOKUP(U1055,模板计算相关数据!A:N,7,0)-AQ1055))*VLOOKUP(U1055,模板计算相关数据!A:N,8,0))*(1-(AL1055+AM1055)*0.5/((AL1055+AM1055)*0.5+(VLOOKUP(U1055,模板计算相关数据!A:N,2,0)+模板计算相关数据!$AC$27)*模板计算相关数据!$AC$28))*Q1055*Z1055)</f>
        <v>3657</v>
      </c>
      <c r="AK1055" s="3">
        <f>INT(VLOOKUP(U1055,模板计算相关数据!A:N,3,0)/模板计算相关数据!$W$35/(1+MAX(0,(AO1055/10000-VLOOKUP(U1055,模板计算相关数据!A:N,9,0)))*AP1055/10000)/(1-VLOOKUP(U1055,模板计算相关数据!A:N,5,0)/(VLOOKUP(U1055,模板计算相关数据!A:N,5,0)+(VLOOKUP(U1055,模板计算相关数据!A:N,2,0)+模板计算相关数据!$AC$27)*模板计算相关数据!$AC$28))/S1055*AA1055)</f>
        <v>1300</v>
      </c>
      <c r="AL1055" s="3">
        <f>INT(VLOOKUP(U1055,模板计算相关数据!A:N,5,0)*VLOOKUP(X1055,模板计算相关数据!$P$4:$T$7,4,0)*VLOOKUP(Y1055,模板计算相关数据!$P$22:$U$30,4,0)*AB1055)</f>
        <v>2642</v>
      </c>
      <c r="AM1055" s="3">
        <f>INT(VLOOKUP(U1055,模板计算相关数据!A:N,6,0)*VLOOKUP(X1055,模板计算相关数据!$P$4:$T$7,4,0)*VLOOKUP(Y1055,模板计算相关数据!$P$22:$U$30,5,0)*AC1055)</f>
        <v>1560</v>
      </c>
      <c r="AN1055" s="3">
        <f>VLOOKUP(U1055,模板计算相关数据!A:N,10,0)*0.5*VLOOKUP(Y1055,模板计算相关数据!$P$22:$U$30,6,0)+AD1055</f>
        <v>250</v>
      </c>
      <c r="AO1055" s="3">
        <f>VLOOKUP(INT(VLOOKUP(U1055,模板计算相关数据!A:N,2,0)/30)+1,模板计算相关数据!$O$35:$U$40,3,0)+AE1055</f>
        <v>0</v>
      </c>
      <c r="AP1055" s="3">
        <f>VLOOKUP(INT(VLOOKUP(U1055,模板计算相关数据!A:N,2,0)/30)+1,模板计算相关数据!$O$35:$U$40,4,0)+AF1055</f>
        <v>5000</v>
      </c>
      <c r="AQ1055" s="3">
        <f>VLOOKUP(INT(VLOOKUP(U1055,模板计算相关数据!A:N,2,0)/30)+1,模板计算相关数据!$O$35:$U$40,5,0)+AG1055</f>
        <v>0</v>
      </c>
      <c r="AR1055" s="3">
        <f>VLOOKUP(INT(VLOOKUP(U1055,模板计算相关数据!A:N,2,0)/30)+1,模板计算相关数据!$O$35:$U$40,6,0)+AH1055</f>
        <v>0</v>
      </c>
      <c r="AS1055" s="3">
        <f>VLOOKUP(INT(VLOOKUP(U1055,模板计算相关数据!A:N,2,0)/30)+1,模板计算相关数据!$O$35:$U$40,7,0)+AI1055</f>
        <v>0</v>
      </c>
      <c r="AT1055" s="3">
        <f>VLOOKUP(INT(VLOOKUP(U1055,模板计算相关数据!A:N,2,0)/30)+1,模板计算相关数据!$O$35:$V$40,8,0)</f>
        <v>0</v>
      </c>
      <c r="AU1055" s="2"/>
    </row>
    <row r="1056" spans="1:47" x14ac:dyDescent="0.2">
      <c r="A1056" s="86">
        <v>54004052</v>
      </c>
      <c r="B1056" s="86"/>
      <c r="C1056" s="69" t="s">
        <v>1514</v>
      </c>
      <c r="D1056" s="2" t="s">
        <v>1512</v>
      </c>
      <c r="E1056" s="2"/>
      <c r="F1056" s="2">
        <v>5</v>
      </c>
      <c r="G1056" s="3">
        <v>1002201</v>
      </c>
      <c r="H1056" s="3">
        <v>1</v>
      </c>
      <c r="I1056" s="2">
        <v>4</v>
      </c>
      <c r="J1056" s="3">
        <v>6</v>
      </c>
      <c r="K1056" s="2"/>
      <c r="L1056" s="69" t="s">
        <v>1538</v>
      </c>
      <c r="M1056" s="2"/>
      <c r="N1056" s="2">
        <v>1</v>
      </c>
      <c r="O1056" s="2"/>
      <c r="P1056" s="3" t="s">
        <v>1615</v>
      </c>
      <c r="Q1056" s="95">
        <f t="shared" si="84"/>
        <v>4.417254901960785</v>
      </c>
      <c r="R1056" s="133">
        <f>IF(P1056=模板计算相关数据!$AB$24,VLOOKUP(X1056,模板计算相关数据!$P$47:$T$50,2,0),VLOOKUP(X1056,模板计算相关数据!$P$4:$U$7,3,0))*VLOOKUP(Y1056,模板计算相关数据!$P$22:$X$30,8,0)</f>
        <v>4.417254901960785</v>
      </c>
      <c r="S1056" s="62">
        <f t="shared" si="85"/>
        <v>5.4285280003474252</v>
      </c>
      <c r="T1056" s="133">
        <f>IF(P1056=模板计算相关数据!$AB$24,VLOOKUP(X1056,模板计算相关数据!$P$47:$T$50,5,0),VLOOKUP(X1056,模板计算相关数据!$P$4:$U$7,6,0))*VLOOKUP(Y1056,模板计算相关数据!$P$22:$X$30,9,0)</f>
        <v>5.4285280003474252</v>
      </c>
      <c r="U1056" s="98">
        <v>61</v>
      </c>
      <c r="V1056" s="95">
        <f t="shared" si="83"/>
        <v>44</v>
      </c>
      <c r="W1056" s="29">
        <f>VLOOKUP(U1056,模板计算相关数据!A:N,2,0)</f>
        <v>41</v>
      </c>
      <c r="X1056" s="3" t="s">
        <v>151</v>
      </c>
      <c r="Y1056" s="3" t="s">
        <v>152</v>
      </c>
      <c r="Z1056" s="95">
        <v>1</v>
      </c>
      <c r="AA1056" s="95">
        <v>1</v>
      </c>
      <c r="AB1056" s="95">
        <v>1</v>
      </c>
      <c r="AC1056" s="95">
        <v>1</v>
      </c>
      <c r="AD1056" s="95">
        <v>0</v>
      </c>
      <c r="AE1056" s="95">
        <v>0</v>
      </c>
      <c r="AF1056" s="95">
        <v>0</v>
      </c>
      <c r="AG1056" s="95">
        <v>0</v>
      </c>
      <c r="AH1056" s="95">
        <v>0</v>
      </c>
      <c r="AI1056" s="95">
        <v>0</v>
      </c>
      <c r="AJ1056" s="3">
        <f>INT(VLOOKUP(U1056,模板计算相关数据!A:N,4,0)*VLOOKUP(U1056,模板计算相关数据!A:N,14,0)*(1+MAX(0,(VLOOKUP(U1056,模板计算相关数据!A:N,7,0)-AQ1056))*VLOOKUP(U1056,模板计算相关数据!A:N,8,0))*(1-(AL1056+AM1056)*0.5/((AL1056+AM1056)*0.5+(VLOOKUP(U1056,模板计算相关数据!A:N,2,0)+模板计算相关数据!$AC$27)*模板计算相关数据!$AC$28))*Q1056*Z1056)</f>
        <v>4418</v>
      </c>
      <c r="AK1056" s="3">
        <f>INT(VLOOKUP(U1056,模板计算相关数据!A:N,3,0)/模板计算相关数据!$W$35/(1+MAX(0,(AO1056/10000-VLOOKUP(U1056,模板计算相关数据!A:N,9,0)))*AP1056/10000)/(1-VLOOKUP(U1056,模板计算相关数据!A:N,5,0)/(VLOOKUP(U1056,模板计算相关数据!A:N,5,0)+(VLOOKUP(U1056,模板计算相关数据!A:N,2,0)+模板计算相关数据!$AC$27)*模板计算相关数据!$AC$28))/S1056*AA1056)</f>
        <v>1634</v>
      </c>
      <c r="AL1056" s="3">
        <f>INT(VLOOKUP(U1056,模板计算相关数据!A:N,5,0)*VLOOKUP(X1056,模板计算相关数据!$P$4:$T$7,4,0)*VLOOKUP(Y1056,模板计算相关数据!$P$22:$U$30,4,0)*AB1056)</f>
        <v>3272</v>
      </c>
      <c r="AM1056" s="3">
        <f>INT(VLOOKUP(U1056,模板计算相关数据!A:N,6,0)*VLOOKUP(X1056,模板计算相关数据!$P$4:$T$7,4,0)*VLOOKUP(Y1056,模板计算相关数据!$P$22:$U$30,5,0)*AC1056)</f>
        <v>1932</v>
      </c>
      <c r="AN1056" s="3">
        <f>VLOOKUP(U1056,模板计算相关数据!A:N,10,0)*0.5*VLOOKUP(Y1056,模板计算相关数据!$P$22:$U$30,6,0)+AD1056</f>
        <v>250</v>
      </c>
      <c r="AO1056" s="3">
        <f>VLOOKUP(INT(VLOOKUP(U1056,模板计算相关数据!A:N,2,0)/30)+1,模板计算相关数据!$O$35:$U$40,3,0)+AE1056</f>
        <v>0</v>
      </c>
      <c r="AP1056" s="3">
        <f>VLOOKUP(INT(VLOOKUP(U1056,模板计算相关数据!A:N,2,0)/30)+1,模板计算相关数据!$O$35:$U$40,4,0)+AF1056</f>
        <v>5000</v>
      </c>
      <c r="AQ1056" s="3">
        <f>VLOOKUP(INT(VLOOKUP(U1056,模板计算相关数据!A:N,2,0)/30)+1,模板计算相关数据!$O$35:$U$40,5,0)+AG1056</f>
        <v>0</v>
      </c>
      <c r="AR1056" s="3">
        <f>VLOOKUP(INT(VLOOKUP(U1056,模板计算相关数据!A:N,2,0)/30)+1,模板计算相关数据!$O$35:$U$40,6,0)+AH1056</f>
        <v>0</v>
      </c>
      <c r="AS1056" s="3">
        <f>VLOOKUP(INT(VLOOKUP(U1056,模板计算相关数据!A:N,2,0)/30)+1,模板计算相关数据!$O$35:$U$40,7,0)+AI1056</f>
        <v>0</v>
      </c>
      <c r="AT1056" s="3">
        <f>VLOOKUP(INT(VLOOKUP(U1056,模板计算相关数据!A:N,2,0)/30)+1,模板计算相关数据!$O$35:$V$40,8,0)</f>
        <v>0</v>
      </c>
      <c r="AU1056" s="2"/>
    </row>
    <row r="1057" spans="1:47" x14ac:dyDescent="0.2">
      <c r="A1057" s="86">
        <v>54004013</v>
      </c>
      <c r="B1057" s="86"/>
      <c r="C1057" s="69" t="s">
        <v>1515</v>
      </c>
      <c r="D1057" s="2" t="s">
        <v>1508</v>
      </c>
      <c r="E1057" s="2"/>
      <c r="F1057" s="2">
        <v>5</v>
      </c>
      <c r="G1057" s="3">
        <v>1002301</v>
      </c>
      <c r="H1057" s="3">
        <v>5</v>
      </c>
      <c r="I1057" s="2">
        <v>4</v>
      </c>
      <c r="J1057" s="3">
        <v>6</v>
      </c>
      <c r="K1057" s="2"/>
      <c r="L1057" s="69" t="s">
        <v>1539</v>
      </c>
      <c r="M1057" s="2"/>
      <c r="N1057" s="2">
        <v>1</v>
      </c>
      <c r="O1057" s="2"/>
      <c r="P1057" s="3" t="s">
        <v>1615</v>
      </c>
      <c r="Q1057" s="95">
        <f t="shared" si="84"/>
        <v>5.7709803921568623</v>
      </c>
      <c r="R1057" s="133">
        <f>IF(P1057=模板计算相关数据!$AB$24,VLOOKUP(X1057,模板计算相关数据!$P$47:$T$50,2,0),VLOOKUP(X1057,模板计算相关数据!$P$4:$U$7,3,0))*VLOOKUP(Y1057,模板计算相关数据!$P$22:$X$30,8,0)</f>
        <v>5.7709803921568623</v>
      </c>
      <c r="S1057" s="62">
        <f t="shared" si="85"/>
        <v>6.4077918749199023</v>
      </c>
      <c r="T1057" s="133">
        <f>IF(P1057=模板计算相关数据!$AB$24,VLOOKUP(X1057,模板计算相关数据!$P$47:$T$50,5,0),VLOOKUP(X1057,模板计算相关数据!$P$4:$U$7,6,0))*VLOOKUP(Y1057,模板计算相关数据!$P$22:$X$30,9,0)</f>
        <v>6.4077918749199023</v>
      </c>
      <c r="U1057" s="98">
        <v>54</v>
      </c>
      <c r="V1057" s="95">
        <f t="shared" si="83"/>
        <v>18</v>
      </c>
      <c r="W1057" s="29">
        <f>VLOOKUP(U1057,模板计算相关数据!A:N,2,0)</f>
        <v>15</v>
      </c>
      <c r="X1057" s="3" t="s">
        <v>151</v>
      </c>
      <c r="Y1057" s="3" t="s">
        <v>243</v>
      </c>
      <c r="Z1057" s="95">
        <v>1</v>
      </c>
      <c r="AA1057" s="95">
        <v>1</v>
      </c>
      <c r="AB1057" s="95">
        <v>1</v>
      </c>
      <c r="AC1057" s="95">
        <v>1</v>
      </c>
      <c r="AD1057" s="95">
        <v>0</v>
      </c>
      <c r="AE1057" s="95">
        <v>0</v>
      </c>
      <c r="AF1057" s="95">
        <v>0</v>
      </c>
      <c r="AG1057" s="95">
        <v>0</v>
      </c>
      <c r="AH1057" s="95">
        <v>0</v>
      </c>
      <c r="AI1057" s="95">
        <v>0</v>
      </c>
      <c r="AJ1057" s="3">
        <f>INT(VLOOKUP(U1057,模板计算相关数据!A:N,4,0)*VLOOKUP(U1057,模板计算相关数据!A:N,14,0)*(1+MAX(0,(VLOOKUP(U1057,模板计算相关数据!A:N,7,0)-AQ1057))*VLOOKUP(U1057,模板计算相关数据!A:N,8,0))*(1-(AL1057+AM1057)*0.5/((AL1057+AM1057)*0.5+(VLOOKUP(U1057,模板计算相关数据!A:N,2,0)+模板计算相关数据!$AC$27)*模板计算相关数据!$AC$28))*Q1057*Z1057)</f>
        <v>1694</v>
      </c>
      <c r="AK1057" s="3">
        <f>INT(VLOOKUP(U1057,模板计算相关数据!A:N,3,0)/模板计算相关数据!$W$35/(1+MAX(0,(AO1057/10000-VLOOKUP(U1057,模板计算相关数据!A:N,9,0)))*AP1057/10000)/(1-VLOOKUP(U1057,模板计算相关数据!A:N,5,0)/(VLOOKUP(U1057,模板计算相关数据!A:N,5,0)+(VLOOKUP(U1057,模板计算相关数据!A:N,2,0)+模板计算相关数据!$AC$27)*模板计算相关数据!$AC$28))/S1057*AA1057)</f>
        <v>319</v>
      </c>
      <c r="AL1057" s="3">
        <f>INT(VLOOKUP(U1057,模板计算相关数据!A:N,5,0)*VLOOKUP(X1057,模板计算相关数据!$P$4:$T$7,4,0)*VLOOKUP(Y1057,模板计算相关数据!$P$22:$U$30,4,0)*AB1057)</f>
        <v>536</v>
      </c>
      <c r="AM1057" s="3">
        <f>INT(VLOOKUP(U1057,模板计算相关数据!A:N,6,0)*VLOOKUP(X1057,模板计算相关数据!$P$4:$T$7,4,0)*VLOOKUP(Y1057,模板计算相关数据!$P$22:$U$30,5,0)*AC1057)</f>
        <v>979</v>
      </c>
      <c r="AN1057" s="3">
        <f>VLOOKUP(U1057,模板计算相关数据!A:N,10,0)*0.5*VLOOKUP(Y1057,模板计算相关数据!$P$22:$U$30,6,0)+AD1057</f>
        <v>275</v>
      </c>
      <c r="AO1057" s="3">
        <f>VLOOKUP(INT(VLOOKUP(U1057,模板计算相关数据!A:N,2,0)/30)+1,模板计算相关数据!$O$35:$U$40,3,0)+AE1057</f>
        <v>0</v>
      </c>
      <c r="AP1057" s="3">
        <f>VLOOKUP(INT(VLOOKUP(U1057,模板计算相关数据!A:N,2,0)/30)+1,模板计算相关数据!$O$35:$U$40,4,0)+AF1057</f>
        <v>5000</v>
      </c>
      <c r="AQ1057" s="3">
        <f>VLOOKUP(INT(VLOOKUP(U1057,模板计算相关数据!A:N,2,0)/30)+1,模板计算相关数据!$O$35:$U$40,5,0)+AG1057</f>
        <v>0</v>
      </c>
      <c r="AR1057" s="3">
        <f>VLOOKUP(INT(VLOOKUP(U1057,模板计算相关数据!A:N,2,0)/30)+1,模板计算相关数据!$O$35:$U$40,6,0)+AH1057</f>
        <v>0</v>
      </c>
      <c r="AS1057" s="3">
        <f>VLOOKUP(INT(VLOOKUP(U1057,模板计算相关数据!A:N,2,0)/30)+1,模板计算相关数据!$O$35:$U$40,7,0)+AI1057</f>
        <v>0</v>
      </c>
      <c r="AT1057" s="3">
        <f>VLOOKUP(INT(VLOOKUP(U1057,模板计算相关数据!A:N,2,0)/30)+1,模板计算相关数据!$O$35:$V$40,8,0)</f>
        <v>0</v>
      </c>
      <c r="AU1057" s="2"/>
    </row>
    <row r="1058" spans="1:47" x14ac:dyDescent="0.2">
      <c r="A1058" s="86">
        <v>54004023</v>
      </c>
      <c r="B1058" s="86"/>
      <c r="C1058" s="69" t="s">
        <v>1515</v>
      </c>
      <c r="D1058" s="2" t="s">
        <v>1509</v>
      </c>
      <c r="E1058" s="2"/>
      <c r="F1058" s="2">
        <v>5</v>
      </c>
      <c r="G1058" s="3">
        <v>1002301</v>
      </c>
      <c r="H1058" s="3">
        <v>5</v>
      </c>
      <c r="I1058" s="2">
        <v>4</v>
      </c>
      <c r="J1058" s="3">
        <v>6</v>
      </c>
      <c r="K1058" s="2"/>
      <c r="L1058" s="69" t="s">
        <v>1539</v>
      </c>
      <c r="M1058" s="2"/>
      <c r="N1058" s="2">
        <v>1</v>
      </c>
      <c r="O1058" s="2"/>
      <c r="P1058" s="3" t="s">
        <v>1615</v>
      </c>
      <c r="Q1058" s="95">
        <f t="shared" si="84"/>
        <v>5.7709803921568623</v>
      </c>
      <c r="R1058" s="133">
        <f>IF(P1058=模板计算相关数据!$AB$24,VLOOKUP(X1058,模板计算相关数据!$P$47:$T$50,2,0),VLOOKUP(X1058,模板计算相关数据!$P$4:$U$7,3,0))*VLOOKUP(Y1058,模板计算相关数据!$P$22:$X$30,8,0)</f>
        <v>5.7709803921568623</v>
      </c>
      <c r="S1058" s="62">
        <f t="shared" si="85"/>
        <v>6.4077918749199023</v>
      </c>
      <c r="T1058" s="133">
        <f>IF(P1058=模板计算相关数据!$AB$24,VLOOKUP(X1058,模板计算相关数据!$P$47:$T$50,5,0),VLOOKUP(X1058,模板计算相关数据!$P$4:$U$7,6,0))*VLOOKUP(Y1058,模板计算相关数据!$P$22:$X$30,9,0)</f>
        <v>6.4077918749199023</v>
      </c>
      <c r="U1058" s="98">
        <v>55</v>
      </c>
      <c r="V1058" s="95">
        <f t="shared" si="83"/>
        <v>22</v>
      </c>
      <c r="W1058" s="29">
        <f>VLOOKUP(U1058,模板计算相关数据!A:N,2,0)</f>
        <v>19</v>
      </c>
      <c r="X1058" s="3" t="s">
        <v>151</v>
      </c>
      <c r="Y1058" s="3" t="s">
        <v>243</v>
      </c>
      <c r="Z1058" s="95">
        <v>1</v>
      </c>
      <c r="AA1058" s="95">
        <v>1</v>
      </c>
      <c r="AB1058" s="95">
        <v>1</v>
      </c>
      <c r="AC1058" s="95">
        <v>1</v>
      </c>
      <c r="AD1058" s="95">
        <v>0</v>
      </c>
      <c r="AE1058" s="95">
        <v>0</v>
      </c>
      <c r="AF1058" s="95">
        <v>0</v>
      </c>
      <c r="AG1058" s="95">
        <v>0</v>
      </c>
      <c r="AH1058" s="95">
        <v>0</v>
      </c>
      <c r="AI1058" s="95">
        <v>0</v>
      </c>
      <c r="AJ1058" s="3">
        <f>INT(VLOOKUP(U1058,模板计算相关数据!A:N,4,0)*VLOOKUP(U1058,模板计算相关数据!A:N,14,0)*(1+MAX(0,(VLOOKUP(U1058,模板计算相关数据!A:N,7,0)-AQ1058))*VLOOKUP(U1058,模板计算相关数据!A:N,8,0))*(1-(AL1058+AM1058)*0.5/((AL1058+AM1058)*0.5+(VLOOKUP(U1058,模板计算相关数据!A:N,2,0)+模板计算相关数据!$AC$27)*模板计算相关数据!$AC$28))*Q1058*Z1058)</f>
        <v>2602</v>
      </c>
      <c r="AK1058" s="3">
        <f>INT(VLOOKUP(U1058,模板计算相关数据!A:N,3,0)/模板计算相关数据!$W$35/(1+MAX(0,(AO1058/10000-VLOOKUP(U1058,模板计算相关数据!A:N,9,0)))*AP1058/10000)/(1-VLOOKUP(U1058,模板计算相关数据!A:N,5,0)/(VLOOKUP(U1058,模板计算相关数据!A:N,5,0)+(VLOOKUP(U1058,模板计算相关数据!A:N,2,0)+模板计算相关数据!$AC$27)*模板计算相关数据!$AC$28))/S1058*AA1058)</f>
        <v>614</v>
      </c>
      <c r="AL1058" s="3">
        <f>INT(VLOOKUP(U1058,模板计算相关数据!A:N,5,0)*VLOOKUP(X1058,模板计算相关数据!$P$4:$T$7,4,0)*VLOOKUP(Y1058,模板计算相关数据!$P$22:$U$30,4,0)*AB1058)</f>
        <v>890</v>
      </c>
      <c r="AM1058" s="3">
        <f>INT(VLOOKUP(U1058,模板计算相关数据!A:N,6,0)*VLOOKUP(X1058,模板计算相关数据!$P$4:$T$7,4,0)*VLOOKUP(Y1058,模板计算相关数据!$P$22:$U$30,5,0)*AC1058)</f>
        <v>1607</v>
      </c>
      <c r="AN1058" s="3">
        <f>VLOOKUP(U1058,模板计算相关数据!A:N,10,0)*0.5*VLOOKUP(Y1058,模板计算相关数据!$P$22:$U$30,6,0)+AD1058</f>
        <v>275</v>
      </c>
      <c r="AO1058" s="3">
        <f>VLOOKUP(INT(VLOOKUP(U1058,模板计算相关数据!A:N,2,0)/30)+1,模板计算相关数据!$O$35:$U$40,3,0)+AE1058</f>
        <v>0</v>
      </c>
      <c r="AP1058" s="3">
        <f>VLOOKUP(INT(VLOOKUP(U1058,模板计算相关数据!A:N,2,0)/30)+1,模板计算相关数据!$O$35:$U$40,4,0)+AF1058</f>
        <v>5000</v>
      </c>
      <c r="AQ1058" s="3">
        <f>VLOOKUP(INT(VLOOKUP(U1058,模板计算相关数据!A:N,2,0)/30)+1,模板计算相关数据!$O$35:$U$40,5,0)+AG1058</f>
        <v>0</v>
      </c>
      <c r="AR1058" s="3">
        <f>VLOOKUP(INT(VLOOKUP(U1058,模板计算相关数据!A:N,2,0)/30)+1,模板计算相关数据!$O$35:$U$40,6,0)+AH1058</f>
        <v>0</v>
      </c>
      <c r="AS1058" s="3">
        <f>VLOOKUP(INT(VLOOKUP(U1058,模板计算相关数据!A:N,2,0)/30)+1,模板计算相关数据!$O$35:$U$40,7,0)+AI1058</f>
        <v>0</v>
      </c>
      <c r="AT1058" s="3">
        <f>VLOOKUP(INT(VLOOKUP(U1058,模板计算相关数据!A:N,2,0)/30)+1,模板计算相关数据!$O$35:$V$40,8,0)</f>
        <v>0</v>
      </c>
      <c r="AU1058" s="2"/>
    </row>
    <row r="1059" spans="1:47" x14ac:dyDescent="0.2">
      <c r="A1059" s="86">
        <v>54004033</v>
      </c>
      <c r="B1059" s="86"/>
      <c r="C1059" s="69" t="s">
        <v>1515</v>
      </c>
      <c r="D1059" s="2" t="s">
        <v>1510</v>
      </c>
      <c r="E1059" s="2"/>
      <c r="F1059" s="2">
        <v>5</v>
      </c>
      <c r="G1059" s="3">
        <v>1002301</v>
      </c>
      <c r="H1059" s="3">
        <v>5</v>
      </c>
      <c r="I1059" s="2">
        <v>4</v>
      </c>
      <c r="J1059" s="3">
        <v>6</v>
      </c>
      <c r="K1059" s="2"/>
      <c r="L1059" s="69" t="s">
        <v>1539</v>
      </c>
      <c r="M1059" s="2"/>
      <c r="N1059" s="2">
        <v>1</v>
      </c>
      <c r="O1059" s="2"/>
      <c r="P1059" s="3" t="s">
        <v>1615</v>
      </c>
      <c r="Q1059" s="95">
        <f t="shared" si="84"/>
        <v>5.7709803921568623</v>
      </c>
      <c r="R1059" s="133">
        <f>IF(P1059=模板计算相关数据!$AB$24,VLOOKUP(X1059,模板计算相关数据!$P$47:$T$50,2,0),VLOOKUP(X1059,模板计算相关数据!$P$4:$U$7,3,0))*VLOOKUP(Y1059,模板计算相关数据!$P$22:$X$30,8,0)</f>
        <v>5.7709803921568623</v>
      </c>
      <c r="S1059" s="62">
        <f t="shared" si="85"/>
        <v>6.4077918749199023</v>
      </c>
      <c r="T1059" s="133">
        <f>IF(P1059=模板计算相关数据!$AB$24,VLOOKUP(X1059,模板计算相关数据!$P$47:$T$50,5,0),VLOOKUP(X1059,模板计算相关数据!$P$4:$U$7,6,0))*VLOOKUP(Y1059,模板计算相关数据!$P$22:$X$30,9,0)</f>
        <v>6.4077918749199023</v>
      </c>
      <c r="U1059" s="98">
        <v>57</v>
      </c>
      <c r="V1059" s="95">
        <f t="shared" si="83"/>
        <v>31</v>
      </c>
      <c r="W1059" s="29">
        <f>VLOOKUP(U1059,模板计算相关数据!A:N,2,0)</f>
        <v>28</v>
      </c>
      <c r="X1059" s="3" t="s">
        <v>151</v>
      </c>
      <c r="Y1059" s="3" t="s">
        <v>243</v>
      </c>
      <c r="Z1059" s="95">
        <v>1</v>
      </c>
      <c r="AA1059" s="95">
        <v>1</v>
      </c>
      <c r="AB1059" s="95">
        <v>1</v>
      </c>
      <c r="AC1059" s="95">
        <v>1</v>
      </c>
      <c r="AD1059" s="95">
        <v>0</v>
      </c>
      <c r="AE1059" s="95">
        <v>0</v>
      </c>
      <c r="AF1059" s="95">
        <v>0</v>
      </c>
      <c r="AG1059" s="95">
        <v>0</v>
      </c>
      <c r="AH1059" s="95">
        <v>0</v>
      </c>
      <c r="AI1059" s="95">
        <v>0</v>
      </c>
      <c r="AJ1059" s="3">
        <f>INT(VLOOKUP(U1059,模板计算相关数据!A:N,4,0)*VLOOKUP(U1059,模板计算相关数据!A:N,14,0)*(1+MAX(0,(VLOOKUP(U1059,模板计算相关数据!A:N,7,0)-AQ1059))*VLOOKUP(U1059,模板计算相关数据!A:N,8,0))*(1-(AL1059+AM1059)*0.5/((AL1059+AM1059)*0.5+(VLOOKUP(U1059,模板计算相关数据!A:N,2,0)+模板计算相关数据!$AC$27)*模板计算相关数据!$AC$28))*Q1059*Z1059)</f>
        <v>3683</v>
      </c>
      <c r="AK1059" s="3">
        <f>INT(VLOOKUP(U1059,模板计算相关数据!A:N,3,0)/模板计算相关数据!$W$35/(1+MAX(0,(AO1059/10000-VLOOKUP(U1059,模板计算相关数据!A:N,9,0)))*AP1059/10000)/(1-VLOOKUP(U1059,模板计算相关数据!A:N,5,0)/(VLOOKUP(U1059,模板计算相关数据!A:N,5,0)+(VLOOKUP(U1059,模板计算相关数据!A:N,2,0)+模板计算相关数据!$AC$27)*模板计算相关数据!$AC$28))/S1059*AA1059)</f>
        <v>912</v>
      </c>
      <c r="AL1059" s="3">
        <f>INT(VLOOKUP(U1059,模板计算相关数据!A:N,5,0)*VLOOKUP(X1059,模板计算相关数据!$P$4:$T$7,4,0)*VLOOKUP(Y1059,模板计算相关数据!$P$22:$U$30,4,0)*AB1059)</f>
        <v>1369</v>
      </c>
      <c r="AM1059" s="3">
        <f>INT(VLOOKUP(U1059,模板计算相关数据!A:N,6,0)*VLOOKUP(X1059,模板计算相关数据!$P$4:$T$7,4,0)*VLOOKUP(Y1059,模板计算相关数据!$P$22:$U$30,5,0)*AC1059)</f>
        <v>2496</v>
      </c>
      <c r="AN1059" s="3">
        <f>VLOOKUP(U1059,模板计算相关数据!A:N,10,0)*0.5*VLOOKUP(Y1059,模板计算相关数据!$P$22:$U$30,6,0)+AD1059</f>
        <v>275</v>
      </c>
      <c r="AO1059" s="3">
        <f>VLOOKUP(INT(VLOOKUP(U1059,模板计算相关数据!A:N,2,0)/30)+1,模板计算相关数据!$O$35:$U$40,3,0)+AE1059</f>
        <v>0</v>
      </c>
      <c r="AP1059" s="3">
        <f>VLOOKUP(INT(VLOOKUP(U1059,模板计算相关数据!A:N,2,0)/30)+1,模板计算相关数据!$O$35:$U$40,4,0)+AF1059</f>
        <v>5000</v>
      </c>
      <c r="AQ1059" s="3">
        <f>VLOOKUP(INT(VLOOKUP(U1059,模板计算相关数据!A:N,2,0)/30)+1,模板计算相关数据!$O$35:$U$40,5,0)+AG1059</f>
        <v>0</v>
      </c>
      <c r="AR1059" s="3">
        <f>VLOOKUP(INT(VLOOKUP(U1059,模板计算相关数据!A:N,2,0)/30)+1,模板计算相关数据!$O$35:$U$40,6,0)+AH1059</f>
        <v>0</v>
      </c>
      <c r="AS1059" s="3">
        <f>VLOOKUP(INT(VLOOKUP(U1059,模板计算相关数据!A:N,2,0)/30)+1,模板计算相关数据!$O$35:$U$40,7,0)+AI1059</f>
        <v>0</v>
      </c>
      <c r="AT1059" s="3">
        <f>VLOOKUP(INT(VLOOKUP(U1059,模板计算相关数据!A:N,2,0)/30)+1,模板计算相关数据!$O$35:$V$40,8,0)</f>
        <v>0</v>
      </c>
      <c r="AU1059" s="2"/>
    </row>
    <row r="1060" spans="1:47" x14ac:dyDescent="0.2">
      <c r="A1060" s="86">
        <v>54004043</v>
      </c>
      <c r="B1060" s="86"/>
      <c r="C1060" s="69" t="s">
        <v>1515</v>
      </c>
      <c r="D1060" s="2" t="s">
        <v>1511</v>
      </c>
      <c r="E1060" s="2"/>
      <c r="F1060" s="2">
        <v>5</v>
      </c>
      <c r="G1060" s="3">
        <v>1002301</v>
      </c>
      <c r="H1060" s="3">
        <v>5</v>
      </c>
      <c r="I1060" s="2">
        <v>4</v>
      </c>
      <c r="J1060" s="3">
        <v>6</v>
      </c>
      <c r="K1060" s="2"/>
      <c r="L1060" s="69" t="s">
        <v>1539</v>
      </c>
      <c r="M1060" s="2"/>
      <c r="N1060" s="2">
        <v>1</v>
      </c>
      <c r="O1060" s="2"/>
      <c r="P1060" s="3" t="s">
        <v>1615</v>
      </c>
      <c r="Q1060" s="95">
        <f t="shared" si="84"/>
        <v>5.7709803921568623</v>
      </c>
      <c r="R1060" s="133">
        <f>IF(P1060=模板计算相关数据!$AB$24,VLOOKUP(X1060,模板计算相关数据!$P$47:$T$50,2,0),VLOOKUP(X1060,模板计算相关数据!$P$4:$U$7,3,0))*VLOOKUP(Y1060,模板计算相关数据!$P$22:$X$30,8,0)</f>
        <v>5.7709803921568623</v>
      </c>
      <c r="S1060" s="62">
        <f t="shared" si="85"/>
        <v>6.4077918749199023</v>
      </c>
      <c r="T1060" s="133">
        <f>IF(P1060=模板计算相关数据!$AB$24,VLOOKUP(X1060,模板计算相关数据!$P$47:$T$50,5,0),VLOOKUP(X1060,模板计算相关数据!$P$4:$U$7,6,0))*VLOOKUP(Y1060,模板计算相关数据!$P$22:$X$30,9,0)</f>
        <v>6.4077918749199023</v>
      </c>
      <c r="U1060" s="98">
        <v>59</v>
      </c>
      <c r="V1060" s="95">
        <f t="shared" si="83"/>
        <v>38</v>
      </c>
      <c r="W1060" s="29">
        <f>VLOOKUP(U1060,模板计算相关数据!A:N,2,0)</f>
        <v>35</v>
      </c>
      <c r="X1060" s="3" t="s">
        <v>151</v>
      </c>
      <c r="Y1060" s="3" t="s">
        <v>243</v>
      </c>
      <c r="Z1060" s="95">
        <v>1</v>
      </c>
      <c r="AA1060" s="95">
        <v>1</v>
      </c>
      <c r="AB1060" s="95">
        <v>1</v>
      </c>
      <c r="AC1060" s="95">
        <v>1</v>
      </c>
      <c r="AD1060" s="95">
        <v>0</v>
      </c>
      <c r="AE1060" s="95">
        <v>0</v>
      </c>
      <c r="AF1060" s="95">
        <v>0</v>
      </c>
      <c r="AG1060" s="95">
        <v>0</v>
      </c>
      <c r="AH1060" s="95">
        <v>0</v>
      </c>
      <c r="AI1060" s="95">
        <v>0</v>
      </c>
      <c r="AJ1060" s="3">
        <f>INT(VLOOKUP(U1060,模板计算相关数据!A:N,4,0)*VLOOKUP(U1060,模板计算相关数据!A:N,14,0)*(1+MAX(0,(VLOOKUP(U1060,模板计算相关数据!A:N,7,0)-AQ1060))*VLOOKUP(U1060,模板计算相关数据!A:N,8,0))*(1-(AL1060+AM1060)*0.5/((AL1060+AM1060)*0.5+(VLOOKUP(U1060,模板计算相关数据!A:N,2,0)+模板计算相关数据!$AC$27)*模板计算相关数据!$AC$28))*Q1060*Z1060)</f>
        <v>4588</v>
      </c>
      <c r="AK1060" s="3">
        <f>INT(VLOOKUP(U1060,模板计算相关数据!A:N,3,0)/模板计算相关数据!$W$35/(1+MAX(0,(AO1060/10000-VLOOKUP(U1060,模板计算相关数据!A:N,9,0)))*AP1060/10000)/(1-VLOOKUP(U1060,模板计算相关数据!A:N,5,0)/(VLOOKUP(U1060,模板计算相关数据!A:N,5,0)+(VLOOKUP(U1060,模板计算相关数据!A:N,2,0)+模板计算相关数据!$AC$27)*模板计算相关数据!$AC$28))/S1060*AA1060)</f>
        <v>1101</v>
      </c>
      <c r="AL1060" s="3">
        <f>INT(VLOOKUP(U1060,模板计算相关数据!A:N,5,0)*VLOOKUP(X1060,模板计算相关数据!$P$4:$T$7,4,0)*VLOOKUP(Y1060,模板计算相关数据!$P$22:$U$30,4,0)*AB1060)</f>
        <v>1664</v>
      </c>
      <c r="AM1060" s="3">
        <f>INT(VLOOKUP(U1060,模板计算相关数据!A:N,6,0)*VLOOKUP(X1060,模板计算相关数据!$P$4:$T$7,4,0)*VLOOKUP(Y1060,模板计算相关数据!$P$22:$U$30,5,0)*AC1060)</f>
        <v>3022</v>
      </c>
      <c r="AN1060" s="3">
        <f>VLOOKUP(U1060,模板计算相关数据!A:N,10,0)*0.5*VLOOKUP(Y1060,模板计算相关数据!$P$22:$U$30,6,0)+AD1060</f>
        <v>275</v>
      </c>
      <c r="AO1060" s="3">
        <f>VLOOKUP(INT(VLOOKUP(U1060,模板计算相关数据!A:N,2,0)/30)+1,模板计算相关数据!$O$35:$U$40,3,0)+AE1060</f>
        <v>0</v>
      </c>
      <c r="AP1060" s="3">
        <f>VLOOKUP(INT(VLOOKUP(U1060,模板计算相关数据!A:N,2,0)/30)+1,模板计算相关数据!$O$35:$U$40,4,0)+AF1060</f>
        <v>5000</v>
      </c>
      <c r="AQ1060" s="3">
        <f>VLOOKUP(INT(VLOOKUP(U1060,模板计算相关数据!A:N,2,0)/30)+1,模板计算相关数据!$O$35:$U$40,5,0)+AG1060</f>
        <v>0</v>
      </c>
      <c r="AR1060" s="3">
        <f>VLOOKUP(INT(VLOOKUP(U1060,模板计算相关数据!A:N,2,0)/30)+1,模板计算相关数据!$O$35:$U$40,6,0)+AH1060</f>
        <v>0</v>
      </c>
      <c r="AS1060" s="3">
        <f>VLOOKUP(INT(VLOOKUP(U1060,模板计算相关数据!A:N,2,0)/30)+1,模板计算相关数据!$O$35:$U$40,7,0)+AI1060</f>
        <v>0</v>
      </c>
      <c r="AT1060" s="3">
        <f>VLOOKUP(INT(VLOOKUP(U1060,模板计算相关数据!A:N,2,0)/30)+1,模板计算相关数据!$O$35:$V$40,8,0)</f>
        <v>0</v>
      </c>
      <c r="AU1060" s="2"/>
    </row>
    <row r="1061" spans="1:47" x14ac:dyDescent="0.2">
      <c r="A1061" s="86">
        <v>54004053</v>
      </c>
      <c r="B1061" s="86"/>
      <c r="C1061" s="69" t="s">
        <v>1515</v>
      </c>
      <c r="D1061" s="2" t="s">
        <v>1512</v>
      </c>
      <c r="E1061" s="2"/>
      <c r="F1061" s="2">
        <v>5</v>
      </c>
      <c r="G1061" s="3">
        <v>1002301</v>
      </c>
      <c r="H1061" s="3">
        <v>5</v>
      </c>
      <c r="I1061" s="2">
        <v>4</v>
      </c>
      <c r="J1061" s="3">
        <v>6</v>
      </c>
      <c r="K1061" s="2"/>
      <c r="L1061" s="69" t="s">
        <v>1539</v>
      </c>
      <c r="M1061" s="2"/>
      <c r="N1061" s="2">
        <v>1</v>
      </c>
      <c r="O1061" s="2"/>
      <c r="P1061" s="3" t="s">
        <v>1615</v>
      </c>
      <c r="Q1061" s="95">
        <f t="shared" si="84"/>
        <v>5.7709803921568623</v>
      </c>
      <c r="R1061" s="133">
        <f>IF(P1061=模板计算相关数据!$AB$24,VLOOKUP(X1061,模板计算相关数据!$P$47:$T$50,2,0),VLOOKUP(X1061,模板计算相关数据!$P$4:$U$7,3,0))*VLOOKUP(Y1061,模板计算相关数据!$P$22:$X$30,8,0)</f>
        <v>5.7709803921568623</v>
      </c>
      <c r="S1061" s="62">
        <f t="shared" si="85"/>
        <v>6.4077918749199023</v>
      </c>
      <c r="T1061" s="133">
        <f>IF(P1061=模板计算相关数据!$AB$24,VLOOKUP(X1061,模板计算相关数据!$P$47:$T$50,5,0),VLOOKUP(X1061,模板计算相关数据!$P$4:$U$7,6,0))*VLOOKUP(Y1061,模板计算相关数据!$P$22:$X$30,9,0)</f>
        <v>6.4077918749199023</v>
      </c>
      <c r="U1061" s="98">
        <v>61</v>
      </c>
      <c r="V1061" s="95">
        <f t="shared" si="83"/>
        <v>44</v>
      </c>
      <c r="W1061" s="29">
        <f>VLOOKUP(U1061,模板计算相关数据!A:N,2,0)</f>
        <v>41</v>
      </c>
      <c r="X1061" s="3" t="s">
        <v>151</v>
      </c>
      <c r="Y1061" s="3" t="s">
        <v>243</v>
      </c>
      <c r="Z1061" s="95">
        <v>1</v>
      </c>
      <c r="AA1061" s="95">
        <v>1</v>
      </c>
      <c r="AB1061" s="95">
        <v>1</v>
      </c>
      <c r="AC1061" s="95">
        <v>1</v>
      </c>
      <c r="AD1061" s="95">
        <v>0</v>
      </c>
      <c r="AE1061" s="95">
        <v>0</v>
      </c>
      <c r="AF1061" s="95">
        <v>0</v>
      </c>
      <c r="AG1061" s="95">
        <v>0</v>
      </c>
      <c r="AH1061" s="95">
        <v>0</v>
      </c>
      <c r="AI1061" s="95">
        <v>0</v>
      </c>
      <c r="AJ1061" s="3">
        <f>INT(VLOOKUP(U1061,模板计算相关数据!A:N,4,0)*VLOOKUP(U1061,模板计算相关数据!A:N,14,0)*(1+MAX(0,(VLOOKUP(U1061,模板计算相关数据!A:N,7,0)-AQ1061))*VLOOKUP(U1061,模板计算相关数据!A:N,8,0))*(1-(AL1061+AM1061)*0.5/((AL1061+AM1061)*0.5+(VLOOKUP(U1061,模板计算相关数据!A:N,2,0)+模板计算相关数据!$AC$27)*模板计算相关数据!$AC$28))*Q1061*Z1061)</f>
        <v>5533</v>
      </c>
      <c r="AK1061" s="3">
        <f>INT(VLOOKUP(U1061,模板计算相关数据!A:N,3,0)/模板计算相关数据!$W$35/(1+MAX(0,(AO1061/10000-VLOOKUP(U1061,模板计算相关数据!A:N,9,0)))*AP1061/10000)/(1-VLOOKUP(U1061,模板计算相关数据!A:N,5,0)/(VLOOKUP(U1061,模板计算相关数据!A:N,5,0)+(VLOOKUP(U1061,模板计算相关数据!A:N,2,0)+模板计算相关数据!$AC$27)*模板计算相关数据!$AC$28))/S1061*AA1061)</f>
        <v>1384</v>
      </c>
      <c r="AL1061" s="3">
        <f>INT(VLOOKUP(U1061,模板计算相关数据!A:N,5,0)*VLOOKUP(X1061,模板计算相关数据!$P$4:$T$7,4,0)*VLOOKUP(Y1061,模板计算相关数据!$P$22:$U$30,4,0)*AB1061)</f>
        <v>2060</v>
      </c>
      <c r="AM1061" s="3">
        <f>INT(VLOOKUP(U1061,模板计算相关数据!A:N,6,0)*VLOOKUP(X1061,模板计算相关数据!$P$4:$T$7,4,0)*VLOOKUP(Y1061,模板计算相关数据!$P$22:$U$30,5,0)*AC1061)</f>
        <v>3743</v>
      </c>
      <c r="AN1061" s="3">
        <f>VLOOKUP(U1061,模板计算相关数据!A:N,10,0)*0.5*VLOOKUP(Y1061,模板计算相关数据!$P$22:$U$30,6,0)+AD1061</f>
        <v>275</v>
      </c>
      <c r="AO1061" s="3">
        <f>VLOOKUP(INT(VLOOKUP(U1061,模板计算相关数据!A:N,2,0)/30)+1,模板计算相关数据!$O$35:$U$40,3,0)+AE1061</f>
        <v>0</v>
      </c>
      <c r="AP1061" s="3">
        <f>VLOOKUP(INT(VLOOKUP(U1061,模板计算相关数据!A:N,2,0)/30)+1,模板计算相关数据!$O$35:$U$40,4,0)+AF1061</f>
        <v>5000</v>
      </c>
      <c r="AQ1061" s="3">
        <f>VLOOKUP(INT(VLOOKUP(U1061,模板计算相关数据!A:N,2,0)/30)+1,模板计算相关数据!$O$35:$U$40,5,0)+AG1061</f>
        <v>0</v>
      </c>
      <c r="AR1061" s="3">
        <f>VLOOKUP(INT(VLOOKUP(U1061,模板计算相关数据!A:N,2,0)/30)+1,模板计算相关数据!$O$35:$U$40,6,0)+AH1061</f>
        <v>0</v>
      </c>
      <c r="AS1061" s="3">
        <f>VLOOKUP(INT(VLOOKUP(U1061,模板计算相关数据!A:N,2,0)/30)+1,模板计算相关数据!$O$35:$U$40,7,0)+AI1061</f>
        <v>0</v>
      </c>
      <c r="AT1061" s="3">
        <f>VLOOKUP(INT(VLOOKUP(U1061,模板计算相关数据!A:N,2,0)/30)+1,模板计算相关数据!$O$35:$V$40,8,0)</f>
        <v>0</v>
      </c>
      <c r="AU1061" s="2"/>
    </row>
    <row r="1062" spans="1:47" x14ac:dyDescent="0.2">
      <c r="A1062" s="60">
        <v>2002101</v>
      </c>
      <c r="B1062" s="60"/>
      <c r="C1062" s="25" t="s">
        <v>1956</v>
      </c>
      <c r="D1062" s="25" t="s">
        <v>1901</v>
      </c>
      <c r="E1062" s="2"/>
      <c r="F1062" s="2">
        <v>1</v>
      </c>
      <c r="G1062" s="3">
        <v>1006801</v>
      </c>
      <c r="H1062" s="3">
        <v>1</v>
      </c>
      <c r="I1062" s="2">
        <v>4</v>
      </c>
      <c r="J1062" s="3">
        <v>6</v>
      </c>
      <c r="K1062" s="2"/>
      <c r="L1062" s="69" t="s">
        <v>1905</v>
      </c>
      <c r="M1062" s="2"/>
      <c r="N1062" s="2">
        <v>1</v>
      </c>
      <c r="O1062" s="2"/>
      <c r="P1062" s="3" t="s">
        <v>1615</v>
      </c>
      <c r="Q1062" s="95">
        <f t="shared" ref="Q1062" si="86">R1062</f>
        <v>5.7709803921568623</v>
      </c>
      <c r="R1062" s="133">
        <f>IF(P1062=模板计算相关数据!$AB$24,VLOOKUP(X1062,模板计算相关数据!$P$47:$T$50,2,0),VLOOKUP(X1062,模板计算相关数据!$P$4:$U$7,3,0))*VLOOKUP(Y1062,模板计算相关数据!$P$22:$X$30,8,0)</f>
        <v>5.7709803921568623</v>
      </c>
      <c r="S1062" s="62">
        <f t="shared" ref="S1062" si="87">T1062</f>
        <v>6.4077918749199023</v>
      </c>
      <c r="T1062" s="133">
        <f>IF(P1062=模板计算相关数据!$AB$24,VLOOKUP(X1062,模板计算相关数据!$P$47:$T$50,5,0),VLOOKUP(X1062,模板计算相关数据!$P$4:$U$7,6,0))*VLOOKUP(Y1062,模板计算相关数据!$P$22:$X$30,9,0)</f>
        <v>6.4077918749199023</v>
      </c>
      <c r="U1062" s="98">
        <v>1</v>
      </c>
      <c r="V1062" s="95">
        <f t="shared" si="83"/>
        <v>4</v>
      </c>
      <c r="W1062" s="29">
        <f>VLOOKUP(U1062,模板计算相关数据!A:N,2,0)</f>
        <v>1</v>
      </c>
      <c r="X1062" s="3" t="s">
        <v>151</v>
      </c>
      <c r="Y1062" s="3" t="s">
        <v>243</v>
      </c>
      <c r="Z1062" s="95">
        <v>1</v>
      </c>
      <c r="AA1062" s="95">
        <v>1</v>
      </c>
      <c r="AB1062" s="95">
        <v>1</v>
      </c>
      <c r="AC1062" s="95">
        <v>1</v>
      </c>
      <c r="AD1062" s="95">
        <v>0</v>
      </c>
      <c r="AE1062" s="95">
        <v>0</v>
      </c>
      <c r="AF1062" s="95">
        <v>0</v>
      </c>
      <c r="AG1062" s="95">
        <v>0</v>
      </c>
      <c r="AH1062" s="95">
        <v>0</v>
      </c>
      <c r="AI1062" s="95">
        <v>0</v>
      </c>
      <c r="AJ1062" s="3">
        <f>INT(VLOOKUP(U1062,模板计算相关数据!A:N,4,0)*VLOOKUP(U1062,模板计算相关数据!A:N,14,0)*(1+MAX(0,(VLOOKUP(U1062,模板计算相关数据!A:N,7,0)-AQ1062))*VLOOKUP(U1062,模板计算相关数据!A:N,8,0))*(1-(AL1062+AM1062)*0.5/((AL1062+AM1062)*0.5+(VLOOKUP(U1062,模板计算相关数据!A:N,2,0)+模板计算相关数据!$AC$27)*模板计算相关数据!$AC$28))*Q1062*Z1062)</f>
        <v>411</v>
      </c>
      <c r="AK1062" s="3">
        <f>INT(VLOOKUP(U1062,模板计算相关数据!A:N,3,0)/模板计算相关数据!$W$35/(1+MAX(0,(AO1062/10000-VLOOKUP(U1062,模板计算相关数据!A:N,9,0)))*AP1062/10000)/(1-VLOOKUP(U1062,模板计算相关数据!A:N,5,0)/(VLOOKUP(U1062,模板计算相关数据!A:N,5,0)+(VLOOKUP(U1062,模板计算相关数据!A:N,2,0)+模板计算相关数据!$AC$27)*模板计算相关数据!$AC$28))/S1062*AA1062)</f>
        <v>86</v>
      </c>
      <c r="AL1062" s="3">
        <f>INT(VLOOKUP(U1062,模板计算相关数据!A:N,5,0)*VLOOKUP(X1062,模板计算相关数据!$P$4:$T$7,4,0)*VLOOKUP(Y1062,模板计算相关数据!$P$22:$U$30,4,0)*AB1062)</f>
        <v>145</v>
      </c>
      <c r="AM1062" s="3">
        <f>INT(VLOOKUP(U1062,模板计算相关数据!A:N,6,0)*VLOOKUP(X1062,模板计算相关数据!$P$4:$T$7,4,0)*VLOOKUP(Y1062,模板计算相关数据!$P$22:$U$30,5,0)*AC1062)</f>
        <v>264</v>
      </c>
      <c r="AN1062" s="3">
        <f>VLOOKUP(U1062,模板计算相关数据!A:N,10,0)*0.5*VLOOKUP(Y1062,模板计算相关数据!$P$22:$U$30,6,0)+AD1062</f>
        <v>275</v>
      </c>
      <c r="AO1062" s="3">
        <f>VLOOKUP(INT(VLOOKUP(U1062,模板计算相关数据!A:N,2,0)/30)+1,模板计算相关数据!$O$35:$U$40,3,0)+AE1062</f>
        <v>0</v>
      </c>
      <c r="AP1062" s="3">
        <f>VLOOKUP(INT(VLOOKUP(U1062,模板计算相关数据!A:N,2,0)/30)+1,模板计算相关数据!$O$35:$U$40,4,0)+AF1062</f>
        <v>5000</v>
      </c>
      <c r="AQ1062" s="3">
        <f>VLOOKUP(INT(VLOOKUP(U1062,模板计算相关数据!A:N,2,0)/30)+1,模板计算相关数据!$O$35:$U$40,5,0)+AG1062</f>
        <v>0</v>
      </c>
      <c r="AR1062" s="3">
        <f>VLOOKUP(INT(VLOOKUP(U1062,模板计算相关数据!A:N,2,0)/30)+1,模板计算相关数据!$O$35:$U$40,6,0)+AH1062</f>
        <v>0</v>
      </c>
      <c r="AS1062" s="3">
        <f>VLOOKUP(INT(VLOOKUP(U1062,模板计算相关数据!A:N,2,0)/30)+1,模板计算相关数据!$O$35:$U$40,7,0)+AI1062</f>
        <v>0</v>
      </c>
      <c r="AT1062" s="3">
        <f>VLOOKUP(INT(VLOOKUP(U1062,模板计算相关数据!A:N,2,0)/30)+1,模板计算相关数据!$O$35:$V$40,8,0)</f>
        <v>0</v>
      </c>
      <c r="AU1062" s="2"/>
    </row>
    <row r="1063" spans="1:47" x14ac:dyDescent="0.2">
      <c r="A1063" s="86">
        <v>2002102</v>
      </c>
      <c r="B1063" s="86"/>
      <c r="C1063" s="69" t="s">
        <v>1956</v>
      </c>
      <c r="D1063" s="69" t="s">
        <v>1902</v>
      </c>
      <c r="E1063" s="2"/>
      <c r="F1063" s="2">
        <v>2</v>
      </c>
      <c r="G1063" s="3">
        <v>1006801</v>
      </c>
      <c r="H1063" s="3">
        <v>1</v>
      </c>
      <c r="I1063" s="2">
        <v>4</v>
      </c>
      <c r="J1063" s="3">
        <v>6</v>
      </c>
      <c r="K1063" s="2"/>
      <c r="L1063" s="69" t="s">
        <v>1905</v>
      </c>
      <c r="M1063" s="2"/>
      <c r="N1063" s="2">
        <v>1</v>
      </c>
      <c r="O1063" s="2"/>
      <c r="P1063" s="3" t="s">
        <v>1615</v>
      </c>
      <c r="Q1063" s="95">
        <f t="shared" ref="Q1063:Q1064" si="88">R1063</f>
        <v>5.7709803921568623</v>
      </c>
      <c r="R1063" s="133">
        <f>IF(P1063=模板计算相关数据!$AB$24,VLOOKUP(X1063,模板计算相关数据!$P$47:$T$50,2,0),VLOOKUP(X1063,模板计算相关数据!$P$4:$U$7,3,0))*VLOOKUP(Y1063,模板计算相关数据!$P$22:$X$30,8,0)</f>
        <v>5.7709803921568623</v>
      </c>
      <c r="S1063" s="62">
        <f t="shared" ref="S1063:S1064" si="89">T1063</f>
        <v>6.4077918749199023</v>
      </c>
      <c r="T1063" s="133">
        <f>IF(P1063=模板计算相关数据!$AB$24,VLOOKUP(X1063,模板计算相关数据!$P$47:$T$50,5,0),VLOOKUP(X1063,模板计算相关数据!$P$4:$U$7,6,0))*VLOOKUP(Y1063,模板计算相关数据!$P$22:$X$30,9,0)</f>
        <v>6.4077918749199023</v>
      </c>
      <c r="U1063" s="98">
        <v>1</v>
      </c>
      <c r="V1063" s="95">
        <f t="shared" si="83"/>
        <v>4</v>
      </c>
      <c r="W1063" s="29">
        <f>VLOOKUP(U1063,模板计算相关数据!A:N,2,0)</f>
        <v>1</v>
      </c>
      <c r="X1063" s="3" t="s">
        <v>151</v>
      </c>
      <c r="Y1063" s="3" t="s">
        <v>243</v>
      </c>
      <c r="Z1063" s="95">
        <v>1</v>
      </c>
      <c r="AA1063" s="95">
        <v>1</v>
      </c>
      <c r="AB1063" s="95">
        <v>1</v>
      </c>
      <c r="AC1063" s="95">
        <v>1</v>
      </c>
      <c r="AD1063" s="95">
        <v>0</v>
      </c>
      <c r="AE1063" s="95">
        <v>0</v>
      </c>
      <c r="AF1063" s="95">
        <v>0</v>
      </c>
      <c r="AG1063" s="95">
        <v>0</v>
      </c>
      <c r="AH1063" s="95">
        <v>0</v>
      </c>
      <c r="AI1063" s="95">
        <v>0</v>
      </c>
      <c r="AJ1063" s="3">
        <f>INT(VLOOKUP(U1063,模板计算相关数据!A:N,4,0)*VLOOKUP(U1063,模板计算相关数据!A:N,14,0)*(1+MAX(0,(VLOOKUP(U1063,模板计算相关数据!A:N,7,0)-AQ1063))*VLOOKUP(U1063,模板计算相关数据!A:N,8,0))*(1-(AL1063+AM1063)*0.5/((AL1063+AM1063)*0.5+(VLOOKUP(U1063,模板计算相关数据!A:N,2,0)+模板计算相关数据!$AC$27)*模板计算相关数据!$AC$28))*Q1063*Z1063)</f>
        <v>411</v>
      </c>
      <c r="AK1063" s="3">
        <f>INT(VLOOKUP(U1063,模板计算相关数据!A:N,3,0)/模板计算相关数据!$W$35/(1+MAX(0,(AO1063/10000-VLOOKUP(U1063,模板计算相关数据!A:N,9,0)))*AP1063/10000)/(1-VLOOKUP(U1063,模板计算相关数据!A:N,5,0)/(VLOOKUP(U1063,模板计算相关数据!A:N,5,0)+(VLOOKUP(U1063,模板计算相关数据!A:N,2,0)+模板计算相关数据!$AC$27)*模板计算相关数据!$AC$28))/S1063*AA1063)</f>
        <v>86</v>
      </c>
      <c r="AL1063" s="3">
        <f>INT(VLOOKUP(U1063,模板计算相关数据!A:N,5,0)*VLOOKUP(X1063,模板计算相关数据!$P$4:$T$7,4,0)*VLOOKUP(Y1063,模板计算相关数据!$P$22:$U$30,4,0)*AB1063)</f>
        <v>145</v>
      </c>
      <c r="AM1063" s="3">
        <f>INT(VLOOKUP(U1063,模板计算相关数据!A:N,6,0)*VLOOKUP(X1063,模板计算相关数据!$P$4:$T$7,4,0)*VLOOKUP(Y1063,模板计算相关数据!$P$22:$U$30,5,0)*AC1063)</f>
        <v>264</v>
      </c>
      <c r="AN1063" s="3">
        <f>VLOOKUP(U1063,模板计算相关数据!A:N,10,0)*0.5*VLOOKUP(Y1063,模板计算相关数据!$P$22:$U$30,6,0)+AD1063</f>
        <v>275</v>
      </c>
      <c r="AO1063" s="3">
        <f>VLOOKUP(INT(VLOOKUP(U1063,模板计算相关数据!A:N,2,0)/30)+1,模板计算相关数据!$O$35:$U$40,3,0)+AE1063</f>
        <v>0</v>
      </c>
      <c r="AP1063" s="3">
        <f>VLOOKUP(INT(VLOOKUP(U1063,模板计算相关数据!A:N,2,0)/30)+1,模板计算相关数据!$O$35:$U$40,4,0)+AF1063</f>
        <v>5000</v>
      </c>
      <c r="AQ1063" s="3">
        <f>VLOOKUP(INT(VLOOKUP(U1063,模板计算相关数据!A:N,2,0)/30)+1,模板计算相关数据!$O$35:$U$40,5,0)+AG1063</f>
        <v>0</v>
      </c>
      <c r="AR1063" s="3">
        <f>VLOOKUP(INT(VLOOKUP(U1063,模板计算相关数据!A:N,2,0)/30)+1,模板计算相关数据!$O$35:$U$40,6,0)+AH1063</f>
        <v>0</v>
      </c>
      <c r="AS1063" s="3">
        <f>VLOOKUP(INT(VLOOKUP(U1063,模板计算相关数据!A:N,2,0)/30)+1,模板计算相关数据!$O$35:$U$40,7,0)+AI1063</f>
        <v>0</v>
      </c>
      <c r="AT1063" s="3">
        <f>VLOOKUP(INT(VLOOKUP(U1063,模板计算相关数据!A:N,2,0)/30)+1,模板计算相关数据!$O$35:$V$40,8,0)</f>
        <v>0</v>
      </c>
      <c r="AU1063" s="2"/>
    </row>
    <row r="1064" spans="1:47" x14ac:dyDescent="0.2">
      <c r="A1064" s="86">
        <v>2002103</v>
      </c>
      <c r="B1064" s="86"/>
      <c r="C1064" s="69" t="s">
        <v>1956</v>
      </c>
      <c r="D1064" s="69" t="s">
        <v>1903</v>
      </c>
      <c r="E1064" s="2"/>
      <c r="F1064" s="2">
        <v>3</v>
      </c>
      <c r="G1064" s="3">
        <v>1006801</v>
      </c>
      <c r="H1064" s="3">
        <v>1</v>
      </c>
      <c r="I1064" s="2">
        <v>4</v>
      </c>
      <c r="J1064" s="3">
        <v>6</v>
      </c>
      <c r="K1064" s="2"/>
      <c r="L1064" s="69" t="s">
        <v>1905</v>
      </c>
      <c r="M1064" s="2"/>
      <c r="N1064" s="2">
        <v>1</v>
      </c>
      <c r="O1064" s="2"/>
      <c r="P1064" s="3" t="s">
        <v>1615</v>
      </c>
      <c r="Q1064" s="95">
        <f t="shared" si="88"/>
        <v>5.7709803921568623</v>
      </c>
      <c r="R1064" s="133">
        <f>IF(P1064=模板计算相关数据!$AB$24,VLOOKUP(X1064,模板计算相关数据!$P$47:$T$50,2,0),VLOOKUP(X1064,模板计算相关数据!$P$4:$U$7,3,0))*VLOOKUP(Y1064,模板计算相关数据!$P$22:$X$30,8,0)</f>
        <v>5.7709803921568623</v>
      </c>
      <c r="S1064" s="62">
        <f t="shared" si="89"/>
        <v>6.4077918749199023</v>
      </c>
      <c r="T1064" s="133">
        <f>IF(P1064=模板计算相关数据!$AB$24,VLOOKUP(X1064,模板计算相关数据!$P$47:$T$50,5,0),VLOOKUP(X1064,模板计算相关数据!$P$4:$U$7,6,0))*VLOOKUP(Y1064,模板计算相关数据!$P$22:$X$30,9,0)</f>
        <v>6.4077918749199023</v>
      </c>
      <c r="U1064" s="98">
        <v>1</v>
      </c>
      <c r="V1064" s="95">
        <f t="shared" si="83"/>
        <v>4</v>
      </c>
      <c r="W1064" s="29">
        <f>VLOOKUP(U1064,模板计算相关数据!A:N,2,0)</f>
        <v>1</v>
      </c>
      <c r="X1064" s="3" t="s">
        <v>151</v>
      </c>
      <c r="Y1064" s="3" t="s">
        <v>243</v>
      </c>
      <c r="Z1064" s="95">
        <v>1</v>
      </c>
      <c r="AA1064" s="95">
        <v>1</v>
      </c>
      <c r="AB1064" s="95">
        <v>1</v>
      </c>
      <c r="AC1064" s="95">
        <v>1</v>
      </c>
      <c r="AD1064" s="95">
        <v>0</v>
      </c>
      <c r="AE1064" s="95">
        <v>0</v>
      </c>
      <c r="AF1064" s="95">
        <v>0</v>
      </c>
      <c r="AG1064" s="95">
        <v>0</v>
      </c>
      <c r="AH1064" s="95">
        <v>0</v>
      </c>
      <c r="AI1064" s="95">
        <v>0</v>
      </c>
      <c r="AJ1064" s="3">
        <f>INT(VLOOKUP(U1064,模板计算相关数据!A:N,4,0)*VLOOKUP(U1064,模板计算相关数据!A:N,14,0)*(1+MAX(0,(VLOOKUP(U1064,模板计算相关数据!A:N,7,0)-AQ1064))*VLOOKUP(U1064,模板计算相关数据!A:N,8,0))*(1-(AL1064+AM1064)*0.5/((AL1064+AM1064)*0.5+(VLOOKUP(U1064,模板计算相关数据!A:N,2,0)+模板计算相关数据!$AC$27)*模板计算相关数据!$AC$28))*Q1064*Z1064)</f>
        <v>411</v>
      </c>
      <c r="AK1064" s="3">
        <f>INT(VLOOKUP(U1064,模板计算相关数据!A:N,3,0)/模板计算相关数据!$W$35/(1+MAX(0,(AO1064/10000-VLOOKUP(U1064,模板计算相关数据!A:N,9,0)))*AP1064/10000)/(1-VLOOKUP(U1064,模板计算相关数据!A:N,5,0)/(VLOOKUP(U1064,模板计算相关数据!A:N,5,0)+(VLOOKUP(U1064,模板计算相关数据!A:N,2,0)+模板计算相关数据!$AC$27)*模板计算相关数据!$AC$28))/S1064*AA1064)</f>
        <v>86</v>
      </c>
      <c r="AL1064" s="3">
        <f>INT(VLOOKUP(U1064,模板计算相关数据!A:N,5,0)*VLOOKUP(X1064,模板计算相关数据!$P$4:$T$7,4,0)*VLOOKUP(Y1064,模板计算相关数据!$P$22:$U$30,4,0)*AB1064)</f>
        <v>145</v>
      </c>
      <c r="AM1064" s="3">
        <f>INT(VLOOKUP(U1064,模板计算相关数据!A:N,6,0)*VLOOKUP(X1064,模板计算相关数据!$P$4:$T$7,4,0)*VLOOKUP(Y1064,模板计算相关数据!$P$22:$U$30,5,0)*AC1064)</f>
        <v>264</v>
      </c>
      <c r="AN1064" s="3">
        <f>VLOOKUP(U1064,模板计算相关数据!A:N,10,0)*0.5*VLOOKUP(Y1064,模板计算相关数据!$P$22:$U$30,6,0)+AD1064</f>
        <v>275</v>
      </c>
      <c r="AO1064" s="3">
        <f>VLOOKUP(INT(VLOOKUP(U1064,模板计算相关数据!A:N,2,0)/30)+1,模板计算相关数据!$O$35:$U$40,3,0)+AE1064</f>
        <v>0</v>
      </c>
      <c r="AP1064" s="3">
        <f>VLOOKUP(INT(VLOOKUP(U1064,模板计算相关数据!A:N,2,0)/30)+1,模板计算相关数据!$O$35:$U$40,4,0)+AF1064</f>
        <v>5000</v>
      </c>
      <c r="AQ1064" s="3">
        <f>VLOOKUP(INT(VLOOKUP(U1064,模板计算相关数据!A:N,2,0)/30)+1,模板计算相关数据!$O$35:$U$40,5,0)+AG1064</f>
        <v>0</v>
      </c>
      <c r="AR1064" s="3">
        <f>VLOOKUP(INT(VLOOKUP(U1064,模板计算相关数据!A:N,2,0)/30)+1,模板计算相关数据!$O$35:$U$40,6,0)+AH1064</f>
        <v>0</v>
      </c>
      <c r="AS1064" s="3">
        <f>VLOOKUP(INT(VLOOKUP(U1064,模板计算相关数据!A:N,2,0)/30)+1,模板计算相关数据!$O$35:$U$40,7,0)+AI1064</f>
        <v>0</v>
      </c>
      <c r="AT1064" s="3">
        <f>VLOOKUP(INT(VLOOKUP(U1064,模板计算相关数据!A:N,2,0)/30)+1,模板计算相关数据!$O$35:$V$40,8,0)</f>
        <v>0</v>
      </c>
      <c r="AU1064" s="2"/>
    </row>
    <row r="1065" spans="1:47" x14ac:dyDescent="0.2">
      <c r="A1065" s="86">
        <v>2002104</v>
      </c>
      <c r="B1065" s="86"/>
      <c r="C1065" s="69" t="s">
        <v>1957</v>
      </c>
      <c r="D1065" s="69" t="s">
        <v>1903</v>
      </c>
      <c r="E1065" s="2"/>
      <c r="F1065" s="2">
        <v>3</v>
      </c>
      <c r="G1065" s="3">
        <v>1006701</v>
      </c>
      <c r="H1065" s="3">
        <v>1</v>
      </c>
      <c r="I1065" s="2">
        <v>4</v>
      </c>
      <c r="J1065" s="3">
        <v>6</v>
      </c>
      <c r="K1065" s="2"/>
      <c r="L1065" s="69" t="s">
        <v>1906</v>
      </c>
      <c r="M1065" s="2"/>
      <c r="N1065" s="2">
        <v>1</v>
      </c>
      <c r="O1065" s="2"/>
      <c r="P1065" s="3" t="s">
        <v>1615</v>
      </c>
      <c r="Q1065" s="95">
        <f t="shared" ref="Q1065" si="90">R1065</f>
        <v>9.2335686274509801</v>
      </c>
      <c r="R1065" s="133">
        <f>IF(P1065=模板计算相关数据!$AB$24,VLOOKUP(X1065,模板计算相关数据!$P$47:$T$50,2,0),VLOOKUP(X1065,模板计算相关数据!$P$4:$U$7,3,0))*VLOOKUP(Y1065,模板计算相关数据!$P$22:$X$30,8,0)</f>
        <v>9.2335686274509801</v>
      </c>
      <c r="S1065" s="62">
        <f t="shared" ref="S1065" si="91">T1065</f>
        <v>4.4361636057137765</v>
      </c>
      <c r="T1065" s="133">
        <f>IF(P1065=模板计算相关数据!$AB$24,VLOOKUP(X1065,模板计算相关数据!$P$47:$T$50,5,0),VLOOKUP(X1065,模板计算相关数据!$P$4:$U$7,6,0))*VLOOKUP(Y1065,模板计算相关数据!$P$22:$X$30,9,0)</f>
        <v>4.4361636057137765</v>
      </c>
      <c r="U1065" s="98">
        <v>1</v>
      </c>
      <c r="V1065" s="95">
        <f t="shared" si="83"/>
        <v>4</v>
      </c>
      <c r="W1065" s="29">
        <f>VLOOKUP(U1065,模板计算相关数据!A:N,2,0)</f>
        <v>1</v>
      </c>
      <c r="X1065" s="3" t="s">
        <v>158</v>
      </c>
      <c r="Y1065" s="3" t="s">
        <v>159</v>
      </c>
      <c r="Z1065" s="95">
        <v>1</v>
      </c>
      <c r="AA1065" s="95">
        <v>1</v>
      </c>
      <c r="AB1065" s="95">
        <v>1</v>
      </c>
      <c r="AC1065" s="95">
        <v>1</v>
      </c>
      <c r="AD1065" s="95">
        <v>0</v>
      </c>
      <c r="AE1065" s="95">
        <v>0</v>
      </c>
      <c r="AF1065" s="95">
        <v>0</v>
      </c>
      <c r="AG1065" s="95">
        <v>0</v>
      </c>
      <c r="AH1065" s="95">
        <v>0</v>
      </c>
      <c r="AI1065" s="95">
        <v>0</v>
      </c>
      <c r="AJ1065" s="3">
        <f>INT(VLOOKUP(U1065,模板计算相关数据!A:N,4,0)*VLOOKUP(U1065,模板计算相关数据!A:N,14,0)*(1+MAX(0,(VLOOKUP(U1065,模板计算相关数据!A:N,7,0)-AQ1065))*VLOOKUP(U1065,模板计算相关数据!A:N,8,0))*(1-(AL1065+AM1065)*0.5/((AL1065+AM1065)*0.5+(VLOOKUP(U1065,模板计算相关数据!A:N,2,0)+模板计算相关数据!$AC$27)*模板计算相关数据!$AC$28))*Q1065*Z1065)</f>
        <v>612</v>
      </c>
      <c r="AK1065" s="3">
        <f>INT(VLOOKUP(U1065,模板计算相关数据!A:N,3,0)/模板计算相关数据!$W$35/(1+MAX(0,(AO1065/10000-VLOOKUP(U1065,模板计算相关数据!A:N,9,0)))*AP1065/10000)/(1-VLOOKUP(U1065,模板计算相关数据!A:N,5,0)/(VLOOKUP(U1065,模板计算相关数据!A:N,5,0)+(VLOOKUP(U1065,模板计算相关数据!A:N,2,0)+模板计算相关数据!$AC$27)*模板计算相关数据!$AC$28))/S1065*AA1065)</f>
        <v>125</v>
      </c>
      <c r="AL1065" s="3">
        <f>INT(VLOOKUP(U1065,模板计算相关数据!A:N,5,0)*VLOOKUP(X1065,模板计算相关数据!$P$4:$T$7,4,0)*VLOOKUP(Y1065,模板计算相关数据!$P$22:$U$30,4,0)*AB1065)</f>
        <v>331</v>
      </c>
      <c r="AM1065" s="3">
        <f>INT(VLOOKUP(U1065,模板计算相关数据!A:N,6,0)*VLOOKUP(X1065,模板计算相关数据!$P$4:$T$7,4,0)*VLOOKUP(Y1065,模板计算相关数据!$P$22:$U$30,5,0)*AC1065)</f>
        <v>181</v>
      </c>
      <c r="AN1065" s="3">
        <f>VLOOKUP(U1065,模板计算相关数据!A:N,10,0)*0.5*VLOOKUP(Y1065,模板计算相关数据!$P$22:$U$30,6,0)+AD1065</f>
        <v>275</v>
      </c>
      <c r="AO1065" s="3">
        <f>VLOOKUP(INT(VLOOKUP(U1065,模板计算相关数据!A:N,2,0)/30)+1,模板计算相关数据!$O$35:$U$40,3,0)+AE1065</f>
        <v>0</v>
      </c>
      <c r="AP1065" s="3">
        <f>VLOOKUP(INT(VLOOKUP(U1065,模板计算相关数据!A:N,2,0)/30)+1,模板计算相关数据!$O$35:$U$40,4,0)+AF1065</f>
        <v>5000</v>
      </c>
      <c r="AQ1065" s="3">
        <f>VLOOKUP(INT(VLOOKUP(U1065,模板计算相关数据!A:N,2,0)/30)+1,模板计算相关数据!$O$35:$U$40,5,0)+AG1065</f>
        <v>0</v>
      </c>
      <c r="AR1065" s="3">
        <f>VLOOKUP(INT(VLOOKUP(U1065,模板计算相关数据!A:N,2,0)/30)+1,模板计算相关数据!$O$35:$U$40,6,0)+AH1065</f>
        <v>0</v>
      </c>
      <c r="AS1065" s="3">
        <f>VLOOKUP(INT(VLOOKUP(U1065,模板计算相关数据!A:N,2,0)/30)+1,模板计算相关数据!$O$35:$U$40,7,0)+AI1065</f>
        <v>0</v>
      </c>
      <c r="AT1065" s="3">
        <f>VLOOKUP(INT(VLOOKUP(U1065,模板计算相关数据!A:N,2,0)/30)+1,模板计算相关数据!$O$35:$V$40,8,0)</f>
        <v>0</v>
      </c>
      <c r="AU1065" s="87" t="s">
        <v>1923</v>
      </c>
    </row>
    <row r="1066" spans="1:47" x14ac:dyDescent="0.2">
      <c r="A1066" s="86">
        <v>2004301</v>
      </c>
      <c r="B1066" s="86"/>
      <c r="C1066" s="69" t="s">
        <v>1945</v>
      </c>
      <c r="D1066" s="69" t="s">
        <v>1904</v>
      </c>
      <c r="E1066" s="2"/>
      <c r="F1066" s="2">
        <v>5</v>
      </c>
      <c r="G1066" s="3">
        <v>1007001</v>
      </c>
      <c r="H1066" s="3">
        <v>1</v>
      </c>
      <c r="I1066" s="2">
        <v>4</v>
      </c>
      <c r="J1066" s="3">
        <v>6</v>
      </c>
      <c r="K1066" s="2"/>
      <c r="L1066" s="69" t="s">
        <v>1907</v>
      </c>
      <c r="M1066" s="2"/>
      <c r="N1066" s="2">
        <v>1</v>
      </c>
      <c r="O1066" s="2"/>
      <c r="P1066" s="3" t="s">
        <v>1615</v>
      </c>
      <c r="Q1066" s="95">
        <f t="shared" ref="Q1066" si="92">R1066</f>
        <v>5.7709803921568623</v>
      </c>
      <c r="R1066" s="133">
        <f>IF(P1066=模板计算相关数据!$AB$24,VLOOKUP(X1066,模板计算相关数据!$P$47:$T$50,2,0),VLOOKUP(X1066,模板计算相关数据!$P$4:$U$7,3,0))*VLOOKUP(Y1066,模板计算相关数据!$P$22:$X$30,8,0)</f>
        <v>5.7709803921568623</v>
      </c>
      <c r="S1066" s="62">
        <f t="shared" ref="S1066" si="93">T1066</f>
        <v>6.4077918749199023</v>
      </c>
      <c r="T1066" s="133">
        <f>IF(P1066=模板计算相关数据!$AB$24,VLOOKUP(X1066,模板计算相关数据!$P$47:$T$50,5,0),VLOOKUP(X1066,模板计算相关数据!$P$4:$U$7,6,0))*VLOOKUP(Y1066,模板计算相关数据!$P$22:$X$30,9,0)</f>
        <v>6.4077918749199023</v>
      </c>
      <c r="U1066" s="98">
        <v>1</v>
      </c>
      <c r="V1066" s="95">
        <f t="shared" si="83"/>
        <v>4</v>
      </c>
      <c r="W1066" s="29">
        <f>VLOOKUP(U1066,模板计算相关数据!A:N,2,0)</f>
        <v>1</v>
      </c>
      <c r="X1066" s="3" t="s">
        <v>151</v>
      </c>
      <c r="Y1066" s="3" t="s">
        <v>243</v>
      </c>
      <c r="Z1066" s="95">
        <v>1</v>
      </c>
      <c r="AA1066" s="95">
        <v>1</v>
      </c>
      <c r="AB1066" s="95">
        <v>1</v>
      </c>
      <c r="AC1066" s="95">
        <v>1</v>
      </c>
      <c r="AD1066" s="95">
        <v>0</v>
      </c>
      <c r="AE1066" s="95">
        <v>0</v>
      </c>
      <c r="AF1066" s="95">
        <v>0</v>
      </c>
      <c r="AG1066" s="95">
        <v>0</v>
      </c>
      <c r="AH1066" s="95">
        <v>0</v>
      </c>
      <c r="AI1066" s="95">
        <v>0</v>
      </c>
      <c r="AJ1066" s="3">
        <f>INT(VLOOKUP(U1066,模板计算相关数据!A:N,4,0)*VLOOKUP(U1066,模板计算相关数据!A:N,14,0)*(1+MAX(0,(VLOOKUP(U1066,模板计算相关数据!A:N,7,0)-AQ1066))*VLOOKUP(U1066,模板计算相关数据!A:N,8,0))*(1-(AL1066+AM1066)*0.5/((AL1066+AM1066)*0.5+(VLOOKUP(U1066,模板计算相关数据!A:N,2,0)+模板计算相关数据!$AC$27)*模板计算相关数据!$AC$28))*Q1066*Z1066)</f>
        <v>411</v>
      </c>
      <c r="AK1066" s="3">
        <f>INT(VLOOKUP(U1066,模板计算相关数据!A:N,3,0)/模板计算相关数据!$W$35/(1+MAX(0,(AO1066/10000-VLOOKUP(U1066,模板计算相关数据!A:N,9,0)))*AP1066/10000)/(1-VLOOKUP(U1066,模板计算相关数据!A:N,5,0)/(VLOOKUP(U1066,模板计算相关数据!A:N,5,0)+(VLOOKUP(U1066,模板计算相关数据!A:N,2,0)+模板计算相关数据!$AC$27)*模板计算相关数据!$AC$28))/S1066*AA1066)</f>
        <v>86</v>
      </c>
      <c r="AL1066" s="3">
        <f>INT(VLOOKUP(U1066,模板计算相关数据!A:N,5,0)*VLOOKUP(X1066,模板计算相关数据!$P$4:$T$7,4,0)*VLOOKUP(Y1066,模板计算相关数据!$P$22:$U$30,4,0)*AB1066)</f>
        <v>145</v>
      </c>
      <c r="AM1066" s="3">
        <f>INT(VLOOKUP(U1066,模板计算相关数据!A:N,6,0)*VLOOKUP(X1066,模板计算相关数据!$P$4:$T$7,4,0)*VLOOKUP(Y1066,模板计算相关数据!$P$22:$U$30,5,0)*AC1066)</f>
        <v>264</v>
      </c>
      <c r="AN1066" s="3">
        <f>VLOOKUP(U1066,模板计算相关数据!A:N,10,0)*0.5*VLOOKUP(Y1066,模板计算相关数据!$P$22:$U$30,6,0)+AD1066</f>
        <v>275</v>
      </c>
      <c r="AO1066" s="3">
        <f>VLOOKUP(INT(VLOOKUP(U1066,模板计算相关数据!A:N,2,0)/30)+1,模板计算相关数据!$O$35:$U$40,3,0)+AE1066</f>
        <v>0</v>
      </c>
      <c r="AP1066" s="3">
        <f>VLOOKUP(INT(VLOOKUP(U1066,模板计算相关数据!A:N,2,0)/30)+1,模板计算相关数据!$O$35:$U$40,4,0)+AF1066</f>
        <v>5000</v>
      </c>
      <c r="AQ1066" s="3">
        <f>VLOOKUP(INT(VLOOKUP(U1066,模板计算相关数据!A:N,2,0)/30)+1,模板计算相关数据!$O$35:$U$40,5,0)+AG1066</f>
        <v>0</v>
      </c>
      <c r="AR1066" s="3">
        <f>VLOOKUP(INT(VLOOKUP(U1066,模板计算相关数据!A:N,2,0)/30)+1,模板计算相关数据!$O$35:$U$40,6,0)+AH1066</f>
        <v>0</v>
      </c>
      <c r="AS1066" s="3">
        <f>VLOOKUP(INT(VLOOKUP(U1066,模板计算相关数据!A:N,2,0)/30)+1,模板计算相关数据!$O$35:$U$40,7,0)+AI1066</f>
        <v>0</v>
      </c>
      <c r="AT1066" s="3">
        <f>VLOOKUP(INT(VLOOKUP(U1066,模板计算相关数据!A:N,2,0)/30)+1,模板计算相关数据!$O$35:$V$40,8,0)</f>
        <v>0</v>
      </c>
      <c r="AU1066" s="87" t="s">
        <v>1916</v>
      </c>
    </row>
    <row r="1067" spans="1:47" x14ac:dyDescent="0.2">
      <c r="A1067" s="86">
        <v>2003301</v>
      </c>
      <c r="B1067" s="86"/>
      <c r="C1067" s="69" t="s">
        <v>1946</v>
      </c>
      <c r="D1067" s="69" t="s">
        <v>1948</v>
      </c>
      <c r="E1067" s="2"/>
      <c r="F1067" s="2">
        <v>4</v>
      </c>
      <c r="G1067" s="3">
        <v>1007401</v>
      </c>
      <c r="H1067" s="1">
        <v>1</v>
      </c>
      <c r="I1067" s="89">
        <v>4</v>
      </c>
      <c r="J1067" s="90">
        <v>1</v>
      </c>
      <c r="L1067" s="69" t="s">
        <v>1949</v>
      </c>
      <c r="M1067" s="2"/>
      <c r="N1067" s="2">
        <v>1</v>
      </c>
      <c r="O1067" s="2"/>
      <c r="P1067" s="3" t="s">
        <v>1615</v>
      </c>
      <c r="Q1067" s="95">
        <f t="shared" ref="Q1067:Q1068" si="94">R1067</f>
        <v>5.7709803921568623</v>
      </c>
      <c r="R1067" s="133">
        <f>IF(P1067=模板计算相关数据!$AB$24,VLOOKUP(X1067,模板计算相关数据!$P$47:$T$50,2,0),VLOOKUP(X1067,模板计算相关数据!$P$4:$U$7,3,0))*VLOOKUP(Y1067,模板计算相关数据!$P$22:$X$30,8,0)</f>
        <v>5.7709803921568623</v>
      </c>
      <c r="S1067" s="62">
        <f t="shared" ref="S1067:S1068" si="95">T1067</f>
        <v>6.4077918749199023</v>
      </c>
      <c r="T1067" s="133">
        <f>IF(P1067=模板计算相关数据!$AB$24,VLOOKUP(X1067,模板计算相关数据!$P$47:$T$50,5,0),VLOOKUP(X1067,模板计算相关数据!$P$4:$U$7,6,0))*VLOOKUP(Y1067,模板计算相关数据!$P$22:$X$30,9,0)</f>
        <v>6.4077918749199023</v>
      </c>
      <c r="U1067" s="98">
        <v>1</v>
      </c>
      <c r="V1067" s="95">
        <f t="shared" si="83"/>
        <v>4</v>
      </c>
      <c r="W1067" s="29">
        <f>VLOOKUP(U1067,模板计算相关数据!A:N,2,0)</f>
        <v>1</v>
      </c>
      <c r="X1067" s="3" t="s">
        <v>151</v>
      </c>
      <c r="Y1067" s="3" t="s">
        <v>243</v>
      </c>
      <c r="Z1067" s="95">
        <v>1</v>
      </c>
      <c r="AA1067" s="95">
        <v>1</v>
      </c>
      <c r="AB1067" s="95">
        <v>1</v>
      </c>
      <c r="AC1067" s="95">
        <v>1</v>
      </c>
      <c r="AD1067" s="95">
        <v>0</v>
      </c>
      <c r="AE1067" s="95">
        <v>0</v>
      </c>
      <c r="AF1067" s="95">
        <v>0</v>
      </c>
      <c r="AG1067" s="95">
        <v>0</v>
      </c>
      <c r="AH1067" s="95">
        <v>0</v>
      </c>
      <c r="AI1067" s="95">
        <v>0</v>
      </c>
      <c r="AJ1067" s="3">
        <f>INT(VLOOKUP(U1067,模板计算相关数据!A:N,4,0)*VLOOKUP(U1067,模板计算相关数据!A:N,14,0)*(1+MAX(0,(VLOOKUP(U1067,模板计算相关数据!A:N,7,0)-AQ1067))*VLOOKUP(U1067,模板计算相关数据!A:N,8,0))*(1-(AL1067+AM1067)*0.5/((AL1067+AM1067)*0.5+(VLOOKUP(U1067,模板计算相关数据!A:N,2,0)+模板计算相关数据!$AC$27)*模板计算相关数据!$AC$28))*Q1067*Z1067)</f>
        <v>411</v>
      </c>
      <c r="AK1067" s="3">
        <f>INT(VLOOKUP(U1067,模板计算相关数据!A:N,3,0)/模板计算相关数据!$W$35/(1+MAX(0,(AO1067/10000-VLOOKUP(U1067,模板计算相关数据!A:N,9,0)))*AP1067/10000)/(1-VLOOKUP(U1067,模板计算相关数据!A:N,5,0)/(VLOOKUP(U1067,模板计算相关数据!A:N,5,0)+(VLOOKUP(U1067,模板计算相关数据!A:N,2,0)+模板计算相关数据!$AC$27)*模板计算相关数据!$AC$28))/S1067*AA1067)</f>
        <v>86</v>
      </c>
      <c r="AL1067" s="3">
        <f>INT(VLOOKUP(U1067,模板计算相关数据!A:N,5,0)*VLOOKUP(X1067,模板计算相关数据!$P$4:$T$7,4,0)*VLOOKUP(Y1067,模板计算相关数据!$P$22:$U$30,4,0)*AB1067)</f>
        <v>145</v>
      </c>
      <c r="AM1067" s="3">
        <f>INT(VLOOKUP(U1067,模板计算相关数据!A:N,6,0)*VLOOKUP(X1067,模板计算相关数据!$P$4:$T$7,4,0)*VLOOKUP(Y1067,模板计算相关数据!$P$22:$U$30,5,0)*AC1067)</f>
        <v>264</v>
      </c>
      <c r="AN1067" s="3">
        <f>VLOOKUP(U1067,模板计算相关数据!A:N,10,0)*0.5*VLOOKUP(Y1067,模板计算相关数据!$P$22:$U$30,6,0)+AD1067</f>
        <v>275</v>
      </c>
      <c r="AO1067" s="3">
        <f>VLOOKUP(INT(VLOOKUP(U1067,模板计算相关数据!A:N,2,0)/30)+1,模板计算相关数据!$O$35:$U$40,3,0)+AE1067</f>
        <v>0</v>
      </c>
      <c r="AP1067" s="3">
        <f>VLOOKUP(INT(VLOOKUP(U1067,模板计算相关数据!A:N,2,0)/30)+1,模板计算相关数据!$O$35:$U$40,4,0)+AF1067</f>
        <v>5000</v>
      </c>
      <c r="AQ1067" s="3">
        <f>VLOOKUP(INT(VLOOKUP(U1067,模板计算相关数据!A:N,2,0)/30)+1,模板计算相关数据!$O$35:$U$40,5,0)+AG1067</f>
        <v>0</v>
      </c>
      <c r="AR1067" s="3">
        <f>VLOOKUP(INT(VLOOKUP(U1067,模板计算相关数据!A:N,2,0)/30)+1,模板计算相关数据!$O$35:$U$40,6,0)+AH1067</f>
        <v>0</v>
      </c>
      <c r="AS1067" s="3">
        <f>VLOOKUP(INT(VLOOKUP(U1067,模板计算相关数据!A:N,2,0)/30)+1,模板计算相关数据!$O$35:$U$40,7,0)+AI1067</f>
        <v>0</v>
      </c>
      <c r="AT1067" s="3">
        <f>VLOOKUP(INT(VLOOKUP(U1067,模板计算相关数据!A:N,2,0)/30)+1,模板计算相关数据!$O$35:$V$40,8,0)</f>
        <v>0</v>
      </c>
      <c r="AU1067" s="87" t="s">
        <v>1951</v>
      </c>
    </row>
    <row r="1068" spans="1:47" x14ac:dyDescent="0.2">
      <c r="A1068" s="86">
        <v>2003302</v>
      </c>
      <c r="B1068" s="86"/>
      <c r="C1068" s="69" t="s">
        <v>1947</v>
      </c>
      <c r="D1068" s="69" t="s">
        <v>1948</v>
      </c>
      <c r="E1068" s="2"/>
      <c r="F1068" s="2">
        <v>4</v>
      </c>
      <c r="G1068" s="3">
        <v>103301</v>
      </c>
      <c r="H1068" s="1">
        <v>2</v>
      </c>
      <c r="I1068" s="89">
        <v>4</v>
      </c>
      <c r="J1068" s="90">
        <v>2</v>
      </c>
      <c r="L1068" s="69" t="s">
        <v>1950</v>
      </c>
      <c r="M1068" s="2"/>
      <c r="N1068" s="2">
        <v>1</v>
      </c>
      <c r="O1068" s="2"/>
      <c r="P1068" s="3" t="s">
        <v>1615</v>
      </c>
      <c r="Q1068" s="95">
        <f t="shared" si="94"/>
        <v>5.7709803921568623</v>
      </c>
      <c r="R1068" s="133">
        <f>IF(P1068=模板计算相关数据!$AB$24,VLOOKUP(X1068,模板计算相关数据!$P$47:$T$50,2,0),VLOOKUP(X1068,模板计算相关数据!$P$4:$U$7,3,0))*VLOOKUP(Y1068,模板计算相关数据!$P$22:$X$30,8,0)</f>
        <v>5.7709803921568623</v>
      </c>
      <c r="S1068" s="62">
        <f t="shared" si="95"/>
        <v>6.4077918749199023</v>
      </c>
      <c r="T1068" s="133">
        <f>IF(P1068=模板计算相关数据!$AB$24,VLOOKUP(X1068,模板计算相关数据!$P$47:$T$50,5,0),VLOOKUP(X1068,模板计算相关数据!$P$4:$U$7,6,0))*VLOOKUP(Y1068,模板计算相关数据!$P$22:$X$30,9,0)</f>
        <v>6.4077918749199023</v>
      </c>
      <c r="U1068" s="98">
        <v>1</v>
      </c>
      <c r="V1068" s="95">
        <f t="shared" si="83"/>
        <v>4</v>
      </c>
      <c r="W1068" s="29">
        <f>VLOOKUP(U1068,模板计算相关数据!A:N,2,0)</f>
        <v>1</v>
      </c>
      <c r="X1068" s="3" t="s">
        <v>151</v>
      </c>
      <c r="Y1068" s="3" t="s">
        <v>243</v>
      </c>
      <c r="Z1068" s="95">
        <v>1</v>
      </c>
      <c r="AA1068" s="95">
        <v>1</v>
      </c>
      <c r="AB1068" s="95">
        <v>1</v>
      </c>
      <c r="AC1068" s="95">
        <v>1</v>
      </c>
      <c r="AD1068" s="95">
        <v>0</v>
      </c>
      <c r="AE1068" s="95">
        <v>0</v>
      </c>
      <c r="AF1068" s="95">
        <v>0</v>
      </c>
      <c r="AG1068" s="95">
        <v>0</v>
      </c>
      <c r="AH1068" s="95">
        <v>0</v>
      </c>
      <c r="AI1068" s="95">
        <v>0</v>
      </c>
      <c r="AJ1068" s="3">
        <f>INT(VLOOKUP(U1068,模板计算相关数据!A:N,4,0)*VLOOKUP(U1068,模板计算相关数据!A:N,14,0)*(1+MAX(0,(VLOOKUP(U1068,模板计算相关数据!A:N,7,0)-AQ1068))*VLOOKUP(U1068,模板计算相关数据!A:N,8,0))*(1-(AL1068+AM1068)*0.5/((AL1068+AM1068)*0.5+(VLOOKUP(U1068,模板计算相关数据!A:N,2,0)+模板计算相关数据!$AC$27)*模板计算相关数据!$AC$28))*Q1068*Z1068)</f>
        <v>411</v>
      </c>
      <c r="AK1068" s="3">
        <f>INT(VLOOKUP(U1068,模板计算相关数据!A:N,3,0)/模板计算相关数据!$W$35/(1+MAX(0,(AO1068/10000-VLOOKUP(U1068,模板计算相关数据!A:N,9,0)))*AP1068/10000)/(1-VLOOKUP(U1068,模板计算相关数据!A:N,5,0)/(VLOOKUP(U1068,模板计算相关数据!A:N,5,0)+(VLOOKUP(U1068,模板计算相关数据!A:N,2,0)+模板计算相关数据!$AC$27)*模板计算相关数据!$AC$28))/S1068*AA1068)</f>
        <v>86</v>
      </c>
      <c r="AL1068" s="3">
        <f>INT(VLOOKUP(U1068,模板计算相关数据!A:N,5,0)*VLOOKUP(X1068,模板计算相关数据!$P$4:$T$7,4,0)*VLOOKUP(Y1068,模板计算相关数据!$P$22:$U$30,4,0)*AB1068)</f>
        <v>145</v>
      </c>
      <c r="AM1068" s="3">
        <f>INT(VLOOKUP(U1068,模板计算相关数据!A:N,6,0)*VLOOKUP(X1068,模板计算相关数据!$P$4:$T$7,4,0)*VLOOKUP(Y1068,模板计算相关数据!$P$22:$U$30,5,0)*AC1068)</f>
        <v>264</v>
      </c>
      <c r="AN1068" s="3">
        <f>VLOOKUP(U1068,模板计算相关数据!A:N,10,0)*0.5*VLOOKUP(Y1068,模板计算相关数据!$P$22:$U$30,6,0)+AD1068</f>
        <v>275</v>
      </c>
      <c r="AO1068" s="3">
        <f>VLOOKUP(INT(VLOOKUP(U1068,模板计算相关数据!A:N,2,0)/30)+1,模板计算相关数据!$O$35:$U$40,3,0)+AE1068</f>
        <v>0</v>
      </c>
      <c r="AP1068" s="3">
        <f>VLOOKUP(INT(VLOOKUP(U1068,模板计算相关数据!A:N,2,0)/30)+1,模板计算相关数据!$O$35:$U$40,4,0)+AF1068</f>
        <v>5000</v>
      </c>
      <c r="AQ1068" s="3">
        <f>VLOOKUP(INT(VLOOKUP(U1068,模板计算相关数据!A:N,2,0)/30)+1,模板计算相关数据!$O$35:$U$40,5,0)+AG1068</f>
        <v>0</v>
      </c>
      <c r="AR1068" s="3">
        <f>VLOOKUP(INT(VLOOKUP(U1068,模板计算相关数据!A:N,2,0)/30)+1,模板计算相关数据!$O$35:$U$40,6,0)+AH1068</f>
        <v>0</v>
      </c>
      <c r="AS1068" s="3">
        <f>VLOOKUP(INT(VLOOKUP(U1068,模板计算相关数据!A:N,2,0)/30)+1,模板计算相关数据!$O$35:$U$40,7,0)+AI1068</f>
        <v>0</v>
      </c>
      <c r="AT1068" s="3">
        <f>VLOOKUP(INT(VLOOKUP(U1068,模板计算相关数据!A:N,2,0)/30)+1,模板计算相关数据!$O$35:$V$40,8,0)</f>
        <v>0</v>
      </c>
      <c r="AU1068" s="87" t="s">
        <v>1952</v>
      </c>
    </row>
    <row r="1069" spans="1:47" x14ac:dyDescent="0.2">
      <c r="A1069" s="86">
        <v>2003303</v>
      </c>
      <c r="B1069" s="86"/>
      <c r="C1069" s="69" t="s">
        <v>1943</v>
      </c>
      <c r="D1069" s="69" t="s">
        <v>1948</v>
      </c>
      <c r="E1069" s="2"/>
      <c r="F1069" s="2">
        <v>4</v>
      </c>
      <c r="G1069" s="3">
        <v>1007401</v>
      </c>
      <c r="H1069" s="1">
        <v>1</v>
      </c>
      <c r="I1069" s="89">
        <v>4</v>
      </c>
      <c r="J1069" s="90">
        <v>1</v>
      </c>
      <c r="L1069" s="69" t="s">
        <v>1949</v>
      </c>
      <c r="M1069" s="2"/>
      <c r="N1069" s="2">
        <v>1</v>
      </c>
      <c r="O1069" s="2"/>
      <c r="P1069" s="3" t="s">
        <v>1615</v>
      </c>
      <c r="Q1069" s="95">
        <f t="shared" ref="Q1069" si="96">R1069</f>
        <v>5.7709803921568623</v>
      </c>
      <c r="R1069" s="133">
        <f>IF(P1069=模板计算相关数据!$AB$24,VLOOKUP(X1069,模板计算相关数据!$P$47:$T$50,2,0),VLOOKUP(X1069,模板计算相关数据!$P$4:$U$7,3,0))*VLOOKUP(Y1069,模板计算相关数据!$P$22:$X$30,8,0)</f>
        <v>5.7709803921568623</v>
      </c>
      <c r="S1069" s="62">
        <f t="shared" ref="S1069" si="97">T1069</f>
        <v>6.4077918749199023</v>
      </c>
      <c r="T1069" s="133">
        <f>IF(P1069=模板计算相关数据!$AB$24,VLOOKUP(X1069,模板计算相关数据!$P$47:$T$50,5,0),VLOOKUP(X1069,模板计算相关数据!$P$4:$U$7,6,0))*VLOOKUP(Y1069,模板计算相关数据!$P$22:$X$30,9,0)</f>
        <v>6.4077918749199023</v>
      </c>
      <c r="U1069" s="98">
        <v>1</v>
      </c>
      <c r="V1069" s="95">
        <f t="shared" si="83"/>
        <v>4</v>
      </c>
      <c r="W1069" s="29">
        <f>VLOOKUP(U1069,模板计算相关数据!A:N,2,0)</f>
        <v>1</v>
      </c>
      <c r="X1069" s="3" t="s">
        <v>151</v>
      </c>
      <c r="Y1069" s="3" t="s">
        <v>243</v>
      </c>
      <c r="Z1069" s="95">
        <v>1</v>
      </c>
      <c r="AA1069" s="95">
        <v>1</v>
      </c>
      <c r="AB1069" s="95">
        <v>1</v>
      </c>
      <c r="AC1069" s="95">
        <v>1</v>
      </c>
      <c r="AD1069" s="95">
        <v>0</v>
      </c>
      <c r="AE1069" s="95">
        <v>0</v>
      </c>
      <c r="AF1069" s="95">
        <v>0</v>
      </c>
      <c r="AG1069" s="95">
        <v>0</v>
      </c>
      <c r="AH1069" s="95">
        <v>0</v>
      </c>
      <c r="AI1069" s="95">
        <v>0</v>
      </c>
      <c r="AJ1069" s="3">
        <f>INT(VLOOKUP(U1069,模板计算相关数据!A:N,4,0)*VLOOKUP(U1069,模板计算相关数据!A:N,14,0)*(1+MAX(0,(VLOOKUP(U1069,模板计算相关数据!A:N,7,0)-AQ1069))*VLOOKUP(U1069,模板计算相关数据!A:N,8,0))*(1-(AL1069+AM1069)*0.5/((AL1069+AM1069)*0.5+(VLOOKUP(U1069,模板计算相关数据!A:N,2,0)+模板计算相关数据!$AC$27)*模板计算相关数据!$AC$28))*Q1069*Z1069)</f>
        <v>411</v>
      </c>
      <c r="AK1069" s="3">
        <f>INT(VLOOKUP(U1069,模板计算相关数据!A:N,3,0)/模板计算相关数据!$W$35/(1+MAX(0,(AO1069/10000-VLOOKUP(U1069,模板计算相关数据!A:N,9,0)))*AP1069/10000)/(1-VLOOKUP(U1069,模板计算相关数据!A:N,5,0)/(VLOOKUP(U1069,模板计算相关数据!A:N,5,0)+(VLOOKUP(U1069,模板计算相关数据!A:N,2,0)+模板计算相关数据!$AC$27)*模板计算相关数据!$AC$28))/S1069*AA1069)</f>
        <v>86</v>
      </c>
      <c r="AL1069" s="3">
        <f>INT(VLOOKUP(U1069,模板计算相关数据!A:N,5,0)*VLOOKUP(X1069,模板计算相关数据!$P$4:$T$7,4,0)*VLOOKUP(Y1069,模板计算相关数据!$P$22:$U$30,4,0)*AB1069)</f>
        <v>145</v>
      </c>
      <c r="AM1069" s="3">
        <f>INT(VLOOKUP(U1069,模板计算相关数据!A:N,6,0)*VLOOKUP(X1069,模板计算相关数据!$P$4:$T$7,4,0)*VLOOKUP(Y1069,模板计算相关数据!$P$22:$U$30,5,0)*AC1069)</f>
        <v>264</v>
      </c>
      <c r="AN1069" s="3">
        <f>VLOOKUP(U1069,模板计算相关数据!A:N,10,0)*0.5*VLOOKUP(Y1069,模板计算相关数据!$P$22:$U$30,6,0)+AD1069</f>
        <v>275</v>
      </c>
      <c r="AO1069" s="3">
        <f>VLOOKUP(INT(VLOOKUP(U1069,模板计算相关数据!A:N,2,0)/30)+1,模板计算相关数据!$O$35:$U$40,3,0)+AE1069</f>
        <v>0</v>
      </c>
      <c r="AP1069" s="3">
        <f>VLOOKUP(INT(VLOOKUP(U1069,模板计算相关数据!A:N,2,0)/30)+1,模板计算相关数据!$O$35:$U$40,4,0)+AF1069</f>
        <v>5000</v>
      </c>
      <c r="AQ1069" s="3">
        <f>VLOOKUP(INT(VLOOKUP(U1069,模板计算相关数据!A:N,2,0)/30)+1,模板计算相关数据!$O$35:$U$40,5,0)+AG1069</f>
        <v>0</v>
      </c>
      <c r="AR1069" s="3">
        <f>VLOOKUP(INT(VLOOKUP(U1069,模板计算相关数据!A:N,2,0)/30)+1,模板计算相关数据!$O$35:$U$40,6,0)+AH1069</f>
        <v>0</v>
      </c>
      <c r="AS1069" s="3">
        <f>VLOOKUP(INT(VLOOKUP(U1069,模板计算相关数据!A:N,2,0)/30)+1,模板计算相关数据!$O$35:$U$40,7,0)+AI1069</f>
        <v>0</v>
      </c>
      <c r="AT1069" s="3">
        <f>VLOOKUP(INT(VLOOKUP(U1069,模板计算相关数据!A:N,2,0)/30)+1,模板计算相关数据!$O$35:$V$40,8,0)</f>
        <v>0</v>
      </c>
      <c r="AU1069" s="87" t="s">
        <v>1951</v>
      </c>
    </row>
  </sheetData>
  <autoFilter ref="A1:AU1069" xr:uid="{00000000-0001-0000-0300-000000000000}"/>
  <phoneticPr fontId="13" type="noConversion"/>
  <conditionalFormatting sqref="A1070:B1048576">
    <cfRule type="duplicateValues" dxfId="142" priority="215"/>
  </conditionalFormatting>
  <conditionalFormatting sqref="A1070:B1048576">
    <cfRule type="duplicateValues" dxfId="14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特工配置转化!#REF!</xm:f>
          </x14:formula1>
          <xm:sqref>H1 U4 AP3 Y1:AI4 W1:X2 H138:H153 W4:X4 H3:H5 U1:U2</xm:sqref>
        </x14:dataValidation>
        <x14:dataValidation type="list" allowBlank="1" showInputMessage="1" showErrorMessage="1" xr:uid="{00000000-0002-0000-0300-000003000000}">
          <x14:formula1>
            <xm:f>模板计算相关数据!$P$4:$P$7</xm:f>
          </x14:formula1>
          <xm:sqref>X5:X109 X111:X1048576</xm:sqref>
        </x14:dataValidation>
        <x14:dataValidation type="list" allowBlank="1" showInputMessage="1" showErrorMessage="1" xr:uid="{00000000-0002-0000-0300-000001000000}">
          <x14:formula1>
            <xm:f>模板计算相关数据!$P$22:$P$30</xm:f>
          </x14:formula1>
          <xm:sqref>Y5:Y109 Y111:Y1048576</xm:sqref>
        </x14:dataValidation>
        <x14:dataValidation type="list" allowBlank="1" showInputMessage="1" showErrorMessage="1" xr:uid="{692FEC5D-D7EA-421C-A619-B11911533C70}">
          <x14:formula1>
            <xm:f>模板计算相关数据!$AB$24:$AB$25</xm:f>
          </x14:formula1>
          <xm:sqref>P6:P109 P111:P1069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tabSelected="1" workbookViewId="0">
      <selection activeCell="K14" sqref="K14"/>
    </sheetView>
  </sheetViews>
  <sheetFormatPr defaultColWidth="9" defaultRowHeight="14.25" x14ac:dyDescent="0.2"/>
  <cols>
    <col min="1" max="1" width="11.125" style="5" customWidth="1"/>
    <col min="2" max="16384" width="9" style="5"/>
  </cols>
  <sheetData>
    <row r="1" spans="1:2" x14ac:dyDescent="0.2">
      <c r="A1" s="129" t="s">
        <v>3</v>
      </c>
      <c r="B1" s="130" t="s">
        <v>4</v>
      </c>
    </row>
    <row r="2" spans="1:2" x14ac:dyDescent="0.2">
      <c r="A2" s="129" t="s">
        <v>23</v>
      </c>
      <c r="B2" s="130" t="s">
        <v>24</v>
      </c>
    </row>
    <row r="3" spans="1:2" x14ac:dyDescent="0.2">
      <c r="A3" s="129"/>
      <c r="B3" s="108"/>
    </row>
    <row r="4" spans="1:2" x14ac:dyDescent="0.2">
      <c r="A4" s="129"/>
      <c r="B4" s="108"/>
    </row>
    <row r="5" spans="1:2" x14ac:dyDescent="0.2">
      <c r="A5" s="129" t="s">
        <v>3</v>
      </c>
      <c r="B5" s="126" t="s">
        <v>675</v>
      </c>
    </row>
    <row r="6" spans="1:2" x14ac:dyDescent="0.2">
      <c r="A6" s="7">
        <v>1</v>
      </c>
      <c r="B6" s="6" t="s">
        <v>676</v>
      </c>
    </row>
    <row r="7" spans="1:2" x14ac:dyDescent="0.2">
      <c r="A7" s="7">
        <v>2</v>
      </c>
      <c r="B7" s="6" t="s">
        <v>677</v>
      </c>
    </row>
    <row r="8" spans="1:2" x14ac:dyDescent="0.2">
      <c r="A8" s="7">
        <v>3</v>
      </c>
      <c r="B8" s="6" t="s">
        <v>678</v>
      </c>
    </row>
    <row r="9" spans="1:2" x14ac:dyDescent="0.2">
      <c r="A9" s="7">
        <v>4</v>
      </c>
      <c r="B9" s="6" t="s">
        <v>679</v>
      </c>
    </row>
    <row r="10" spans="1:2" x14ac:dyDescent="0.2">
      <c r="A10" s="7">
        <v>5</v>
      </c>
      <c r="B10" s="6" t="s">
        <v>680</v>
      </c>
    </row>
    <row r="11" spans="1:2" x14ac:dyDescent="0.2">
      <c r="A11" s="7">
        <v>6</v>
      </c>
      <c r="B11" s="6" t="s">
        <v>681</v>
      </c>
    </row>
    <row r="12" spans="1:2" x14ac:dyDescent="0.2">
      <c r="A12" s="7">
        <v>7</v>
      </c>
      <c r="B12" s="6" t="s">
        <v>508</v>
      </c>
    </row>
    <row r="13" spans="1:2" x14ac:dyDescent="0.2">
      <c r="A13" s="7">
        <v>8</v>
      </c>
      <c r="B13" s="6" t="s">
        <v>682</v>
      </c>
    </row>
    <row r="14" spans="1:2" x14ac:dyDescent="0.2">
      <c r="A14" s="7">
        <v>9</v>
      </c>
      <c r="B14" s="6" t="s">
        <v>683</v>
      </c>
    </row>
    <row r="15" spans="1:2" x14ac:dyDescent="0.2">
      <c r="A15" s="7">
        <v>10</v>
      </c>
      <c r="B15" s="6" t="s">
        <v>684</v>
      </c>
    </row>
    <row r="16" spans="1:2" x14ac:dyDescent="0.2">
      <c r="A16" s="7">
        <v>11</v>
      </c>
      <c r="B16" s="131" t="s">
        <v>900</v>
      </c>
    </row>
  </sheetData>
  <phoneticPr fontId="13" type="noConversion"/>
  <conditionalFormatting sqref="A6:A1048576">
    <cfRule type="duplicateValues" dxfId="283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AC80"/>
  <sheetViews>
    <sheetView topLeftCell="A34" workbookViewId="0">
      <selection activeCell="I16" sqref="I16"/>
    </sheetView>
  </sheetViews>
  <sheetFormatPr defaultColWidth="9" defaultRowHeight="14.25" x14ac:dyDescent="0.2"/>
  <cols>
    <col min="1" max="14" width="9" style="1"/>
  </cols>
  <sheetData>
    <row r="1" spans="1:25" x14ac:dyDescent="0.2">
      <c r="B1" s="162" t="s">
        <v>641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</row>
    <row r="2" spans="1:25" x14ac:dyDescent="0.2">
      <c r="A2" s="70" t="s">
        <v>1365</v>
      </c>
      <c r="B2" s="3" t="s">
        <v>642</v>
      </c>
      <c r="C2" s="3" t="s">
        <v>643</v>
      </c>
      <c r="D2" s="3" t="s">
        <v>644</v>
      </c>
      <c r="E2" s="3" t="s">
        <v>645</v>
      </c>
      <c r="F2" s="3" t="s">
        <v>646</v>
      </c>
      <c r="G2" s="3" t="s">
        <v>647</v>
      </c>
      <c r="H2" s="3" t="s">
        <v>648</v>
      </c>
      <c r="I2" s="3" t="s">
        <v>649</v>
      </c>
      <c r="J2" s="3" t="s">
        <v>650</v>
      </c>
      <c r="K2" s="62" t="s">
        <v>1366</v>
      </c>
      <c r="L2" s="62" t="s">
        <v>1342</v>
      </c>
      <c r="M2" s="62" t="s">
        <v>1343</v>
      </c>
      <c r="N2" s="62" t="s">
        <v>1344</v>
      </c>
      <c r="P2" s="161" t="s">
        <v>1609</v>
      </c>
      <c r="Q2" s="162"/>
      <c r="R2" s="162"/>
      <c r="S2" s="162"/>
      <c r="T2" s="162"/>
      <c r="U2" s="162"/>
      <c r="W2" s="162" t="s">
        <v>652</v>
      </c>
      <c r="X2" s="162"/>
    </row>
    <row r="3" spans="1:25" x14ac:dyDescent="0.2">
      <c r="A3" s="1">
        <v>1</v>
      </c>
      <c r="B3" s="71">
        <v>1</v>
      </c>
      <c r="C3" s="72">
        <v>444</v>
      </c>
      <c r="D3" s="72">
        <v>82</v>
      </c>
      <c r="E3" s="72">
        <v>267</v>
      </c>
      <c r="F3" s="72">
        <v>267</v>
      </c>
      <c r="G3" s="72">
        <v>0.05</v>
      </c>
      <c r="H3" s="72"/>
      <c r="I3" s="72"/>
      <c r="J3" s="72">
        <v>500</v>
      </c>
      <c r="K3" s="72">
        <v>0</v>
      </c>
      <c r="L3" s="72">
        <v>1</v>
      </c>
      <c r="M3" s="72">
        <v>0</v>
      </c>
      <c r="N3" s="158">
        <f t="shared" ref="N3:N34" si="0">IF(M3=0,0,$X$7/$X$5*(1+$X$4*(M3-1))*K3)+$X$6/$X$5*(1+$X$4*(L3-1))</f>
        <v>1.24</v>
      </c>
      <c r="P3" s="44" t="s">
        <v>0</v>
      </c>
      <c r="Q3" s="44" t="s">
        <v>653</v>
      </c>
      <c r="R3" s="30" t="s">
        <v>654</v>
      </c>
      <c r="S3" s="31" t="s">
        <v>655</v>
      </c>
      <c r="T3" s="44" t="s">
        <v>644</v>
      </c>
      <c r="U3" s="44" t="s">
        <v>1608</v>
      </c>
      <c r="W3" s="43" t="s">
        <v>651</v>
      </c>
      <c r="X3" s="43" t="s">
        <v>656</v>
      </c>
    </row>
    <row r="4" spans="1:25" x14ac:dyDescent="0.2">
      <c r="A4" s="1">
        <v>2</v>
      </c>
      <c r="B4" s="73">
        <v>1</v>
      </c>
      <c r="C4" s="1">
        <v>444</v>
      </c>
      <c r="D4" s="1">
        <v>82</v>
      </c>
      <c r="E4" s="1">
        <v>267</v>
      </c>
      <c r="F4" s="1">
        <v>267</v>
      </c>
      <c r="G4" s="72">
        <v>0.05</v>
      </c>
      <c r="J4" s="1">
        <v>500</v>
      </c>
      <c r="K4" s="72">
        <v>0.94490999351577576</v>
      </c>
      <c r="L4" s="72">
        <v>1</v>
      </c>
      <c r="M4" s="72">
        <v>1</v>
      </c>
      <c r="N4" s="158">
        <f t="shared" si="0"/>
        <v>1.4289819987031551</v>
      </c>
      <c r="P4" s="75" t="s">
        <v>151</v>
      </c>
      <c r="Q4" s="75">
        <v>1</v>
      </c>
      <c r="R4" s="75">
        <v>5</v>
      </c>
      <c r="S4" s="75">
        <v>0.8</v>
      </c>
      <c r="T4" s="75">
        <v>0.9</v>
      </c>
      <c r="U4" s="2">
        <v>6.6666666666666661</v>
      </c>
      <c r="W4" s="77" t="s">
        <v>1345</v>
      </c>
      <c r="X4" s="75">
        <v>0.1</v>
      </c>
    </row>
    <row r="5" spans="1:25" x14ac:dyDescent="0.2">
      <c r="A5" s="1">
        <v>3</v>
      </c>
      <c r="B5" s="73">
        <v>2</v>
      </c>
      <c r="C5" s="1">
        <v>509</v>
      </c>
      <c r="D5" s="1">
        <v>94</v>
      </c>
      <c r="E5" s="1">
        <v>305</v>
      </c>
      <c r="F5" s="1">
        <v>305</v>
      </c>
      <c r="G5" s="72">
        <v>0.05</v>
      </c>
      <c r="J5" s="1">
        <v>500</v>
      </c>
      <c r="K5" s="72">
        <v>0.82572085222752345</v>
      </c>
      <c r="L5" s="72">
        <v>1</v>
      </c>
      <c r="M5" s="72">
        <v>1</v>
      </c>
      <c r="N5" s="158">
        <f t="shared" si="0"/>
        <v>1.4051441704455048</v>
      </c>
      <c r="P5" s="75" t="s">
        <v>158</v>
      </c>
      <c r="Q5" s="75">
        <v>2</v>
      </c>
      <c r="R5" s="75">
        <v>8</v>
      </c>
      <c r="S5" s="75">
        <v>1</v>
      </c>
      <c r="T5" s="75">
        <v>1.3</v>
      </c>
      <c r="U5" s="2">
        <v>4.615384615384615</v>
      </c>
      <c r="W5" s="77" t="s">
        <v>1346</v>
      </c>
      <c r="X5" s="75">
        <f>1.5</f>
        <v>1.5</v>
      </c>
    </row>
    <row r="6" spans="1:25" x14ac:dyDescent="0.2">
      <c r="A6" s="1">
        <v>4</v>
      </c>
      <c r="B6" s="73">
        <v>3</v>
      </c>
      <c r="C6" s="1">
        <v>647</v>
      </c>
      <c r="D6" s="1">
        <v>120</v>
      </c>
      <c r="E6" s="1">
        <v>388</v>
      </c>
      <c r="F6" s="1">
        <v>388</v>
      </c>
      <c r="G6" s="72">
        <v>0.05</v>
      </c>
      <c r="J6" s="1">
        <v>500</v>
      </c>
      <c r="K6" s="72">
        <v>0.85044607811894157</v>
      </c>
      <c r="L6" s="72">
        <v>1</v>
      </c>
      <c r="M6" s="72">
        <v>1</v>
      </c>
      <c r="N6" s="158">
        <f t="shared" si="0"/>
        <v>1.4100892156237883</v>
      </c>
      <c r="P6" s="75" t="s">
        <v>178</v>
      </c>
      <c r="Q6" s="75">
        <v>5</v>
      </c>
      <c r="R6" s="75">
        <v>20</v>
      </c>
      <c r="S6" s="75">
        <v>1.2</v>
      </c>
      <c r="T6" s="75">
        <v>1.65</v>
      </c>
      <c r="U6" s="2">
        <v>3.6363636363636367</v>
      </c>
      <c r="W6" s="69" t="s">
        <v>1347</v>
      </c>
      <c r="X6" s="78">
        <v>1.86</v>
      </c>
    </row>
    <row r="7" spans="1:25" x14ac:dyDescent="0.2">
      <c r="A7" s="1">
        <v>4</v>
      </c>
      <c r="B7" s="73">
        <v>3</v>
      </c>
      <c r="C7" s="1">
        <v>647</v>
      </c>
      <c r="D7" s="1">
        <v>120</v>
      </c>
      <c r="E7" s="1">
        <v>388</v>
      </c>
      <c r="F7" s="1">
        <v>388</v>
      </c>
      <c r="G7" s="72">
        <v>0.05</v>
      </c>
      <c r="J7" s="1">
        <v>500</v>
      </c>
      <c r="K7" s="72">
        <v>0.85044607811894157</v>
      </c>
      <c r="L7" s="72">
        <v>1</v>
      </c>
      <c r="M7" s="72">
        <v>1</v>
      </c>
      <c r="N7" s="158">
        <f t="shared" si="0"/>
        <v>1.4100892156237883</v>
      </c>
      <c r="P7" s="75" t="s">
        <v>181</v>
      </c>
      <c r="Q7" s="75">
        <v>15</v>
      </c>
      <c r="R7" s="75">
        <v>60</v>
      </c>
      <c r="S7" s="75">
        <v>1.5</v>
      </c>
      <c r="T7" s="75">
        <v>2.9</v>
      </c>
      <c r="U7" s="2">
        <v>2.0689655172413794</v>
      </c>
      <c r="W7" s="69" t="s">
        <v>1348</v>
      </c>
      <c r="X7" s="78">
        <v>0.3</v>
      </c>
    </row>
    <row r="8" spans="1:25" x14ac:dyDescent="0.2">
      <c r="A8" s="1">
        <v>4</v>
      </c>
      <c r="B8" s="73">
        <v>3</v>
      </c>
      <c r="C8" s="1">
        <v>647</v>
      </c>
      <c r="D8" s="1">
        <v>120</v>
      </c>
      <c r="E8" s="1">
        <v>388</v>
      </c>
      <c r="F8" s="1">
        <v>388</v>
      </c>
      <c r="G8" s="72">
        <v>0.05</v>
      </c>
      <c r="J8" s="1">
        <v>500</v>
      </c>
      <c r="K8" s="72">
        <v>0.85044607811894157</v>
      </c>
      <c r="L8" s="72">
        <v>1</v>
      </c>
      <c r="M8" s="72">
        <v>1</v>
      </c>
      <c r="N8" s="158">
        <f t="shared" si="0"/>
        <v>1.4100892156237883</v>
      </c>
      <c r="Q8" t="s">
        <v>657</v>
      </c>
      <c r="W8" s="69"/>
      <c r="X8" s="2"/>
    </row>
    <row r="9" spans="1:25" x14ac:dyDescent="0.2">
      <c r="A9" s="1">
        <v>5</v>
      </c>
      <c r="B9" s="73">
        <v>6</v>
      </c>
      <c r="C9" s="1">
        <v>877</v>
      </c>
      <c r="D9" s="1">
        <v>162</v>
      </c>
      <c r="E9" s="1">
        <v>526</v>
      </c>
      <c r="F9" s="1">
        <v>526</v>
      </c>
      <c r="G9" s="72">
        <v>0.05</v>
      </c>
      <c r="J9" s="1">
        <v>500</v>
      </c>
      <c r="K9" s="72">
        <v>0.77702216927201118</v>
      </c>
      <c r="L9" s="72">
        <v>1</v>
      </c>
      <c r="M9" s="72">
        <v>1</v>
      </c>
      <c r="N9" s="158">
        <f t="shared" si="0"/>
        <v>1.3954044338544023</v>
      </c>
      <c r="Q9" t="s">
        <v>658</v>
      </c>
    </row>
    <row r="10" spans="1:25" x14ac:dyDescent="0.2">
      <c r="A10" s="1">
        <v>5</v>
      </c>
      <c r="B10" s="73">
        <v>6</v>
      </c>
      <c r="C10" s="1">
        <v>877</v>
      </c>
      <c r="D10" s="1">
        <v>162</v>
      </c>
      <c r="E10" s="1">
        <v>526</v>
      </c>
      <c r="F10" s="1">
        <v>526</v>
      </c>
      <c r="G10" s="72">
        <v>0.05</v>
      </c>
      <c r="J10" s="1">
        <v>500</v>
      </c>
      <c r="K10" s="72">
        <v>0.77702216927201118</v>
      </c>
      <c r="L10" s="72">
        <v>1</v>
      </c>
      <c r="M10" s="72">
        <v>1</v>
      </c>
      <c r="N10" s="158">
        <f t="shared" si="0"/>
        <v>1.3954044338544023</v>
      </c>
    </row>
    <row r="11" spans="1:25" x14ac:dyDescent="0.2">
      <c r="A11" s="1">
        <v>5</v>
      </c>
      <c r="B11" s="73">
        <v>6</v>
      </c>
      <c r="C11" s="1">
        <v>877</v>
      </c>
      <c r="D11" s="1">
        <v>162</v>
      </c>
      <c r="E11" s="1">
        <v>526</v>
      </c>
      <c r="F11" s="1">
        <v>526</v>
      </c>
      <c r="G11" s="72">
        <v>0.05</v>
      </c>
      <c r="J11" s="1">
        <v>500</v>
      </c>
      <c r="K11" s="72">
        <v>0.77702216927201118</v>
      </c>
      <c r="L11" s="72">
        <v>1</v>
      </c>
      <c r="M11" s="72">
        <v>1</v>
      </c>
      <c r="N11" s="158">
        <f t="shared" si="0"/>
        <v>1.3954044338544023</v>
      </c>
      <c r="P11" s="163" t="s">
        <v>659</v>
      </c>
      <c r="Q11" s="163"/>
      <c r="R11" s="163"/>
      <c r="S11" s="163"/>
      <c r="T11" s="163"/>
      <c r="U11" s="163"/>
      <c r="V11" s="163"/>
      <c r="W11" s="163"/>
      <c r="X11" s="163"/>
    </row>
    <row r="12" spans="1:25" x14ac:dyDescent="0.2">
      <c r="A12" s="1">
        <v>6</v>
      </c>
      <c r="B12" s="73">
        <v>8</v>
      </c>
      <c r="C12" s="1">
        <v>1031</v>
      </c>
      <c r="D12" s="1">
        <v>191</v>
      </c>
      <c r="E12" s="1">
        <v>618</v>
      </c>
      <c r="F12" s="1">
        <v>618</v>
      </c>
      <c r="G12" s="72">
        <v>0.05</v>
      </c>
      <c r="J12" s="1">
        <v>500</v>
      </c>
      <c r="K12" s="72">
        <v>0.72402686310740605</v>
      </c>
      <c r="L12" s="72">
        <v>1</v>
      </c>
      <c r="M12" s="72">
        <v>1</v>
      </c>
      <c r="N12" s="158">
        <f t="shared" si="0"/>
        <v>1.3848053726214813</v>
      </c>
      <c r="P12" s="37" t="s">
        <v>660</v>
      </c>
      <c r="Q12" s="37" t="s">
        <v>661</v>
      </c>
      <c r="R12" s="37" t="s">
        <v>662</v>
      </c>
      <c r="S12" s="38" t="s">
        <v>663</v>
      </c>
      <c r="T12" s="39" t="s">
        <v>664</v>
      </c>
      <c r="U12" s="39" t="s">
        <v>0</v>
      </c>
      <c r="V12" s="40" t="s">
        <v>665</v>
      </c>
      <c r="W12" s="40" t="s">
        <v>666</v>
      </c>
      <c r="X12" s="40" t="s">
        <v>667</v>
      </c>
    </row>
    <row r="13" spans="1:25" x14ac:dyDescent="0.2">
      <c r="A13" s="1">
        <v>6</v>
      </c>
      <c r="B13" s="73">
        <v>8</v>
      </c>
      <c r="C13" s="1">
        <v>1031</v>
      </c>
      <c r="D13" s="1">
        <v>191</v>
      </c>
      <c r="E13" s="1">
        <v>618</v>
      </c>
      <c r="F13" s="1">
        <v>618</v>
      </c>
      <c r="G13" s="72">
        <v>0.05</v>
      </c>
      <c r="J13" s="1">
        <v>500</v>
      </c>
      <c r="K13" s="72">
        <v>0.72402686310740605</v>
      </c>
      <c r="L13" s="72">
        <v>1</v>
      </c>
      <c r="M13" s="72">
        <v>1</v>
      </c>
      <c r="N13" s="158">
        <f t="shared" si="0"/>
        <v>1.3848053726214813</v>
      </c>
      <c r="P13" s="37" t="s">
        <v>150</v>
      </c>
      <c r="Q13" s="37">
        <f>R4</f>
        <v>5</v>
      </c>
      <c r="R13" s="37">
        <v>3.75</v>
      </c>
      <c r="S13" s="37">
        <v>5</v>
      </c>
      <c r="T13" s="39">
        <v>1</v>
      </c>
      <c r="U13" s="39" t="s">
        <v>151</v>
      </c>
      <c r="V13" s="39">
        <v>0.75</v>
      </c>
      <c r="W13" s="39">
        <v>1</v>
      </c>
      <c r="X13" s="39">
        <v>1</v>
      </c>
      <c r="Y13" s="8" t="s">
        <v>1371</v>
      </c>
    </row>
    <row r="14" spans="1:25" x14ac:dyDescent="0.2">
      <c r="A14" s="1">
        <v>7</v>
      </c>
      <c r="B14" s="73">
        <v>12</v>
      </c>
      <c r="C14" s="1">
        <v>1404</v>
      </c>
      <c r="D14" s="1">
        <v>260</v>
      </c>
      <c r="E14" s="1">
        <v>842</v>
      </c>
      <c r="F14" s="1">
        <v>842</v>
      </c>
      <c r="G14" s="72">
        <v>0.05</v>
      </c>
      <c r="J14" s="1">
        <v>500</v>
      </c>
      <c r="K14" s="72">
        <v>0.62462385595402214</v>
      </c>
      <c r="L14" s="72">
        <v>1</v>
      </c>
      <c r="M14" s="72">
        <v>1</v>
      </c>
      <c r="N14" s="158">
        <f t="shared" si="0"/>
        <v>1.3649247711908044</v>
      </c>
      <c r="P14" s="37" t="s">
        <v>157</v>
      </c>
      <c r="Q14" s="37">
        <f>R5</f>
        <v>8</v>
      </c>
      <c r="R14" s="37">
        <v>4.375</v>
      </c>
      <c r="S14" s="37">
        <v>6.25</v>
      </c>
      <c r="T14" s="39">
        <v>1.3333333333333333</v>
      </c>
      <c r="U14" s="39" t="s">
        <v>158</v>
      </c>
      <c r="V14" s="39">
        <v>0.8125</v>
      </c>
      <c r="W14" s="39">
        <v>1.125</v>
      </c>
      <c r="X14" s="39">
        <v>1</v>
      </c>
      <c r="Y14" s="8" t="s">
        <v>1370</v>
      </c>
    </row>
    <row r="15" spans="1:25" x14ac:dyDescent="0.2">
      <c r="A15" s="1">
        <v>7</v>
      </c>
      <c r="B15" s="73">
        <v>12</v>
      </c>
      <c r="C15" s="1">
        <v>1404</v>
      </c>
      <c r="D15" s="1">
        <v>260</v>
      </c>
      <c r="E15" s="1">
        <v>842</v>
      </c>
      <c r="F15" s="1">
        <v>842</v>
      </c>
      <c r="G15" s="72">
        <v>0.05</v>
      </c>
      <c r="J15" s="1">
        <v>500</v>
      </c>
      <c r="K15" s="72">
        <v>0.62462385595402214</v>
      </c>
      <c r="L15" s="72">
        <v>1</v>
      </c>
      <c r="M15" s="72">
        <v>1</v>
      </c>
      <c r="N15" s="158">
        <f t="shared" si="0"/>
        <v>1.3649247711908044</v>
      </c>
      <c r="P15" s="37" t="s">
        <v>177</v>
      </c>
      <c r="Q15" s="37">
        <f>R6</f>
        <v>20</v>
      </c>
      <c r="R15" s="37">
        <v>6.6666666666666696</v>
      </c>
      <c r="S15" s="37">
        <v>10</v>
      </c>
      <c r="T15" s="39">
        <v>2.2857142857142856</v>
      </c>
      <c r="U15" s="39" t="s">
        <v>178</v>
      </c>
      <c r="V15" s="39">
        <v>1.0833333333333333</v>
      </c>
      <c r="W15" s="39">
        <v>1.8333333333333333</v>
      </c>
      <c r="X15" s="39">
        <v>1.3333333333333333</v>
      </c>
      <c r="Y15" s="8" t="s">
        <v>1369</v>
      </c>
    </row>
    <row r="16" spans="1:25" x14ac:dyDescent="0.2">
      <c r="A16" s="1">
        <v>7</v>
      </c>
      <c r="B16" s="73">
        <v>12</v>
      </c>
      <c r="C16" s="1">
        <v>1404</v>
      </c>
      <c r="D16" s="1">
        <v>260</v>
      </c>
      <c r="E16" s="1">
        <v>842</v>
      </c>
      <c r="F16" s="1">
        <v>842</v>
      </c>
      <c r="G16" s="72">
        <v>0.05</v>
      </c>
      <c r="J16" s="1">
        <v>500</v>
      </c>
      <c r="K16" s="72">
        <v>0.62462385595402214</v>
      </c>
      <c r="L16" s="72">
        <v>1</v>
      </c>
      <c r="M16" s="72">
        <v>1</v>
      </c>
      <c r="N16" s="158">
        <f t="shared" si="0"/>
        <v>1.3649247711908044</v>
      </c>
      <c r="P16" s="37" t="s">
        <v>668</v>
      </c>
      <c r="Q16" s="37">
        <f>R6</f>
        <v>20</v>
      </c>
      <c r="R16" s="37">
        <v>7.5</v>
      </c>
      <c r="S16" s="37">
        <v>10</v>
      </c>
      <c r="T16" s="39">
        <v>2</v>
      </c>
      <c r="U16" s="39" t="s">
        <v>178</v>
      </c>
      <c r="V16" s="39">
        <v>1.5</v>
      </c>
      <c r="W16" s="39">
        <v>2.5</v>
      </c>
      <c r="X16" s="39">
        <v>2</v>
      </c>
      <c r="Y16" s="8" t="s">
        <v>1368</v>
      </c>
    </row>
    <row r="17" spans="1:29" x14ac:dyDescent="0.2">
      <c r="A17" s="1">
        <v>8</v>
      </c>
      <c r="B17" s="73">
        <v>17</v>
      </c>
      <c r="C17" s="1">
        <v>1807</v>
      </c>
      <c r="D17" s="1">
        <v>335</v>
      </c>
      <c r="E17" s="1">
        <v>1084</v>
      </c>
      <c r="F17" s="1">
        <v>1084</v>
      </c>
      <c r="G17" s="72">
        <v>0.05</v>
      </c>
      <c r="J17" s="1">
        <v>500</v>
      </c>
      <c r="K17" s="72">
        <v>0.55736577589449987</v>
      </c>
      <c r="L17" s="72">
        <v>1</v>
      </c>
      <c r="M17" s="72">
        <v>1</v>
      </c>
      <c r="N17" s="158">
        <f t="shared" si="0"/>
        <v>1.3514731551788999</v>
      </c>
      <c r="P17" s="37" t="s">
        <v>181</v>
      </c>
      <c r="Q17" s="37">
        <f>R7</f>
        <v>60</v>
      </c>
      <c r="R17" s="37">
        <v>15</v>
      </c>
      <c r="S17" s="37">
        <v>15</v>
      </c>
      <c r="T17" s="39">
        <v>4</v>
      </c>
      <c r="U17" s="39" t="s">
        <v>181</v>
      </c>
      <c r="V17" s="39">
        <v>3.75</v>
      </c>
      <c r="W17" s="39">
        <v>3</v>
      </c>
      <c r="X17" s="39">
        <v>4</v>
      </c>
      <c r="Y17" s="8" t="s">
        <v>1367</v>
      </c>
    </row>
    <row r="18" spans="1:29" x14ac:dyDescent="0.2">
      <c r="A18" s="1">
        <v>8</v>
      </c>
      <c r="B18" s="73">
        <v>17</v>
      </c>
      <c r="C18" s="1">
        <v>1807</v>
      </c>
      <c r="D18" s="1">
        <v>335</v>
      </c>
      <c r="E18" s="1">
        <v>1084</v>
      </c>
      <c r="F18" s="1">
        <v>1084</v>
      </c>
      <c r="G18" s="72">
        <v>0.05</v>
      </c>
      <c r="J18" s="1">
        <v>500</v>
      </c>
      <c r="K18" s="72">
        <v>0.55736577589449987</v>
      </c>
      <c r="L18" s="72">
        <v>1</v>
      </c>
      <c r="M18" s="72">
        <v>1</v>
      </c>
      <c r="N18" s="158">
        <f t="shared" si="0"/>
        <v>1.3514731551788999</v>
      </c>
    </row>
    <row r="19" spans="1:29" x14ac:dyDescent="0.2">
      <c r="A19" s="1">
        <v>8</v>
      </c>
      <c r="B19" s="73">
        <v>17</v>
      </c>
      <c r="C19" s="1">
        <v>1807</v>
      </c>
      <c r="D19" s="1">
        <v>335</v>
      </c>
      <c r="E19" s="1">
        <v>1084</v>
      </c>
      <c r="F19" s="1">
        <v>1084</v>
      </c>
      <c r="G19" s="72">
        <v>0.05</v>
      </c>
      <c r="J19" s="1">
        <v>500</v>
      </c>
      <c r="K19" s="72">
        <v>0.55736577589449987</v>
      </c>
      <c r="L19" s="72">
        <v>1</v>
      </c>
      <c r="M19" s="72">
        <v>1</v>
      </c>
      <c r="N19" s="158">
        <f t="shared" si="0"/>
        <v>1.3514731551788999</v>
      </c>
    </row>
    <row r="20" spans="1:29" x14ac:dyDescent="0.2">
      <c r="A20" s="1">
        <v>9</v>
      </c>
      <c r="B20" s="73">
        <v>19</v>
      </c>
      <c r="C20" s="1">
        <v>1968</v>
      </c>
      <c r="D20" s="1">
        <v>364</v>
      </c>
      <c r="E20" s="1">
        <v>1181</v>
      </c>
      <c r="F20" s="1">
        <v>1181</v>
      </c>
      <c r="G20" s="72">
        <v>0.05</v>
      </c>
      <c r="J20" s="1">
        <v>500</v>
      </c>
      <c r="K20" s="72">
        <v>0.57834261814784194</v>
      </c>
      <c r="L20" s="72">
        <v>1</v>
      </c>
      <c r="M20" s="72">
        <v>1</v>
      </c>
      <c r="N20" s="158">
        <f t="shared" si="0"/>
        <v>1.3556685236295685</v>
      </c>
      <c r="P20" s="164" t="s">
        <v>669</v>
      </c>
      <c r="Q20" s="164"/>
      <c r="R20" s="164"/>
      <c r="S20" s="164"/>
      <c r="T20" s="164"/>
      <c r="U20" s="164"/>
      <c r="W20" s="161" t="s">
        <v>1629</v>
      </c>
      <c r="X20" s="161"/>
    </row>
    <row r="21" spans="1:29" x14ac:dyDescent="0.2">
      <c r="A21" s="1">
        <v>9</v>
      </c>
      <c r="B21" s="73">
        <v>19</v>
      </c>
      <c r="C21" s="1">
        <v>1968</v>
      </c>
      <c r="D21" s="1">
        <v>364</v>
      </c>
      <c r="E21" s="1">
        <v>1181</v>
      </c>
      <c r="F21" s="1">
        <v>1181</v>
      </c>
      <c r="G21" s="72">
        <v>0.05</v>
      </c>
      <c r="J21" s="1">
        <v>500</v>
      </c>
      <c r="K21" s="72">
        <v>0.57834261814784194</v>
      </c>
      <c r="L21" s="72">
        <v>1</v>
      </c>
      <c r="M21" s="72">
        <v>1</v>
      </c>
      <c r="N21" s="158">
        <f t="shared" si="0"/>
        <v>1.3556685236295685</v>
      </c>
      <c r="P21" s="44" t="s">
        <v>47</v>
      </c>
      <c r="Q21" s="43" t="s">
        <v>643</v>
      </c>
      <c r="R21" s="43" t="s">
        <v>644</v>
      </c>
      <c r="S21" s="43" t="s">
        <v>645</v>
      </c>
      <c r="T21" s="43" t="s">
        <v>646</v>
      </c>
      <c r="U21" s="43" t="s">
        <v>650</v>
      </c>
      <c r="W21" s="42" t="s">
        <v>1630</v>
      </c>
      <c r="X21" s="42" t="s">
        <v>1631</v>
      </c>
    </row>
    <row r="22" spans="1:29" x14ac:dyDescent="0.2">
      <c r="A22" s="1">
        <v>10</v>
      </c>
      <c r="B22" s="73">
        <v>21</v>
      </c>
      <c r="C22" s="1">
        <v>2971</v>
      </c>
      <c r="D22" s="1">
        <v>556</v>
      </c>
      <c r="E22" s="1">
        <v>1734</v>
      </c>
      <c r="F22" s="1">
        <v>1716</v>
      </c>
      <c r="G22" s="72">
        <v>0.05</v>
      </c>
      <c r="J22" s="1">
        <v>500</v>
      </c>
      <c r="K22" s="72">
        <v>0.50631480188477418</v>
      </c>
      <c r="L22" s="72">
        <v>1</v>
      </c>
      <c r="M22" s="72">
        <v>1</v>
      </c>
      <c r="N22" s="158">
        <f t="shared" si="0"/>
        <v>1.3412629603769548</v>
      </c>
      <c r="P22" s="75" t="s">
        <v>223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1">
        <v>1</v>
      </c>
      <c r="W22" s="3">
        <v>1</v>
      </c>
      <c r="X22" s="3">
        <v>1</v>
      </c>
    </row>
    <row r="23" spans="1:29" x14ac:dyDescent="0.2">
      <c r="A23" s="1">
        <v>11</v>
      </c>
      <c r="B23" s="73">
        <v>23</v>
      </c>
      <c r="C23" s="1">
        <v>3139</v>
      </c>
      <c r="D23" s="1">
        <v>587</v>
      </c>
      <c r="E23" s="1">
        <v>1831</v>
      </c>
      <c r="F23" s="1">
        <v>1813</v>
      </c>
      <c r="G23" s="72">
        <v>0.05</v>
      </c>
      <c r="J23" s="1">
        <v>500</v>
      </c>
      <c r="K23" s="72">
        <v>0.5224647171950455</v>
      </c>
      <c r="L23" s="72">
        <v>1</v>
      </c>
      <c r="M23" s="72">
        <v>1</v>
      </c>
      <c r="N23" s="158">
        <f t="shared" si="0"/>
        <v>1.3444929434390092</v>
      </c>
      <c r="P23" s="75" t="s">
        <v>155</v>
      </c>
      <c r="Q23" s="3">
        <v>1.2</v>
      </c>
      <c r="R23" s="3">
        <v>0.78800000000000003</v>
      </c>
      <c r="S23" s="3">
        <v>1.3</v>
      </c>
      <c r="T23" s="3">
        <v>0.72</v>
      </c>
      <c r="U23" s="3">
        <v>0.9</v>
      </c>
      <c r="V23" s="1">
        <v>1</v>
      </c>
      <c r="W23" s="2">
        <v>1.3882352941176472</v>
      </c>
      <c r="X23" s="2">
        <v>1.2441524833283568</v>
      </c>
    </row>
    <row r="24" spans="1:29" x14ac:dyDescent="0.2">
      <c r="A24" s="1">
        <v>11</v>
      </c>
      <c r="B24" s="73">
        <v>23</v>
      </c>
      <c r="C24" s="1">
        <v>3139</v>
      </c>
      <c r="D24" s="1">
        <v>587</v>
      </c>
      <c r="E24" s="1">
        <v>1831</v>
      </c>
      <c r="F24" s="1">
        <v>1813</v>
      </c>
      <c r="G24" s="72">
        <v>0.05</v>
      </c>
      <c r="J24" s="1">
        <v>500</v>
      </c>
      <c r="K24" s="72">
        <v>0.5224647171950455</v>
      </c>
      <c r="L24" s="72">
        <v>1</v>
      </c>
      <c r="M24" s="72">
        <v>1</v>
      </c>
      <c r="N24" s="158">
        <f t="shared" si="0"/>
        <v>1.3444929434390092</v>
      </c>
      <c r="P24" s="75" t="s">
        <v>234</v>
      </c>
      <c r="Q24" s="3">
        <v>1.2</v>
      </c>
      <c r="R24" s="3">
        <v>0.78800000000000003</v>
      </c>
      <c r="S24" s="3">
        <v>0.72</v>
      </c>
      <c r="T24" s="3">
        <v>1.3</v>
      </c>
      <c r="U24" s="3">
        <v>0.9</v>
      </c>
      <c r="V24" s="1">
        <v>2</v>
      </c>
      <c r="W24" s="2">
        <v>1.3882352941176472</v>
      </c>
      <c r="X24" s="2">
        <v>1.2441524833283568</v>
      </c>
      <c r="AB24" s="69" t="s">
        <v>1614</v>
      </c>
    </row>
    <row r="25" spans="1:29" x14ac:dyDescent="0.2">
      <c r="A25" s="1">
        <v>12</v>
      </c>
      <c r="B25" s="73">
        <v>26</v>
      </c>
      <c r="C25" s="1">
        <v>3518</v>
      </c>
      <c r="D25" s="1">
        <v>717</v>
      </c>
      <c r="E25" s="1">
        <v>1976</v>
      </c>
      <c r="F25" s="1">
        <v>2407</v>
      </c>
      <c r="G25" s="72">
        <v>0.05</v>
      </c>
      <c r="J25" s="1">
        <v>500</v>
      </c>
      <c r="K25" s="72">
        <v>0.52574859009271302</v>
      </c>
      <c r="L25" s="72">
        <v>1</v>
      </c>
      <c r="M25" s="72">
        <v>1</v>
      </c>
      <c r="N25" s="158">
        <f t="shared" si="0"/>
        <v>1.3451497180185426</v>
      </c>
      <c r="P25" s="75" t="s">
        <v>159</v>
      </c>
      <c r="Q25" s="3">
        <v>1.0680000000000001</v>
      </c>
      <c r="R25" s="3">
        <v>0.98</v>
      </c>
      <c r="S25" s="3">
        <v>1.24</v>
      </c>
      <c r="T25" s="3">
        <v>0.67999999999999994</v>
      </c>
      <c r="U25" s="3">
        <v>1.1000000000000001</v>
      </c>
      <c r="V25" s="1">
        <v>1</v>
      </c>
      <c r="W25" s="2">
        <v>1.1541960784313725</v>
      </c>
      <c r="X25" s="2">
        <v>0.96116878123798499</v>
      </c>
      <c r="AB25" s="69" t="s">
        <v>1616</v>
      </c>
    </row>
    <row r="26" spans="1:29" x14ac:dyDescent="0.2">
      <c r="A26" s="1">
        <v>12</v>
      </c>
      <c r="B26" s="73">
        <v>26</v>
      </c>
      <c r="C26" s="1">
        <v>3518</v>
      </c>
      <c r="D26" s="1">
        <v>717</v>
      </c>
      <c r="E26" s="1">
        <v>1976</v>
      </c>
      <c r="F26" s="1">
        <v>2407</v>
      </c>
      <c r="G26" s="72">
        <v>0.05</v>
      </c>
      <c r="J26" s="1">
        <v>500</v>
      </c>
      <c r="K26" s="72">
        <v>0.52574859009271302</v>
      </c>
      <c r="L26" s="72">
        <v>1</v>
      </c>
      <c r="M26" s="72">
        <v>1</v>
      </c>
      <c r="N26" s="158">
        <f t="shared" si="0"/>
        <v>1.3451497180185426</v>
      </c>
      <c r="P26" s="75" t="s">
        <v>243</v>
      </c>
      <c r="Q26" s="3">
        <v>1.0680000000000001</v>
      </c>
      <c r="R26" s="3">
        <v>0.98</v>
      </c>
      <c r="S26" s="3">
        <v>0.67999999999999994</v>
      </c>
      <c r="T26" s="3">
        <v>1.24</v>
      </c>
      <c r="U26" s="3">
        <v>1.1000000000000001</v>
      </c>
      <c r="V26" s="1">
        <v>2</v>
      </c>
      <c r="W26" s="2">
        <v>1.1541960784313725</v>
      </c>
      <c r="X26" s="2">
        <v>0.96116878123798544</v>
      </c>
    </row>
    <row r="27" spans="1:29" x14ac:dyDescent="0.2">
      <c r="A27" s="1">
        <v>12</v>
      </c>
      <c r="B27" s="73">
        <v>26</v>
      </c>
      <c r="C27" s="1">
        <v>3518</v>
      </c>
      <c r="D27" s="1">
        <v>717</v>
      </c>
      <c r="E27" s="1">
        <v>1976</v>
      </c>
      <c r="F27" s="1">
        <v>2407</v>
      </c>
      <c r="G27" s="72">
        <v>0.05</v>
      </c>
      <c r="J27" s="1">
        <v>500</v>
      </c>
      <c r="K27" s="72">
        <v>0.52574859009271302</v>
      </c>
      <c r="L27" s="72">
        <v>1</v>
      </c>
      <c r="M27" s="72">
        <v>1</v>
      </c>
      <c r="N27" s="158">
        <f t="shared" si="0"/>
        <v>1.3451497180185426</v>
      </c>
      <c r="P27" s="75" t="s">
        <v>170</v>
      </c>
      <c r="Q27" s="3">
        <v>1.02</v>
      </c>
      <c r="R27" s="3">
        <v>0.80000000000000016</v>
      </c>
      <c r="S27" s="3">
        <v>1.3</v>
      </c>
      <c r="T27" s="3">
        <v>0.7</v>
      </c>
      <c r="U27" s="3">
        <v>0.9</v>
      </c>
      <c r="V27" s="1">
        <v>1</v>
      </c>
      <c r="W27" s="2">
        <v>1.1200000000000003</v>
      </c>
      <c r="X27" s="2">
        <v>1.0004001600640255</v>
      </c>
      <c r="AB27" s="43" t="s">
        <v>670</v>
      </c>
      <c r="AC27" s="3">
        <v>4</v>
      </c>
    </row>
    <row r="28" spans="1:29" x14ac:dyDescent="0.2">
      <c r="A28" s="1">
        <v>13</v>
      </c>
      <c r="B28" s="73">
        <v>30</v>
      </c>
      <c r="C28" s="1">
        <v>4162</v>
      </c>
      <c r="D28" s="1">
        <v>782</v>
      </c>
      <c r="E28" s="1">
        <v>2628</v>
      </c>
      <c r="F28" s="1">
        <v>2628</v>
      </c>
      <c r="G28" s="72">
        <v>0.05</v>
      </c>
      <c r="J28" s="1">
        <v>500</v>
      </c>
      <c r="K28" s="72">
        <v>0.61161298424996313</v>
      </c>
      <c r="L28" s="72">
        <v>1.1666666666666667</v>
      </c>
      <c r="M28" s="72">
        <v>1</v>
      </c>
      <c r="N28" s="158">
        <f t="shared" si="0"/>
        <v>1.3829892635166592</v>
      </c>
      <c r="P28" s="75" t="s">
        <v>255</v>
      </c>
      <c r="Q28" s="3">
        <v>1.02</v>
      </c>
      <c r="R28" s="3">
        <v>0.80000000000000016</v>
      </c>
      <c r="S28" s="3">
        <v>0.7</v>
      </c>
      <c r="T28" s="3">
        <v>1.3</v>
      </c>
      <c r="U28" s="3">
        <v>0.9</v>
      </c>
      <c r="V28" s="1">
        <v>2</v>
      </c>
      <c r="W28" s="2">
        <v>1.1200000000000003</v>
      </c>
      <c r="X28" s="2">
        <v>1.0004001600640255</v>
      </c>
      <c r="AB28" s="17" t="s">
        <v>671</v>
      </c>
      <c r="AC28" s="76">
        <v>96</v>
      </c>
    </row>
    <row r="29" spans="1:29" x14ac:dyDescent="0.2">
      <c r="A29" s="1">
        <v>13</v>
      </c>
      <c r="B29" s="73">
        <v>30</v>
      </c>
      <c r="C29" s="1">
        <v>4162</v>
      </c>
      <c r="D29" s="1">
        <v>782</v>
      </c>
      <c r="E29" s="1">
        <v>2628</v>
      </c>
      <c r="F29" s="1">
        <v>2628</v>
      </c>
      <c r="G29" s="72">
        <v>0.05</v>
      </c>
      <c r="J29" s="1">
        <v>500</v>
      </c>
      <c r="K29" s="72">
        <v>0.61161298424996313</v>
      </c>
      <c r="L29" s="72">
        <v>1.1666666666666667</v>
      </c>
      <c r="M29" s="72">
        <v>1</v>
      </c>
      <c r="N29" s="158">
        <f t="shared" si="0"/>
        <v>1.3829892635166592</v>
      </c>
      <c r="P29" s="75" t="s">
        <v>152</v>
      </c>
      <c r="Q29" s="3">
        <v>0.76</v>
      </c>
      <c r="R29" s="3">
        <v>1.4079999999999999</v>
      </c>
      <c r="S29" s="3">
        <v>1.08</v>
      </c>
      <c r="T29" s="3">
        <v>0.6399999999999999</v>
      </c>
      <c r="U29" s="3">
        <v>1</v>
      </c>
      <c r="V29" s="1">
        <v>1</v>
      </c>
      <c r="W29" s="2">
        <v>0.88345098039215697</v>
      </c>
      <c r="X29" s="2">
        <v>0.81427920005211385</v>
      </c>
      <c r="Y29" s="79" t="s">
        <v>1638</v>
      </c>
    </row>
    <row r="30" spans="1:29" x14ac:dyDescent="0.2">
      <c r="A30" s="1">
        <v>13</v>
      </c>
      <c r="B30" s="73">
        <v>30</v>
      </c>
      <c r="C30" s="1">
        <v>4162</v>
      </c>
      <c r="D30" s="1">
        <v>782</v>
      </c>
      <c r="E30" s="1">
        <v>2628</v>
      </c>
      <c r="F30" s="1">
        <v>2628</v>
      </c>
      <c r="G30" s="72">
        <v>0.05</v>
      </c>
      <c r="J30" s="1">
        <v>500</v>
      </c>
      <c r="K30" s="72">
        <v>0.61161298424996313</v>
      </c>
      <c r="L30" s="72">
        <v>1.1666666666666667</v>
      </c>
      <c r="M30" s="72">
        <v>1</v>
      </c>
      <c r="N30" s="158">
        <f t="shared" si="0"/>
        <v>1.3829892635166592</v>
      </c>
      <c r="P30" s="75" t="s">
        <v>162</v>
      </c>
      <c r="Q30" s="3">
        <v>0.78</v>
      </c>
      <c r="R30" s="3">
        <v>1.3879999999999999</v>
      </c>
      <c r="S30" s="3">
        <v>0.6399999999999999</v>
      </c>
      <c r="T30" s="3">
        <v>1.08</v>
      </c>
      <c r="U30" s="3">
        <v>1</v>
      </c>
      <c r="V30" s="1">
        <v>2</v>
      </c>
      <c r="W30" s="2">
        <v>0.89349019607843139</v>
      </c>
      <c r="X30" s="2">
        <v>0.82109895884652018</v>
      </c>
    </row>
    <row r="31" spans="1:29" x14ac:dyDescent="0.2">
      <c r="A31" s="1">
        <v>14</v>
      </c>
      <c r="B31" s="73">
        <v>32</v>
      </c>
      <c r="C31" s="1">
        <v>4337</v>
      </c>
      <c r="D31" s="1">
        <v>814</v>
      </c>
      <c r="E31" s="1">
        <v>2738</v>
      </c>
      <c r="F31" s="1">
        <v>2738</v>
      </c>
      <c r="G31" s="72">
        <v>0.05</v>
      </c>
      <c r="J31" s="1">
        <v>500</v>
      </c>
      <c r="K31" s="72">
        <v>0.60344028269631034</v>
      </c>
      <c r="L31" s="72">
        <v>1.25</v>
      </c>
      <c r="M31" s="72">
        <v>1</v>
      </c>
      <c r="N31" s="158">
        <f t="shared" si="0"/>
        <v>1.391688056539262</v>
      </c>
    </row>
    <row r="32" spans="1:29" x14ac:dyDescent="0.2">
      <c r="A32" s="1">
        <v>14</v>
      </c>
      <c r="B32" s="73">
        <v>32</v>
      </c>
      <c r="C32" s="1">
        <v>4337</v>
      </c>
      <c r="D32" s="1">
        <v>814</v>
      </c>
      <c r="E32" s="1">
        <v>2738</v>
      </c>
      <c r="F32" s="1">
        <v>2738</v>
      </c>
      <c r="G32" s="72">
        <v>0.05</v>
      </c>
      <c r="J32" s="1">
        <v>500</v>
      </c>
      <c r="K32" s="72">
        <v>0.60344028269631034</v>
      </c>
      <c r="L32" s="72">
        <v>1.25</v>
      </c>
      <c r="M32" s="72">
        <v>1</v>
      </c>
      <c r="N32" s="158">
        <f t="shared" si="0"/>
        <v>1.391688056539262</v>
      </c>
    </row>
    <row r="33" spans="1:23" x14ac:dyDescent="0.2">
      <c r="A33" s="1">
        <v>15</v>
      </c>
      <c r="B33" s="73">
        <v>35</v>
      </c>
      <c r="C33" s="1">
        <v>4683</v>
      </c>
      <c r="D33" s="1">
        <v>880</v>
      </c>
      <c r="E33" s="1">
        <v>2957</v>
      </c>
      <c r="F33" s="1">
        <v>2957</v>
      </c>
      <c r="G33" s="72">
        <v>0.05</v>
      </c>
      <c r="J33" s="1">
        <v>500</v>
      </c>
      <c r="K33" s="72">
        <v>0.59995745957086399</v>
      </c>
      <c r="L33" s="72">
        <v>1.3333333333333333</v>
      </c>
      <c r="M33" s="72">
        <v>1</v>
      </c>
      <c r="N33" s="158">
        <f t="shared" si="0"/>
        <v>1.4013248252475059</v>
      </c>
      <c r="P33" s="164" t="s">
        <v>1626</v>
      </c>
      <c r="Q33" s="164"/>
      <c r="R33" s="164"/>
      <c r="S33" s="164"/>
      <c r="T33" s="164"/>
      <c r="U33" s="164"/>
      <c r="V33" s="164"/>
      <c r="W33" s="164"/>
    </row>
    <row r="34" spans="1:23" x14ac:dyDescent="0.2">
      <c r="A34" s="1">
        <v>15</v>
      </c>
      <c r="B34" s="73">
        <v>35</v>
      </c>
      <c r="C34" s="1">
        <v>4683</v>
      </c>
      <c r="D34" s="1">
        <v>880</v>
      </c>
      <c r="E34" s="1">
        <v>2957</v>
      </c>
      <c r="F34" s="1">
        <v>2957</v>
      </c>
      <c r="G34" s="72">
        <v>0.05</v>
      </c>
      <c r="J34" s="1">
        <v>500</v>
      </c>
      <c r="K34" s="72">
        <v>0.59995745957086399</v>
      </c>
      <c r="L34" s="72">
        <v>1.3333333333333333</v>
      </c>
      <c r="M34" s="72">
        <v>1</v>
      </c>
      <c r="N34" s="158">
        <f t="shared" si="0"/>
        <v>1.4013248252475059</v>
      </c>
      <c r="P34" s="44" t="s">
        <v>672</v>
      </c>
      <c r="Q34" s="43" t="s">
        <v>647</v>
      </c>
      <c r="R34" s="43" t="s">
        <v>648</v>
      </c>
      <c r="S34" s="43" t="s">
        <v>649</v>
      </c>
      <c r="T34" s="43" t="s">
        <v>145</v>
      </c>
      <c r="U34" s="43" t="s">
        <v>146</v>
      </c>
      <c r="V34" s="43" t="s">
        <v>147</v>
      </c>
      <c r="W34" s="43" t="s">
        <v>1349</v>
      </c>
    </row>
    <row r="35" spans="1:23" x14ac:dyDescent="0.2">
      <c r="A35" s="1">
        <v>15</v>
      </c>
      <c r="B35" s="73">
        <v>35</v>
      </c>
      <c r="C35" s="1">
        <v>4683</v>
      </c>
      <c r="D35" s="1">
        <v>880</v>
      </c>
      <c r="E35" s="1">
        <v>2957</v>
      </c>
      <c r="F35" s="1">
        <v>2957</v>
      </c>
      <c r="G35" s="72">
        <v>0.05</v>
      </c>
      <c r="J35" s="1">
        <v>500</v>
      </c>
      <c r="K35" s="72">
        <v>0.59995745957086399</v>
      </c>
      <c r="L35" s="72">
        <v>1.3333333333333333</v>
      </c>
      <c r="M35" s="72">
        <v>1</v>
      </c>
      <c r="N35" s="158">
        <f t="shared" ref="N35:N66" si="1">IF(M35=0,0,$X$7/$X$5*(1+$X$4*(M35-1))*K35)+$X$6/$X$5*(1+$X$4*(L35-1))</f>
        <v>1.4013248252475059</v>
      </c>
      <c r="O35">
        <v>1</v>
      </c>
      <c r="P35" s="3">
        <v>1</v>
      </c>
      <c r="Q35" s="74">
        <v>0</v>
      </c>
      <c r="R35" s="74">
        <v>5000</v>
      </c>
      <c r="S35" s="74">
        <v>0</v>
      </c>
      <c r="T35" s="74">
        <v>0</v>
      </c>
      <c r="U35" s="74">
        <v>0</v>
      </c>
      <c r="V35" s="76">
        <v>0</v>
      </c>
      <c r="W35" s="159">
        <v>1.24</v>
      </c>
    </row>
    <row r="36" spans="1:23" x14ac:dyDescent="0.2">
      <c r="A36" s="1">
        <v>16</v>
      </c>
      <c r="B36" s="73">
        <v>36</v>
      </c>
      <c r="C36" s="1">
        <v>4771</v>
      </c>
      <c r="D36" s="1">
        <v>896</v>
      </c>
      <c r="E36" s="1">
        <v>3012</v>
      </c>
      <c r="F36" s="1">
        <v>3012</v>
      </c>
      <c r="G36" s="72">
        <v>0.05</v>
      </c>
      <c r="J36" s="1">
        <v>500</v>
      </c>
      <c r="K36" s="72">
        <v>0.61865509620848591</v>
      </c>
      <c r="L36" s="72">
        <v>1.3333333333333333</v>
      </c>
      <c r="M36" s="72">
        <v>1</v>
      </c>
      <c r="N36" s="158">
        <f t="shared" si="1"/>
        <v>1.4050643525750304</v>
      </c>
      <c r="O36">
        <v>2</v>
      </c>
      <c r="P36" s="3">
        <v>30</v>
      </c>
      <c r="Q36" s="74">
        <v>0</v>
      </c>
      <c r="R36" s="74">
        <v>5000</v>
      </c>
      <c r="S36" s="74">
        <v>0</v>
      </c>
      <c r="T36" s="74">
        <v>0</v>
      </c>
      <c r="U36" s="74">
        <v>0</v>
      </c>
      <c r="V36" s="76">
        <v>0</v>
      </c>
      <c r="W36" s="160"/>
    </row>
    <row r="37" spans="1:23" x14ac:dyDescent="0.2">
      <c r="A37" s="1">
        <v>16</v>
      </c>
      <c r="B37" s="73">
        <v>36</v>
      </c>
      <c r="C37" s="1">
        <v>4771</v>
      </c>
      <c r="D37" s="1">
        <v>896</v>
      </c>
      <c r="E37" s="1">
        <v>3012</v>
      </c>
      <c r="F37" s="1">
        <v>3012</v>
      </c>
      <c r="G37" s="72">
        <v>0.05</v>
      </c>
      <c r="J37" s="1">
        <v>500</v>
      </c>
      <c r="K37" s="72">
        <v>0.61865509620848591</v>
      </c>
      <c r="L37" s="72">
        <v>1.3333333333333333</v>
      </c>
      <c r="M37" s="72">
        <v>1</v>
      </c>
      <c r="N37" s="158">
        <f t="shared" si="1"/>
        <v>1.4050643525750304</v>
      </c>
      <c r="O37">
        <v>3</v>
      </c>
      <c r="P37" s="3">
        <v>60</v>
      </c>
      <c r="Q37" s="74">
        <v>500</v>
      </c>
      <c r="R37" s="74">
        <v>5000</v>
      </c>
      <c r="S37" s="74">
        <v>500</v>
      </c>
      <c r="T37" s="74">
        <v>0</v>
      </c>
      <c r="U37" s="74">
        <v>1000</v>
      </c>
      <c r="V37" s="76">
        <v>0</v>
      </c>
      <c r="W37" s="160"/>
    </row>
    <row r="38" spans="1:23" x14ac:dyDescent="0.2">
      <c r="A38" s="1">
        <v>17</v>
      </c>
      <c r="B38" s="73">
        <v>37</v>
      </c>
      <c r="C38" s="1">
        <v>4994</v>
      </c>
      <c r="D38" s="1">
        <v>939</v>
      </c>
      <c r="E38" s="1">
        <v>3172</v>
      </c>
      <c r="F38" s="1">
        <v>3172</v>
      </c>
      <c r="G38" s="72">
        <v>0.05</v>
      </c>
      <c r="J38" s="1">
        <v>500</v>
      </c>
      <c r="K38" s="72">
        <v>0.65048971211376094</v>
      </c>
      <c r="L38" s="72">
        <v>1.4166666666666667</v>
      </c>
      <c r="M38" s="72">
        <v>1</v>
      </c>
      <c r="N38" s="158">
        <f t="shared" si="1"/>
        <v>1.4217646090894189</v>
      </c>
      <c r="O38">
        <v>4</v>
      </c>
      <c r="P38" s="3">
        <v>90</v>
      </c>
      <c r="Q38" s="74">
        <v>1000</v>
      </c>
      <c r="R38" s="74">
        <v>5000</v>
      </c>
      <c r="S38" s="74">
        <v>1000</v>
      </c>
      <c r="T38" s="74">
        <v>0</v>
      </c>
      <c r="U38" s="74">
        <v>1500</v>
      </c>
      <c r="V38" s="76">
        <v>0</v>
      </c>
      <c r="W38" s="160"/>
    </row>
    <row r="39" spans="1:23" x14ac:dyDescent="0.2">
      <c r="A39" s="1">
        <v>17</v>
      </c>
      <c r="B39" s="73">
        <v>37</v>
      </c>
      <c r="C39" s="1">
        <v>4994</v>
      </c>
      <c r="D39" s="1">
        <v>939</v>
      </c>
      <c r="E39" s="1">
        <v>3172</v>
      </c>
      <c r="F39" s="1">
        <v>3172</v>
      </c>
      <c r="G39" s="72">
        <v>0.05</v>
      </c>
      <c r="J39" s="1">
        <v>500</v>
      </c>
      <c r="K39" s="72">
        <v>0.65048971211376094</v>
      </c>
      <c r="L39" s="72">
        <v>1.4166666666666667</v>
      </c>
      <c r="M39" s="72">
        <v>1</v>
      </c>
      <c r="N39" s="158">
        <f t="shared" si="1"/>
        <v>1.4217646090894189</v>
      </c>
      <c r="O39">
        <v>5</v>
      </c>
      <c r="P39" s="3">
        <v>120</v>
      </c>
      <c r="Q39" s="74">
        <v>1500</v>
      </c>
      <c r="R39" s="74">
        <v>5000</v>
      </c>
      <c r="S39" s="74">
        <v>1500</v>
      </c>
      <c r="T39" s="74">
        <v>0</v>
      </c>
      <c r="U39" s="74">
        <v>2000</v>
      </c>
      <c r="V39" s="76">
        <v>0</v>
      </c>
      <c r="W39" s="160"/>
    </row>
    <row r="40" spans="1:23" x14ac:dyDescent="0.2">
      <c r="A40" s="1">
        <v>17</v>
      </c>
      <c r="B40" s="73">
        <v>37</v>
      </c>
      <c r="C40" s="1">
        <v>4994</v>
      </c>
      <c r="D40" s="1">
        <v>939</v>
      </c>
      <c r="E40" s="1">
        <v>3172</v>
      </c>
      <c r="F40" s="1">
        <v>3172</v>
      </c>
      <c r="G40" s="72">
        <v>0.05</v>
      </c>
      <c r="J40" s="1">
        <v>500</v>
      </c>
      <c r="K40" s="72">
        <v>0.65048971211376094</v>
      </c>
      <c r="L40" s="72">
        <v>1.4166666666666667</v>
      </c>
      <c r="M40" s="72">
        <v>1</v>
      </c>
      <c r="N40" s="158">
        <f t="shared" si="1"/>
        <v>1.4217646090894189</v>
      </c>
      <c r="O40">
        <v>6</v>
      </c>
      <c r="P40" s="3">
        <v>140</v>
      </c>
      <c r="Q40" s="74">
        <v>2000</v>
      </c>
      <c r="R40" s="74">
        <v>5000</v>
      </c>
      <c r="S40" s="74">
        <v>2000</v>
      </c>
      <c r="T40" s="74">
        <v>0</v>
      </c>
      <c r="U40" s="74">
        <v>2500</v>
      </c>
      <c r="V40" s="76">
        <v>0</v>
      </c>
      <c r="W40" s="160"/>
    </row>
    <row r="41" spans="1:23" x14ac:dyDescent="0.2">
      <c r="A41" s="1">
        <v>18</v>
      </c>
      <c r="B41" s="73">
        <v>39</v>
      </c>
      <c r="C41" s="1">
        <v>5171</v>
      </c>
      <c r="D41" s="1">
        <v>972</v>
      </c>
      <c r="E41" s="1">
        <v>3284</v>
      </c>
      <c r="F41" s="1">
        <v>3284</v>
      </c>
      <c r="G41" s="72">
        <v>0.05</v>
      </c>
      <c r="J41" s="1">
        <v>500</v>
      </c>
      <c r="K41" s="72">
        <v>0.6559836910846597</v>
      </c>
      <c r="L41" s="72">
        <v>1.4166666666666667</v>
      </c>
      <c r="M41" s="72">
        <v>1</v>
      </c>
      <c r="N41" s="158">
        <f t="shared" si="1"/>
        <v>1.4228634048835986</v>
      </c>
    </row>
    <row r="42" spans="1:23" x14ac:dyDescent="0.2">
      <c r="A42" s="1">
        <v>18</v>
      </c>
      <c r="B42" s="73">
        <v>39</v>
      </c>
      <c r="C42" s="1">
        <v>5171</v>
      </c>
      <c r="D42" s="1">
        <v>972</v>
      </c>
      <c r="E42" s="1">
        <v>3284</v>
      </c>
      <c r="F42" s="1">
        <v>3284</v>
      </c>
      <c r="G42" s="72">
        <v>0.05</v>
      </c>
      <c r="J42" s="1">
        <v>500</v>
      </c>
      <c r="K42" s="72">
        <v>0.6559836910846597</v>
      </c>
      <c r="L42" s="72">
        <v>1.4166666666666667</v>
      </c>
      <c r="M42" s="72">
        <v>1</v>
      </c>
      <c r="N42" s="158">
        <f t="shared" si="1"/>
        <v>1.4228634048835986</v>
      </c>
    </row>
    <row r="43" spans="1:23" x14ac:dyDescent="0.2">
      <c r="A43" s="1">
        <v>19</v>
      </c>
      <c r="B43" s="73">
        <v>41</v>
      </c>
      <c r="C43" s="1">
        <v>5516</v>
      </c>
      <c r="D43" s="1">
        <v>1039</v>
      </c>
      <c r="E43" s="1">
        <v>3503</v>
      </c>
      <c r="F43" s="1">
        <v>3503</v>
      </c>
      <c r="G43" s="72">
        <v>0.05</v>
      </c>
      <c r="J43" s="1">
        <v>500</v>
      </c>
      <c r="K43" s="72">
        <v>0.65945107746511056</v>
      </c>
      <c r="L43" s="72">
        <v>1.5</v>
      </c>
      <c r="M43" s="72">
        <v>1</v>
      </c>
      <c r="N43" s="158">
        <f t="shared" si="1"/>
        <v>1.4338902154930222</v>
      </c>
    </row>
    <row r="44" spans="1:23" x14ac:dyDescent="0.2">
      <c r="A44" s="1">
        <v>19</v>
      </c>
      <c r="B44" s="73">
        <v>41</v>
      </c>
      <c r="C44" s="1">
        <v>5516</v>
      </c>
      <c r="D44" s="1">
        <v>1039</v>
      </c>
      <c r="E44" s="1">
        <v>3503</v>
      </c>
      <c r="F44" s="1">
        <v>3503</v>
      </c>
      <c r="G44" s="72">
        <v>0.05</v>
      </c>
      <c r="J44" s="1">
        <v>500</v>
      </c>
      <c r="K44" s="72">
        <v>0.65945107746511056</v>
      </c>
      <c r="L44" s="72">
        <v>1.5</v>
      </c>
      <c r="M44" s="72">
        <v>1</v>
      </c>
      <c r="N44" s="158">
        <f t="shared" si="1"/>
        <v>1.4338902154930222</v>
      </c>
    </row>
    <row r="45" spans="1:23" x14ac:dyDescent="0.2">
      <c r="A45" s="1">
        <v>19</v>
      </c>
      <c r="B45" s="73">
        <v>41</v>
      </c>
      <c r="C45" s="1">
        <v>5516</v>
      </c>
      <c r="D45" s="1">
        <v>1039</v>
      </c>
      <c r="E45" s="1">
        <v>3503</v>
      </c>
      <c r="F45" s="1">
        <v>3503</v>
      </c>
      <c r="G45" s="72">
        <v>0.05</v>
      </c>
      <c r="J45" s="1">
        <v>500</v>
      </c>
      <c r="K45" s="72">
        <v>0.65945107746511056</v>
      </c>
      <c r="L45" s="72">
        <v>1.5</v>
      </c>
      <c r="M45" s="72">
        <v>1</v>
      </c>
      <c r="N45" s="158">
        <f t="shared" si="1"/>
        <v>1.4338902154930222</v>
      </c>
      <c r="P45" s="162" t="s">
        <v>673</v>
      </c>
      <c r="Q45" s="162"/>
      <c r="R45" s="162"/>
      <c r="S45" s="162"/>
      <c r="T45" s="162"/>
    </row>
    <row r="46" spans="1:23" x14ac:dyDescent="0.2">
      <c r="A46" s="1">
        <v>20</v>
      </c>
      <c r="B46" s="73">
        <v>43</v>
      </c>
      <c r="C46" s="1">
        <v>6047</v>
      </c>
      <c r="D46" s="1">
        <v>1140</v>
      </c>
      <c r="E46" s="1">
        <v>3907</v>
      </c>
      <c r="F46" s="1">
        <v>3907</v>
      </c>
      <c r="G46" s="72">
        <v>0.05</v>
      </c>
      <c r="J46" s="1">
        <v>500</v>
      </c>
      <c r="K46" s="72">
        <v>0.6631542244721691</v>
      </c>
      <c r="L46" s="72">
        <v>1.5833333333333333</v>
      </c>
      <c r="M46" s="72">
        <v>1</v>
      </c>
      <c r="N46" s="158">
        <f t="shared" si="1"/>
        <v>1.4449641782277671</v>
      </c>
      <c r="P46" s="44" t="s">
        <v>0</v>
      </c>
      <c r="Q46" s="44" t="s">
        <v>654</v>
      </c>
      <c r="R46" s="44" t="s">
        <v>674</v>
      </c>
      <c r="S46" s="44" t="s">
        <v>644</v>
      </c>
      <c r="T46" s="44" t="s">
        <v>1608</v>
      </c>
    </row>
    <row r="47" spans="1:23" x14ac:dyDescent="0.2">
      <c r="A47" s="1">
        <v>21</v>
      </c>
      <c r="B47" s="73">
        <v>45</v>
      </c>
      <c r="C47" s="1">
        <v>6315</v>
      </c>
      <c r="D47" s="1">
        <v>1191</v>
      </c>
      <c r="E47" s="1">
        <v>4080</v>
      </c>
      <c r="F47" s="1">
        <v>4080</v>
      </c>
      <c r="G47" s="72">
        <v>0.05</v>
      </c>
      <c r="J47" s="1">
        <v>500</v>
      </c>
      <c r="K47" s="72">
        <v>0.66670546845697443</v>
      </c>
      <c r="L47" s="72">
        <v>1.5833333333333333</v>
      </c>
      <c r="M47" s="72">
        <v>1</v>
      </c>
      <c r="N47" s="158">
        <f t="shared" si="1"/>
        <v>1.4456744270247281</v>
      </c>
      <c r="P47" s="75" t="s">
        <v>151</v>
      </c>
      <c r="Q47" s="76">
        <v>4</v>
      </c>
      <c r="R47" s="3">
        <v>0.8</v>
      </c>
      <c r="S47" s="3">
        <v>0.69</v>
      </c>
      <c r="T47" s="2">
        <v>8.6956521739130448</v>
      </c>
    </row>
    <row r="48" spans="1:23" x14ac:dyDescent="0.2">
      <c r="A48" s="1">
        <v>21</v>
      </c>
      <c r="B48" s="73">
        <v>45</v>
      </c>
      <c r="C48" s="1">
        <v>6315</v>
      </c>
      <c r="D48" s="1">
        <v>1191</v>
      </c>
      <c r="E48" s="1">
        <v>4080</v>
      </c>
      <c r="F48" s="1">
        <v>4080</v>
      </c>
      <c r="G48" s="72">
        <v>0.05</v>
      </c>
      <c r="J48" s="1">
        <v>500</v>
      </c>
      <c r="K48" s="72">
        <v>0.66670546845697443</v>
      </c>
      <c r="L48" s="72">
        <v>1.5833333333333333</v>
      </c>
      <c r="M48" s="72">
        <v>1</v>
      </c>
      <c r="N48" s="158">
        <f t="shared" si="1"/>
        <v>1.4456744270247281</v>
      </c>
      <c r="P48" s="75" t="s">
        <v>158</v>
      </c>
      <c r="Q48" s="76">
        <v>8</v>
      </c>
      <c r="R48" s="3">
        <v>1</v>
      </c>
      <c r="S48" s="3">
        <v>1.2</v>
      </c>
      <c r="T48" s="2">
        <v>5</v>
      </c>
    </row>
    <row r="49" spans="1:20" x14ac:dyDescent="0.2">
      <c r="A49" s="1">
        <v>21</v>
      </c>
      <c r="B49" s="73">
        <v>45</v>
      </c>
      <c r="C49" s="1">
        <v>6315</v>
      </c>
      <c r="D49" s="1">
        <v>1191</v>
      </c>
      <c r="E49" s="1">
        <v>4080</v>
      </c>
      <c r="F49" s="1">
        <v>4080</v>
      </c>
      <c r="G49" s="72">
        <v>0.05</v>
      </c>
      <c r="J49" s="1">
        <v>500</v>
      </c>
      <c r="K49" s="72">
        <v>0.66670546845697443</v>
      </c>
      <c r="L49" s="72">
        <v>1.5833333333333333</v>
      </c>
      <c r="M49" s="72">
        <v>1</v>
      </c>
      <c r="N49" s="158">
        <f t="shared" si="1"/>
        <v>1.4456744270247281</v>
      </c>
      <c r="P49" s="75" t="s">
        <v>178</v>
      </c>
      <c r="Q49" s="76">
        <v>20</v>
      </c>
      <c r="R49" s="3">
        <v>1.2</v>
      </c>
      <c r="S49" s="3">
        <v>1.84</v>
      </c>
      <c r="T49" s="2">
        <v>3.2608695652173911</v>
      </c>
    </row>
    <row r="50" spans="1:20" x14ac:dyDescent="0.2">
      <c r="A50" s="1">
        <v>22</v>
      </c>
      <c r="B50" s="73">
        <v>47</v>
      </c>
      <c r="C50" s="1">
        <v>6835</v>
      </c>
      <c r="D50" s="1">
        <v>1294</v>
      </c>
      <c r="E50" s="1">
        <v>4411</v>
      </c>
      <c r="F50" s="1">
        <v>4411</v>
      </c>
      <c r="G50" s="72">
        <v>0.05</v>
      </c>
      <c r="J50" s="1">
        <v>500</v>
      </c>
      <c r="K50" s="72">
        <v>0.66770595268631261</v>
      </c>
      <c r="L50" s="72">
        <v>1.5833333333333333</v>
      </c>
      <c r="M50" s="72">
        <v>1</v>
      </c>
      <c r="N50" s="158">
        <f t="shared" si="1"/>
        <v>1.4458745238705959</v>
      </c>
      <c r="P50" s="75" t="s">
        <v>181</v>
      </c>
      <c r="Q50" s="76">
        <v>60</v>
      </c>
      <c r="R50" s="3">
        <v>1.5</v>
      </c>
      <c r="S50" s="3">
        <v>2.8</v>
      </c>
      <c r="T50" s="2">
        <v>2.1428571428571428</v>
      </c>
    </row>
    <row r="51" spans="1:20" x14ac:dyDescent="0.2">
      <c r="A51" s="1">
        <v>23</v>
      </c>
      <c r="B51" s="73">
        <v>49</v>
      </c>
      <c r="C51" s="1">
        <v>7187</v>
      </c>
      <c r="D51" s="1">
        <v>1362</v>
      </c>
      <c r="E51" s="1">
        <v>4637</v>
      </c>
      <c r="F51" s="1">
        <v>4637</v>
      </c>
      <c r="G51" s="72">
        <v>0.05</v>
      </c>
      <c r="J51" s="1">
        <v>500</v>
      </c>
      <c r="K51" s="72">
        <v>0.79313285618884588</v>
      </c>
      <c r="L51" s="72">
        <v>1.6666666666666667</v>
      </c>
      <c r="M51" s="72">
        <v>1</v>
      </c>
      <c r="N51" s="158">
        <f t="shared" si="1"/>
        <v>1.4812932379044359</v>
      </c>
      <c r="Q51" s="1"/>
      <c r="R51" s="1"/>
      <c r="S51" s="1"/>
    </row>
    <row r="52" spans="1:20" x14ac:dyDescent="0.2">
      <c r="A52" s="1">
        <v>24</v>
      </c>
      <c r="B52" s="73">
        <v>15</v>
      </c>
      <c r="C52" s="1">
        <v>1646</v>
      </c>
      <c r="D52" s="1">
        <v>305</v>
      </c>
      <c r="E52" s="1">
        <v>987</v>
      </c>
      <c r="F52" s="1">
        <v>987</v>
      </c>
      <c r="G52" s="72">
        <v>0.05</v>
      </c>
      <c r="J52" s="1">
        <v>500</v>
      </c>
      <c r="K52" s="72">
        <v>0.53274425572435635</v>
      </c>
      <c r="L52" s="72">
        <v>1</v>
      </c>
      <c r="M52" s="72">
        <v>1</v>
      </c>
      <c r="N52" s="158">
        <f t="shared" si="1"/>
        <v>1.3465488511448713</v>
      </c>
    </row>
    <row r="53" spans="1:20" x14ac:dyDescent="0.2">
      <c r="A53" s="1">
        <v>25</v>
      </c>
      <c r="B53" s="73">
        <v>20</v>
      </c>
      <c r="C53" s="1">
        <v>2909</v>
      </c>
      <c r="D53" s="1">
        <v>543</v>
      </c>
      <c r="E53" s="1">
        <v>1630</v>
      </c>
      <c r="F53" s="1">
        <v>1618</v>
      </c>
      <c r="G53" s="72">
        <v>0.05</v>
      </c>
      <c r="J53" s="1">
        <v>500</v>
      </c>
      <c r="K53" s="72">
        <v>0.42117678572189488</v>
      </c>
      <c r="L53" s="72">
        <v>1</v>
      </c>
      <c r="M53" s="72">
        <v>1</v>
      </c>
      <c r="N53" s="158">
        <f t="shared" si="1"/>
        <v>1.324235357144379</v>
      </c>
    </row>
    <row r="54" spans="1:20" x14ac:dyDescent="0.2">
      <c r="A54" s="1">
        <v>26</v>
      </c>
      <c r="B54" s="73">
        <v>35</v>
      </c>
      <c r="C54" s="1">
        <v>5019</v>
      </c>
      <c r="D54" s="1">
        <v>948</v>
      </c>
      <c r="E54" s="1">
        <v>3169</v>
      </c>
      <c r="F54" s="1">
        <v>3169</v>
      </c>
      <c r="G54" s="72">
        <v>0.05</v>
      </c>
      <c r="J54" s="1">
        <v>500</v>
      </c>
      <c r="K54" s="72">
        <v>0.61472269603360086</v>
      </c>
      <c r="L54" s="72">
        <v>1.3333333333333333</v>
      </c>
      <c r="M54" s="72">
        <v>1</v>
      </c>
      <c r="N54" s="158">
        <f t="shared" si="1"/>
        <v>1.4042778725400533</v>
      </c>
    </row>
    <row r="55" spans="1:20" x14ac:dyDescent="0.2">
      <c r="A55" s="1">
        <v>29</v>
      </c>
      <c r="B55" s="73">
        <v>4</v>
      </c>
      <c r="C55" s="1">
        <v>724</v>
      </c>
      <c r="D55" s="1">
        <v>134</v>
      </c>
      <c r="E55" s="1">
        <v>434</v>
      </c>
      <c r="F55" s="1">
        <v>434</v>
      </c>
      <c r="G55" s="72">
        <v>0.05</v>
      </c>
      <c r="J55" s="1">
        <v>500</v>
      </c>
      <c r="K55" s="72">
        <v>0.58008107853730251</v>
      </c>
      <c r="L55" s="72">
        <v>1</v>
      </c>
      <c r="M55" s="72">
        <v>1</v>
      </c>
      <c r="N55" s="158">
        <f t="shared" si="1"/>
        <v>1.3560162157074604</v>
      </c>
    </row>
    <row r="56" spans="1:20" x14ac:dyDescent="0.2">
      <c r="A56" s="1">
        <v>30</v>
      </c>
      <c r="B56" s="73">
        <v>18</v>
      </c>
      <c r="C56" s="1">
        <v>1887</v>
      </c>
      <c r="D56" s="1">
        <v>350</v>
      </c>
      <c r="E56" s="1">
        <v>1132</v>
      </c>
      <c r="F56" s="1">
        <v>1132</v>
      </c>
      <c r="G56" s="72">
        <v>0.05</v>
      </c>
      <c r="J56" s="1">
        <v>500</v>
      </c>
      <c r="K56" s="72">
        <v>0.46449028452769869</v>
      </c>
      <c r="L56" s="72">
        <v>1</v>
      </c>
      <c r="M56" s="72">
        <v>1</v>
      </c>
      <c r="N56" s="158">
        <f t="shared" si="1"/>
        <v>1.3328980569055398</v>
      </c>
    </row>
    <row r="57" spans="1:20" x14ac:dyDescent="0.2">
      <c r="A57" s="1">
        <v>31</v>
      </c>
      <c r="B57" s="73">
        <v>33</v>
      </c>
      <c r="C57" s="1">
        <v>4844</v>
      </c>
      <c r="D57" s="1">
        <v>916</v>
      </c>
      <c r="E57" s="1">
        <v>3058</v>
      </c>
      <c r="F57" s="1">
        <v>3058</v>
      </c>
      <c r="G57" s="72">
        <v>0.05</v>
      </c>
      <c r="J57" s="1">
        <v>500</v>
      </c>
      <c r="K57" s="72">
        <v>0.63680195589685296</v>
      </c>
      <c r="L57" s="72">
        <v>1.3333333333333333</v>
      </c>
      <c r="M57" s="72">
        <v>1</v>
      </c>
      <c r="N57" s="158">
        <f t="shared" si="1"/>
        <v>1.4086937245127038</v>
      </c>
    </row>
    <row r="58" spans="1:20" x14ac:dyDescent="0.2">
      <c r="A58" s="1">
        <v>34</v>
      </c>
      <c r="B58" s="73">
        <v>16</v>
      </c>
      <c r="C58" s="1">
        <v>1726</v>
      </c>
      <c r="D58" s="1">
        <v>320</v>
      </c>
      <c r="E58" s="1">
        <v>1036</v>
      </c>
      <c r="F58" s="1">
        <v>1036</v>
      </c>
      <c r="G58" s="72">
        <v>0.05</v>
      </c>
      <c r="J58" s="1">
        <v>500</v>
      </c>
      <c r="K58" s="72">
        <v>0.50772924901075234</v>
      </c>
      <c r="L58" s="72">
        <v>1</v>
      </c>
      <c r="M58" s="72">
        <v>1</v>
      </c>
      <c r="N58" s="158">
        <f t="shared" si="1"/>
        <v>1.3415458498021504</v>
      </c>
    </row>
    <row r="59" spans="1:20" x14ac:dyDescent="0.2">
      <c r="A59" s="1">
        <v>35</v>
      </c>
      <c r="B59" s="73">
        <v>30</v>
      </c>
      <c r="C59" s="1">
        <v>4414</v>
      </c>
      <c r="D59" s="1">
        <v>833</v>
      </c>
      <c r="E59" s="1">
        <v>2787</v>
      </c>
      <c r="F59" s="1">
        <v>2787</v>
      </c>
      <c r="G59" s="72">
        <v>0.05</v>
      </c>
      <c r="J59" s="1">
        <v>500</v>
      </c>
      <c r="K59" s="72">
        <v>0.61153909312733779</v>
      </c>
      <c r="L59" s="72">
        <v>1.3333333333333333</v>
      </c>
      <c r="M59" s="72">
        <v>1</v>
      </c>
      <c r="N59" s="158">
        <f t="shared" si="1"/>
        <v>1.4036411519588008</v>
      </c>
    </row>
    <row r="60" spans="1:20" x14ac:dyDescent="0.2">
      <c r="A60" s="1">
        <v>36</v>
      </c>
      <c r="B60" s="73">
        <v>45</v>
      </c>
      <c r="C60" s="1">
        <v>6785</v>
      </c>
      <c r="D60" s="1">
        <v>1291</v>
      </c>
      <c r="E60" s="1">
        <v>4387</v>
      </c>
      <c r="F60" s="1">
        <v>4377</v>
      </c>
      <c r="G60" s="72">
        <v>0.05</v>
      </c>
      <c r="J60" s="1">
        <v>500</v>
      </c>
      <c r="K60" s="72">
        <v>0.76965477591080123</v>
      </c>
      <c r="L60" s="72">
        <v>1.75</v>
      </c>
      <c r="M60" s="72">
        <v>1</v>
      </c>
      <c r="N60" s="158">
        <f t="shared" si="1"/>
        <v>1.4869309551821601</v>
      </c>
    </row>
    <row r="61" spans="1:20" x14ac:dyDescent="0.2">
      <c r="A61" s="1">
        <v>39</v>
      </c>
      <c r="B61" s="73">
        <v>17</v>
      </c>
      <c r="C61" s="1">
        <v>2388</v>
      </c>
      <c r="D61" s="1">
        <v>452</v>
      </c>
      <c r="E61" s="1">
        <v>1479</v>
      </c>
      <c r="F61" s="1">
        <v>1479</v>
      </c>
      <c r="G61" s="72">
        <v>0.05</v>
      </c>
      <c r="J61" s="1">
        <v>500</v>
      </c>
      <c r="K61" s="72">
        <v>0.56875579577940305</v>
      </c>
      <c r="L61" s="72">
        <v>1</v>
      </c>
      <c r="M61" s="72">
        <v>1</v>
      </c>
      <c r="N61" s="158">
        <f t="shared" si="1"/>
        <v>1.3537511591558806</v>
      </c>
    </row>
    <row r="62" spans="1:20" x14ac:dyDescent="0.2">
      <c r="A62" s="1">
        <v>40</v>
      </c>
      <c r="B62" s="73">
        <v>30</v>
      </c>
      <c r="C62" s="1">
        <v>4414</v>
      </c>
      <c r="D62" s="1">
        <v>833</v>
      </c>
      <c r="E62" s="1">
        <v>2787</v>
      </c>
      <c r="F62" s="1">
        <v>2787</v>
      </c>
      <c r="G62" s="72">
        <v>0.05</v>
      </c>
      <c r="J62" s="1">
        <v>500</v>
      </c>
      <c r="K62" s="72">
        <v>0.61153909312733779</v>
      </c>
      <c r="L62" s="72">
        <v>1.3333333333333333</v>
      </c>
      <c r="M62" s="72">
        <v>1</v>
      </c>
      <c r="N62" s="158">
        <f t="shared" si="1"/>
        <v>1.4036411519588008</v>
      </c>
    </row>
    <row r="63" spans="1:20" x14ac:dyDescent="0.2">
      <c r="A63" s="1">
        <v>41</v>
      </c>
      <c r="B63" s="73">
        <v>45</v>
      </c>
      <c r="C63" s="1">
        <v>6785</v>
      </c>
      <c r="D63" s="1">
        <v>1291</v>
      </c>
      <c r="E63" s="1">
        <v>4387</v>
      </c>
      <c r="F63" s="1">
        <v>4377</v>
      </c>
      <c r="G63" s="72">
        <v>0.05</v>
      </c>
      <c r="J63" s="1">
        <v>500</v>
      </c>
      <c r="K63" s="72">
        <v>0.76965477591080123</v>
      </c>
      <c r="L63" s="72">
        <v>1.75</v>
      </c>
      <c r="M63" s="72">
        <v>1</v>
      </c>
      <c r="N63" s="158">
        <f t="shared" si="1"/>
        <v>1.4869309551821601</v>
      </c>
    </row>
    <row r="64" spans="1:20" x14ac:dyDescent="0.2">
      <c r="A64" s="1">
        <v>44</v>
      </c>
      <c r="B64" s="73">
        <v>16</v>
      </c>
      <c r="C64" s="1">
        <v>1726</v>
      </c>
      <c r="D64" s="1">
        <v>320</v>
      </c>
      <c r="E64" s="1">
        <v>1036</v>
      </c>
      <c r="F64" s="1">
        <v>1036</v>
      </c>
      <c r="G64" s="72">
        <v>0.05</v>
      </c>
      <c r="J64" s="1">
        <v>500</v>
      </c>
      <c r="K64" s="72">
        <v>0.50772924901075234</v>
      </c>
      <c r="L64" s="72">
        <v>1</v>
      </c>
      <c r="M64" s="72">
        <v>1</v>
      </c>
      <c r="N64" s="158">
        <f t="shared" si="1"/>
        <v>1.3415458498021504</v>
      </c>
    </row>
    <row r="65" spans="1:14" x14ac:dyDescent="0.2">
      <c r="A65" s="1">
        <v>45</v>
      </c>
      <c r="B65" s="73">
        <v>28</v>
      </c>
      <c r="C65" s="1">
        <v>3903</v>
      </c>
      <c r="D65" s="1">
        <v>732</v>
      </c>
      <c r="E65" s="1">
        <v>2464</v>
      </c>
      <c r="F65" s="1">
        <v>2464</v>
      </c>
      <c r="G65" s="72">
        <v>0.05</v>
      </c>
      <c r="J65" s="1">
        <v>500</v>
      </c>
      <c r="K65" s="72">
        <v>0.63916648278779375</v>
      </c>
      <c r="L65" s="72">
        <v>1.0833333333333333</v>
      </c>
      <c r="M65" s="72">
        <v>1</v>
      </c>
      <c r="N65" s="158">
        <f t="shared" si="1"/>
        <v>1.3781666298908921</v>
      </c>
    </row>
    <row r="66" spans="1:14" x14ac:dyDescent="0.2">
      <c r="A66" s="1">
        <v>46</v>
      </c>
      <c r="B66" s="73">
        <v>40</v>
      </c>
      <c r="C66" s="1">
        <v>6275</v>
      </c>
      <c r="D66" s="1">
        <v>1184</v>
      </c>
      <c r="E66" s="1">
        <v>4033</v>
      </c>
      <c r="F66" s="1">
        <v>4033</v>
      </c>
      <c r="G66" s="72">
        <v>0.05</v>
      </c>
      <c r="J66" s="1">
        <v>500</v>
      </c>
      <c r="K66" s="72">
        <v>0.63425793511275985</v>
      </c>
      <c r="L66" s="72">
        <v>1.5</v>
      </c>
      <c r="M66" s="72">
        <v>1</v>
      </c>
      <c r="N66" s="158">
        <f t="shared" si="1"/>
        <v>1.428851587022552</v>
      </c>
    </row>
    <row r="67" spans="1:14" x14ac:dyDescent="0.2">
      <c r="A67" s="1">
        <v>49</v>
      </c>
      <c r="B67" s="73">
        <v>16</v>
      </c>
      <c r="C67" s="1">
        <v>1726</v>
      </c>
      <c r="D67" s="1">
        <v>320</v>
      </c>
      <c r="E67" s="1">
        <v>1036</v>
      </c>
      <c r="F67" s="1">
        <v>1036</v>
      </c>
      <c r="G67" s="72">
        <v>0.05</v>
      </c>
      <c r="J67" s="1">
        <v>500</v>
      </c>
      <c r="K67" s="72">
        <v>0.50772924901075234</v>
      </c>
      <c r="L67" s="72">
        <v>1</v>
      </c>
      <c r="M67" s="72">
        <v>1</v>
      </c>
      <c r="N67" s="158">
        <f t="shared" ref="N67:N78" si="2">IF(M67=0,0,$X$7/$X$5*(1+$X$4*(M67-1))*K67)+$X$6/$X$5*(1+$X$4*(L67-1))</f>
        <v>1.3415458498021504</v>
      </c>
    </row>
    <row r="68" spans="1:14" x14ac:dyDescent="0.2">
      <c r="A68" s="1">
        <v>50</v>
      </c>
      <c r="B68" s="73">
        <v>28</v>
      </c>
      <c r="C68" s="1">
        <v>3903</v>
      </c>
      <c r="D68" s="1">
        <v>732</v>
      </c>
      <c r="E68" s="1">
        <v>2464</v>
      </c>
      <c r="F68" s="1">
        <v>2464</v>
      </c>
      <c r="G68" s="72">
        <v>0.05</v>
      </c>
      <c r="J68" s="1">
        <v>500</v>
      </c>
      <c r="K68" s="72">
        <v>0.63916648278779375</v>
      </c>
      <c r="L68" s="72">
        <v>1.0833333333333333</v>
      </c>
      <c r="M68" s="72">
        <v>1</v>
      </c>
      <c r="N68" s="158">
        <f t="shared" si="2"/>
        <v>1.3781666298908921</v>
      </c>
    </row>
    <row r="69" spans="1:14" x14ac:dyDescent="0.2">
      <c r="A69" s="1">
        <v>51</v>
      </c>
      <c r="B69" s="73">
        <v>40</v>
      </c>
      <c r="C69" s="1">
        <v>6191</v>
      </c>
      <c r="D69" s="1">
        <v>1174</v>
      </c>
      <c r="E69" s="1">
        <v>3993</v>
      </c>
      <c r="F69" s="1">
        <v>3993</v>
      </c>
      <c r="G69" s="72">
        <v>0.05</v>
      </c>
      <c r="J69" s="1">
        <v>500</v>
      </c>
      <c r="K69" s="72">
        <v>0.64094407067738768</v>
      </c>
      <c r="L69" s="72">
        <v>1.5</v>
      </c>
      <c r="M69" s="72">
        <v>1</v>
      </c>
      <c r="N69" s="158">
        <f t="shared" si="2"/>
        <v>1.4301888141354775</v>
      </c>
    </row>
    <row r="70" spans="1:14" x14ac:dyDescent="0.2">
      <c r="A70" s="1">
        <v>54</v>
      </c>
      <c r="B70" s="73">
        <v>15</v>
      </c>
      <c r="C70" s="1">
        <v>1646</v>
      </c>
      <c r="D70" s="1">
        <v>305</v>
      </c>
      <c r="E70" s="1">
        <v>987</v>
      </c>
      <c r="F70" s="1">
        <v>987</v>
      </c>
      <c r="G70" s="72">
        <v>0.05</v>
      </c>
      <c r="J70" s="1">
        <v>500</v>
      </c>
      <c r="K70" s="72">
        <v>0.61208914487479249</v>
      </c>
      <c r="L70" s="72">
        <v>1</v>
      </c>
      <c r="M70" s="72">
        <v>1</v>
      </c>
      <c r="N70" s="158">
        <f t="shared" si="2"/>
        <v>1.3624178289749584</v>
      </c>
    </row>
    <row r="71" spans="1:14" x14ac:dyDescent="0.2">
      <c r="A71" s="1">
        <v>55</v>
      </c>
      <c r="B71" s="73">
        <v>19</v>
      </c>
      <c r="C71" s="1">
        <v>2803</v>
      </c>
      <c r="D71" s="1">
        <v>524</v>
      </c>
      <c r="E71" s="1">
        <v>1637</v>
      </c>
      <c r="F71" s="1">
        <v>1620</v>
      </c>
      <c r="G71" s="72">
        <v>0.05</v>
      </c>
      <c r="J71" s="1">
        <v>500</v>
      </c>
      <c r="K71" s="72">
        <v>0.53663176120853362</v>
      </c>
      <c r="L71" s="72">
        <v>1</v>
      </c>
      <c r="M71" s="72">
        <v>1</v>
      </c>
      <c r="N71" s="158">
        <f t="shared" si="2"/>
        <v>1.3473263522417067</v>
      </c>
    </row>
    <row r="72" spans="1:14" x14ac:dyDescent="0.2">
      <c r="A72" s="1">
        <v>56</v>
      </c>
      <c r="B72" s="1">
        <v>24</v>
      </c>
      <c r="C72" s="1">
        <v>3343</v>
      </c>
      <c r="D72" s="1">
        <v>684</v>
      </c>
      <c r="E72" s="1">
        <v>1879</v>
      </c>
      <c r="F72" s="1">
        <v>2296</v>
      </c>
      <c r="G72" s="72">
        <v>0.05</v>
      </c>
      <c r="J72" s="1">
        <v>500</v>
      </c>
      <c r="K72" s="1">
        <v>0.55210632527874515</v>
      </c>
      <c r="L72" s="1">
        <v>1</v>
      </c>
      <c r="M72" s="1">
        <v>1</v>
      </c>
      <c r="N72" s="158">
        <f t="shared" si="2"/>
        <v>1.350421265055749</v>
      </c>
    </row>
    <row r="73" spans="1:14" x14ac:dyDescent="0.2">
      <c r="A73" s="1">
        <v>57</v>
      </c>
      <c r="B73" s="1">
        <v>28</v>
      </c>
      <c r="C73" s="1">
        <v>3987</v>
      </c>
      <c r="D73" s="1">
        <v>749</v>
      </c>
      <c r="E73" s="1">
        <v>2517</v>
      </c>
      <c r="F73" s="1">
        <v>2517</v>
      </c>
      <c r="G73" s="72">
        <v>0.05</v>
      </c>
      <c r="J73" s="1">
        <v>500</v>
      </c>
      <c r="K73" s="1">
        <v>0.63854695926638028</v>
      </c>
      <c r="L73" s="1">
        <v>1.1666666666666667</v>
      </c>
      <c r="M73" s="1">
        <v>1</v>
      </c>
      <c r="N73" s="158">
        <f t="shared" si="2"/>
        <v>1.3883760585199427</v>
      </c>
    </row>
    <row r="74" spans="1:14" x14ac:dyDescent="0.2">
      <c r="A74" s="1">
        <v>58</v>
      </c>
      <c r="B74" s="1">
        <v>33</v>
      </c>
      <c r="C74" s="1">
        <v>4508</v>
      </c>
      <c r="D74" s="1">
        <v>847</v>
      </c>
      <c r="E74" s="1">
        <v>2846</v>
      </c>
      <c r="F74" s="1">
        <v>2846</v>
      </c>
      <c r="G74" s="72">
        <v>0.05</v>
      </c>
      <c r="J74" s="1">
        <v>500</v>
      </c>
      <c r="K74" s="1">
        <v>0.62332341627177512</v>
      </c>
      <c r="L74" s="1">
        <v>1.3333333333333333</v>
      </c>
      <c r="M74" s="1">
        <v>1</v>
      </c>
      <c r="N74" s="158">
        <f t="shared" si="2"/>
        <v>1.4059980165876882</v>
      </c>
    </row>
    <row r="75" spans="1:14" x14ac:dyDescent="0.2">
      <c r="A75" s="1">
        <v>59</v>
      </c>
      <c r="B75" s="1">
        <v>35</v>
      </c>
      <c r="C75" s="1">
        <v>4817</v>
      </c>
      <c r="D75" s="1">
        <v>906</v>
      </c>
      <c r="E75" s="1">
        <v>3059</v>
      </c>
      <c r="F75" s="1">
        <v>3047</v>
      </c>
      <c r="G75" s="72">
        <v>0.05</v>
      </c>
      <c r="J75" s="1">
        <v>500</v>
      </c>
      <c r="K75" s="1">
        <v>0.67506792819694716</v>
      </c>
      <c r="L75" s="1">
        <v>1.4166666666666667</v>
      </c>
      <c r="M75" s="1">
        <v>1</v>
      </c>
      <c r="N75" s="158">
        <f t="shared" si="2"/>
        <v>1.4266802523060562</v>
      </c>
    </row>
    <row r="76" spans="1:14" x14ac:dyDescent="0.2">
      <c r="A76" s="1">
        <v>60</v>
      </c>
      <c r="B76" s="1">
        <v>39</v>
      </c>
      <c r="C76" s="1">
        <v>5339</v>
      </c>
      <c r="D76" s="1">
        <v>1006</v>
      </c>
      <c r="E76" s="1">
        <v>3390</v>
      </c>
      <c r="F76" s="1">
        <v>3377</v>
      </c>
      <c r="G76" s="72">
        <v>0.05</v>
      </c>
      <c r="J76" s="1">
        <v>500</v>
      </c>
      <c r="K76" s="1">
        <v>0.68197215727572491</v>
      </c>
      <c r="L76" s="1">
        <v>1.5</v>
      </c>
      <c r="M76" s="1">
        <v>1</v>
      </c>
      <c r="N76" s="158">
        <f t="shared" si="2"/>
        <v>1.4383944314551451</v>
      </c>
    </row>
    <row r="77" spans="1:14" x14ac:dyDescent="0.2">
      <c r="A77" s="1">
        <v>61</v>
      </c>
      <c r="B77" s="1">
        <v>41</v>
      </c>
      <c r="C77" s="1">
        <v>5863</v>
      </c>
      <c r="D77" s="1">
        <v>1106</v>
      </c>
      <c r="E77" s="1">
        <v>3788</v>
      </c>
      <c r="F77" s="1">
        <v>3774</v>
      </c>
      <c r="G77" s="72">
        <v>0.05</v>
      </c>
      <c r="J77" s="1">
        <v>500</v>
      </c>
      <c r="K77" s="1">
        <v>0.68450599667459366</v>
      </c>
      <c r="L77" s="1">
        <v>1.5833333333333333</v>
      </c>
      <c r="M77" s="1">
        <v>1</v>
      </c>
      <c r="N77" s="158">
        <f t="shared" si="2"/>
        <v>1.4492345326682521</v>
      </c>
    </row>
    <row r="78" spans="1:14" x14ac:dyDescent="0.2">
      <c r="A78" s="1">
        <v>62</v>
      </c>
      <c r="B78" s="1">
        <v>47</v>
      </c>
      <c r="C78" s="1">
        <v>7003</v>
      </c>
      <c r="D78" s="1">
        <v>1328</v>
      </c>
      <c r="E78" s="1">
        <v>4517</v>
      </c>
      <c r="F78" s="1">
        <v>4501</v>
      </c>
      <c r="G78" s="72">
        <v>0.05</v>
      </c>
      <c r="J78" s="1">
        <v>500</v>
      </c>
      <c r="K78" s="1">
        <v>0.81468156885202547</v>
      </c>
      <c r="L78" s="1">
        <v>1.6666666666666667</v>
      </c>
      <c r="M78" s="1">
        <v>1</v>
      </c>
      <c r="N78" s="158">
        <f t="shared" si="2"/>
        <v>1.4856029804370716</v>
      </c>
    </row>
    <row r="79" spans="1:14" x14ac:dyDescent="0.2">
      <c r="A79" s="1">
        <v>65</v>
      </c>
      <c r="B79" s="1">
        <v>36</v>
      </c>
      <c r="C79" s="1">
        <v>4771</v>
      </c>
      <c r="D79" s="1">
        <v>896</v>
      </c>
      <c r="E79" s="1">
        <v>3012</v>
      </c>
      <c r="F79" s="1">
        <v>3012</v>
      </c>
      <c r="J79" s="1">
        <v>500</v>
      </c>
      <c r="K79" s="1">
        <v>0.61865509620848591</v>
      </c>
      <c r="L79" s="1">
        <v>1.5833333333333333</v>
      </c>
      <c r="M79" s="1">
        <v>1</v>
      </c>
      <c r="N79" s="1">
        <f>IF(M79=0,0,$X$7/$X$5*(1+$X$4*(M79-1))*K79)+$X$6/$X$5*(1+$X$4*(L79-1))</f>
        <v>1.4360643525750305</v>
      </c>
    </row>
    <row r="80" spans="1:14" x14ac:dyDescent="0.2">
      <c r="G80" s="72"/>
      <c r="N80" s="158"/>
    </row>
  </sheetData>
  <mergeCells count="9">
    <mergeCell ref="W35:W40"/>
    <mergeCell ref="P2:U2"/>
    <mergeCell ref="P45:T45"/>
    <mergeCell ref="B1:N1"/>
    <mergeCell ref="W2:X2"/>
    <mergeCell ref="P11:X11"/>
    <mergeCell ref="P20:U20"/>
    <mergeCell ref="P33:W33"/>
    <mergeCell ref="W20:X20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AC85"/>
  <sheetViews>
    <sheetView topLeftCell="A34" workbookViewId="0">
      <selection activeCell="X16" sqref="X16"/>
    </sheetView>
  </sheetViews>
  <sheetFormatPr defaultColWidth="9" defaultRowHeight="14.25" x14ac:dyDescent="0.2"/>
  <cols>
    <col min="3" max="5" width="9" style="1" customWidth="1"/>
    <col min="6" max="14" width="9" customWidth="1"/>
  </cols>
  <sheetData>
    <row r="1" spans="1:24" ht="16.5" x14ac:dyDescent="0.3">
      <c r="A1" s="26"/>
      <c r="B1" s="27"/>
      <c r="F1" s="26"/>
      <c r="G1" s="26"/>
      <c r="H1" s="26"/>
      <c r="I1" s="26"/>
      <c r="J1" s="1"/>
      <c r="M1" s="1"/>
    </row>
    <row r="2" spans="1:24" ht="16.5" x14ac:dyDescent="0.3">
      <c r="A2" s="26"/>
      <c r="B2" s="27"/>
      <c r="F2" s="26"/>
      <c r="G2" s="1"/>
      <c r="I2" t="s">
        <v>690</v>
      </c>
      <c r="J2" t="s">
        <v>691</v>
      </c>
    </row>
    <row r="3" spans="1:24" ht="16.5" x14ac:dyDescent="0.3">
      <c r="A3" s="26"/>
      <c r="B3" s="27"/>
      <c r="F3" s="1"/>
      <c r="G3" s="1"/>
      <c r="I3" s="3"/>
      <c r="J3" s="3" t="s">
        <v>692</v>
      </c>
      <c r="K3" s="3" t="s">
        <v>693</v>
      </c>
      <c r="L3" s="3" t="s">
        <v>694</v>
      </c>
      <c r="M3" s="3" t="s">
        <v>695</v>
      </c>
      <c r="N3" s="3" t="s">
        <v>696</v>
      </c>
      <c r="O3" s="3" t="s">
        <v>647</v>
      </c>
    </row>
    <row r="4" spans="1:24" ht="16.5" x14ac:dyDescent="0.3">
      <c r="A4" s="26"/>
      <c r="B4" s="27"/>
      <c r="F4" s="1"/>
      <c r="I4" s="3" t="s">
        <v>697</v>
      </c>
      <c r="J4" s="3">
        <v>1440</v>
      </c>
      <c r="K4" s="3">
        <v>175.11111111111114</v>
      </c>
      <c r="L4" s="3">
        <v>936</v>
      </c>
      <c r="M4" s="3">
        <v>518.4</v>
      </c>
      <c r="N4" s="3">
        <v>450</v>
      </c>
      <c r="O4" s="3">
        <v>0</v>
      </c>
      <c r="P4" s="83" t="s">
        <v>1362</v>
      </c>
    </row>
    <row r="5" spans="1:24" x14ac:dyDescent="0.2">
      <c r="A5" s="26"/>
      <c r="B5" s="62" t="s">
        <v>1771</v>
      </c>
      <c r="C5" s="3">
        <v>2</v>
      </c>
      <c r="E5" s="62" t="s">
        <v>1781</v>
      </c>
      <c r="F5" s="3">
        <v>4</v>
      </c>
      <c r="I5" s="3" t="s">
        <v>698</v>
      </c>
      <c r="J5" s="3">
        <v>1440</v>
      </c>
      <c r="K5" s="3">
        <v>177.77777777777783</v>
      </c>
      <c r="L5" s="3">
        <v>503.99999999999994</v>
      </c>
      <c r="M5" s="3">
        <v>936</v>
      </c>
      <c r="N5" s="3">
        <v>450</v>
      </c>
      <c r="O5" s="3">
        <v>0</v>
      </c>
      <c r="P5" s="83" t="s">
        <v>1364</v>
      </c>
    </row>
    <row r="6" spans="1:24" x14ac:dyDescent="0.2">
      <c r="A6" s="26"/>
      <c r="B6" s="62" t="s">
        <v>1772</v>
      </c>
      <c r="C6" s="3">
        <v>3</v>
      </c>
      <c r="E6" s="62" t="s">
        <v>1783</v>
      </c>
      <c r="F6" s="3">
        <v>6</v>
      </c>
      <c r="I6" s="3" t="s">
        <v>699</v>
      </c>
      <c r="J6" s="3">
        <v>1248</v>
      </c>
      <c r="K6" s="3">
        <v>226.66666666666671</v>
      </c>
      <c r="L6" s="3">
        <v>878.4</v>
      </c>
      <c r="M6" s="3">
        <v>489.59999999999997</v>
      </c>
      <c r="N6" s="3">
        <v>550</v>
      </c>
      <c r="O6" s="3">
        <v>0</v>
      </c>
    </row>
    <row r="7" spans="1:24" x14ac:dyDescent="0.2">
      <c r="A7" s="26"/>
      <c r="B7" s="62" t="s">
        <v>1773</v>
      </c>
      <c r="C7" s="3">
        <v>5</v>
      </c>
      <c r="E7" s="62" t="s">
        <v>1785</v>
      </c>
      <c r="F7" s="3">
        <v>3</v>
      </c>
      <c r="I7" s="3" t="s">
        <v>700</v>
      </c>
      <c r="J7" s="3">
        <v>1248</v>
      </c>
      <c r="K7" s="3">
        <v>226.66666666666671</v>
      </c>
      <c r="L7" s="3">
        <v>489.59999999999997</v>
      </c>
      <c r="M7" s="3">
        <v>878.4</v>
      </c>
      <c r="N7" s="3">
        <v>550</v>
      </c>
      <c r="O7" s="3">
        <v>0</v>
      </c>
    </row>
    <row r="8" spans="1:24" x14ac:dyDescent="0.2">
      <c r="A8" s="26"/>
      <c r="B8" s="62" t="s">
        <v>1774</v>
      </c>
      <c r="C8" s="3">
        <v>1</v>
      </c>
      <c r="E8" s="62" t="s">
        <v>1787</v>
      </c>
      <c r="F8" s="3">
        <v>5</v>
      </c>
      <c r="I8" s="3" t="s">
        <v>701</v>
      </c>
      <c r="J8" s="3">
        <v>1224</v>
      </c>
      <c r="K8" s="3">
        <v>217.7777777777778</v>
      </c>
      <c r="L8" s="3">
        <v>864</v>
      </c>
      <c r="M8" s="3">
        <v>576</v>
      </c>
      <c r="N8" s="3">
        <v>450</v>
      </c>
      <c r="O8" s="3">
        <v>0</v>
      </c>
    </row>
    <row r="9" spans="1:24" x14ac:dyDescent="0.2">
      <c r="A9" s="26"/>
      <c r="B9" s="62" t="s">
        <v>1775</v>
      </c>
      <c r="C9" s="3">
        <v>4</v>
      </c>
      <c r="E9" s="62" t="s">
        <v>1789</v>
      </c>
      <c r="F9" s="3">
        <v>1</v>
      </c>
      <c r="I9" s="3" t="s">
        <v>702</v>
      </c>
      <c r="J9" s="3">
        <v>1224</v>
      </c>
      <c r="K9" s="3">
        <v>217.7777777777778</v>
      </c>
      <c r="L9" s="3">
        <v>576</v>
      </c>
      <c r="M9" s="3">
        <v>864</v>
      </c>
      <c r="N9" s="3">
        <v>450</v>
      </c>
      <c r="O9" s="3">
        <v>0</v>
      </c>
    </row>
    <row r="10" spans="1:24" ht="16.5" x14ac:dyDescent="0.3">
      <c r="A10" s="26"/>
      <c r="B10" s="27"/>
      <c r="E10" s="62" t="s">
        <v>1791</v>
      </c>
      <c r="F10" s="3">
        <v>2</v>
      </c>
      <c r="I10" s="3" t="s">
        <v>703</v>
      </c>
      <c r="J10" s="3">
        <v>912</v>
      </c>
      <c r="K10" s="3">
        <v>312.88888888888891</v>
      </c>
      <c r="L10" s="3">
        <v>777.6</v>
      </c>
      <c r="M10" s="3">
        <v>460.79999999999995</v>
      </c>
      <c r="N10" s="3">
        <v>500</v>
      </c>
      <c r="O10" s="3">
        <v>0.05</v>
      </c>
    </row>
    <row r="11" spans="1:24" x14ac:dyDescent="0.2">
      <c r="A11" s="26"/>
      <c r="B11" s="62" t="s">
        <v>1792</v>
      </c>
      <c r="C11" s="3">
        <v>1</v>
      </c>
      <c r="F11" s="1"/>
      <c r="I11" s="3" t="s">
        <v>704</v>
      </c>
      <c r="J11" s="3">
        <v>936</v>
      </c>
      <c r="K11" s="3">
        <v>308.44444444444446</v>
      </c>
      <c r="L11" s="3">
        <v>460.79999999999995</v>
      </c>
      <c r="M11" s="3">
        <v>777.6</v>
      </c>
      <c r="N11" s="3">
        <v>500</v>
      </c>
      <c r="O11" s="3">
        <v>0.05</v>
      </c>
      <c r="S11">
        <v>0</v>
      </c>
      <c r="T11">
        <v>-0.01</v>
      </c>
      <c r="U11">
        <v>1.2E-2</v>
      </c>
      <c r="V11">
        <v>5.0000000000000001E-3</v>
      </c>
      <c r="W11">
        <v>0.02</v>
      </c>
      <c r="X11">
        <v>0</v>
      </c>
    </row>
    <row r="12" spans="1:24" x14ac:dyDescent="0.2">
      <c r="A12" s="26"/>
      <c r="B12" s="62" t="s">
        <v>1776</v>
      </c>
      <c r="C12" s="3">
        <v>2</v>
      </c>
      <c r="F12" s="1"/>
    </row>
    <row r="13" spans="1:24" x14ac:dyDescent="0.2">
      <c r="A13" s="26"/>
      <c r="B13" s="62" t="s">
        <v>1777</v>
      </c>
      <c r="C13" s="3">
        <v>3</v>
      </c>
      <c r="F13" s="1"/>
    </row>
    <row r="14" spans="1:24" x14ac:dyDescent="0.2">
      <c r="A14" s="26"/>
      <c r="B14" s="62" t="s">
        <v>1778</v>
      </c>
      <c r="C14" s="3">
        <v>4</v>
      </c>
      <c r="F14" s="1"/>
      <c r="H14" s="2"/>
      <c r="I14" s="3" t="s">
        <v>705</v>
      </c>
    </row>
    <row r="15" spans="1:24" x14ac:dyDescent="0.2">
      <c r="A15" s="26"/>
      <c r="B15" s="62" t="s">
        <v>1779</v>
      </c>
      <c r="C15" s="3">
        <v>5</v>
      </c>
      <c r="F15" s="1"/>
      <c r="H15" s="3" t="s">
        <v>706</v>
      </c>
      <c r="I15" s="3">
        <v>0.65367965367965342</v>
      </c>
      <c r="K15" s="80" t="s">
        <v>707</v>
      </c>
      <c r="L15" s="3">
        <v>0.16</v>
      </c>
      <c r="M15" s="8" t="s">
        <v>1363</v>
      </c>
    </row>
    <row r="16" spans="1:24" ht="16.5" x14ac:dyDescent="0.3">
      <c r="A16" s="26"/>
      <c r="B16" s="27"/>
      <c r="F16" s="1"/>
      <c r="H16" s="3" t="s">
        <v>708</v>
      </c>
      <c r="I16" s="3">
        <v>0.74025974025974017</v>
      </c>
      <c r="K16" s="80"/>
    </row>
    <row r="17" spans="1:29" ht="16.5" x14ac:dyDescent="0.3">
      <c r="A17" s="26"/>
      <c r="B17" s="27"/>
      <c r="F17" s="1"/>
      <c r="H17" s="3" t="s">
        <v>709</v>
      </c>
      <c r="I17" s="3">
        <v>0.91341991341991335</v>
      </c>
      <c r="K17" s="80"/>
    </row>
    <row r="18" spans="1:29" ht="16.5" x14ac:dyDescent="0.3">
      <c r="A18" s="26"/>
      <c r="B18" s="27"/>
      <c r="F18" s="1"/>
      <c r="H18" s="3" t="s">
        <v>710</v>
      </c>
      <c r="I18" s="3">
        <v>1</v>
      </c>
      <c r="K18" s="80" t="s">
        <v>1005</v>
      </c>
      <c r="L18" s="3">
        <f>0.35/(1+4)</f>
        <v>6.9999999999999993E-2</v>
      </c>
      <c r="M18" s="8" t="s">
        <v>1004</v>
      </c>
    </row>
    <row r="19" spans="1:29" x14ac:dyDescent="0.2">
      <c r="M19" s="8" t="s">
        <v>1001</v>
      </c>
    </row>
    <row r="20" spans="1:29" x14ac:dyDescent="0.2">
      <c r="N20" s="8" t="s">
        <v>1002</v>
      </c>
    </row>
    <row r="21" spans="1:29" x14ac:dyDescent="0.2">
      <c r="N21" s="8" t="s">
        <v>1003</v>
      </c>
    </row>
    <row r="22" spans="1:29" x14ac:dyDescent="0.2">
      <c r="A22" t="s">
        <v>711</v>
      </c>
      <c r="C22"/>
      <c r="D22"/>
      <c r="E22"/>
      <c r="F22" s="1"/>
      <c r="N22" s="8"/>
    </row>
    <row r="23" spans="1:29" x14ac:dyDescent="0.2">
      <c r="A23" s="2"/>
      <c r="B23" s="2"/>
      <c r="C23" s="2"/>
      <c r="D23" s="2"/>
      <c r="E23" s="2"/>
      <c r="F23" s="3"/>
      <c r="G23" s="2"/>
      <c r="H23" s="3"/>
      <c r="I23" s="165" t="s">
        <v>1006</v>
      </c>
      <c r="J23" s="166"/>
      <c r="K23" s="166"/>
      <c r="L23" s="166"/>
      <c r="M23" s="166"/>
      <c r="N23" s="166"/>
      <c r="O23" s="167" t="s">
        <v>931</v>
      </c>
      <c r="P23" s="168"/>
      <c r="Q23" s="168"/>
      <c r="R23" s="168"/>
      <c r="S23" s="168"/>
      <c r="T23" s="168"/>
      <c r="U23" s="166" t="s">
        <v>712</v>
      </c>
      <c r="V23" s="166"/>
      <c r="W23" s="166"/>
      <c r="X23" s="166"/>
      <c r="Y23" s="166"/>
      <c r="Z23" s="166"/>
      <c r="AA23" s="166"/>
      <c r="AB23" s="166"/>
      <c r="AC23" s="166"/>
    </row>
    <row r="24" spans="1:29" x14ac:dyDescent="0.2">
      <c r="A24" s="3" t="s">
        <v>3</v>
      </c>
      <c r="B24" s="3" t="s">
        <v>44</v>
      </c>
      <c r="C24" s="3" t="s">
        <v>47</v>
      </c>
      <c r="D24" s="3" t="s">
        <v>1769</v>
      </c>
      <c r="E24" s="62" t="s">
        <v>1770</v>
      </c>
      <c r="F24" s="3" t="s">
        <v>713</v>
      </c>
      <c r="G24" s="2" t="s">
        <v>714</v>
      </c>
      <c r="H24" s="3" t="s">
        <v>715</v>
      </c>
      <c r="I24" s="3" t="s">
        <v>643</v>
      </c>
      <c r="J24" s="3" t="s">
        <v>716</v>
      </c>
      <c r="K24" s="3" t="s">
        <v>645</v>
      </c>
      <c r="L24" s="3" t="s">
        <v>646</v>
      </c>
      <c r="M24" s="3" t="s">
        <v>650</v>
      </c>
      <c r="N24" s="3" t="s">
        <v>647</v>
      </c>
      <c r="O24" s="45" t="s">
        <v>643</v>
      </c>
      <c r="P24" s="45" t="s">
        <v>716</v>
      </c>
      <c r="Q24" s="45" t="s">
        <v>645</v>
      </c>
      <c r="R24" s="45" t="s">
        <v>646</v>
      </c>
      <c r="S24" s="45" t="s">
        <v>650</v>
      </c>
      <c r="T24" s="45" t="s">
        <v>647</v>
      </c>
      <c r="U24" s="3" t="s">
        <v>643</v>
      </c>
      <c r="V24" s="3" t="s">
        <v>716</v>
      </c>
      <c r="W24" s="3" t="s">
        <v>645</v>
      </c>
      <c r="X24" s="3" t="s">
        <v>646</v>
      </c>
      <c r="Y24" s="3" t="s">
        <v>650</v>
      </c>
      <c r="Z24" s="3" t="s">
        <v>647</v>
      </c>
      <c r="AA24" s="69" t="s">
        <v>1769</v>
      </c>
      <c r="AB24" s="69" t="s">
        <v>1793</v>
      </c>
      <c r="AC24" s="3" t="s">
        <v>1770</v>
      </c>
    </row>
    <row r="25" spans="1:29" x14ac:dyDescent="0.2">
      <c r="A25" s="1">
        <f>'角色战斗属性表|CS|CharaData'!A6</f>
        <v>1058</v>
      </c>
      <c r="B25" s="1" t="str">
        <f>'角色战斗属性表|CS|CharaData'!C6</f>
        <v>星期六</v>
      </c>
      <c r="C25" s="81" t="s">
        <v>1771</v>
      </c>
      <c r="D25" s="81" t="s">
        <v>1792</v>
      </c>
      <c r="E25" s="81" t="s">
        <v>1780</v>
      </c>
      <c r="F25" s="81" t="s">
        <v>717</v>
      </c>
      <c r="G25" s="8" t="str">
        <f t="shared" ref="G25:G56" si="0">C25&amp;$I$2&amp;F25&amp;$J$2</f>
        <v>防护型(法术）</v>
      </c>
      <c r="H25" s="82" t="s">
        <v>932</v>
      </c>
      <c r="I25" s="1">
        <f>VLOOKUP(G25,$I$3:$O$11,2,0)</f>
        <v>1440</v>
      </c>
      <c r="J25">
        <f>VLOOKUP(G25,$I$3:$O$11,3,0)</f>
        <v>177.77777777777783</v>
      </c>
      <c r="K25">
        <f t="shared" ref="K25:K56" si="1">VLOOKUP(G25,$I$3:$O$11,4,0)</f>
        <v>503.99999999999994</v>
      </c>
      <c r="L25">
        <f t="shared" ref="L25:L56" si="2">VLOOKUP(G25,$I$3:$O$11,5,0)</f>
        <v>936</v>
      </c>
      <c r="M25">
        <f t="shared" ref="M25:M56" si="3">VLOOKUP(G25,$I$3:$O$11,6,0)</f>
        <v>450</v>
      </c>
      <c r="N25">
        <f t="shared" ref="N25:N56" si="4">VLOOKUP(G25,$I$3:$O$11,7,0)</f>
        <v>0</v>
      </c>
      <c r="O25" s="32">
        <v>-5.0000000000000001E-3</v>
      </c>
      <c r="P25" s="32">
        <v>1.15E-2</v>
      </c>
      <c r="Q25" s="32">
        <v>0.03</v>
      </c>
      <c r="R25" s="32">
        <v>-0.02</v>
      </c>
      <c r="S25" s="32">
        <v>-0.03</v>
      </c>
      <c r="T25" s="32">
        <v>0</v>
      </c>
      <c r="U25" s="84">
        <f>ROUND(I25*(1+O25)*$L$18*VLOOKUP(H25,$H$15:$I$18,2,0)/$I$17,4)</f>
        <v>71.775800000000004</v>
      </c>
      <c r="V25" s="84">
        <f>ROUND(J25*(1+P25)*$L$18*VLOOKUP(H25,$H$15:$I$18,2,0)/$I$17,4)</f>
        <v>9.0082000000000004</v>
      </c>
      <c r="W25" s="84">
        <f>ROUND(K25*(1+Q25)*$L$18*VLOOKUP(H25,$H$15:$I$18,2,0)/$I$17,4)</f>
        <v>26.005199999999999</v>
      </c>
      <c r="X25" s="84">
        <f>ROUND(L25*(1+R25)*$L$18*VLOOKUP(H25,$H$15:$I$18,2,0)/$I$17,4)</f>
        <v>45.950899999999997</v>
      </c>
      <c r="Y25" s="84">
        <f>INT(M25*(1+S25))</f>
        <v>436</v>
      </c>
      <c r="Z25" s="84">
        <f>T25+N25</f>
        <v>0</v>
      </c>
      <c r="AA25" s="84">
        <f>VLOOKUP(D25,$B$11:$C$15,2,0)</f>
        <v>1</v>
      </c>
      <c r="AB25" s="84">
        <f>VLOOKUP(C25,$B$5:$C$9,2,0)</f>
        <v>2</v>
      </c>
      <c r="AC25" s="84">
        <f>VLOOKUP(E25,$E$5:$F$10,2,0)</f>
        <v>4</v>
      </c>
    </row>
    <row r="26" spans="1:29" x14ac:dyDescent="0.2">
      <c r="A26" s="1">
        <f>'角色战斗属性表|CS|CharaData'!A7</f>
        <v>1053</v>
      </c>
      <c r="B26" s="1" t="str">
        <f>'角色战斗属性表|CS|CharaData'!C7</f>
        <v>【TMP】橘</v>
      </c>
      <c r="C26" s="81" t="s">
        <v>689</v>
      </c>
      <c r="D26" s="81" t="s">
        <v>1779</v>
      </c>
      <c r="E26" s="81" t="s">
        <v>1780</v>
      </c>
      <c r="F26" s="81" t="s">
        <v>717</v>
      </c>
      <c r="G26" s="8" t="str">
        <f t="shared" si="0"/>
        <v>辅助型(法术）</v>
      </c>
      <c r="H26" s="82" t="s">
        <v>706</v>
      </c>
      <c r="I26" s="1">
        <f>VLOOKUP(G26,$I$3:$O$11,2,0)</f>
        <v>1224</v>
      </c>
      <c r="J26">
        <f t="shared" ref="J26:J56" si="5">VLOOKUP(G26,$I$3:$O$11,3,0)</f>
        <v>217.7777777777778</v>
      </c>
      <c r="K26">
        <f t="shared" si="1"/>
        <v>576</v>
      </c>
      <c r="L26">
        <f t="shared" si="2"/>
        <v>864</v>
      </c>
      <c r="M26">
        <f t="shared" si="3"/>
        <v>450</v>
      </c>
      <c r="N26">
        <f t="shared" si="4"/>
        <v>0</v>
      </c>
      <c r="O26" s="32">
        <v>0.03</v>
      </c>
      <c r="P26" s="32">
        <v>1.0999999999999999E-2</v>
      </c>
      <c r="Q26" s="32">
        <v>-3.0499999999999999E-2</v>
      </c>
      <c r="R26" s="32">
        <v>-3.6999999999999998E-2</v>
      </c>
      <c r="S26" s="32">
        <v>0.01</v>
      </c>
      <c r="T26" s="32">
        <v>0</v>
      </c>
      <c r="U26" s="84">
        <f t="shared" ref="U26:U84" si="6">ROUND(I26*(1+O26)*$L$18*VLOOKUP(H26,$H$15:$I$18,2,0)/$I$17,4)</f>
        <v>63.155500000000004</v>
      </c>
      <c r="V26" s="84">
        <f t="shared" ref="V26:V84" si="7">ROUND(J26*(1+P26)*$L$18*VLOOKUP(H26,$H$15:$I$18,2,0)/$I$17,4)</f>
        <v>11.029500000000001</v>
      </c>
      <c r="W26" s="84">
        <f t="shared" ref="W26:W84" si="8">ROUND(K26*(1+Q26)*$L$18*VLOOKUP(H26,$H$15:$I$18,2,0)/$I$17,4)</f>
        <v>27.974499999999999</v>
      </c>
      <c r="X26" s="84">
        <f t="shared" ref="X26:X84" si="9">ROUND(L26*(1+R26)*$L$18*VLOOKUP(H26,$H$15:$I$18,2,0)/$I$17,4)</f>
        <v>41.680500000000002</v>
      </c>
      <c r="Y26" s="84">
        <f t="shared" ref="Y26:Y84" si="10">INT(M26*(1+S26))</f>
        <v>454</v>
      </c>
      <c r="Z26" s="84">
        <f t="shared" ref="Z26:Z84" si="11">T26+N26</f>
        <v>0</v>
      </c>
      <c r="AA26" s="84">
        <f t="shared" ref="AA26:AA84" si="12">VLOOKUP(D26,$B$11:$C$15,2,0)</f>
        <v>5</v>
      </c>
      <c r="AB26" s="84">
        <f t="shared" ref="AB26:AB84" si="13">VLOOKUP(C26,$B$5:$C$9,2,0)</f>
        <v>3</v>
      </c>
      <c r="AC26" s="84">
        <f t="shared" ref="AC26:AC84" si="14">VLOOKUP(E26,$E$5:$F$10,2,0)</f>
        <v>4</v>
      </c>
    </row>
    <row r="27" spans="1:29" x14ac:dyDescent="0.2">
      <c r="A27" s="1">
        <f>'角色战斗属性表|CS|CharaData'!A8</f>
        <v>1060</v>
      </c>
      <c r="B27" s="1" t="str">
        <f>'角色战斗属性表|CS|CharaData'!C8</f>
        <v>文景</v>
      </c>
      <c r="C27" s="81" t="s">
        <v>686</v>
      </c>
      <c r="D27" s="81" t="s">
        <v>1778</v>
      </c>
      <c r="E27" s="81" t="s">
        <v>1780</v>
      </c>
      <c r="F27" s="81" t="s">
        <v>718</v>
      </c>
      <c r="G27" s="8" t="str">
        <f t="shared" si="0"/>
        <v>突击型(物理）</v>
      </c>
      <c r="H27" s="82" t="s">
        <v>706</v>
      </c>
      <c r="I27" s="1">
        <f t="shared" ref="I27:I56" si="15">VLOOKUP(G27,$I$3:$O$11,2,0)</f>
        <v>1248</v>
      </c>
      <c r="J27">
        <f t="shared" si="5"/>
        <v>226.66666666666671</v>
      </c>
      <c r="K27">
        <f t="shared" si="1"/>
        <v>878.4</v>
      </c>
      <c r="L27">
        <f t="shared" si="2"/>
        <v>489.59999999999997</v>
      </c>
      <c r="M27">
        <f t="shared" si="3"/>
        <v>550</v>
      </c>
      <c r="N27">
        <f t="shared" si="4"/>
        <v>0</v>
      </c>
      <c r="O27" s="32">
        <v>-0.02</v>
      </c>
      <c r="P27" s="32">
        <v>1.2E-2</v>
      </c>
      <c r="Q27" s="32">
        <v>-5.0000000000000001E-3</v>
      </c>
      <c r="R27" s="32">
        <v>0.03</v>
      </c>
      <c r="S27" s="32">
        <v>0.04</v>
      </c>
      <c r="T27" s="32">
        <v>0</v>
      </c>
      <c r="U27" s="84">
        <f t="shared" si="6"/>
        <v>61.267899999999997</v>
      </c>
      <c r="V27" s="84">
        <f t="shared" si="7"/>
        <v>11.491099999999999</v>
      </c>
      <c r="W27" s="84">
        <f t="shared" si="8"/>
        <v>43.783200000000001</v>
      </c>
      <c r="X27" s="84">
        <f t="shared" si="9"/>
        <v>25.2622</v>
      </c>
      <c r="Y27" s="84">
        <f t="shared" si="10"/>
        <v>572</v>
      </c>
      <c r="Z27" s="84">
        <f t="shared" si="11"/>
        <v>0</v>
      </c>
      <c r="AA27" s="84">
        <f t="shared" si="12"/>
        <v>4</v>
      </c>
      <c r="AB27" s="84">
        <f t="shared" si="13"/>
        <v>5</v>
      </c>
      <c r="AC27" s="84">
        <f t="shared" si="14"/>
        <v>4</v>
      </c>
    </row>
    <row r="28" spans="1:29" x14ac:dyDescent="0.2">
      <c r="A28" s="1">
        <f>'角色战斗属性表|CS|CharaData'!A9</f>
        <v>1059</v>
      </c>
      <c r="B28" s="1" t="str">
        <f>'角色战斗属性表|CS|CharaData'!C9</f>
        <v>小春</v>
      </c>
      <c r="C28" s="81" t="s">
        <v>687</v>
      </c>
      <c r="D28" s="81" t="s">
        <v>1777</v>
      </c>
      <c r="E28" s="81" t="s">
        <v>1780</v>
      </c>
      <c r="F28" s="81" t="s">
        <v>718</v>
      </c>
      <c r="G28" s="8" t="str">
        <f t="shared" si="0"/>
        <v>强攻型(物理）</v>
      </c>
      <c r="H28" s="82" t="s">
        <v>706</v>
      </c>
      <c r="I28" s="1">
        <f t="shared" si="15"/>
        <v>912</v>
      </c>
      <c r="J28">
        <f t="shared" si="5"/>
        <v>312.88888888888891</v>
      </c>
      <c r="K28">
        <f t="shared" si="1"/>
        <v>777.6</v>
      </c>
      <c r="L28">
        <f t="shared" si="2"/>
        <v>460.79999999999995</v>
      </c>
      <c r="M28">
        <f t="shared" si="3"/>
        <v>500</v>
      </c>
      <c r="N28">
        <f t="shared" si="4"/>
        <v>0.05</v>
      </c>
      <c r="O28" s="32">
        <v>-0.03</v>
      </c>
      <c r="P28" s="32">
        <v>2.0500000000000001E-2</v>
      </c>
      <c r="Q28" s="32">
        <v>-1.4999999999999999E-2</v>
      </c>
      <c r="R28" s="32">
        <v>0.01</v>
      </c>
      <c r="S28" s="32">
        <v>-0.05</v>
      </c>
      <c r="T28" s="32">
        <v>0</v>
      </c>
      <c r="U28" s="84">
        <f t="shared" si="6"/>
        <v>44.315899999999999</v>
      </c>
      <c r="V28" s="84">
        <f t="shared" si="7"/>
        <v>15.9954</v>
      </c>
      <c r="W28" s="84">
        <f t="shared" si="8"/>
        <v>38.369399999999999</v>
      </c>
      <c r="X28" s="84">
        <f t="shared" si="9"/>
        <v>23.314499999999999</v>
      </c>
      <c r="Y28" s="84">
        <f t="shared" si="10"/>
        <v>475</v>
      </c>
      <c r="Z28" s="84">
        <f t="shared" si="11"/>
        <v>0.05</v>
      </c>
      <c r="AA28" s="84">
        <f t="shared" si="12"/>
        <v>3</v>
      </c>
      <c r="AB28" s="84">
        <f t="shared" si="13"/>
        <v>1</v>
      </c>
      <c r="AC28" s="84">
        <f t="shared" si="14"/>
        <v>4</v>
      </c>
    </row>
    <row r="29" spans="1:29" x14ac:dyDescent="0.2">
      <c r="A29" s="1">
        <f>'角色战斗属性表|CS|CharaData'!A10</f>
        <v>1057</v>
      </c>
      <c r="B29" s="1" t="str">
        <f>'角色战斗属性表|CS|CharaData'!C10</f>
        <v>【TMP】真朱</v>
      </c>
      <c r="C29" s="81" t="s">
        <v>688</v>
      </c>
      <c r="D29" s="81" t="s">
        <v>1776</v>
      </c>
      <c r="E29" s="81" t="s">
        <v>1780</v>
      </c>
      <c r="F29" s="81" t="s">
        <v>717</v>
      </c>
      <c r="G29" s="8" t="str">
        <f t="shared" si="0"/>
        <v>特攻型(法术）</v>
      </c>
      <c r="H29" s="82" t="s">
        <v>706</v>
      </c>
      <c r="I29" s="1">
        <f t="shared" si="15"/>
        <v>936</v>
      </c>
      <c r="J29">
        <f t="shared" si="5"/>
        <v>308.44444444444446</v>
      </c>
      <c r="K29">
        <f t="shared" si="1"/>
        <v>460.79999999999995</v>
      </c>
      <c r="L29">
        <f t="shared" si="2"/>
        <v>777.6</v>
      </c>
      <c r="M29">
        <f t="shared" si="3"/>
        <v>500</v>
      </c>
      <c r="N29">
        <f t="shared" si="4"/>
        <v>0.05</v>
      </c>
      <c r="O29" s="32">
        <v>-5.0000000000000001E-3</v>
      </c>
      <c r="P29" s="32">
        <v>-1.83E-2</v>
      </c>
      <c r="Q29" s="32">
        <v>0.04</v>
      </c>
      <c r="R29" s="32">
        <v>2.1999999999999999E-2</v>
      </c>
      <c r="S29" s="32">
        <v>0.04</v>
      </c>
      <c r="T29" s="32">
        <v>0</v>
      </c>
      <c r="U29" s="84">
        <f t="shared" si="6"/>
        <v>46.654299999999999</v>
      </c>
      <c r="V29" s="84">
        <f t="shared" si="7"/>
        <v>15.168699999999999</v>
      </c>
      <c r="W29" s="84">
        <f t="shared" si="8"/>
        <v>24.007000000000001</v>
      </c>
      <c r="X29" s="84">
        <f t="shared" si="9"/>
        <v>39.810699999999997</v>
      </c>
      <c r="Y29" s="84">
        <f t="shared" si="10"/>
        <v>520</v>
      </c>
      <c r="Z29" s="84">
        <f t="shared" si="11"/>
        <v>0.05</v>
      </c>
      <c r="AA29" s="84">
        <f t="shared" si="12"/>
        <v>2</v>
      </c>
      <c r="AB29" s="84">
        <f t="shared" si="13"/>
        <v>4</v>
      </c>
      <c r="AC29" s="84">
        <f t="shared" si="14"/>
        <v>4</v>
      </c>
    </row>
    <row r="30" spans="1:29" x14ac:dyDescent="0.2">
      <c r="A30" s="1">
        <f>'角色战斗属性表|CS|CharaData'!A11</f>
        <v>1055</v>
      </c>
      <c r="B30" s="1" t="str">
        <f>'角色战斗属性表|CS|CharaData'!C11</f>
        <v>叉烧</v>
      </c>
      <c r="C30" s="81" t="s">
        <v>688</v>
      </c>
      <c r="D30" s="81" t="s">
        <v>1777</v>
      </c>
      <c r="E30" s="81" t="s">
        <v>1780</v>
      </c>
      <c r="F30" s="81" t="s">
        <v>717</v>
      </c>
      <c r="G30" s="8" t="str">
        <f t="shared" si="0"/>
        <v>特攻型(法术）</v>
      </c>
      <c r="H30" s="82" t="s">
        <v>706</v>
      </c>
      <c r="I30" s="1">
        <f t="shared" si="15"/>
        <v>936</v>
      </c>
      <c r="J30">
        <f t="shared" si="5"/>
        <v>308.44444444444446</v>
      </c>
      <c r="K30">
        <f t="shared" si="1"/>
        <v>460.79999999999995</v>
      </c>
      <c r="L30">
        <f t="shared" si="2"/>
        <v>777.6</v>
      </c>
      <c r="M30">
        <f t="shared" si="3"/>
        <v>500</v>
      </c>
      <c r="N30">
        <f t="shared" si="4"/>
        <v>0.05</v>
      </c>
      <c r="O30" s="32">
        <v>0.04</v>
      </c>
      <c r="P30" s="32">
        <v>-0.04</v>
      </c>
      <c r="Q30" s="32">
        <v>0.03</v>
      </c>
      <c r="R30" s="32">
        <v>0.02</v>
      </c>
      <c r="S30" s="32">
        <v>-0.01</v>
      </c>
      <c r="T30" s="32">
        <v>0</v>
      </c>
      <c r="U30" s="84">
        <f t="shared" si="6"/>
        <v>48.764299999999999</v>
      </c>
      <c r="V30" s="84">
        <f t="shared" si="7"/>
        <v>14.833399999999999</v>
      </c>
      <c r="W30" s="84">
        <f t="shared" si="8"/>
        <v>23.776199999999999</v>
      </c>
      <c r="X30" s="84">
        <f t="shared" si="9"/>
        <v>39.732799999999997</v>
      </c>
      <c r="Y30" s="84">
        <f t="shared" si="10"/>
        <v>495</v>
      </c>
      <c r="Z30" s="84">
        <f t="shared" si="11"/>
        <v>0.05</v>
      </c>
      <c r="AA30" s="84">
        <f t="shared" si="12"/>
        <v>3</v>
      </c>
      <c r="AB30" s="84">
        <f t="shared" si="13"/>
        <v>4</v>
      </c>
      <c r="AC30" s="84">
        <f t="shared" si="14"/>
        <v>4</v>
      </c>
    </row>
    <row r="31" spans="1:29" x14ac:dyDescent="0.2">
      <c r="A31" s="1">
        <f>'角色战斗属性表|CS|CharaData'!A12</f>
        <v>1056</v>
      </c>
      <c r="B31" s="1" t="str">
        <f>'角色战斗属性表|CS|CharaData'!C12</f>
        <v>蕾</v>
      </c>
      <c r="C31" s="81" t="s">
        <v>687</v>
      </c>
      <c r="D31" s="81" t="s">
        <v>1776</v>
      </c>
      <c r="E31" s="81" t="s">
        <v>1780</v>
      </c>
      <c r="F31" s="81" t="s">
        <v>718</v>
      </c>
      <c r="G31" s="8" t="str">
        <f t="shared" si="0"/>
        <v>强攻型(物理）</v>
      </c>
      <c r="H31" s="82" t="s">
        <v>706</v>
      </c>
      <c r="I31" s="1">
        <f t="shared" si="15"/>
        <v>912</v>
      </c>
      <c r="J31">
        <f t="shared" si="5"/>
        <v>312.88888888888891</v>
      </c>
      <c r="K31">
        <f t="shared" si="1"/>
        <v>777.6</v>
      </c>
      <c r="L31">
        <f t="shared" si="2"/>
        <v>460.79999999999995</v>
      </c>
      <c r="M31">
        <f t="shared" si="3"/>
        <v>500</v>
      </c>
      <c r="N31">
        <f t="shared" si="4"/>
        <v>0.05</v>
      </c>
      <c r="O31" s="32">
        <v>0.02</v>
      </c>
      <c r="P31" s="32">
        <v>-1.7500000000000002E-2</v>
      </c>
      <c r="Q31" s="32">
        <v>1.2E-2</v>
      </c>
      <c r="R31" s="32">
        <v>5.0000000000000001E-3</v>
      </c>
      <c r="S31" s="32">
        <v>0.02</v>
      </c>
      <c r="T31" s="32">
        <v>0</v>
      </c>
      <c r="U31" s="84">
        <f t="shared" si="6"/>
        <v>46.600200000000001</v>
      </c>
      <c r="V31" s="84">
        <f t="shared" si="7"/>
        <v>15.399800000000001</v>
      </c>
      <c r="W31" s="84">
        <f t="shared" si="8"/>
        <v>39.421199999999999</v>
      </c>
      <c r="X31" s="84">
        <f t="shared" si="9"/>
        <v>23.199100000000001</v>
      </c>
      <c r="Y31" s="84">
        <f t="shared" si="10"/>
        <v>510</v>
      </c>
      <c r="Z31" s="84">
        <f t="shared" si="11"/>
        <v>0.05</v>
      </c>
      <c r="AA31" s="84">
        <f t="shared" si="12"/>
        <v>2</v>
      </c>
      <c r="AB31" s="84">
        <f t="shared" si="13"/>
        <v>1</v>
      </c>
      <c r="AC31" s="84">
        <f t="shared" si="14"/>
        <v>4</v>
      </c>
    </row>
    <row r="32" spans="1:29" x14ac:dyDescent="0.2">
      <c r="A32" s="1">
        <f>'角色战斗属性表|CS|CharaData'!A13</f>
        <v>1008</v>
      </c>
      <c r="B32" s="1" t="str">
        <f>'角色战斗属性表|CS|CharaData'!C13</f>
        <v>忠元</v>
      </c>
      <c r="C32" s="81" t="s">
        <v>685</v>
      </c>
      <c r="D32" s="81" t="s">
        <v>1777</v>
      </c>
      <c r="E32" s="81" t="s">
        <v>1782</v>
      </c>
      <c r="F32" s="81" t="s">
        <v>718</v>
      </c>
      <c r="G32" s="8" t="str">
        <f t="shared" si="0"/>
        <v>防护型(物理）</v>
      </c>
      <c r="H32" s="82" t="s">
        <v>708</v>
      </c>
      <c r="I32" s="1">
        <f t="shared" si="15"/>
        <v>1440</v>
      </c>
      <c r="J32">
        <f t="shared" si="5"/>
        <v>175.11111111111114</v>
      </c>
      <c r="K32">
        <f t="shared" si="1"/>
        <v>936</v>
      </c>
      <c r="L32">
        <f t="shared" si="2"/>
        <v>518.4</v>
      </c>
      <c r="M32">
        <f t="shared" si="3"/>
        <v>450</v>
      </c>
      <c r="N32">
        <f t="shared" si="4"/>
        <v>0</v>
      </c>
      <c r="O32" s="32">
        <v>-7.4999999999999997E-3</v>
      </c>
      <c r="P32" s="32">
        <v>-0.03</v>
      </c>
      <c r="Q32" s="32">
        <v>2.5000000000000001E-2</v>
      </c>
      <c r="R32" s="32">
        <v>3.0499999999999999E-2</v>
      </c>
      <c r="S32" s="32">
        <v>0.03</v>
      </c>
      <c r="T32" s="32">
        <v>0</v>
      </c>
      <c r="U32" s="84">
        <f t="shared" si="6"/>
        <v>81.078299999999999</v>
      </c>
      <c r="V32" s="84">
        <f t="shared" si="7"/>
        <v>9.6359999999999992</v>
      </c>
      <c r="W32" s="84">
        <f t="shared" si="8"/>
        <v>54.426600000000001</v>
      </c>
      <c r="X32" s="84">
        <f t="shared" si="9"/>
        <v>30.305700000000002</v>
      </c>
      <c r="Y32" s="84">
        <f t="shared" si="10"/>
        <v>463</v>
      </c>
      <c r="Z32" s="84">
        <f t="shared" si="11"/>
        <v>0</v>
      </c>
      <c r="AA32" s="84">
        <f t="shared" si="12"/>
        <v>3</v>
      </c>
      <c r="AB32" s="84">
        <f t="shared" si="13"/>
        <v>2</v>
      </c>
      <c r="AC32" s="84">
        <f t="shared" si="14"/>
        <v>6</v>
      </c>
    </row>
    <row r="33" spans="1:29" x14ac:dyDescent="0.2">
      <c r="A33" s="1">
        <f>'角色战斗属性表|CS|CharaData'!A14</f>
        <v>1018</v>
      </c>
      <c r="B33" s="1" t="str">
        <f>'角色战斗属性表|CS|CharaData'!C14</f>
        <v>玉露</v>
      </c>
      <c r="C33" s="81" t="s">
        <v>685</v>
      </c>
      <c r="D33" s="81" t="s">
        <v>1776</v>
      </c>
      <c r="E33" s="81" t="s">
        <v>1784</v>
      </c>
      <c r="F33" s="81" t="s">
        <v>717</v>
      </c>
      <c r="G33" s="8" t="str">
        <f t="shared" si="0"/>
        <v>防护型(法术）</v>
      </c>
      <c r="H33" s="82" t="s">
        <v>708</v>
      </c>
      <c r="I33" s="1">
        <f t="shared" si="15"/>
        <v>1440</v>
      </c>
      <c r="J33">
        <f t="shared" si="5"/>
        <v>177.77777777777783</v>
      </c>
      <c r="K33">
        <f t="shared" si="1"/>
        <v>503.99999999999994</v>
      </c>
      <c r="L33">
        <f t="shared" si="2"/>
        <v>936</v>
      </c>
      <c r="M33">
        <f t="shared" si="3"/>
        <v>450</v>
      </c>
      <c r="N33">
        <f t="shared" si="4"/>
        <v>0</v>
      </c>
      <c r="O33" s="32">
        <v>9.4999999999999998E-3</v>
      </c>
      <c r="P33" s="32">
        <v>1.0500000000000001E-2</v>
      </c>
      <c r="Q33" s="32">
        <v>-0.01</v>
      </c>
      <c r="R33" s="32">
        <v>-0.02</v>
      </c>
      <c r="S33" s="32">
        <v>0</v>
      </c>
      <c r="T33" s="32">
        <v>0</v>
      </c>
      <c r="U33" s="84">
        <f t="shared" si="6"/>
        <v>82.467100000000002</v>
      </c>
      <c r="V33" s="84">
        <f t="shared" si="7"/>
        <v>10.1912</v>
      </c>
      <c r="W33" s="84">
        <f t="shared" si="8"/>
        <v>28.305900000000001</v>
      </c>
      <c r="X33" s="84">
        <f t="shared" si="9"/>
        <v>52.037199999999999</v>
      </c>
      <c r="Y33" s="84">
        <f t="shared" si="10"/>
        <v>450</v>
      </c>
      <c r="Z33" s="84">
        <f t="shared" si="11"/>
        <v>0</v>
      </c>
      <c r="AA33" s="84">
        <f t="shared" si="12"/>
        <v>2</v>
      </c>
      <c r="AB33" s="84">
        <f t="shared" si="13"/>
        <v>2</v>
      </c>
      <c r="AC33" s="84">
        <f t="shared" si="14"/>
        <v>3</v>
      </c>
    </row>
    <row r="34" spans="1:29" x14ac:dyDescent="0.2">
      <c r="A34" s="1">
        <f>'角色战斗属性表|CS|CharaData'!A15</f>
        <v>1029</v>
      </c>
      <c r="B34" s="1" t="str">
        <f>'角色战斗属性表|CS|CharaData'!C15</f>
        <v>方块</v>
      </c>
      <c r="C34" s="81" t="s">
        <v>685</v>
      </c>
      <c r="D34" s="81" t="s">
        <v>1792</v>
      </c>
      <c r="E34" s="81" t="s">
        <v>1780</v>
      </c>
      <c r="F34" s="81" t="s">
        <v>718</v>
      </c>
      <c r="G34" s="8" t="str">
        <f t="shared" si="0"/>
        <v>防护型(物理）</v>
      </c>
      <c r="H34" s="82" t="s">
        <v>708</v>
      </c>
      <c r="I34" s="1">
        <f t="shared" si="15"/>
        <v>1440</v>
      </c>
      <c r="J34">
        <f t="shared" si="5"/>
        <v>175.11111111111114</v>
      </c>
      <c r="K34">
        <f t="shared" si="1"/>
        <v>936</v>
      </c>
      <c r="L34">
        <f t="shared" si="2"/>
        <v>518.4</v>
      </c>
      <c r="M34">
        <f t="shared" si="3"/>
        <v>450</v>
      </c>
      <c r="N34">
        <f t="shared" si="4"/>
        <v>0</v>
      </c>
      <c r="O34" s="32">
        <v>-1.2500000000000001E-2</v>
      </c>
      <c r="P34" s="32">
        <v>0.06</v>
      </c>
      <c r="Q34" s="32">
        <v>-0.03</v>
      </c>
      <c r="R34" s="32">
        <v>-0.02</v>
      </c>
      <c r="S34" s="32">
        <v>-0.05</v>
      </c>
      <c r="T34" s="32">
        <v>0</v>
      </c>
      <c r="U34" s="84">
        <f t="shared" si="6"/>
        <v>80.669899999999998</v>
      </c>
      <c r="V34" s="84">
        <f t="shared" si="7"/>
        <v>10.530099999999999</v>
      </c>
      <c r="W34" s="84">
        <f t="shared" si="8"/>
        <v>51.5062</v>
      </c>
      <c r="X34" s="84">
        <f t="shared" si="9"/>
        <v>28.820599999999999</v>
      </c>
      <c r="Y34" s="84">
        <f t="shared" si="10"/>
        <v>427</v>
      </c>
      <c r="Z34" s="84">
        <f t="shared" si="11"/>
        <v>0</v>
      </c>
      <c r="AA34" s="84">
        <f t="shared" si="12"/>
        <v>1</v>
      </c>
      <c r="AB34" s="84">
        <f t="shared" si="13"/>
        <v>2</v>
      </c>
      <c r="AC34" s="84">
        <f t="shared" si="14"/>
        <v>4</v>
      </c>
    </row>
    <row r="35" spans="1:29" x14ac:dyDescent="0.2">
      <c r="A35" s="1">
        <f>'角色战斗属性表|CS|CharaData'!A16</f>
        <v>1002</v>
      </c>
      <c r="B35" s="1" t="str">
        <f>'角色战斗属性表|CS|CharaData'!C16</f>
        <v>茜</v>
      </c>
      <c r="C35" s="81" t="s">
        <v>685</v>
      </c>
      <c r="D35" s="81" t="s">
        <v>1778</v>
      </c>
      <c r="E35" s="81" t="s">
        <v>1788</v>
      </c>
      <c r="F35" s="81" t="s">
        <v>717</v>
      </c>
      <c r="G35" s="8" t="str">
        <f t="shared" si="0"/>
        <v>防护型(法术）</v>
      </c>
      <c r="H35" s="82" t="s">
        <v>708</v>
      </c>
      <c r="I35" s="1">
        <f t="shared" si="15"/>
        <v>1440</v>
      </c>
      <c r="J35">
        <f t="shared" si="5"/>
        <v>177.77777777777783</v>
      </c>
      <c r="K35">
        <f t="shared" si="1"/>
        <v>503.99999999999994</v>
      </c>
      <c r="L35">
        <f t="shared" si="2"/>
        <v>936</v>
      </c>
      <c r="M35">
        <f t="shared" si="3"/>
        <v>450</v>
      </c>
      <c r="N35">
        <f t="shared" si="4"/>
        <v>0</v>
      </c>
      <c r="O35" s="32">
        <v>5.0000000000000001E-3</v>
      </c>
      <c r="P35" s="32">
        <v>-5.0000000000000001E-4</v>
      </c>
      <c r="Q35" s="32">
        <v>-0.05</v>
      </c>
      <c r="R35" s="32">
        <v>0.02</v>
      </c>
      <c r="S35" s="32">
        <v>4.4999999999999998E-2</v>
      </c>
      <c r="T35" s="32">
        <v>0</v>
      </c>
      <c r="U35" s="84">
        <f t="shared" si="6"/>
        <v>82.099500000000006</v>
      </c>
      <c r="V35" s="84">
        <f t="shared" si="7"/>
        <v>10.080299999999999</v>
      </c>
      <c r="W35" s="84">
        <f t="shared" si="8"/>
        <v>27.162299999999998</v>
      </c>
      <c r="X35" s="84">
        <f t="shared" si="9"/>
        <v>54.161099999999998</v>
      </c>
      <c r="Y35" s="84">
        <f t="shared" si="10"/>
        <v>470</v>
      </c>
      <c r="Z35" s="84">
        <f t="shared" si="11"/>
        <v>0</v>
      </c>
      <c r="AA35" s="84">
        <f t="shared" si="12"/>
        <v>4</v>
      </c>
      <c r="AB35" s="84">
        <f t="shared" si="13"/>
        <v>2</v>
      </c>
      <c r="AC35" s="84">
        <f t="shared" si="14"/>
        <v>1</v>
      </c>
    </row>
    <row r="36" spans="1:29" x14ac:dyDescent="0.2">
      <c r="A36" s="1">
        <f>'角色战斗属性表|CS|CharaData'!A17</f>
        <v>1013</v>
      </c>
      <c r="B36" s="1" t="str">
        <f>'角色战斗属性表|CS|CharaData'!C17</f>
        <v>绿雪</v>
      </c>
      <c r="C36" s="81" t="s">
        <v>689</v>
      </c>
      <c r="D36" s="81" t="s">
        <v>1777</v>
      </c>
      <c r="E36" s="81" t="s">
        <v>1784</v>
      </c>
      <c r="F36" s="81" t="s">
        <v>717</v>
      </c>
      <c r="G36" s="8" t="str">
        <f t="shared" si="0"/>
        <v>辅助型(法术）</v>
      </c>
      <c r="H36" s="82" t="s">
        <v>708</v>
      </c>
      <c r="I36" s="1">
        <f t="shared" si="15"/>
        <v>1224</v>
      </c>
      <c r="J36">
        <f t="shared" si="5"/>
        <v>217.7777777777778</v>
      </c>
      <c r="K36">
        <f t="shared" si="1"/>
        <v>576</v>
      </c>
      <c r="L36">
        <f t="shared" si="2"/>
        <v>864</v>
      </c>
      <c r="M36">
        <f t="shared" si="3"/>
        <v>450</v>
      </c>
      <c r="N36">
        <f t="shared" si="4"/>
        <v>0</v>
      </c>
      <c r="O36" s="32">
        <v>-0.02</v>
      </c>
      <c r="P36" s="32">
        <v>0.02</v>
      </c>
      <c r="Q36" s="32">
        <v>3.2000000000000001E-2</v>
      </c>
      <c r="R36" s="32">
        <v>-0.02</v>
      </c>
      <c r="S36" s="32">
        <v>0.05</v>
      </c>
      <c r="T36" s="32">
        <v>0</v>
      </c>
      <c r="U36" s="84">
        <f t="shared" si="6"/>
        <v>68.048599999999993</v>
      </c>
      <c r="V36" s="84">
        <f t="shared" si="7"/>
        <v>12.601599999999999</v>
      </c>
      <c r="W36" s="84">
        <f t="shared" si="8"/>
        <v>33.722000000000001</v>
      </c>
      <c r="X36" s="84">
        <f t="shared" si="9"/>
        <v>48.034300000000002</v>
      </c>
      <c r="Y36" s="84">
        <f t="shared" si="10"/>
        <v>472</v>
      </c>
      <c r="Z36" s="84">
        <f t="shared" si="11"/>
        <v>0</v>
      </c>
      <c r="AA36" s="84">
        <f t="shared" si="12"/>
        <v>3</v>
      </c>
      <c r="AB36" s="84">
        <f t="shared" si="13"/>
        <v>3</v>
      </c>
      <c r="AC36" s="84">
        <f t="shared" si="14"/>
        <v>3</v>
      </c>
    </row>
    <row r="37" spans="1:29" x14ac:dyDescent="0.2">
      <c r="A37" s="1">
        <f>'角色战斗属性表|CS|CharaData'!A18</f>
        <v>1007</v>
      </c>
      <c r="B37" s="1" t="str">
        <f>'角色战斗属性表|CS|CharaData'!C18</f>
        <v>星凉</v>
      </c>
      <c r="C37" s="81" t="s">
        <v>689</v>
      </c>
      <c r="D37" s="81" t="s">
        <v>1776</v>
      </c>
      <c r="E37" s="81" t="s">
        <v>1782</v>
      </c>
      <c r="F37" s="81" t="s">
        <v>718</v>
      </c>
      <c r="G37" s="8" t="str">
        <f t="shared" si="0"/>
        <v>辅助型(物理）</v>
      </c>
      <c r="H37" s="82" t="s">
        <v>708</v>
      </c>
      <c r="I37" s="1">
        <f t="shared" si="15"/>
        <v>1224</v>
      </c>
      <c r="J37">
        <f t="shared" si="5"/>
        <v>217.7777777777778</v>
      </c>
      <c r="K37">
        <f t="shared" si="1"/>
        <v>864</v>
      </c>
      <c r="L37">
        <f t="shared" si="2"/>
        <v>576</v>
      </c>
      <c r="M37">
        <f t="shared" si="3"/>
        <v>450</v>
      </c>
      <c r="N37">
        <f t="shared" si="4"/>
        <v>0</v>
      </c>
      <c r="O37" s="32">
        <v>-0.01</v>
      </c>
      <c r="P37" s="32">
        <v>2.4500000000000001E-2</v>
      </c>
      <c r="Q37" s="32">
        <v>-2.1000000000000001E-2</v>
      </c>
      <c r="R37" s="32">
        <v>3.0000000000000001E-3</v>
      </c>
      <c r="S37" s="32">
        <v>-0.05</v>
      </c>
      <c r="T37" s="32">
        <v>0</v>
      </c>
      <c r="U37" s="84">
        <f t="shared" si="6"/>
        <v>68.742999999999995</v>
      </c>
      <c r="V37" s="84">
        <f t="shared" si="7"/>
        <v>12.6572</v>
      </c>
      <c r="W37" s="84">
        <f t="shared" si="8"/>
        <v>47.985300000000002</v>
      </c>
      <c r="X37" s="84">
        <f t="shared" si="9"/>
        <v>32.7744</v>
      </c>
      <c r="Y37" s="84">
        <f t="shared" si="10"/>
        <v>427</v>
      </c>
      <c r="Z37" s="84">
        <f t="shared" si="11"/>
        <v>0</v>
      </c>
      <c r="AA37" s="84">
        <f t="shared" si="12"/>
        <v>2</v>
      </c>
      <c r="AB37" s="84">
        <f t="shared" si="13"/>
        <v>3</v>
      </c>
      <c r="AC37" s="84">
        <f t="shared" si="14"/>
        <v>6</v>
      </c>
    </row>
    <row r="38" spans="1:29" x14ac:dyDescent="0.2">
      <c r="A38" s="1">
        <f>'角色战斗属性表|CS|CharaData'!A19</f>
        <v>1044</v>
      </c>
      <c r="B38" s="1" t="str">
        <f>'角色战斗属性表|CS|CharaData'!C19</f>
        <v>【TMP】夜来</v>
      </c>
      <c r="C38" s="81" t="s">
        <v>689</v>
      </c>
      <c r="D38" s="81" t="s">
        <v>1778</v>
      </c>
      <c r="E38" s="81" t="s">
        <v>1784</v>
      </c>
      <c r="F38" s="81" t="s">
        <v>718</v>
      </c>
      <c r="G38" s="8" t="str">
        <f t="shared" si="0"/>
        <v>辅助型(物理）</v>
      </c>
      <c r="H38" s="82" t="s">
        <v>708</v>
      </c>
      <c r="I38" s="1">
        <f t="shared" si="15"/>
        <v>1224</v>
      </c>
      <c r="J38">
        <f t="shared" si="5"/>
        <v>217.7777777777778</v>
      </c>
      <c r="K38">
        <f t="shared" si="1"/>
        <v>864</v>
      </c>
      <c r="L38">
        <f t="shared" si="2"/>
        <v>576</v>
      </c>
      <c r="M38">
        <f t="shared" si="3"/>
        <v>450</v>
      </c>
      <c r="N38">
        <f t="shared" si="4"/>
        <v>0</v>
      </c>
      <c r="O38" s="32">
        <v>-1.2E-2</v>
      </c>
      <c r="P38" s="32">
        <v>5.0000000000000001E-3</v>
      </c>
      <c r="Q38" s="32">
        <v>-3.5000000000000001E-3</v>
      </c>
      <c r="R38" s="32">
        <v>2.1000000000000001E-2</v>
      </c>
      <c r="S38" s="32">
        <v>-0.03</v>
      </c>
      <c r="T38" s="32">
        <v>0</v>
      </c>
      <c r="U38" s="84">
        <f t="shared" si="6"/>
        <v>68.604100000000003</v>
      </c>
      <c r="V38" s="84">
        <f t="shared" si="7"/>
        <v>12.4163</v>
      </c>
      <c r="W38" s="84">
        <f t="shared" si="8"/>
        <v>48.843000000000004</v>
      </c>
      <c r="X38" s="84">
        <f t="shared" si="9"/>
        <v>33.3626</v>
      </c>
      <c r="Y38" s="84">
        <f t="shared" si="10"/>
        <v>436</v>
      </c>
      <c r="Z38" s="84">
        <f t="shared" si="11"/>
        <v>0</v>
      </c>
      <c r="AA38" s="84">
        <f t="shared" si="12"/>
        <v>4</v>
      </c>
      <c r="AB38" s="84">
        <f t="shared" si="13"/>
        <v>3</v>
      </c>
      <c r="AC38" s="84">
        <f t="shared" si="14"/>
        <v>3</v>
      </c>
    </row>
    <row r="39" spans="1:29" x14ac:dyDescent="0.2">
      <c r="A39" s="1">
        <f>'角色战斗属性表|CS|CharaData'!A20</f>
        <v>1048</v>
      </c>
      <c r="B39" s="1" t="str">
        <f>'角色战斗属性表|CS|CharaData'!C20</f>
        <v>【TMP】槐</v>
      </c>
      <c r="C39" s="81" t="s">
        <v>686</v>
      </c>
      <c r="D39" s="81" t="s">
        <v>1776</v>
      </c>
      <c r="E39" s="81" t="s">
        <v>1780</v>
      </c>
      <c r="F39" s="81" t="s">
        <v>717</v>
      </c>
      <c r="G39" s="8" t="str">
        <f t="shared" si="0"/>
        <v>突击型(法术）</v>
      </c>
      <c r="H39" s="82" t="s">
        <v>708</v>
      </c>
      <c r="I39" s="1">
        <f t="shared" si="15"/>
        <v>1248</v>
      </c>
      <c r="J39">
        <f t="shared" si="5"/>
        <v>226.66666666666671</v>
      </c>
      <c r="K39">
        <f t="shared" si="1"/>
        <v>489.59999999999997</v>
      </c>
      <c r="L39">
        <f t="shared" si="2"/>
        <v>878.4</v>
      </c>
      <c r="M39">
        <f t="shared" si="3"/>
        <v>550</v>
      </c>
      <c r="N39">
        <f t="shared" si="4"/>
        <v>0</v>
      </c>
      <c r="O39" s="32">
        <v>2.1499999999999998E-2</v>
      </c>
      <c r="P39" s="32">
        <v>-0.04</v>
      </c>
      <c r="Q39" s="32">
        <v>2.8000000000000001E-2</v>
      </c>
      <c r="R39" s="32">
        <v>0.01</v>
      </c>
      <c r="S39" s="32">
        <v>-0.03</v>
      </c>
      <c r="T39" s="32">
        <v>0</v>
      </c>
      <c r="U39" s="84">
        <f t="shared" si="6"/>
        <v>72.320999999999998</v>
      </c>
      <c r="V39" s="84">
        <f t="shared" si="7"/>
        <v>12.3444</v>
      </c>
      <c r="W39" s="84">
        <f t="shared" si="8"/>
        <v>28.552600000000002</v>
      </c>
      <c r="X39" s="84">
        <f t="shared" si="9"/>
        <v>50.329799999999999</v>
      </c>
      <c r="Y39" s="84">
        <f t="shared" si="10"/>
        <v>533</v>
      </c>
      <c r="Z39" s="84">
        <f t="shared" si="11"/>
        <v>0</v>
      </c>
      <c r="AA39" s="84">
        <f t="shared" si="12"/>
        <v>2</v>
      </c>
      <c r="AB39" s="84">
        <f t="shared" si="13"/>
        <v>5</v>
      </c>
      <c r="AC39" s="84">
        <f t="shared" si="14"/>
        <v>4</v>
      </c>
    </row>
    <row r="40" spans="1:29" x14ac:dyDescent="0.2">
      <c r="A40" s="1">
        <f>'角色战斗属性表|CS|CharaData'!A21</f>
        <v>1036</v>
      </c>
      <c r="B40" s="1" t="str">
        <f>'角色战斗属性表|CS|CharaData'!C21</f>
        <v>麻雀</v>
      </c>
      <c r="C40" s="81" t="s">
        <v>686</v>
      </c>
      <c r="D40" s="81" t="s">
        <v>1777</v>
      </c>
      <c r="E40" s="81" t="s">
        <v>1780</v>
      </c>
      <c r="F40" s="81" t="s">
        <v>718</v>
      </c>
      <c r="G40" s="8" t="str">
        <f t="shared" si="0"/>
        <v>突击型(物理）</v>
      </c>
      <c r="H40" s="82" t="s">
        <v>708</v>
      </c>
      <c r="I40" s="1">
        <f t="shared" si="15"/>
        <v>1248</v>
      </c>
      <c r="J40">
        <f t="shared" si="5"/>
        <v>226.66666666666671</v>
      </c>
      <c r="K40">
        <f t="shared" si="1"/>
        <v>878.4</v>
      </c>
      <c r="L40">
        <f t="shared" si="2"/>
        <v>489.59999999999997</v>
      </c>
      <c r="M40">
        <f t="shared" si="3"/>
        <v>550</v>
      </c>
      <c r="N40">
        <f t="shared" si="4"/>
        <v>0</v>
      </c>
      <c r="O40" s="32">
        <v>2E-3</v>
      </c>
      <c r="P40" s="32">
        <v>4.4999999999999997E-3</v>
      </c>
      <c r="Q40" s="32">
        <v>-0.02</v>
      </c>
      <c r="R40" s="32">
        <v>0.02</v>
      </c>
      <c r="S40" s="32">
        <v>0.03</v>
      </c>
      <c r="T40" s="32">
        <v>0</v>
      </c>
      <c r="U40" s="84">
        <f t="shared" si="6"/>
        <v>70.9405</v>
      </c>
      <c r="V40" s="84">
        <f t="shared" si="7"/>
        <v>12.916600000000001</v>
      </c>
      <c r="W40" s="84">
        <f t="shared" si="8"/>
        <v>48.834899999999998</v>
      </c>
      <c r="X40" s="84">
        <f t="shared" si="9"/>
        <v>28.330400000000001</v>
      </c>
      <c r="Y40" s="84">
        <f t="shared" si="10"/>
        <v>566</v>
      </c>
      <c r="Z40" s="84">
        <f t="shared" si="11"/>
        <v>0</v>
      </c>
      <c r="AA40" s="84">
        <f t="shared" si="12"/>
        <v>3</v>
      </c>
      <c r="AB40" s="84">
        <f t="shared" si="13"/>
        <v>5</v>
      </c>
      <c r="AC40" s="84">
        <f t="shared" si="14"/>
        <v>4</v>
      </c>
    </row>
    <row r="41" spans="1:29" x14ac:dyDescent="0.2">
      <c r="A41" s="1">
        <f>'角色战斗属性表|CS|CharaData'!A22</f>
        <v>1049</v>
      </c>
      <c r="B41" s="1" t="str">
        <f>'角色战斗属性表|CS|CharaData'!C22</f>
        <v>【TMP】闪羽</v>
      </c>
      <c r="C41" s="81" t="s">
        <v>686</v>
      </c>
      <c r="D41" s="81" t="s">
        <v>1779</v>
      </c>
      <c r="E41" s="81" t="s">
        <v>1788</v>
      </c>
      <c r="F41" s="81" t="s">
        <v>718</v>
      </c>
      <c r="G41" s="8" t="str">
        <f t="shared" si="0"/>
        <v>突击型(物理）</v>
      </c>
      <c r="H41" s="82" t="s">
        <v>708</v>
      </c>
      <c r="I41" s="1">
        <f t="shared" si="15"/>
        <v>1248</v>
      </c>
      <c r="J41">
        <f t="shared" si="5"/>
        <v>226.66666666666671</v>
      </c>
      <c r="K41">
        <f t="shared" si="1"/>
        <v>878.4</v>
      </c>
      <c r="L41">
        <f t="shared" si="2"/>
        <v>489.59999999999997</v>
      </c>
      <c r="M41">
        <f t="shared" si="3"/>
        <v>550</v>
      </c>
      <c r="N41">
        <f t="shared" si="4"/>
        <v>0</v>
      </c>
      <c r="O41" s="32">
        <v>-0.02</v>
      </c>
      <c r="P41" s="32">
        <v>3.5000000000000003E-2</v>
      </c>
      <c r="Q41" s="32">
        <v>-5.0000000000000001E-3</v>
      </c>
      <c r="R41" s="32">
        <v>-2.7E-2</v>
      </c>
      <c r="S41" s="32">
        <v>0.04</v>
      </c>
      <c r="T41" s="32">
        <v>0</v>
      </c>
      <c r="U41" s="84">
        <f t="shared" si="6"/>
        <v>69.382900000000006</v>
      </c>
      <c r="V41" s="84">
        <f t="shared" si="7"/>
        <v>13.3088</v>
      </c>
      <c r="W41" s="84">
        <f t="shared" si="8"/>
        <v>49.582299999999996</v>
      </c>
      <c r="X41" s="84">
        <f t="shared" si="9"/>
        <v>27.024999999999999</v>
      </c>
      <c r="Y41" s="84">
        <f t="shared" si="10"/>
        <v>572</v>
      </c>
      <c r="Z41" s="84">
        <f t="shared" si="11"/>
        <v>0</v>
      </c>
      <c r="AA41" s="84">
        <f t="shared" si="12"/>
        <v>5</v>
      </c>
      <c r="AB41" s="84">
        <f t="shared" si="13"/>
        <v>5</v>
      </c>
      <c r="AC41" s="84">
        <f t="shared" si="14"/>
        <v>1</v>
      </c>
    </row>
    <row r="42" spans="1:29" x14ac:dyDescent="0.2">
      <c r="A42" s="1">
        <f>'角色战斗属性表|CS|CharaData'!A23</f>
        <v>1009</v>
      </c>
      <c r="B42" s="1" t="str">
        <f>'角色战斗属性表|CS|CharaData'!C23</f>
        <v>鸣霜</v>
      </c>
      <c r="C42" s="81" t="s">
        <v>687</v>
      </c>
      <c r="D42" s="81" t="s">
        <v>1777</v>
      </c>
      <c r="E42" s="81" t="s">
        <v>1782</v>
      </c>
      <c r="F42" s="81" t="s">
        <v>718</v>
      </c>
      <c r="G42" s="8" t="str">
        <f t="shared" si="0"/>
        <v>强攻型(物理）</v>
      </c>
      <c r="H42" s="82" t="s">
        <v>708</v>
      </c>
      <c r="I42" s="1">
        <f t="shared" si="15"/>
        <v>912</v>
      </c>
      <c r="J42">
        <f t="shared" si="5"/>
        <v>312.88888888888891</v>
      </c>
      <c r="K42">
        <f t="shared" si="1"/>
        <v>777.6</v>
      </c>
      <c r="L42">
        <f t="shared" si="2"/>
        <v>460.79999999999995</v>
      </c>
      <c r="M42">
        <f t="shared" si="3"/>
        <v>500</v>
      </c>
      <c r="N42">
        <f t="shared" si="4"/>
        <v>0.05</v>
      </c>
      <c r="O42" s="32">
        <v>-5.0000000000000001E-3</v>
      </c>
      <c r="P42" s="32">
        <v>0.01</v>
      </c>
      <c r="Q42" s="32">
        <v>-1.4999999999999999E-2</v>
      </c>
      <c r="R42" s="32">
        <v>1E-3</v>
      </c>
      <c r="S42" s="32">
        <v>-0.03</v>
      </c>
      <c r="T42" s="32">
        <v>0</v>
      </c>
      <c r="U42" s="84">
        <f t="shared" si="6"/>
        <v>51.478900000000003</v>
      </c>
      <c r="V42" s="84">
        <f t="shared" si="7"/>
        <v>17.927600000000002</v>
      </c>
      <c r="W42" s="84">
        <f t="shared" si="8"/>
        <v>43.4514</v>
      </c>
      <c r="X42" s="84">
        <f t="shared" si="9"/>
        <v>26.167300000000001</v>
      </c>
      <c r="Y42" s="84">
        <f t="shared" si="10"/>
        <v>485</v>
      </c>
      <c r="Z42" s="84">
        <f t="shared" si="11"/>
        <v>0.05</v>
      </c>
      <c r="AA42" s="84">
        <f t="shared" si="12"/>
        <v>3</v>
      </c>
      <c r="AB42" s="84">
        <f t="shared" si="13"/>
        <v>1</v>
      </c>
      <c r="AC42" s="84">
        <f t="shared" si="14"/>
        <v>6</v>
      </c>
    </row>
    <row r="43" spans="1:29" x14ac:dyDescent="0.2">
      <c r="A43" s="1">
        <f>'角色战斗属性表|CS|CharaData'!A24</f>
        <v>1030</v>
      </c>
      <c r="B43" s="1" t="str">
        <f>'角色战斗属性表|CS|CharaData'!C24</f>
        <v>红心</v>
      </c>
      <c r="C43" s="81" t="s">
        <v>688</v>
      </c>
      <c r="D43" s="81" t="s">
        <v>1792</v>
      </c>
      <c r="E43" s="81" t="s">
        <v>1780</v>
      </c>
      <c r="F43" s="81" t="s">
        <v>717</v>
      </c>
      <c r="G43" s="8" t="str">
        <f t="shared" si="0"/>
        <v>特攻型(法术）</v>
      </c>
      <c r="H43" s="82" t="s">
        <v>708</v>
      </c>
      <c r="I43" s="1">
        <f t="shared" si="15"/>
        <v>936</v>
      </c>
      <c r="J43">
        <f t="shared" si="5"/>
        <v>308.44444444444446</v>
      </c>
      <c r="K43">
        <f t="shared" si="1"/>
        <v>460.79999999999995</v>
      </c>
      <c r="L43">
        <f t="shared" si="2"/>
        <v>777.6</v>
      </c>
      <c r="M43">
        <f t="shared" si="3"/>
        <v>500</v>
      </c>
      <c r="N43">
        <f t="shared" si="4"/>
        <v>0.05</v>
      </c>
      <c r="O43" s="32">
        <v>-0.04</v>
      </c>
      <c r="P43" s="32">
        <v>4.4999999999999998E-2</v>
      </c>
      <c r="Q43" s="32">
        <v>-2.1999999999999999E-2</v>
      </c>
      <c r="R43" s="32">
        <v>-3.5000000000000003E-2</v>
      </c>
      <c r="S43" s="32">
        <v>0.01</v>
      </c>
      <c r="T43" s="32">
        <v>0</v>
      </c>
      <c r="U43" s="84">
        <f t="shared" si="6"/>
        <v>50.975200000000001</v>
      </c>
      <c r="V43" s="84">
        <f t="shared" si="7"/>
        <v>18.285399999999999</v>
      </c>
      <c r="W43" s="84">
        <f t="shared" si="8"/>
        <v>25.565999999999999</v>
      </c>
      <c r="X43" s="84">
        <f t="shared" si="9"/>
        <v>42.569200000000002</v>
      </c>
      <c r="Y43" s="84">
        <f t="shared" si="10"/>
        <v>505</v>
      </c>
      <c r="Z43" s="84">
        <f t="shared" si="11"/>
        <v>0.05</v>
      </c>
      <c r="AA43" s="84">
        <f t="shared" si="12"/>
        <v>1</v>
      </c>
      <c r="AB43" s="84">
        <f t="shared" si="13"/>
        <v>4</v>
      </c>
      <c r="AC43" s="84">
        <f t="shared" si="14"/>
        <v>4</v>
      </c>
    </row>
    <row r="44" spans="1:29" x14ac:dyDescent="0.2">
      <c r="A44" s="1">
        <f>'角色战斗属性表|CS|CharaData'!A25</f>
        <v>1015</v>
      </c>
      <c r="B44" s="1" t="str">
        <f>'角色战斗属性表|CS|CharaData'!C25</f>
        <v>春迟</v>
      </c>
      <c r="C44" s="81" t="s">
        <v>687</v>
      </c>
      <c r="D44" s="81" t="s">
        <v>1778</v>
      </c>
      <c r="E44" s="81" t="s">
        <v>1782</v>
      </c>
      <c r="F44" s="81" t="s">
        <v>718</v>
      </c>
      <c r="G44" s="8" t="str">
        <f t="shared" si="0"/>
        <v>强攻型(物理）</v>
      </c>
      <c r="H44" s="82" t="s">
        <v>708</v>
      </c>
      <c r="I44" s="1">
        <f t="shared" si="15"/>
        <v>912</v>
      </c>
      <c r="J44">
        <f t="shared" si="5"/>
        <v>312.88888888888891</v>
      </c>
      <c r="K44">
        <f t="shared" si="1"/>
        <v>777.6</v>
      </c>
      <c r="L44">
        <f t="shared" si="2"/>
        <v>460.79999999999995</v>
      </c>
      <c r="M44">
        <f t="shared" si="3"/>
        <v>500</v>
      </c>
      <c r="N44">
        <f t="shared" si="4"/>
        <v>0.05</v>
      </c>
      <c r="O44" s="32">
        <v>-3.5999999999999997E-2</v>
      </c>
      <c r="P44" s="32">
        <v>1.6500000000000001E-2</v>
      </c>
      <c r="Q44" s="32">
        <v>-5.0000000000000001E-3</v>
      </c>
      <c r="R44" s="32">
        <v>0.02</v>
      </c>
      <c r="S44" s="32">
        <v>-0.02</v>
      </c>
      <c r="T44" s="32">
        <v>0</v>
      </c>
      <c r="U44" s="84">
        <f t="shared" si="6"/>
        <v>49.875100000000003</v>
      </c>
      <c r="V44" s="84">
        <f t="shared" si="7"/>
        <v>18.042999999999999</v>
      </c>
      <c r="W44" s="84">
        <f t="shared" si="8"/>
        <v>43.892600000000002</v>
      </c>
      <c r="X44" s="84">
        <f t="shared" si="9"/>
        <v>26.663900000000002</v>
      </c>
      <c r="Y44" s="84">
        <f t="shared" si="10"/>
        <v>490</v>
      </c>
      <c r="Z44" s="84">
        <f t="shared" si="11"/>
        <v>0.05</v>
      </c>
      <c r="AA44" s="84">
        <f t="shared" si="12"/>
        <v>4</v>
      </c>
      <c r="AB44" s="84">
        <f t="shared" si="13"/>
        <v>1</v>
      </c>
      <c r="AC44" s="84">
        <f t="shared" si="14"/>
        <v>6</v>
      </c>
    </row>
    <row r="45" spans="1:29" x14ac:dyDescent="0.2">
      <c r="A45" s="1">
        <f>'角色战斗属性表|CS|CharaData'!A26</f>
        <v>1050</v>
      </c>
      <c r="B45" s="1" t="str">
        <f>'角色战斗属性表|CS|CharaData'!C26</f>
        <v>【TMP】柯</v>
      </c>
      <c r="C45" s="81" t="s">
        <v>688</v>
      </c>
      <c r="D45" s="81" t="s">
        <v>1779</v>
      </c>
      <c r="E45" s="81" t="s">
        <v>1780</v>
      </c>
      <c r="F45" s="81" t="s">
        <v>717</v>
      </c>
      <c r="G45" s="8" t="str">
        <f t="shared" si="0"/>
        <v>特攻型(法术）</v>
      </c>
      <c r="H45" s="82" t="s">
        <v>708</v>
      </c>
      <c r="I45" s="1">
        <f t="shared" si="15"/>
        <v>936</v>
      </c>
      <c r="J45">
        <f t="shared" si="5"/>
        <v>308.44444444444446</v>
      </c>
      <c r="K45">
        <f t="shared" si="1"/>
        <v>460.79999999999995</v>
      </c>
      <c r="L45">
        <f t="shared" si="2"/>
        <v>777.6</v>
      </c>
      <c r="M45">
        <f t="shared" si="3"/>
        <v>500</v>
      </c>
      <c r="N45">
        <f t="shared" si="4"/>
        <v>0.05</v>
      </c>
      <c r="O45" s="32">
        <v>3.6999999999999998E-2</v>
      </c>
      <c r="P45" s="32">
        <v>-0.03</v>
      </c>
      <c r="Q45" s="32">
        <v>2.5000000000000001E-2</v>
      </c>
      <c r="R45" s="32">
        <v>5.0000000000000001E-3</v>
      </c>
      <c r="S45" s="32">
        <v>-0.05</v>
      </c>
      <c r="T45" s="32">
        <v>0</v>
      </c>
      <c r="U45" s="84">
        <f t="shared" si="6"/>
        <v>55.063800000000001</v>
      </c>
      <c r="V45" s="84">
        <f t="shared" si="7"/>
        <v>16.973099999999999</v>
      </c>
      <c r="W45" s="84">
        <f t="shared" si="8"/>
        <v>26.794599999999999</v>
      </c>
      <c r="X45" s="84">
        <f t="shared" si="9"/>
        <v>44.3337</v>
      </c>
      <c r="Y45" s="84">
        <f t="shared" si="10"/>
        <v>475</v>
      </c>
      <c r="Z45" s="84">
        <f t="shared" si="11"/>
        <v>0.05</v>
      </c>
      <c r="AA45" s="84">
        <f t="shared" si="12"/>
        <v>5</v>
      </c>
      <c r="AB45" s="84">
        <f t="shared" si="13"/>
        <v>4</v>
      </c>
      <c r="AC45" s="84">
        <f t="shared" si="14"/>
        <v>4</v>
      </c>
    </row>
    <row r="46" spans="1:29" x14ac:dyDescent="0.2">
      <c r="A46" s="1">
        <f>'角色战斗属性表|CS|CharaData'!A27</f>
        <v>1012</v>
      </c>
      <c r="B46" s="1" t="str">
        <f>'角色战斗属性表|CS|CharaData'!C27</f>
        <v>火青</v>
      </c>
      <c r="C46" s="81" t="s">
        <v>687</v>
      </c>
      <c r="D46" s="81" t="s">
        <v>1792</v>
      </c>
      <c r="E46" s="81" t="s">
        <v>1784</v>
      </c>
      <c r="F46" s="81" t="s">
        <v>718</v>
      </c>
      <c r="G46" s="8" t="str">
        <f t="shared" si="0"/>
        <v>强攻型(物理）</v>
      </c>
      <c r="H46" s="82" t="s">
        <v>708</v>
      </c>
      <c r="I46" s="1">
        <f t="shared" si="15"/>
        <v>912</v>
      </c>
      <c r="J46">
        <f t="shared" si="5"/>
        <v>312.88888888888891</v>
      </c>
      <c r="K46">
        <f t="shared" si="1"/>
        <v>777.6</v>
      </c>
      <c r="L46">
        <f t="shared" si="2"/>
        <v>460.79999999999995</v>
      </c>
      <c r="M46">
        <f t="shared" si="3"/>
        <v>500</v>
      </c>
      <c r="N46">
        <f t="shared" si="4"/>
        <v>0.05</v>
      </c>
      <c r="O46" s="32">
        <v>-2.8000000000000001E-2</v>
      </c>
      <c r="P46" s="32">
        <v>2.8500000000000001E-2</v>
      </c>
      <c r="Q46" s="32">
        <v>-1.6500000000000001E-2</v>
      </c>
      <c r="R46" s="32">
        <v>-2.1000000000000001E-2</v>
      </c>
      <c r="S46" s="32">
        <v>-0.03</v>
      </c>
      <c r="T46" s="32">
        <v>0</v>
      </c>
      <c r="U46" s="84">
        <f t="shared" si="6"/>
        <v>50.289000000000001</v>
      </c>
      <c r="V46" s="84">
        <f t="shared" si="7"/>
        <v>18.256</v>
      </c>
      <c r="W46" s="84">
        <f t="shared" si="8"/>
        <v>43.385300000000001</v>
      </c>
      <c r="X46" s="84">
        <f t="shared" si="9"/>
        <v>25.592199999999998</v>
      </c>
      <c r="Y46" s="84">
        <f t="shared" si="10"/>
        <v>485</v>
      </c>
      <c r="Z46" s="84">
        <f t="shared" si="11"/>
        <v>0.05</v>
      </c>
      <c r="AA46" s="84">
        <f t="shared" si="12"/>
        <v>1</v>
      </c>
      <c r="AB46" s="84">
        <f t="shared" si="13"/>
        <v>1</v>
      </c>
      <c r="AC46" s="84">
        <f t="shared" si="14"/>
        <v>3</v>
      </c>
    </row>
    <row r="47" spans="1:29" x14ac:dyDescent="0.2">
      <c r="A47" s="1">
        <f>'角色战斗属性表|CS|CharaData'!A28</f>
        <v>1037</v>
      </c>
      <c r="B47" s="1" t="str">
        <f>'角色战斗属性表|CS|CharaData'!C28</f>
        <v>【TMP】超管局角色1</v>
      </c>
      <c r="C47" s="81" t="s">
        <v>685</v>
      </c>
      <c r="D47" s="81" t="s">
        <v>1792</v>
      </c>
      <c r="E47" s="81" t="s">
        <v>1788</v>
      </c>
      <c r="F47" s="81" t="s">
        <v>718</v>
      </c>
      <c r="G47" s="8" t="str">
        <f t="shared" si="0"/>
        <v>防护型(物理）</v>
      </c>
      <c r="H47" s="82" t="s">
        <v>709</v>
      </c>
      <c r="I47" s="1">
        <f t="shared" si="15"/>
        <v>1440</v>
      </c>
      <c r="J47">
        <f t="shared" si="5"/>
        <v>175.11111111111114</v>
      </c>
      <c r="K47">
        <f t="shared" si="1"/>
        <v>936</v>
      </c>
      <c r="L47">
        <f t="shared" si="2"/>
        <v>518.4</v>
      </c>
      <c r="M47">
        <f t="shared" si="3"/>
        <v>450</v>
      </c>
      <c r="N47">
        <f t="shared" si="4"/>
        <v>0</v>
      </c>
      <c r="O47" s="32">
        <v>-0.02</v>
      </c>
      <c r="P47" s="32">
        <v>0.03</v>
      </c>
      <c r="Q47" s="32">
        <v>-5.0000000000000001E-3</v>
      </c>
      <c r="R47" s="32">
        <v>0.01</v>
      </c>
      <c r="S47" s="32">
        <v>0</v>
      </c>
      <c r="T47" s="32">
        <v>0</v>
      </c>
      <c r="U47" s="84">
        <f t="shared" si="6"/>
        <v>98.784000000000006</v>
      </c>
      <c r="V47" s="84">
        <f t="shared" si="7"/>
        <v>12.625500000000001</v>
      </c>
      <c r="W47" s="84">
        <f t="shared" si="8"/>
        <v>65.192400000000006</v>
      </c>
      <c r="X47" s="84">
        <f t="shared" si="9"/>
        <v>36.6509</v>
      </c>
      <c r="Y47" s="84">
        <f t="shared" si="10"/>
        <v>450</v>
      </c>
      <c r="Z47" s="84">
        <f t="shared" si="11"/>
        <v>0</v>
      </c>
      <c r="AA47" s="84">
        <f t="shared" si="12"/>
        <v>1</v>
      </c>
      <c r="AB47" s="84">
        <f t="shared" si="13"/>
        <v>2</v>
      </c>
      <c r="AC47" s="84">
        <f t="shared" si="14"/>
        <v>1</v>
      </c>
    </row>
    <row r="48" spans="1:29" x14ac:dyDescent="0.2">
      <c r="A48" s="1">
        <f>'角色战斗属性表|CS|CharaData'!A29</f>
        <v>1033</v>
      </c>
      <c r="B48" s="1" t="str">
        <f>'角色战斗属性表|CS|CharaData'!C29</f>
        <v>【TMP】甘霖</v>
      </c>
      <c r="C48" s="81" t="s">
        <v>685</v>
      </c>
      <c r="D48" s="81" t="s">
        <v>1779</v>
      </c>
      <c r="E48" s="81" t="s">
        <v>1780</v>
      </c>
      <c r="F48" s="81" t="s">
        <v>717</v>
      </c>
      <c r="G48" s="8" t="str">
        <f t="shared" si="0"/>
        <v>防护型(法术）</v>
      </c>
      <c r="H48" s="82" t="s">
        <v>709</v>
      </c>
      <c r="I48" s="1">
        <f t="shared" si="15"/>
        <v>1440</v>
      </c>
      <c r="J48">
        <f t="shared" si="5"/>
        <v>177.77777777777783</v>
      </c>
      <c r="K48">
        <f t="shared" si="1"/>
        <v>503.99999999999994</v>
      </c>
      <c r="L48">
        <f t="shared" si="2"/>
        <v>936</v>
      </c>
      <c r="M48">
        <f t="shared" si="3"/>
        <v>450</v>
      </c>
      <c r="N48">
        <f t="shared" si="4"/>
        <v>0</v>
      </c>
      <c r="O48" s="32">
        <v>-0.01</v>
      </c>
      <c r="P48" s="32">
        <v>0</v>
      </c>
      <c r="Q48" s="32">
        <v>1.95E-2</v>
      </c>
      <c r="R48" s="32">
        <v>5.0000000000000001E-3</v>
      </c>
      <c r="S48" s="32">
        <v>0.03</v>
      </c>
      <c r="T48" s="32">
        <v>0</v>
      </c>
      <c r="U48" s="84">
        <f t="shared" si="6"/>
        <v>99.792000000000002</v>
      </c>
      <c r="V48" s="84">
        <f t="shared" si="7"/>
        <v>12.4444</v>
      </c>
      <c r="W48" s="84">
        <f t="shared" si="8"/>
        <v>35.968000000000004</v>
      </c>
      <c r="X48" s="84">
        <f t="shared" si="9"/>
        <v>65.8476</v>
      </c>
      <c r="Y48" s="84">
        <f t="shared" si="10"/>
        <v>463</v>
      </c>
      <c r="Z48" s="84">
        <f t="shared" si="11"/>
        <v>0</v>
      </c>
      <c r="AA48" s="84">
        <f t="shared" si="12"/>
        <v>5</v>
      </c>
      <c r="AB48" s="84">
        <f t="shared" si="13"/>
        <v>2</v>
      </c>
      <c r="AC48" s="84">
        <f t="shared" si="14"/>
        <v>4</v>
      </c>
    </row>
    <row r="49" spans="1:29" x14ac:dyDescent="0.2">
      <c r="A49" s="1">
        <f>'角色战斗属性表|CS|CharaData'!A30</f>
        <v>1042</v>
      </c>
      <c r="B49" s="1" t="str">
        <f>'角色战斗属性表|CS|CharaData'!C30</f>
        <v>【TMP】银峰</v>
      </c>
      <c r="C49" s="81" t="s">
        <v>685</v>
      </c>
      <c r="D49" s="81" t="s">
        <v>1776</v>
      </c>
      <c r="E49" s="81" t="s">
        <v>1784</v>
      </c>
      <c r="F49" s="81" t="s">
        <v>718</v>
      </c>
      <c r="G49" s="8" t="str">
        <f t="shared" si="0"/>
        <v>防护型(物理）</v>
      </c>
      <c r="H49" s="82" t="s">
        <v>709</v>
      </c>
      <c r="I49" s="1">
        <f t="shared" si="15"/>
        <v>1440</v>
      </c>
      <c r="J49">
        <f t="shared" si="5"/>
        <v>175.11111111111114</v>
      </c>
      <c r="K49">
        <f t="shared" si="1"/>
        <v>936</v>
      </c>
      <c r="L49">
        <f t="shared" si="2"/>
        <v>518.4</v>
      </c>
      <c r="M49">
        <f t="shared" si="3"/>
        <v>450</v>
      </c>
      <c r="N49">
        <f t="shared" si="4"/>
        <v>0</v>
      </c>
      <c r="O49" s="32">
        <v>-0.01</v>
      </c>
      <c r="P49" s="32">
        <v>-5.4999999999999997E-3</v>
      </c>
      <c r="Q49" s="32">
        <v>0.01</v>
      </c>
      <c r="R49" s="32">
        <v>0.02</v>
      </c>
      <c r="S49" s="32">
        <v>-0.03</v>
      </c>
      <c r="T49" s="32">
        <v>0</v>
      </c>
      <c r="U49" s="84">
        <f t="shared" si="6"/>
        <v>99.792000000000002</v>
      </c>
      <c r="V49" s="84">
        <f t="shared" si="7"/>
        <v>12.1904</v>
      </c>
      <c r="W49" s="84">
        <f t="shared" si="8"/>
        <v>66.175200000000004</v>
      </c>
      <c r="X49" s="84">
        <f t="shared" si="9"/>
        <v>37.013800000000003</v>
      </c>
      <c r="Y49" s="84">
        <f t="shared" si="10"/>
        <v>436</v>
      </c>
      <c r="Z49" s="84">
        <f t="shared" si="11"/>
        <v>0</v>
      </c>
      <c r="AA49" s="84">
        <f t="shared" si="12"/>
        <v>2</v>
      </c>
      <c r="AB49" s="84">
        <f t="shared" si="13"/>
        <v>2</v>
      </c>
      <c r="AC49" s="84">
        <f t="shared" si="14"/>
        <v>3</v>
      </c>
    </row>
    <row r="50" spans="1:29" x14ac:dyDescent="0.2">
      <c r="A50" s="1">
        <f>'角色战斗属性表|CS|CharaData'!A31</f>
        <v>1052</v>
      </c>
      <c r="B50" s="1" t="str">
        <f>'角色战斗属性表|CS|CharaData'!C31</f>
        <v>弥砂</v>
      </c>
      <c r="C50" s="81" t="s">
        <v>685</v>
      </c>
      <c r="D50" s="81" t="s">
        <v>1777</v>
      </c>
      <c r="E50" s="81" t="s">
        <v>1786</v>
      </c>
      <c r="F50" s="81" t="s">
        <v>718</v>
      </c>
      <c r="G50" s="8" t="str">
        <f t="shared" si="0"/>
        <v>防护型(物理）</v>
      </c>
      <c r="H50" s="82" t="s">
        <v>709</v>
      </c>
      <c r="I50" s="1">
        <f t="shared" si="15"/>
        <v>1440</v>
      </c>
      <c r="J50">
        <f t="shared" si="5"/>
        <v>175.11111111111114</v>
      </c>
      <c r="K50">
        <f t="shared" si="1"/>
        <v>936</v>
      </c>
      <c r="L50">
        <f t="shared" si="2"/>
        <v>518.4</v>
      </c>
      <c r="M50">
        <f t="shared" si="3"/>
        <v>450</v>
      </c>
      <c r="N50">
        <f t="shared" si="4"/>
        <v>0</v>
      </c>
      <c r="O50" s="32">
        <v>-2.3E-2</v>
      </c>
      <c r="P50" s="32">
        <v>4.9000000000000002E-2</v>
      </c>
      <c r="Q50" s="32">
        <v>-1.9E-2</v>
      </c>
      <c r="R50" s="32">
        <v>8.9999999999999993E-3</v>
      </c>
      <c r="S50" s="32">
        <v>0.01</v>
      </c>
      <c r="T50" s="32">
        <v>0</v>
      </c>
      <c r="U50" s="84">
        <f t="shared" si="6"/>
        <v>98.4816</v>
      </c>
      <c r="V50" s="84">
        <f t="shared" si="7"/>
        <v>12.8584</v>
      </c>
      <c r="W50" s="84">
        <f t="shared" si="8"/>
        <v>64.275099999999995</v>
      </c>
      <c r="X50" s="84">
        <f t="shared" si="9"/>
        <v>36.614600000000003</v>
      </c>
      <c r="Y50" s="84">
        <f t="shared" si="10"/>
        <v>454</v>
      </c>
      <c r="Z50" s="84">
        <f t="shared" si="11"/>
        <v>0</v>
      </c>
      <c r="AA50" s="84">
        <f t="shared" si="12"/>
        <v>3</v>
      </c>
      <c r="AB50" s="84">
        <f t="shared" si="13"/>
        <v>2</v>
      </c>
      <c r="AC50" s="84">
        <f t="shared" si="14"/>
        <v>5</v>
      </c>
    </row>
    <row r="51" spans="1:29" x14ac:dyDescent="0.2">
      <c r="A51" s="1">
        <f>'角色战斗属性表|CS|CharaData'!A32</f>
        <v>1022</v>
      </c>
      <c r="B51" s="1" t="str">
        <f>'角色战斗属性表|CS|CharaData'!C32</f>
        <v>【TMP】流苏</v>
      </c>
      <c r="C51" s="81" t="s">
        <v>685</v>
      </c>
      <c r="D51" s="81" t="s">
        <v>1792</v>
      </c>
      <c r="E51" s="81" t="s">
        <v>1780</v>
      </c>
      <c r="F51" s="81" t="s">
        <v>717</v>
      </c>
      <c r="G51" s="8" t="str">
        <f t="shared" si="0"/>
        <v>防护型(法术）</v>
      </c>
      <c r="H51" s="82" t="s">
        <v>709</v>
      </c>
      <c r="I51" s="1">
        <f t="shared" si="15"/>
        <v>1440</v>
      </c>
      <c r="J51">
        <f t="shared" si="5"/>
        <v>177.77777777777783</v>
      </c>
      <c r="K51">
        <f t="shared" si="1"/>
        <v>503.99999999999994</v>
      </c>
      <c r="L51">
        <f t="shared" si="2"/>
        <v>936</v>
      </c>
      <c r="M51">
        <f t="shared" si="3"/>
        <v>450</v>
      </c>
      <c r="N51">
        <f t="shared" si="4"/>
        <v>0</v>
      </c>
      <c r="O51" s="32">
        <v>-6.0000000000000001E-3</v>
      </c>
      <c r="P51" s="32">
        <v>-0.03</v>
      </c>
      <c r="Q51" s="32">
        <v>0</v>
      </c>
      <c r="R51" s="32">
        <v>0.04</v>
      </c>
      <c r="S51" s="32">
        <v>-0.05</v>
      </c>
      <c r="T51" s="32">
        <v>0</v>
      </c>
      <c r="U51" s="84">
        <f t="shared" si="6"/>
        <v>100.1952</v>
      </c>
      <c r="V51" s="84">
        <f t="shared" si="7"/>
        <v>12.071099999999999</v>
      </c>
      <c r="W51" s="84">
        <f t="shared" si="8"/>
        <v>35.28</v>
      </c>
      <c r="X51" s="84">
        <f t="shared" si="9"/>
        <v>68.140799999999999</v>
      </c>
      <c r="Y51" s="84">
        <f t="shared" si="10"/>
        <v>427</v>
      </c>
      <c r="Z51" s="84">
        <f t="shared" si="11"/>
        <v>0</v>
      </c>
      <c r="AA51" s="84">
        <f t="shared" si="12"/>
        <v>1</v>
      </c>
      <c r="AB51" s="84">
        <f t="shared" si="13"/>
        <v>2</v>
      </c>
      <c r="AC51" s="84">
        <f t="shared" si="14"/>
        <v>4</v>
      </c>
    </row>
    <row r="52" spans="1:29" x14ac:dyDescent="0.2">
      <c r="A52" s="1">
        <f>'角色战斗属性表|CS|CharaData'!A33</f>
        <v>1038</v>
      </c>
      <c r="B52" s="1" t="str">
        <f>'角色战斗属性表|CS|CharaData'!C33</f>
        <v>【TMP】超管局角色2</v>
      </c>
      <c r="C52" s="81" t="s">
        <v>689</v>
      </c>
      <c r="D52" s="81" t="s">
        <v>1777</v>
      </c>
      <c r="E52" s="81" t="s">
        <v>1788</v>
      </c>
      <c r="F52" s="81" t="s">
        <v>717</v>
      </c>
      <c r="G52" s="8" t="str">
        <f t="shared" si="0"/>
        <v>辅助型(法术）</v>
      </c>
      <c r="H52" s="82" t="s">
        <v>709</v>
      </c>
      <c r="I52" s="1">
        <f t="shared" si="15"/>
        <v>1224</v>
      </c>
      <c r="J52">
        <f t="shared" si="5"/>
        <v>217.7777777777778</v>
      </c>
      <c r="K52">
        <f t="shared" si="1"/>
        <v>576</v>
      </c>
      <c r="L52">
        <f t="shared" si="2"/>
        <v>864</v>
      </c>
      <c r="M52">
        <f t="shared" si="3"/>
        <v>450</v>
      </c>
      <c r="N52">
        <f t="shared" si="4"/>
        <v>0</v>
      </c>
      <c r="O52" s="32">
        <v>-6.7999999999999996E-3</v>
      </c>
      <c r="P52" s="32">
        <v>0.03</v>
      </c>
      <c r="Q52" s="32">
        <v>-1.6500000000000001E-2</v>
      </c>
      <c r="R52" s="32">
        <v>-0.02</v>
      </c>
      <c r="S52" s="32">
        <v>0.03</v>
      </c>
      <c r="T52" s="32">
        <v>0</v>
      </c>
      <c r="U52" s="84">
        <f t="shared" si="6"/>
        <v>85.097399999999993</v>
      </c>
      <c r="V52" s="84">
        <f t="shared" si="7"/>
        <v>15.7018</v>
      </c>
      <c r="W52" s="84">
        <f t="shared" si="8"/>
        <v>39.654699999999998</v>
      </c>
      <c r="X52" s="84">
        <f t="shared" si="9"/>
        <v>59.270400000000002</v>
      </c>
      <c r="Y52" s="84">
        <f t="shared" si="10"/>
        <v>463</v>
      </c>
      <c r="Z52" s="84">
        <f t="shared" si="11"/>
        <v>0</v>
      </c>
      <c r="AA52" s="84">
        <f t="shared" si="12"/>
        <v>3</v>
      </c>
      <c r="AB52" s="84">
        <f t="shared" si="13"/>
        <v>3</v>
      </c>
      <c r="AC52" s="84">
        <f t="shared" si="14"/>
        <v>1</v>
      </c>
    </row>
    <row r="53" spans="1:29" x14ac:dyDescent="0.2">
      <c r="A53" s="1">
        <f>'角色战斗属性表|CS|CharaData'!A34</f>
        <v>1034</v>
      </c>
      <c r="B53" s="1" t="str">
        <f>'角色战斗属性表|CS|CharaData'!C34</f>
        <v>洞明</v>
      </c>
      <c r="C53" s="81" t="s">
        <v>689</v>
      </c>
      <c r="D53" s="81" t="s">
        <v>1778</v>
      </c>
      <c r="E53" s="81" t="s">
        <v>1788</v>
      </c>
      <c r="F53" s="81" t="s">
        <v>717</v>
      </c>
      <c r="G53" s="8" t="str">
        <f t="shared" si="0"/>
        <v>辅助型(法术）</v>
      </c>
      <c r="H53" s="82" t="s">
        <v>709</v>
      </c>
      <c r="I53" s="1">
        <f t="shared" si="15"/>
        <v>1224</v>
      </c>
      <c r="J53">
        <f t="shared" si="5"/>
        <v>217.7777777777778</v>
      </c>
      <c r="K53">
        <f t="shared" si="1"/>
        <v>576</v>
      </c>
      <c r="L53">
        <f t="shared" si="2"/>
        <v>864</v>
      </c>
      <c r="M53">
        <f t="shared" si="3"/>
        <v>450</v>
      </c>
      <c r="N53">
        <f t="shared" si="4"/>
        <v>0</v>
      </c>
      <c r="O53" s="32">
        <v>-2.5499999999999998E-2</v>
      </c>
      <c r="P53" s="32">
        <v>3.9E-2</v>
      </c>
      <c r="Q53" s="32">
        <v>0.02</v>
      </c>
      <c r="R53" s="32">
        <v>-0.03</v>
      </c>
      <c r="S53" s="32">
        <v>0.08</v>
      </c>
      <c r="T53" s="32">
        <v>0</v>
      </c>
      <c r="U53" s="84">
        <f t="shared" si="6"/>
        <v>83.495199999999997</v>
      </c>
      <c r="V53" s="84">
        <f t="shared" si="7"/>
        <v>15.839</v>
      </c>
      <c r="W53" s="84">
        <f t="shared" si="8"/>
        <v>41.126399999999997</v>
      </c>
      <c r="X53" s="84">
        <f t="shared" si="9"/>
        <v>58.665599999999998</v>
      </c>
      <c r="Y53" s="84">
        <f t="shared" si="10"/>
        <v>486</v>
      </c>
      <c r="Z53" s="84">
        <f t="shared" si="11"/>
        <v>0</v>
      </c>
      <c r="AA53" s="84">
        <f t="shared" si="12"/>
        <v>4</v>
      </c>
      <c r="AB53" s="84">
        <f t="shared" si="13"/>
        <v>3</v>
      </c>
      <c r="AC53" s="84">
        <f t="shared" si="14"/>
        <v>1</v>
      </c>
    </row>
    <row r="54" spans="1:29" x14ac:dyDescent="0.2">
      <c r="A54" s="1">
        <f>'角色战斗属性表|CS|CharaData'!A35</f>
        <v>1014</v>
      </c>
      <c r="B54" s="1" t="str">
        <f>'角色战斗属性表|CS|CharaData'!C35</f>
        <v>【TMP】南乔</v>
      </c>
      <c r="C54" s="81" t="s">
        <v>689</v>
      </c>
      <c r="D54" s="81" t="s">
        <v>1776</v>
      </c>
      <c r="E54" s="81" t="s">
        <v>1782</v>
      </c>
      <c r="F54" s="81" t="s">
        <v>717</v>
      </c>
      <c r="G54" s="8" t="str">
        <f t="shared" si="0"/>
        <v>辅助型(法术）</v>
      </c>
      <c r="H54" s="82" t="s">
        <v>709</v>
      </c>
      <c r="I54" s="1">
        <f t="shared" si="15"/>
        <v>1224</v>
      </c>
      <c r="J54">
        <f t="shared" si="5"/>
        <v>217.7777777777778</v>
      </c>
      <c r="K54">
        <f t="shared" si="1"/>
        <v>576</v>
      </c>
      <c r="L54">
        <f t="shared" si="2"/>
        <v>864</v>
      </c>
      <c r="M54">
        <f t="shared" si="3"/>
        <v>450</v>
      </c>
      <c r="N54">
        <f t="shared" si="4"/>
        <v>0</v>
      </c>
      <c r="O54" s="32">
        <v>5.0000000000000001E-3</v>
      </c>
      <c r="P54" s="32">
        <v>7.4000000000000003E-3</v>
      </c>
      <c r="Q54" s="32">
        <v>-1.0500000000000001E-2</v>
      </c>
      <c r="R54" s="32">
        <v>-0.01</v>
      </c>
      <c r="S54" s="32">
        <v>-0.03</v>
      </c>
      <c r="T54" s="32">
        <v>0</v>
      </c>
      <c r="U54" s="84">
        <f t="shared" si="6"/>
        <v>86.108400000000003</v>
      </c>
      <c r="V54" s="84">
        <f t="shared" si="7"/>
        <v>15.3573</v>
      </c>
      <c r="W54" s="84">
        <f t="shared" si="8"/>
        <v>39.896599999999999</v>
      </c>
      <c r="X54" s="84">
        <f t="shared" si="9"/>
        <v>59.8752</v>
      </c>
      <c r="Y54" s="84">
        <f t="shared" si="10"/>
        <v>436</v>
      </c>
      <c r="Z54" s="84">
        <f t="shared" si="11"/>
        <v>0</v>
      </c>
      <c r="AA54" s="84">
        <f t="shared" si="12"/>
        <v>2</v>
      </c>
      <c r="AB54" s="84">
        <f t="shared" si="13"/>
        <v>3</v>
      </c>
      <c r="AC54" s="84">
        <f t="shared" si="14"/>
        <v>6</v>
      </c>
    </row>
    <row r="55" spans="1:29" x14ac:dyDescent="0.2">
      <c r="A55" s="1">
        <f>'角色战斗属性表|CS|CharaData'!A36</f>
        <v>1025</v>
      </c>
      <c r="B55" s="1" t="str">
        <f>'角色战斗属性表|CS|CharaData'!C36</f>
        <v>朝颜</v>
      </c>
      <c r="C55" s="81" t="s">
        <v>689</v>
      </c>
      <c r="D55" s="81" t="s">
        <v>1776</v>
      </c>
      <c r="E55" s="81" t="s">
        <v>1788</v>
      </c>
      <c r="F55" s="81" t="s">
        <v>718</v>
      </c>
      <c r="G55" s="8" t="str">
        <f t="shared" si="0"/>
        <v>辅助型(物理）</v>
      </c>
      <c r="H55" s="82" t="s">
        <v>709</v>
      </c>
      <c r="I55" s="1">
        <f t="shared" si="15"/>
        <v>1224</v>
      </c>
      <c r="J55">
        <f t="shared" si="5"/>
        <v>217.7777777777778</v>
      </c>
      <c r="K55">
        <f t="shared" si="1"/>
        <v>864</v>
      </c>
      <c r="L55">
        <f t="shared" si="2"/>
        <v>576</v>
      </c>
      <c r="M55">
        <f t="shared" si="3"/>
        <v>450</v>
      </c>
      <c r="N55">
        <f t="shared" si="4"/>
        <v>0</v>
      </c>
      <c r="O55" s="32">
        <v>-8.0000000000000002E-3</v>
      </c>
      <c r="P55" s="32">
        <v>0</v>
      </c>
      <c r="Q55" s="32">
        <v>5.0000000000000001E-3</v>
      </c>
      <c r="R55" s="32">
        <v>0.01</v>
      </c>
      <c r="S55" s="32">
        <v>0.06</v>
      </c>
      <c r="T55" s="32">
        <v>0</v>
      </c>
      <c r="U55" s="84">
        <f t="shared" si="6"/>
        <v>84.994600000000005</v>
      </c>
      <c r="V55" s="84">
        <f t="shared" si="7"/>
        <v>15.244400000000001</v>
      </c>
      <c r="W55" s="84">
        <f t="shared" si="8"/>
        <v>60.782400000000003</v>
      </c>
      <c r="X55" s="84">
        <f t="shared" si="9"/>
        <v>40.723199999999999</v>
      </c>
      <c r="Y55" s="84">
        <f t="shared" si="10"/>
        <v>477</v>
      </c>
      <c r="Z55" s="84">
        <f t="shared" si="11"/>
        <v>0</v>
      </c>
      <c r="AA55" s="84">
        <f t="shared" si="12"/>
        <v>2</v>
      </c>
      <c r="AB55" s="84">
        <f t="shared" si="13"/>
        <v>3</v>
      </c>
      <c r="AC55" s="84">
        <f t="shared" si="14"/>
        <v>1</v>
      </c>
    </row>
    <row r="56" spans="1:29" x14ac:dyDescent="0.2">
      <c r="A56" s="1">
        <f>'角色战斗属性表|CS|CharaData'!A37</f>
        <v>1004</v>
      </c>
      <c r="B56" s="1" t="str">
        <f>'角色战斗属性表|CS|CharaData'!C37</f>
        <v>启航</v>
      </c>
      <c r="C56" s="81" t="s">
        <v>689</v>
      </c>
      <c r="D56" s="81" t="s">
        <v>1792</v>
      </c>
      <c r="E56" s="81" t="s">
        <v>1788</v>
      </c>
      <c r="F56" s="81" t="s">
        <v>718</v>
      </c>
      <c r="G56" s="8" t="str">
        <f t="shared" si="0"/>
        <v>辅助型(物理）</v>
      </c>
      <c r="H56" s="82" t="s">
        <v>709</v>
      </c>
      <c r="I56" s="1">
        <f t="shared" si="15"/>
        <v>1224</v>
      </c>
      <c r="J56">
        <f t="shared" si="5"/>
        <v>217.7777777777778</v>
      </c>
      <c r="K56">
        <f t="shared" si="1"/>
        <v>864</v>
      </c>
      <c r="L56">
        <f t="shared" si="2"/>
        <v>576</v>
      </c>
      <c r="M56">
        <f t="shared" si="3"/>
        <v>450</v>
      </c>
      <c r="N56">
        <f t="shared" si="4"/>
        <v>0</v>
      </c>
      <c r="O56" s="32">
        <v>-1.7000000000000001E-2</v>
      </c>
      <c r="P56" s="32">
        <v>0.04</v>
      </c>
      <c r="Q56" s="32">
        <v>-0.02</v>
      </c>
      <c r="R56" s="32">
        <v>-1.4999999999999999E-2</v>
      </c>
      <c r="S56" s="32">
        <v>-0.04</v>
      </c>
      <c r="T56" s="32">
        <v>0</v>
      </c>
      <c r="U56" s="84">
        <f t="shared" si="6"/>
        <v>84.223399999999998</v>
      </c>
      <c r="V56" s="84">
        <f t="shared" si="7"/>
        <v>15.854200000000001</v>
      </c>
      <c r="W56" s="84">
        <f t="shared" si="8"/>
        <v>59.270400000000002</v>
      </c>
      <c r="X56" s="84">
        <f t="shared" si="9"/>
        <v>39.715200000000003</v>
      </c>
      <c r="Y56" s="84">
        <f t="shared" si="10"/>
        <v>432</v>
      </c>
      <c r="Z56" s="84">
        <f t="shared" si="11"/>
        <v>0</v>
      </c>
      <c r="AA56" s="84">
        <f t="shared" si="12"/>
        <v>1</v>
      </c>
      <c r="AB56" s="84">
        <f t="shared" si="13"/>
        <v>3</v>
      </c>
      <c r="AC56" s="84">
        <f t="shared" si="14"/>
        <v>1</v>
      </c>
    </row>
    <row r="57" spans="1:29" x14ac:dyDescent="0.2">
      <c r="A57" s="1">
        <f>'角色战斗属性表|CS|CharaData'!A38</f>
        <v>1035</v>
      </c>
      <c r="B57" s="1" t="str">
        <f>'角色战斗属性表|CS|CharaData'!C38</f>
        <v>【TMP】隐光</v>
      </c>
      <c r="C57" s="81" t="s">
        <v>686</v>
      </c>
      <c r="D57" s="81" t="s">
        <v>1779</v>
      </c>
      <c r="E57" s="81" t="s">
        <v>1788</v>
      </c>
      <c r="F57" s="81" t="s">
        <v>718</v>
      </c>
      <c r="G57" s="8" t="str">
        <f t="shared" ref="G57:G84" si="16">C57&amp;$I$2&amp;F57&amp;$J$2</f>
        <v>突击型(物理）</v>
      </c>
      <c r="H57" s="82" t="s">
        <v>709</v>
      </c>
      <c r="I57" s="1">
        <f t="shared" ref="I57:I84" si="17">VLOOKUP(G57,$I$3:$O$11,2,0)</f>
        <v>1248</v>
      </c>
      <c r="J57">
        <f t="shared" ref="J57:J84" si="18">VLOOKUP(G57,$I$3:$O$11,3,0)</f>
        <v>226.66666666666671</v>
      </c>
      <c r="K57">
        <f t="shared" ref="K57:K84" si="19">VLOOKUP(G57,$I$3:$O$11,4,0)</f>
        <v>878.4</v>
      </c>
      <c r="L57">
        <f t="shared" ref="L57:L84" si="20">VLOOKUP(G57,$I$3:$O$11,5,0)</f>
        <v>489.59999999999997</v>
      </c>
      <c r="M57">
        <f t="shared" ref="M57:M84" si="21">VLOOKUP(G57,$I$3:$O$11,6,0)</f>
        <v>550</v>
      </c>
      <c r="N57">
        <f t="shared" ref="N57:N84" si="22">VLOOKUP(G57,$I$3:$O$11,7,0)</f>
        <v>0</v>
      </c>
      <c r="O57" s="32">
        <v>-2.0500000000000001E-2</v>
      </c>
      <c r="P57" s="32">
        <v>-0.02</v>
      </c>
      <c r="Q57" s="32">
        <v>4.0500000000000001E-2</v>
      </c>
      <c r="R57" s="32">
        <v>0.03</v>
      </c>
      <c r="S57" s="32">
        <v>-0.02</v>
      </c>
      <c r="T57" s="32">
        <v>0</v>
      </c>
      <c r="U57" s="84">
        <f t="shared" si="6"/>
        <v>85.569100000000006</v>
      </c>
      <c r="V57" s="84">
        <f t="shared" si="7"/>
        <v>15.549300000000001</v>
      </c>
      <c r="W57" s="84">
        <f t="shared" si="8"/>
        <v>63.978299999999997</v>
      </c>
      <c r="X57" s="84">
        <f t="shared" si="9"/>
        <v>35.300199999999997</v>
      </c>
      <c r="Y57" s="84">
        <f t="shared" si="10"/>
        <v>539</v>
      </c>
      <c r="Z57" s="84">
        <f t="shared" si="11"/>
        <v>0</v>
      </c>
      <c r="AA57" s="84">
        <f t="shared" si="12"/>
        <v>5</v>
      </c>
      <c r="AB57" s="84">
        <f t="shared" si="13"/>
        <v>5</v>
      </c>
      <c r="AC57" s="84">
        <f t="shared" si="14"/>
        <v>1</v>
      </c>
    </row>
    <row r="58" spans="1:29" x14ac:dyDescent="0.2">
      <c r="A58" s="1">
        <f>'角色战斗属性表|CS|CharaData'!A39</f>
        <v>1016</v>
      </c>
      <c r="B58" s="1" t="str">
        <f>'角色战斗属性表|CS|CharaData'!C39</f>
        <v>红袍</v>
      </c>
      <c r="C58" s="81" t="s">
        <v>686</v>
      </c>
      <c r="D58" s="81" t="s">
        <v>1792</v>
      </c>
      <c r="E58" s="81" t="s">
        <v>1784</v>
      </c>
      <c r="F58" s="81" t="s">
        <v>718</v>
      </c>
      <c r="G58" s="8" t="str">
        <f t="shared" si="16"/>
        <v>突击型(物理）</v>
      </c>
      <c r="H58" s="82" t="s">
        <v>709</v>
      </c>
      <c r="I58" s="1">
        <f t="shared" si="17"/>
        <v>1248</v>
      </c>
      <c r="J58">
        <f t="shared" si="18"/>
        <v>226.66666666666671</v>
      </c>
      <c r="K58">
        <f t="shared" si="19"/>
        <v>878.4</v>
      </c>
      <c r="L58">
        <f t="shared" si="20"/>
        <v>489.59999999999997</v>
      </c>
      <c r="M58">
        <f t="shared" si="21"/>
        <v>550</v>
      </c>
      <c r="N58">
        <f t="shared" si="22"/>
        <v>0</v>
      </c>
      <c r="O58" s="32">
        <v>-1.0500000000000001E-2</v>
      </c>
      <c r="P58" s="32">
        <v>1.9400000000000001E-2</v>
      </c>
      <c r="Q58" s="32">
        <v>-3.4000000000000002E-2</v>
      </c>
      <c r="R58" s="32">
        <v>0.04</v>
      </c>
      <c r="S58" s="32">
        <v>0.03</v>
      </c>
      <c r="T58" s="32">
        <v>0</v>
      </c>
      <c r="U58" s="84">
        <f t="shared" si="6"/>
        <v>86.442700000000002</v>
      </c>
      <c r="V58" s="84">
        <f t="shared" si="7"/>
        <v>16.174499999999998</v>
      </c>
      <c r="W58" s="84">
        <f t="shared" si="8"/>
        <v>59.397399999999998</v>
      </c>
      <c r="X58" s="84">
        <f t="shared" si="9"/>
        <v>35.642899999999997</v>
      </c>
      <c r="Y58" s="84">
        <f t="shared" si="10"/>
        <v>566</v>
      </c>
      <c r="Z58" s="84">
        <f t="shared" si="11"/>
        <v>0</v>
      </c>
      <c r="AA58" s="84">
        <f t="shared" si="12"/>
        <v>1</v>
      </c>
      <c r="AB58" s="84">
        <f t="shared" si="13"/>
        <v>5</v>
      </c>
      <c r="AC58" s="84">
        <f t="shared" si="14"/>
        <v>3</v>
      </c>
    </row>
    <row r="59" spans="1:29" x14ac:dyDescent="0.2">
      <c r="A59" s="1">
        <f>'角色战斗属性表|CS|CharaData'!A40</f>
        <v>1041</v>
      </c>
      <c r="B59" s="1" t="str">
        <f>'角色战斗属性表|CS|CharaData'!C40</f>
        <v>【TMP】水仙</v>
      </c>
      <c r="C59" s="81" t="s">
        <v>686</v>
      </c>
      <c r="D59" s="81" t="s">
        <v>1777</v>
      </c>
      <c r="E59" s="81" t="s">
        <v>1788</v>
      </c>
      <c r="F59" s="81" t="s">
        <v>717</v>
      </c>
      <c r="G59" s="8" t="str">
        <f t="shared" si="16"/>
        <v>突击型(法术）</v>
      </c>
      <c r="H59" s="82" t="s">
        <v>709</v>
      </c>
      <c r="I59" s="1">
        <f t="shared" si="17"/>
        <v>1248</v>
      </c>
      <c r="J59">
        <f t="shared" si="18"/>
        <v>226.66666666666671</v>
      </c>
      <c r="K59">
        <f t="shared" si="19"/>
        <v>489.59999999999997</v>
      </c>
      <c r="L59">
        <f t="shared" si="20"/>
        <v>878.4</v>
      </c>
      <c r="M59">
        <f t="shared" si="21"/>
        <v>550</v>
      </c>
      <c r="N59">
        <f t="shared" si="22"/>
        <v>0</v>
      </c>
      <c r="O59" s="32">
        <v>0.02</v>
      </c>
      <c r="P59" s="32">
        <v>-2.8000000000000001E-2</v>
      </c>
      <c r="Q59" s="32">
        <v>2.8000000000000001E-2</v>
      </c>
      <c r="R59" s="32">
        <v>-5.0000000000000001E-3</v>
      </c>
      <c r="S59" s="32">
        <v>4.9000000000000002E-2</v>
      </c>
      <c r="T59" s="32">
        <v>0</v>
      </c>
      <c r="U59" s="84">
        <f t="shared" si="6"/>
        <v>89.107200000000006</v>
      </c>
      <c r="V59" s="84">
        <f t="shared" si="7"/>
        <v>15.4224</v>
      </c>
      <c r="W59" s="84">
        <f t="shared" si="8"/>
        <v>35.2316</v>
      </c>
      <c r="X59" s="84">
        <f t="shared" si="9"/>
        <v>61.180599999999998</v>
      </c>
      <c r="Y59" s="84">
        <f t="shared" si="10"/>
        <v>576</v>
      </c>
      <c r="Z59" s="84">
        <f t="shared" si="11"/>
        <v>0</v>
      </c>
      <c r="AA59" s="84">
        <f t="shared" si="12"/>
        <v>3</v>
      </c>
      <c r="AB59" s="84">
        <f t="shared" si="13"/>
        <v>5</v>
      </c>
      <c r="AC59" s="84">
        <f t="shared" si="14"/>
        <v>1</v>
      </c>
    </row>
    <row r="60" spans="1:29" x14ac:dyDescent="0.2">
      <c r="A60" s="1">
        <f>'角色战斗属性表|CS|CharaData'!A41</f>
        <v>1040</v>
      </c>
      <c r="B60" s="1" t="str">
        <f>'角色战斗属性表|CS|CharaData'!C41</f>
        <v>【TMP】香雪</v>
      </c>
      <c r="C60" s="81" t="s">
        <v>686</v>
      </c>
      <c r="D60" s="81" t="s">
        <v>1777</v>
      </c>
      <c r="E60" s="81" t="s">
        <v>1788</v>
      </c>
      <c r="F60" s="81" t="s">
        <v>717</v>
      </c>
      <c r="G60" s="8" t="str">
        <f t="shared" si="16"/>
        <v>突击型(法术）</v>
      </c>
      <c r="H60" s="82" t="s">
        <v>709</v>
      </c>
      <c r="I60" s="1">
        <f t="shared" si="17"/>
        <v>1248</v>
      </c>
      <c r="J60">
        <f t="shared" si="18"/>
        <v>226.66666666666671</v>
      </c>
      <c r="K60">
        <f t="shared" si="19"/>
        <v>489.59999999999997</v>
      </c>
      <c r="L60">
        <f t="shared" si="20"/>
        <v>878.4</v>
      </c>
      <c r="M60">
        <f t="shared" si="21"/>
        <v>550</v>
      </c>
      <c r="N60">
        <f t="shared" si="22"/>
        <v>0</v>
      </c>
      <c r="O60" s="32">
        <v>1.04E-2</v>
      </c>
      <c r="P60" s="32">
        <v>-3.0000000000000001E-3</v>
      </c>
      <c r="Q60" s="32">
        <v>3.5000000000000003E-2</v>
      </c>
      <c r="R60" s="32">
        <v>-0.03</v>
      </c>
      <c r="S60" s="32">
        <v>0.04</v>
      </c>
      <c r="T60" s="32">
        <v>0</v>
      </c>
      <c r="U60" s="84">
        <f t="shared" si="6"/>
        <v>88.268500000000003</v>
      </c>
      <c r="V60" s="84">
        <f t="shared" si="7"/>
        <v>15.819100000000001</v>
      </c>
      <c r="W60" s="84">
        <f t="shared" si="8"/>
        <v>35.471499999999999</v>
      </c>
      <c r="X60" s="84">
        <f t="shared" si="9"/>
        <v>59.6434</v>
      </c>
      <c r="Y60" s="84">
        <f t="shared" si="10"/>
        <v>572</v>
      </c>
      <c r="Z60" s="84">
        <f t="shared" si="11"/>
        <v>0</v>
      </c>
      <c r="AA60" s="84">
        <f t="shared" si="12"/>
        <v>3</v>
      </c>
      <c r="AB60" s="84">
        <f t="shared" si="13"/>
        <v>5</v>
      </c>
      <c r="AC60" s="84">
        <f t="shared" si="14"/>
        <v>1</v>
      </c>
    </row>
    <row r="61" spans="1:29" x14ac:dyDescent="0.2">
      <c r="A61" s="1">
        <f>'角色战斗属性表|CS|CharaData'!A42</f>
        <v>1026</v>
      </c>
      <c r="B61" s="1" t="str">
        <f>'角色战斗属性表|CS|CharaData'!C42</f>
        <v>繁夏</v>
      </c>
      <c r="C61" s="81" t="s">
        <v>686</v>
      </c>
      <c r="D61" s="81" t="s">
        <v>1776</v>
      </c>
      <c r="E61" s="81" t="s">
        <v>1788</v>
      </c>
      <c r="F61" s="81" t="s">
        <v>718</v>
      </c>
      <c r="G61" s="8" t="str">
        <f t="shared" si="16"/>
        <v>突击型(物理）</v>
      </c>
      <c r="H61" s="82" t="s">
        <v>709</v>
      </c>
      <c r="I61" s="1">
        <f t="shared" si="17"/>
        <v>1248</v>
      </c>
      <c r="J61">
        <f t="shared" si="18"/>
        <v>226.66666666666671</v>
      </c>
      <c r="K61">
        <f t="shared" si="19"/>
        <v>878.4</v>
      </c>
      <c r="L61">
        <f t="shared" si="20"/>
        <v>489.59999999999997</v>
      </c>
      <c r="M61">
        <f t="shared" si="21"/>
        <v>550</v>
      </c>
      <c r="N61">
        <f t="shared" si="22"/>
        <v>0</v>
      </c>
      <c r="O61" s="32">
        <v>-2.1999999999999999E-2</v>
      </c>
      <c r="P61" s="32">
        <v>3.7999999999999999E-2</v>
      </c>
      <c r="Q61" s="32">
        <v>-2.1999999999999999E-2</v>
      </c>
      <c r="R61" s="32">
        <v>1E-3</v>
      </c>
      <c r="S61" s="32">
        <v>-0.03</v>
      </c>
      <c r="T61" s="32">
        <v>0</v>
      </c>
      <c r="U61" s="84">
        <f t="shared" si="6"/>
        <v>85.438100000000006</v>
      </c>
      <c r="V61" s="84">
        <f t="shared" si="7"/>
        <v>16.4696</v>
      </c>
      <c r="W61" s="84">
        <f t="shared" si="8"/>
        <v>60.135300000000001</v>
      </c>
      <c r="X61" s="84">
        <f t="shared" si="9"/>
        <v>34.3063</v>
      </c>
      <c r="Y61" s="84">
        <f t="shared" si="10"/>
        <v>533</v>
      </c>
      <c r="Z61" s="84">
        <f t="shared" si="11"/>
        <v>0</v>
      </c>
      <c r="AA61" s="84">
        <f t="shared" si="12"/>
        <v>2</v>
      </c>
      <c r="AB61" s="84">
        <f t="shared" si="13"/>
        <v>5</v>
      </c>
      <c r="AC61" s="84">
        <f t="shared" si="14"/>
        <v>1</v>
      </c>
    </row>
    <row r="62" spans="1:29" x14ac:dyDescent="0.2">
      <c r="A62" s="1">
        <f>'角色战斗属性表|CS|CharaData'!A43</f>
        <v>1043</v>
      </c>
      <c r="B62" s="1" t="str">
        <f>'角色战斗属性表|CS|CharaData'!C43</f>
        <v>【TMP】幽兰</v>
      </c>
      <c r="C62" s="81" t="s">
        <v>687</v>
      </c>
      <c r="D62" s="81" t="s">
        <v>1776</v>
      </c>
      <c r="E62" s="81" t="s">
        <v>1784</v>
      </c>
      <c r="F62" s="81" t="s">
        <v>718</v>
      </c>
      <c r="G62" s="8" t="str">
        <f t="shared" si="16"/>
        <v>强攻型(物理）</v>
      </c>
      <c r="H62" s="82" t="s">
        <v>709</v>
      </c>
      <c r="I62" s="1">
        <f t="shared" si="17"/>
        <v>912</v>
      </c>
      <c r="J62">
        <f t="shared" si="18"/>
        <v>312.88888888888891</v>
      </c>
      <c r="K62">
        <f t="shared" si="19"/>
        <v>777.6</v>
      </c>
      <c r="L62">
        <f t="shared" si="20"/>
        <v>460.79999999999995</v>
      </c>
      <c r="M62">
        <f t="shared" si="21"/>
        <v>500</v>
      </c>
      <c r="N62">
        <f t="shared" si="22"/>
        <v>0.05</v>
      </c>
      <c r="O62" s="32">
        <v>-1.95E-2</v>
      </c>
      <c r="P62" s="32">
        <v>0.03</v>
      </c>
      <c r="Q62" s="32">
        <v>-0.03</v>
      </c>
      <c r="R62" s="32">
        <v>-0.02</v>
      </c>
      <c r="S62" s="32">
        <v>-0.02</v>
      </c>
      <c r="T62" s="32">
        <v>0</v>
      </c>
      <c r="U62" s="84">
        <f t="shared" si="6"/>
        <v>62.595100000000002</v>
      </c>
      <c r="V62" s="84">
        <f t="shared" si="7"/>
        <v>22.5593</v>
      </c>
      <c r="W62" s="84">
        <f t="shared" si="8"/>
        <v>52.798999999999999</v>
      </c>
      <c r="X62" s="84">
        <f t="shared" si="9"/>
        <v>31.610900000000001</v>
      </c>
      <c r="Y62" s="84">
        <f t="shared" si="10"/>
        <v>490</v>
      </c>
      <c r="Z62" s="84">
        <f t="shared" si="11"/>
        <v>0.05</v>
      </c>
      <c r="AA62" s="84">
        <f t="shared" si="12"/>
        <v>2</v>
      </c>
      <c r="AB62" s="84">
        <f t="shared" si="13"/>
        <v>1</v>
      </c>
      <c r="AC62" s="84">
        <f t="shared" si="14"/>
        <v>3</v>
      </c>
    </row>
    <row r="63" spans="1:29" x14ac:dyDescent="0.2">
      <c r="A63" s="1">
        <f>'角色战斗属性表|CS|CharaData'!A44</f>
        <v>1010</v>
      </c>
      <c r="B63" s="1" t="str">
        <f>'角色战斗属性表|CS|CharaData'!C44</f>
        <v>【TMP】司命</v>
      </c>
      <c r="C63" s="81" t="s">
        <v>687</v>
      </c>
      <c r="D63" s="81" t="s">
        <v>1778</v>
      </c>
      <c r="E63" s="81" t="s">
        <v>1782</v>
      </c>
      <c r="F63" s="81" t="s">
        <v>718</v>
      </c>
      <c r="G63" s="8" t="str">
        <f t="shared" si="16"/>
        <v>强攻型(物理）</v>
      </c>
      <c r="H63" s="82" t="s">
        <v>709</v>
      </c>
      <c r="I63" s="1">
        <f t="shared" si="17"/>
        <v>912</v>
      </c>
      <c r="J63">
        <f t="shared" si="18"/>
        <v>312.88888888888891</v>
      </c>
      <c r="K63">
        <f t="shared" si="19"/>
        <v>777.6</v>
      </c>
      <c r="L63">
        <f t="shared" si="20"/>
        <v>460.79999999999995</v>
      </c>
      <c r="M63">
        <f t="shared" si="21"/>
        <v>500</v>
      </c>
      <c r="N63">
        <f t="shared" si="22"/>
        <v>0.05</v>
      </c>
      <c r="O63" s="41">
        <v>-3.7999999999999999E-2</v>
      </c>
      <c r="P63" s="32" t="s">
        <v>1007</v>
      </c>
      <c r="Q63" s="32" t="s">
        <v>1008</v>
      </c>
      <c r="R63" s="32" t="s">
        <v>1009</v>
      </c>
      <c r="S63" s="32" t="s">
        <v>1010</v>
      </c>
      <c r="T63" s="32">
        <v>0</v>
      </c>
      <c r="U63" s="84">
        <f t="shared" si="6"/>
        <v>61.414099999999998</v>
      </c>
      <c r="V63" s="84">
        <f t="shared" si="7"/>
        <v>22.226400000000002</v>
      </c>
      <c r="W63" s="84">
        <f t="shared" si="8"/>
        <v>54.486400000000003</v>
      </c>
      <c r="X63" s="84">
        <f t="shared" si="9"/>
        <v>32.9011</v>
      </c>
      <c r="Y63" s="84">
        <f t="shared" si="10"/>
        <v>500</v>
      </c>
      <c r="Z63" s="84">
        <f t="shared" si="11"/>
        <v>0.05</v>
      </c>
      <c r="AA63" s="84">
        <f t="shared" si="12"/>
        <v>4</v>
      </c>
      <c r="AB63" s="84">
        <f t="shared" si="13"/>
        <v>1</v>
      </c>
      <c r="AC63" s="84">
        <f t="shared" si="14"/>
        <v>6</v>
      </c>
    </row>
    <row r="64" spans="1:29" x14ac:dyDescent="0.2">
      <c r="A64" s="1">
        <f>'角色战斗属性表|CS|CharaData'!A45</f>
        <v>1046</v>
      </c>
      <c r="B64" s="1" t="str">
        <f>'角色战斗属性表|CS|CharaData'!C45</f>
        <v>【TMP】传影</v>
      </c>
      <c r="C64" s="81" t="s">
        <v>687</v>
      </c>
      <c r="D64" s="81" t="s">
        <v>1792</v>
      </c>
      <c r="E64" s="81" t="s">
        <v>1784</v>
      </c>
      <c r="F64" s="81" t="s">
        <v>718</v>
      </c>
      <c r="G64" s="8" t="str">
        <f t="shared" si="16"/>
        <v>强攻型(物理）</v>
      </c>
      <c r="H64" s="82" t="s">
        <v>709</v>
      </c>
      <c r="I64" s="1">
        <f t="shared" si="17"/>
        <v>912</v>
      </c>
      <c r="J64">
        <f t="shared" si="18"/>
        <v>312.88888888888891</v>
      </c>
      <c r="K64">
        <f t="shared" si="19"/>
        <v>777.6</v>
      </c>
      <c r="L64">
        <f t="shared" si="20"/>
        <v>460.79999999999995</v>
      </c>
      <c r="M64">
        <f t="shared" si="21"/>
        <v>500</v>
      </c>
      <c r="N64">
        <f t="shared" si="22"/>
        <v>0.05</v>
      </c>
      <c r="O64" s="32">
        <v>-1.35E-2</v>
      </c>
      <c r="P64" s="32">
        <v>2.6700000000000002E-2</v>
      </c>
      <c r="Q64" s="32">
        <v>-0.03</v>
      </c>
      <c r="R64" s="32">
        <v>-0.02</v>
      </c>
      <c r="S64" s="32">
        <v>0.02</v>
      </c>
      <c r="T64" s="32">
        <v>0</v>
      </c>
      <c r="U64" s="84">
        <f t="shared" si="6"/>
        <v>62.978200000000001</v>
      </c>
      <c r="V64" s="84">
        <f t="shared" si="7"/>
        <v>22.486999999999998</v>
      </c>
      <c r="W64" s="84">
        <f t="shared" si="8"/>
        <v>52.798999999999999</v>
      </c>
      <c r="X64" s="84">
        <f t="shared" si="9"/>
        <v>31.610900000000001</v>
      </c>
      <c r="Y64" s="84">
        <f t="shared" si="10"/>
        <v>510</v>
      </c>
      <c r="Z64" s="84">
        <f t="shared" si="11"/>
        <v>0.05</v>
      </c>
      <c r="AA64" s="84">
        <f t="shared" si="12"/>
        <v>1</v>
      </c>
      <c r="AB64" s="84">
        <f t="shared" si="13"/>
        <v>1</v>
      </c>
      <c r="AC64" s="84">
        <f t="shared" si="14"/>
        <v>3</v>
      </c>
    </row>
    <row r="65" spans="1:29" x14ac:dyDescent="0.2">
      <c r="A65" s="1">
        <f>'角色战斗属性表|CS|CharaData'!A46</f>
        <v>1032</v>
      </c>
      <c r="B65" s="1" t="str">
        <f>'角色战斗属性表|CS|CharaData'!C46</f>
        <v>【TMP】英格丽特</v>
      </c>
      <c r="C65" s="81" t="s">
        <v>687</v>
      </c>
      <c r="D65" s="81" t="s">
        <v>1776</v>
      </c>
      <c r="E65" s="81" t="s">
        <v>1790</v>
      </c>
      <c r="F65" s="81" t="s">
        <v>718</v>
      </c>
      <c r="G65" s="8" t="str">
        <f t="shared" si="16"/>
        <v>强攻型(物理）</v>
      </c>
      <c r="H65" s="82" t="s">
        <v>709</v>
      </c>
      <c r="I65" s="1">
        <f t="shared" si="17"/>
        <v>912</v>
      </c>
      <c r="J65">
        <f t="shared" si="18"/>
        <v>312.88888888888891</v>
      </c>
      <c r="K65">
        <f t="shared" si="19"/>
        <v>777.6</v>
      </c>
      <c r="L65">
        <f t="shared" si="20"/>
        <v>460.79999999999995</v>
      </c>
      <c r="M65">
        <f t="shared" si="21"/>
        <v>500</v>
      </c>
      <c r="N65">
        <f t="shared" si="22"/>
        <v>0.05</v>
      </c>
      <c r="O65" s="32">
        <v>-1.4999999999999999E-2</v>
      </c>
      <c r="P65" s="32">
        <v>1.7999999999999999E-2</v>
      </c>
      <c r="Q65" s="32">
        <v>-2.3E-2</v>
      </c>
      <c r="R65" s="32">
        <v>3.0000000000000001E-3</v>
      </c>
      <c r="S65" s="32">
        <v>0.05</v>
      </c>
      <c r="T65" s="32">
        <v>0</v>
      </c>
      <c r="U65" s="84">
        <f t="shared" si="6"/>
        <v>62.882399999999997</v>
      </c>
      <c r="V65" s="84">
        <f t="shared" si="7"/>
        <v>22.296500000000002</v>
      </c>
      <c r="W65" s="84">
        <f t="shared" si="8"/>
        <v>53.180100000000003</v>
      </c>
      <c r="X65" s="84">
        <f t="shared" si="9"/>
        <v>32.352800000000002</v>
      </c>
      <c r="Y65" s="84">
        <f t="shared" si="10"/>
        <v>525</v>
      </c>
      <c r="Z65" s="84">
        <f t="shared" si="11"/>
        <v>0.05</v>
      </c>
      <c r="AA65" s="84">
        <f t="shared" si="12"/>
        <v>2</v>
      </c>
      <c r="AB65" s="84">
        <f t="shared" si="13"/>
        <v>1</v>
      </c>
      <c r="AC65" s="84">
        <f t="shared" si="14"/>
        <v>2</v>
      </c>
    </row>
    <row r="66" spans="1:29" x14ac:dyDescent="0.2">
      <c r="A66" s="1">
        <f>'角色战斗属性表|CS|CharaData'!A47</f>
        <v>1001</v>
      </c>
      <c r="B66" s="1" t="str">
        <f>'角色战斗属性表|CS|CharaData'!C47</f>
        <v>【TMP】白槿</v>
      </c>
      <c r="C66" s="81" t="s">
        <v>687</v>
      </c>
      <c r="D66" s="81" t="s">
        <v>1776</v>
      </c>
      <c r="E66" s="81" t="s">
        <v>1780</v>
      </c>
      <c r="F66" s="81" t="s">
        <v>718</v>
      </c>
      <c r="G66" s="8" t="str">
        <f t="shared" si="16"/>
        <v>强攻型(物理）</v>
      </c>
      <c r="H66" s="82" t="s">
        <v>709</v>
      </c>
      <c r="I66" s="1">
        <f t="shared" si="17"/>
        <v>912</v>
      </c>
      <c r="J66">
        <f t="shared" si="18"/>
        <v>312.88888888888891</v>
      </c>
      <c r="K66">
        <f t="shared" si="19"/>
        <v>777.6</v>
      </c>
      <c r="L66">
        <f t="shared" si="20"/>
        <v>460.79999999999995</v>
      </c>
      <c r="M66">
        <f t="shared" si="21"/>
        <v>500</v>
      </c>
      <c r="N66">
        <f t="shared" si="22"/>
        <v>0.05</v>
      </c>
      <c r="O66" s="32">
        <v>2.7E-2</v>
      </c>
      <c r="P66" s="32">
        <v>-1.35E-2</v>
      </c>
      <c r="Q66" s="32">
        <v>-0.02</v>
      </c>
      <c r="R66" s="32">
        <v>0.03</v>
      </c>
      <c r="S66" s="32">
        <v>0.01</v>
      </c>
      <c r="T66" s="32">
        <v>0</v>
      </c>
      <c r="U66" s="84">
        <f t="shared" si="6"/>
        <v>65.563699999999997</v>
      </c>
      <c r="V66" s="84">
        <f t="shared" si="7"/>
        <v>21.6065</v>
      </c>
      <c r="W66" s="84">
        <f t="shared" si="8"/>
        <v>53.343400000000003</v>
      </c>
      <c r="X66" s="84">
        <f t="shared" si="9"/>
        <v>33.223700000000001</v>
      </c>
      <c r="Y66" s="84">
        <f t="shared" si="10"/>
        <v>505</v>
      </c>
      <c r="Z66" s="84">
        <f t="shared" si="11"/>
        <v>0.05</v>
      </c>
      <c r="AA66" s="84">
        <f t="shared" si="12"/>
        <v>2</v>
      </c>
      <c r="AB66" s="84">
        <f t="shared" si="13"/>
        <v>1</v>
      </c>
      <c r="AC66" s="84">
        <f t="shared" si="14"/>
        <v>4</v>
      </c>
    </row>
    <row r="67" spans="1:29" x14ac:dyDescent="0.2">
      <c r="A67" s="1">
        <f>'角色战斗属性表|CS|CharaData'!A48</f>
        <v>1011</v>
      </c>
      <c r="B67" s="1" t="str">
        <f>'角色战斗属性表|CS|CharaData'!C48</f>
        <v>铣刀</v>
      </c>
      <c r="C67" s="81" t="s">
        <v>688</v>
      </c>
      <c r="D67" s="81" t="s">
        <v>1777</v>
      </c>
      <c r="E67" s="81" t="s">
        <v>1782</v>
      </c>
      <c r="F67" s="81" t="s">
        <v>717</v>
      </c>
      <c r="G67" s="8" t="str">
        <f t="shared" si="16"/>
        <v>特攻型(法术）</v>
      </c>
      <c r="H67" s="82" t="s">
        <v>709</v>
      </c>
      <c r="I67" s="1">
        <f t="shared" si="17"/>
        <v>936</v>
      </c>
      <c r="J67">
        <f t="shared" si="18"/>
        <v>308.44444444444446</v>
      </c>
      <c r="K67">
        <f t="shared" si="19"/>
        <v>460.79999999999995</v>
      </c>
      <c r="L67">
        <f t="shared" si="20"/>
        <v>777.6</v>
      </c>
      <c r="M67">
        <f t="shared" si="21"/>
        <v>500</v>
      </c>
      <c r="N67">
        <f t="shared" si="22"/>
        <v>0.05</v>
      </c>
      <c r="O67" s="32">
        <v>-0.01</v>
      </c>
      <c r="P67" s="32">
        <v>0</v>
      </c>
      <c r="Q67" s="32">
        <v>2.9000000000000001E-2</v>
      </c>
      <c r="R67" s="32">
        <v>-5.0000000000000001E-3</v>
      </c>
      <c r="S67" s="32">
        <v>0.02</v>
      </c>
      <c r="T67" s="32">
        <v>0</v>
      </c>
      <c r="U67" s="84">
        <f t="shared" si="6"/>
        <v>64.864800000000002</v>
      </c>
      <c r="V67" s="84">
        <f t="shared" si="7"/>
        <v>21.591100000000001</v>
      </c>
      <c r="W67" s="84">
        <f t="shared" si="8"/>
        <v>33.191400000000002</v>
      </c>
      <c r="X67" s="84">
        <f t="shared" si="9"/>
        <v>54.159799999999997</v>
      </c>
      <c r="Y67" s="84">
        <f t="shared" si="10"/>
        <v>510</v>
      </c>
      <c r="Z67" s="84">
        <f t="shared" si="11"/>
        <v>0.05</v>
      </c>
      <c r="AA67" s="84">
        <f t="shared" si="12"/>
        <v>3</v>
      </c>
      <c r="AB67" s="84">
        <f t="shared" si="13"/>
        <v>4</v>
      </c>
      <c r="AC67" s="84">
        <f t="shared" si="14"/>
        <v>6</v>
      </c>
    </row>
    <row r="68" spans="1:29" x14ac:dyDescent="0.2">
      <c r="A68" s="1">
        <f>'角色战斗属性表|CS|CharaData'!A49</f>
        <v>1047</v>
      </c>
      <c r="B68" s="1" t="str">
        <f>'角色战斗属性表|CS|CharaData'!C49</f>
        <v>【TMP】乌龙</v>
      </c>
      <c r="C68" s="81" t="s">
        <v>687</v>
      </c>
      <c r="D68" s="81" t="s">
        <v>1792</v>
      </c>
      <c r="E68" s="81" t="s">
        <v>1784</v>
      </c>
      <c r="F68" s="81" t="s">
        <v>718</v>
      </c>
      <c r="G68" s="8" t="str">
        <f t="shared" si="16"/>
        <v>强攻型(物理）</v>
      </c>
      <c r="H68" s="82" t="s">
        <v>709</v>
      </c>
      <c r="I68" s="1">
        <f t="shared" si="17"/>
        <v>912</v>
      </c>
      <c r="J68">
        <f t="shared" si="18"/>
        <v>312.88888888888891</v>
      </c>
      <c r="K68">
        <f t="shared" si="19"/>
        <v>777.6</v>
      </c>
      <c r="L68">
        <f t="shared" si="20"/>
        <v>460.79999999999995</v>
      </c>
      <c r="M68">
        <f t="shared" si="21"/>
        <v>500</v>
      </c>
      <c r="N68">
        <f t="shared" si="22"/>
        <v>0.05</v>
      </c>
      <c r="O68" s="32">
        <v>-0.02</v>
      </c>
      <c r="P68" s="32">
        <v>3.0200000000000001E-2</v>
      </c>
      <c r="Q68" s="32">
        <v>-0.03</v>
      </c>
      <c r="R68" s="32">
        <v>-0.02</v>
      </c>
      <c r="S68" s="32">
        <v>-3.5000000000000003E-2</v>
      </c>
      <c r="T68" s="32">
        <v>0</v>
      </c>
      <c r="U68" s="84">
        <f t="shared" si="6"/>
        <v>62.563200000000002</v>
      </c>
      <c r="V68" s="84">
        <f t="shared" si="7"/>
        <v>22.563700000000001</v>
      </c>
      <c r="W68" s="84">
        <f t="shared" si="8"/>
        <v>52.798999999999999</v>
      </c>
      <c r="X68" s="84">
        <f t="shared" si="9"/>
        <v>31.610900000000001</v>
      </c>
      <c r="Y68" s="84">
        <f t="shared" si="10"/>
        <v>482</v>
      </c>
      <c r="Z68" s="84">
        <f t="shared" si="11"/>
        <v>0.05</v>
      </c>
      <c r="AA68" s="84">
        <f t="shared" si="12"/>
        <v>1</v>
      </c>
      <c r="AB68" s="84">
        <f t="shared" si="13"/>
        <v>1</v>
      </c>
      <c r="AC68" s="84">
        <f t="shared" si="14"/>
        <v>3</v>
      </c>
    </row>
    <row r="69" spans="1:29" x14ac:dyDescent="0.2">
      <c r="A69" s="1">
        <f>'角色战斗属性表|CS|CharaData'!A50</f>
        <v>1005</v>
      </c>
      <c r="B69" s="1" t="str">
        <f>'角色战斗属性表|CS|CharaData'!C50</f>
        <v>沉礁</v>
      </c>
      <c r="C69" s="81" t="s">
        <v>688</v>
      </c>
      <c r="D69" s="81" t="s">
        <v>1777</v>
      </c>
      <c r="E69" s="81" t="s">
        <v>1788</v>
      </c>
      <c r="F69" s="81" t="s">
        <v>717</v>
      </c>
      <c r="G69" s="8" t="str">
        <f t="shared" si="16"/>
        <v>特攻型(法术）</v>
      </c>
      <c r="H69" s="82" t="s">
        <v>709</v>
      </c>
      <c r="I69" s="1">
        <f t="shared" si="17"/>
        <v>936</v>
      </c>
      <c r="J69">
        <f t="shared" si="18"/>
        <v>308.44444444444446</v>
      </c>
      <c r="K69">
        <f t="shared" si="19"/>
        <v>460.79999999999995</v>
      </c>
      <c r="L69">
        <f t="shared" si="20"/>
        <v>777.6</v>
      </c>
      <c r="M69">
        <f t="shared" si="21"/>
        <v>500</v>
      </c>
      <c r="N69">
        <f t="shared" si="22"/>
        <v>0.05</v>
      </c>
      <c r="O69" s="32">
        <v>-5.0000000000000001E-3</v>
      </c>
      <c r="P69" s="32">
        <v>2.5000000000000001E-2</v>
      </c>
      <c r="Q69" s="32">
        <v>-0.02</v>
      </c>
      <c r="R69" s="32">
        <v>-3.5499999999999997E-2</v>
      </c>
      <c r="S69" s="32">
        <v>-0.03</v>
      </c>
      <c r="T69" s="32">
        <v>0</v>
      </c>
      <c r="U69" s="84">
        <f t="shared" si="6"/>
        <v>65.192400000000006</v>
      </c>
      <c r="V69" s="84">
        <f t="shared" si="7"/>
        <v>22.1309</v>
      </c>
      <c r="W69" s="84">
        <f t="shared" si="8"/>
        <v>31.610900000000001</v>
      </c>
      <c r="X69" s="84">
        <f t="shared" si="9"/>
        <v>52.499699999999997</v>
      </c>
      <c r="Y69" s="84">
        <f t="shared" si="10"/>
        <v>485</v>
      </c>
      <c r="Z69" s="84">
        <f t="shared" si="11"/>
        <v>0.05</v>
      </c>
      <c r="AA69" s="84">
        <f t="shared" si="12"/>
        <v>3</v>
      </c>
      <c r="AB69" s="84">
        <f t="shared" si="13"/>
        <v>4</v>
      </c>
      <c r="AC69" s="84">
        <f t="shared" si="14"/>
        <v>1</v>
      </c>
    </row>
    <row r="70" spans="1:29" x14ac:dyDescent="0.2">
      <c r="A70" s="1">
        <f>'角色战斗属性表|CS|CharaData'!A51</f>
        <v>1031</v>
      </c>
      <c r="B70" s="1" t="str">
        <f>'角色战斗属性表|CS|CharaData'!C51</f>
        <v>黑桃</v>
      </c>
      <c r="C70" s="81" t="s">
        <v>688</v>
      </c>
      <c r="D70" s="81" t="s">
        <v>1776</v>
      </c>
      <c r="E70" s="81" t="s">
        <v>1780</v>
      </c>
      <c r="F70" s="81" t="s">
        <v>717</v>
      </c>
      <c r="G70" s="8" t="str">
        <f t="shared" si="16"/>
        <v>特攻型(法术）</v>
      </c>
      <c r="H70" s="82" t="s">
        <v>709</v>
      </c>
      <c r="I70" s="1">
        <f t="shared" si="17"/>
        <v>936</v>
      </c>
      <c r="J70">
        <f t="shared" si="18"/>
        <v>308.44444444444446</v>
      </c>
      <c r="K70">
        <f t="shared" si="19"/>
        <v>460.79999999999995</v>
      </c>
      <c r="L70">
        <f t="shared" si="20"/>
        <v>777.6</v>
      </c>
      <c r="M70">
        <f t="shared" si="21"/>
        <v>500</v>
      </c>
      <c r="N70">
        <f t="shared" si="22"/>
        <v>0.05</v>
      </c>
      <c r="O70" s="32">
        <v>-3.2500000000000001E-2</v>
      </c>
      <c r="P70" s="32">
        <v>2.76E-2</v>
      </c>
      <c r="Q70" s="32">
        <v>5.0000000000000001E-4</v>
      </c>
      <c r="R70" s="32">
        <v>-0.02</v>
      </c>
      <c r="S70" s="32">
        <v>-0.04</v>
      </c>
      <c r="T70" s="32">
        <v>0</v>
      </c>
      <c r="U70" s="84">
        <f t="shared" si="6"/>
        <v>63.390599999999999</v>
      </c>
      <c r="V70" s="84">
        <f t="shared" si="7"/>
        <v>22.187000000000001</v>
      </c>
      <c r="W70" s="84">
        <f t="shared" si="8"/>
        <v>32.272100000000002</v>
      </c>
      <c r="X70" s="84">
        <f t="shared" si="9"/>
        <v>53.343400000000003</v>
      </c>
      <c r="Y70" s="84">
        <f t="shared" si="10"/>
        <v>480</v>
      </c>
      <c r="Z70" s="84">
        <f t="shared" si="11"/>
        <v>0.05</v>
      </c>
      <c r="AA70" s="84">
        <f t="shared" si="12"/>
        <v>2</v>
      </c>
      <c r="AB70" s="84">
        <f t="shared" si="13"/>
        <v>4</v>
      </c>
      <c r="AC70" s="84">
        <f t="shared" si="14"/>
        <v>4</v>
      </c>
    </row>
    <row r="71" spans="1:29" x14ac:dyDescent="0.2">
      <c r="A71" s="1">
        <f>'角色战斗属性表|CS|CharaData'!A52</f>
        <v>1028</v>
      </c>
      <c r="B71" s="1" t="str">
        <f>'角色战斗属性表|CS|CharaData'!C52</f>
        <v>【TMP】骐骥</v>
      </c>
      <c r="C71" s="81" t="s">
        <v>688</v>
      </c>
      <c r="D71" s="81" t="s">
        <v>1779</v>
      </c>
      <c r="E71" s="81" t="s">
        <v>1788</v>
      </c>
      <c r="F71" s="81" t="s">
        <v>717</v>
      </c>
      <c r="G71" s="8" t="str">
        <f t="shared" si="16"/>
        <v>特攻型(法术）</v>
      </c>
      <c r="H71" s="82" t="s">
        <v>709</v>
      </c>
      <c r="I71" s="1">
        <f t="shared" si="17"/>
        <v>936</v>
      </c>
      <c r="J71">
        <f t="shared" si="18"/>
        <v>308.44444444444446</v>
      </c>
      <c r="K71">
        <f t="shared" si="19"/>
        <v>460.79999999999995</v>
      </c>
      <c r="L71">
        <f t="shared" si="20"/>
        <v>777.6</v>
      </c>
      <c r="M71">
        <f t="shared" si="21"/>
        <v>500</v>
      </c>
      <c r="N71">
        <f t="shared" si="22"/>
        <v>0.05</v>
      </c>
      <c r="O71" s="32">
        <v>-0.01</v>
      </c>
      <c r="P71" s="32">
        <v>1.72E-2</v>
      </c>
      <c r="Q71" s="32">
        <v>-0.01</v>
      </c>
      <c r="R71" s="32">
        <v>-1.8499999999999999E-2</v>
      </c>
      <c r="S71" s="32">
        <v>-0.02</v>
      </c>
      <c r="T71" s="32">
        <v>0</v>
      </c>
      <c r="U71" s="84">
        <f t="shared" si="6"/>
        <v>64.864800000000002</v>
      </c>
      <c r="V71" s="84">
        <f t="shared" si="7"/>
        <v>21.962499999999999</v>
      </c>
      <c r="W71" s="84">
        <f t="shared" si="8"/>
        <v>31.933399999999999</v>
      </c>
      <c r="X71" s="84">
        <f t="shared" si="9"/>
        <v>53.424999999999997</v>
      </c>
      <c r="Y71" s="84">
        <f t="shared" si="10"/>
        <v>490</v>
      </c>
      <c r="Z71" s="84">
        <f t="shared" si="11"/>
        <v>0.05</v>
      </c>
      <c r="AA71" s="84">
        <f t="shared" si="12"/>
        <v>5</v>
      </c>
      <c r="AB71" s="84">
        <f t="shared" si="13"/>
        <v>4</v>
      </c>
      <c r="AC71" s="84">
        <f t="shared" si="14"/>
        <v>1</v>
      </c>
    </row>
    <row r="72" spans="1:29" x14ac:dyDescent="0.2">
      <c r="A72" s="1">
        <f>'角色战斗属性表|CS|CharaData'!A53</f>
        <v>1054</v>
      </c>
      <c r="B72" s="1" t="str">
        <f>'角色战斗属性表|CS|CharaData'!C53</f>
        <v>【TMP】天星</v>
      </c>
      <c r="C72" s="81" t="s">
        <v>687</v>
      </c>
      <c r="D72" s="81" t="s">
        <v>1792</v>
      </c>
      <c r="E72" s="81" t="s">
        <v>1780</v>
      </c>
      <c r="F72" s="81" t="s">
        <v>718</v>
      </c>
      <c r="G72" s="8" t="str">
        <f t="shared" si="16"/>
        <v>强攻型(物理）</v>
      </c>
      <c r="H72" s="82" t="s">
        <v>709</v>
      </c>
      <c r="I72" s="1">
        <f t="shared" si="17"/>
        <v>912</v>
      </c>
      <c r="J72">
        <f t="shared" si="18"/>
        <v>312.88888888888891</v>
      </c>
      <c r="K72">
        <f t="shared" si="19"/>
        <v>777.6</v>
      </c>
      <c r="L72">
        <f t="shared" si="20"/>
        <v>460.79999999999995</v>
      </c>
      <c r="M72">
        <f t="shared" si="21"/>
        <v>500</v>
      </c>
      <c r="N72">
        <f t="shared" si="22"/>
        <v>0.05</v>
      </c>
      <c r="O72" s="32">
        <v>1.4999999999999999E-2</v>
      </c>
      <c r="P72" s="32">
        <v>-1.4999999999999999E-2</v>
      </c>
      <c r="Q72" s="32">
        <v>-0.01</v>
      </c>
      <c r="R72" s="32">
        <v>0.02</v>
      </c>
      <c r="S72" s="32">
        <v>-0.03</v>
      </c>
      <c r="T72" s="32">
        <v>0</v>
      </c>
      <c r="U72" s="84">
        <f t="shared" si="6"/>
        <v>64.797600000000003</v>
      </c>
      <c r="V72" s="84">
        <f t="shared" si="7"/>
        <v>21.573699999999999</v>
      </c>
      <c r="W72" s="84">
        <f t="shared" si="8"/>
        <v>53.887700000000002</v>
      </c>
      <c r="X72" s="84">
        <f t="shared" si="9"/>
        <v>32.9011</v>
      </c>
      <c r="Y72" s="84">
        <f t="shared" si="10"/>
        <v>485</v>
      </c>
      <c r="Z72" s="84">
        <f t="shared" si="11"/>
        <v>0.05</v>
      </c>
      <c r="AA72" s="84">
        <f t="shared" si="12"/>
        <v>1</v>
      </c>
      <c r="AB72" s="84">
        <f t="shared" si="13"/>
        <v>1</v>
      </c>
      <c r="AC72" s="84">
        <f t="shared" si="14"/>
        <v>4</v>
      </c>
    </row>
    <row r="73" spans="1:29" x14ac:dyDescent="0.2">
      <c r="A73" s="1">
        <f>'角色战斗属性表|CS|CharaData'!A54</f>
        <v>1019</v>
      </c>
      <c r="B73" s="1" t="str">
        <f>'角色战斗属性表|CS|CharaData'!C54</f>
        <v>莲心</v>
      </c>
      <c r="C73" s="81" t="s">
        <v>688</v>
      </c>
      <c r="D73" s="81" t="s">
        <v>1777</v>
      </c>
      <c r="E73" s="81" t="s">
        <v>1784</v>
      </c>
      <c r="F73" s="81" t="s">
        <v>717</v>
      </c>
      <c r="G73" s="8" t="str">
        <f t="shared" si="16"/>
        <v>特攻型(法术）</v>
      </c>
      <c r="H73" s="82" t="s">
        <v>709</v>
      </c>
      <c r="I73" s="1">
        <f t="shared" si="17"/>
        <v>936</v>
      </c>
      <c r="J73">
        <f t="shared" si="18"/>
        <v>308.44444444444446</v>
      </c>
      <c r="K73">
        <f t="shared" si="19"/>
        <v>460.79999999999995</v>
      </c>
      <c r="L73">
        <f t="shared" si="20"/>
        <v>777.6</v>
      </c>
      <c r="M73">
        <f t="shared" si="21"/>
        <v>500</v>
      </c>
      <c r="N73">
        <f t="shared" si="22"/>
        <v>0.05</v>
      </c>
      <c r="O73" s="32">
        <v>-0.02</v>
      </c>
      <c r="P73" s="32">
        <v>3.0000000000000001E-3</v>
      </c>
      <c r="Q73" s="32">
        <v>0.03</v>
      </c>
      <c r="R73" s="32">
        <v>0</v>
      </c>
      <c r="S73" s="32">
        <v>3.5000000000000003E-2</v>
      </c>
      <c r="T73" s="32">
        <v>0</v>
      </c>
      <c r="U73" s="84">
        <f t="shared" si="6"/>
        <v>64.209599999999995</v>
      </c>
      <c r="V73" s="84">
        <f t="shared" si="7"/>
        <v>21.655899999999999</v>
      </c>
      <c r="W73" s="84">
        <f t="shared" si="8"/>
        <v>33.223700000000001</v>
      </c>
      <c r="X73" s="84">
        <f t="shared" si="9"/>
        <v>54.432000000000002</v>
      </c>
      <c r="Y73" s="84">
        <f t="shared" si="10"/>
        <v>517</v>
      </c>
      <c r="Z73" s="84">
        <f t="shared" si="11"/>
        <v>0.05</v>
      </c>
      <c r="AA73" s="84">
        <f t="shared" si="12"/>
        <v>3</v>
      </c>
      <c r="AB73" s="84">
        <f t="shared" si="13"/>
        <v>4</v>
      </c>
      <c r="AC73" s="84">
        <f t="shared" si="14"/>
        <v>3</v>
      </c>
    </row>
    <row r="74" spans="1:29" x14ac:dyDescent="0.2">
      <c r="A74" s="1">
        <f>'角色战斗属性表|CS|CharaData'!A55</f>
        <v>1006</v>
      </c>
      <c r="B74" s="1" t="str">
        <f>'角色战斗属性表|CS|CharaData'!C55</f>
        <v>千秋</v>
      </c>
      <c r="C74" s="81" t="s">
        <v>688</v>
      </c>
      <c r="D74" s="81" t="s">
        <v>1792</v>
      </c>
      <c r="E74" s="81" t="s">
        <v>1782</v>
      </c>
      <c r="F74" s="81" t="s">
        <v>717</v>
      </c>
      <c r="G74" s="8" t="str">
        <f t="shared" si="16"/>
        <v>特攻型(法术）</v>
      </c>
      <c r="H74" s="82" t="s">
        <v>709</v>
      </c>
      <c r="I74" s="1">
        <f t="shared" si="17"/>
        <v>936</v>
      </c>
      <c r="J74">
        <f t="shared" si="18"/>
        <v>308.44444444444446</v>
      </c>
      <c r="K74">
        <f t="shared" si="19"/>
        <v>460.79999999999995</v>
      </c>
      <c r="L74">
        <f t="shared" si="20"/>
        <v>777.6</v>
      </c>
      <c r="M74">
        <f t="shared" si="21"/>
        <v>500</v>
      </c>
      <c r="N74">
        <f t="shared" si="22"/>
        <v>0.05</v>
      </c>
      <c r="O74" s="32">
        <v>-0.01</v>
      </c>
      <c r="P74" s="32">
        <v>1.35E-2</v>
      </c>
      <c r="Q74" s="32">
        <v>2E-3</v>
      </c>
      <c r="R74" s="32">
        <v>-1.7999999999999999E-2</v>
      </c>
      <c r="S74" s="32">
        <v>0</v>
      </c>
      <c r="T74" s="32">
        <v>0</v>
      </c>
      <c r="U74" s="84">
        <f t="shared" si="6"/>
        <v>64.864800000000002</v>
      </c>
      <c r="V74" s="84">
        <f t="shared" si="7"/>
        <v>21.8826</v>
      </c>
      <c r="W74" s="84">
        <f t="shared" si="8"/>
        <v>32.320500000000003</v>
      </c>
      <c r="X74" s="84">
        <f t="shared" si="9"/>
        <v>53.452199999999998</v>
      </c>
      <c r="Y74" s="84">
        <f t="shared" si="10"/>
        <v>500</v>
      </c>
      <c r="Z74" s="84">
        <f t="shared" si="11"/>
        <v>0.05</v>
      </c>
      <c r="AA74" s="84">
        <f t="shared" si="12"/>
        <v>1</v>
      </c>
      <c r="AB74" s="84">
        <f t="shared" si="13"/>
        <v>4</v>
      </c>
      <c r="AC74" s="84">
        <f t="shared" si="14"/>
        <v>6</v>
      </c>
    </row>
    <row r="75" spans="1:29" x14ac:dyDescent="0.2">
      <c r="A75" s="1">
        <f>'角色战斗属性表|CS|CharaData'!A56</f>
        <v>1024</v>
      </c>
      <c r="B75" s="1" t="str">
        <f>'角色战斗属性表|CS|CharaData'!C56</f>
        <v>【TMP】巫</v>
      </c>
      <c r="C75" s="81" t="s">
        <v>685</v>
      </c>
      <c r="D75" s="81" t="s">
        <v>1777</v>
      </c>
      <c r="E75" s="81" t="s">
        <v>1788</v>
      </c>
      <c r="F75" s="81" t="s">
        <v>718</v>
      </c>
      <c r="G75" s="8" t="str">
        <f t="shared" si="16"/>
        <v>防护型(物理）</v>
      </c>
      <c r="H75" s="82" t="s">
        <v>710</v>
      </c>
      <c r="I75" s="1">
        <f t="shared" si="17"/>
        <v>1440</v>
      </c>
      <c r="J75">
        <f t="shared" si="18"/>
        <v>175.11111111111114</v>
      </c>
      <c r="K75">
        <f t="shared" si="19"/>
        <v>936</v>
      </c>
      <c r="L75">
        <f t="shared" si="20"/>
        <v>518.4</v>
      </c>
      <c r="M75">
        <f t="shared" si="21"/>
        <v>450</v>
      </c>
      <c r="N75">
        <f t="shared" si="22"/>
        <v>0</v>
      </c>
      <c r="O75" s="32">
        <v>-0.02</v>
      </c>
      <c r="P75" s="32">
        <v>-0.01</v>
      </c>
      <c r="Q75" s="32">
        <v>2.4500000000000001E-2</v>
      </c>
      <c r="R75" s="32">
        <v>0.03</v>
      </c>
      <c r="S75" s="32">
        <v>-1.4999999999999999E-2</v>
      </c>
      <c r="T75" s="32">
        <v>0</v>
      </c>
      <c r="U75" s="84">
        <f t="shared" si="6"/>
        <v>108.1474</v>
      </c>
      <c r="V75" s="84">
        <f t="shared" si="7"/>
        <v>13.285500000000001</v>
      </c>
      <c r="W75" s="84">
        <f t="shared" si="8"/>
        <v>73.487799999999993</v>
      </c>
      <c r="X75" s="84">
        <f t="shared" si="9"/>
        <v>40.919400000000003</v>
      </c>
      <c r="Y75" s="84">
        <f t="shared" si="10"/>
        <v>443</v>
      </c>
      <c r="Z75" s="84">
        <f t="shared" si="11"/>
        <v>0</v>
      </c>
      <c r="AA75" s="84">
        <f t="shared" si="12"/>
        <v>3</v>
      </c>
      <c r="AB75" s="84">
        <f t="shared" si="13"/>
        <v>2</v>
      </c>
      <c r="AC75" s="84">
        <f t="shared" si="14"/>
        <v>1</v>
      </c>
    </row>
    <row r="76" spans="1:29" x14ac:dyDescent="0.2">
      <c r="A76" s="1">
        <f>'角色战斗属性表|CS|CharaData'!A57</f>
        <v>1027</v>
      </c>
      <c r="B76" s="1" t="str">
        <f>'角色战斗属性表|CS|CharaData'!C57</f>
        <v>【TMP】月白</v>
      </c>
      <c r="C76" s="81" t="s">
        <v>689</v>
      </c>
      <c r="D76" s="81" t="s">
        <v>1776</v>
      </c>
      <c r="E76" s="81" t="s">
        <v>1780</v>
      </c>
      <c r="F76" s="81" t="s">
        <v>717</v>
      </c>
      <c r="G76" s="8" t="str">
        <f t="shared" si="16"/>
        <v>辅助型(法术）</v>
      </c>
      <c r="H76" s="82" t="s">
        <v>710</v>
      </c>
      <c r="I76" s="1">
        <f t="shared" si="17"/>
        <v>1224</v>
      </c>
      <c r="J76">
        <f t="shared" si="18"/>
        <v>217.7777777777778</v>
      </c>
      <c r="K76">
        <f t="shared" si="19"/>
        <v>576</v>
      </c>
      <c r="L76">
        <f t="shared" si="20"/>
        <v>864</v>
      </c>
      <c r="M76">
        <f t="shared" si="21"/>
        <v>450</v>
      </c>
      <c r="N76">
        <f t="shared" si="22"/>
        <v>0</v>
      </c>
      <c r="O76" s="32">
        <v>-1.06E-2</v>
      </c>
      <c r="P76" s="32">
        <v>1.4999999999999999E-2</v>
      </c>
      <c r="Q76" s="32">
        <v>0</v>
      </c>
      <c r="R76" s="32">
        <v>-5.0000000000000001E-3</v>
      </c>
      <c r="S76" s="32">
        <v>0.02</v>
      </c>
      <c r="T76" s="32">
        <v>0</v>
      </c>
      <c r="U76" s="84">
        <f t="shared" si="6"/>
        <v>92.807000000000002</v>
      </c>
      <c r="V76" s="84">
        <f t="shared" si="7"/>
        <v>16.939800000000002</v>
      </c>
      <c r="W76" s="84">
        <f t="shared" si="8"/>
        <v>44.141800000000003</v>
      </c>
      <c r="X76" s="84">
        <f t="shared" si="9"/>
        <v>65.881600000000006</v>
      </c>
      <c r="Y76" s="84">
        <f t="shared" si="10"/>
        <v>459</v>
      </c>
      <c r="Z76" s="84">
        <f t="shared" si="11"/>
        <v>0</v>
      </c>
      <c r="AA76" s="84">
        <f t="shared" si="12"/>
        <v>2</v>
      </c>
      <c r="AB76" s="84">
        <f t="shared" si="13"/>
        <v>3</v>
      </c>
      <c r="AC76" s="84">
        <f t="shared" si="14"/>
        <v>4</v>
      </c>
    </row>
    <row r="77" spans="1:29" x14ac:dyDescent="0.2">
      <c r="A77" s="1">
        <f>'角色战斗属性表|CS|CharaData'!A58</f>
        <v>1003</v>
      </c>
      <c r="B77" s="1" t="str">
        <f>'角色战斗属性表|CS|CharaData'!C58</f>
        <v>【TMP】净天</v>
      </c>
      <c r="C77" s="81" t="s">
        <v>686</v>
      </c>
      <c r="D77" s="81" t="s">
        <v>1776</v>
      </c>
      <c r="E77" s="81" t="s">
        <v>1788</v>
      </c>
      <c r="F77" s="81" t="s">
        <v>717</v>
      </c>
      <c r="G77" s="8" t="str">
        <f t="shared" si="16"/>
        <v>突击型(法术）</v>
      </c>
      <c r="H77" s="82" t="s">
        <v>710</v>
      </c>
      <c r="I77" s="1">
        <f t="shared" si="17"/>
        <v>1248</v>
      </c>
      <c r="J77">
        <f t="shared" si="18"/>
        <v>226.66666666666671</v>
      </c>
      <c r="K77">
        <f t="shared" si="19"/>
        <v>489.59999999999997</v>
      </c>
      <c r="L77">
        <f t="shared" si="20"/>
        <v>878.4</v>
      </c>
      <c r="M77">
        <f t="shared" si="21"/>
        <v>550</v>
      </c>
      <c r="N77">
        <f t="shared" si="22"/>
        <v>0</v>
      </c>
      <c r="O77" s="32">
        <v>-6.0000000000000001E-3</v>
      </c>
      <c r="P77" s="32">
        <v>0.02</v>
      </c>
      <c r="Q77" s="32">
        <v>1.5E-3</v>
      </c>
      <c r="R77" s="32">
        <v>-0.02</v>
      </c>
      <c r="S77" s="32">
        <v>4.4999999999999998E-2</v>
      </c>
      <c r="T77" s="32">
        <v>0</v>
      </c>
      <c r="U77" s="84">
        <f t="shared" si="6"/>
        <v>95.066699999999997</v>
      </c>
      <c r="V77" s="84">
        <f t="shared" si="7"/>
        <v>17.718</v>
      </c>
      <c r="W77" s="84">
        <f t="shared" si="8"/>
        <v>37.576799999999999</v>
      </c>
      <c r="X77" s="84">
        <f t="shared" si="9"/>
        <v>65.969899999999996</v>
      </c>
      <c r="Y77" s="84">
        <f t="shared" si="10"/>
        <v>574</v>
      </c>
      <c r="Z77" s="84">
        <f t="shared" si="11"/>
        <v>0</v>
      </c>
      <c r="AA77" s="84">
        <f t="shared" si="12"/>
        <v>2</v>
      </c>
      <c r="AB77" s="84">
        <f t="shared" si="13"/>
        <v>5</v>
      </c>
      <c r="AC77" s="84">
        <f t="shared" si="14"/>
        <v>1</v>
      </c>
    </row>
    <row r="78" spans="1:29" x14ac:dyDescent="0.2">
      <c r="A78" s="1">
        <f>'角色战斗属性表|CS|CharaData'!A59</f>
        <v>1023</v>
      </c>
      <c r="B78" s="1" t="str">
        <f>'角色战斗属性表|CS|CharaData'!C59</f>
        <v>【TMP】鹿遥</v>
      </c>
      <c r="C78" s="81" t="s">
        <v>686</v>
      </c>
      <c r="D78" s="81" t="s">
        <v>1792</v>
      </c>
      <c r="E78" s="81" t="s">
        <v>1790</v>
      </c>
      <c r="F78" s="81" t="s">
        <v>718</v>
      </c>
      <c r="G78" s="8" t="str">
        <f t="shared" si="16"/>
        <v>突击型(物理）</v>
      </c>
      <c r="H78" s="82" t="s">
        <v>710</v>
      </c>
      <c r="I78" s="1">
        <f t="shared" si="17"/>
        <v>1248</v>
      </c>
      <c r="J78">
        <f t="shared" si="18"/>
        <v>226.66666666666671</v>
      </c>
      <c r="K78">
        <f t="shared" si="19"/>
        <v>878.4</v>
      </c>
      <c r="L78">
        <f t="shared" si="20"/>
        <v>489.59999999999997</v>
      </c>
      <c r="M78">
        <f t="shared" si="21"/>
        <v>550</v>
      </c>
      <c r="N78">
        <f t="shared" si="22"/>
        <v>0</v>
      </c>
      <c r="O78" s="32">
        <v>-0.02</v>
      </c>
      <c r="P78" s="32">
        <v>5.0000000000000001E-3</v>
      </c>
      <c r="Q78" s="32">
        <v>1.0500000000000001E-2</v>
      </c>
      <c r="R78" s="32">
        <v>0.02</v>
      </c>
      <c r="S78" s="32">
        <v>0.06</v>
      </c>
      <c r="T78" s="32">
        <v>0</v>
      </c>
      <c r="U78" s="84">
        <f t="shared" si="6"/>
        <v>93.727800000000002</v>
      </c>
      <c r="V78" s="84">
        <f t="shared" si="7"/>
        <v>17.4575</v>
      </c>
      <c r="W78" s="84">
        <f t="shared" si="8"/>
        <v>68.023099999999999</v>
      </c>
      <c r="X78" s="84">
        <f t="shared" si="9"/>
        <v>38.270899999999997</v>
      </c>
      <c r="Y78" s="84">
        <f t="shared" si="10"/>
        <v>583</v>
      </c>
      <c r="Z78" s="84">
        <f t="shared" si="11"/>
        <v>0</v>
      </c>
      <c r="AA78" s="84">
        <f t="shared" si="12"/>
        <v>1</v>
      </c>
      <c r="AB78" s="84">
        <f t="shared" si="13"/>
        <v>5</v>
      </c>
      <c r="AC78" s="84">
        <f t="shared" si="14"/>
        <v>2</v>
      </c>
    </row>
    <row r="79" spans="1:29" x14ac:dyDescent="0.2">
      <c r="A79" s="1">
        <f>'角色战斗属性表|CS|CharaData'!A60</f>
        <v>1039</v>
      </c>
      <c r="B79" s="1" t="str">
        <f>'角色战斗属性表|CS|CharaData'!C60</f>
        <v>【TMP】鸦</v>
      </c>
      <c r="C79" s="81" t="s">
        <v>687</v>
      </c>
      <c r="D79" s="81" t="s">
        <v>1792</v>
      </c>
      <c r="E79" s="81" t="s">
        <v>1788</v>
      </c>
      <c r="F79" s="81" t="s">
        <v>718</v>
      </c>
      <c r="G79" s="8" t="str">
        <f t="shared" si="16"/>
        <v>强攻型(物理）</v>
      </c>
      <c r="H79" s="82" t="s">
        <v>710</v>
      </c>
      <c r="I79" s="1">
        <f t="shared" si="17"/>
        <v>912</v>
      </c>
      <c r="J79">
        <f t="shared" si="18"/>
        <v>312.88888888888891</v>
      </c>
      <c r="K79">
        <f t="shared" si="19"/>
        <v>777.6</v>
      </c>
      <c r="L79">
        <f t="shared" si="20"/>
        <v>460.79999999999995</v>
      </c>
      <c r="M79">
        <f t="shared" si="21"/>
        <v>500</v>
      </c>
      <c r="N79">
        <f t="shared" si="22"/>
        <v>0.05</v>
      </c>
      <c r="O79" s="32">
        <v>1.0500000000000001E-2</v>
      </c>
      <c r="P79" s="32">
        <v>5.4000000000000003E-3</v>
      </c>
      <c r="Q79" s="32">
        <v>-0.02</v>
      </c>
      <c r="R79" s="32">
        <v>-6.0000000000000001E-3</v>
      </c>
      <c r="S79" s="32">
        <v>0.01</v>
      </c>
      <c r="T79" s="32">
        <v>0</v>
      </c>
      <c r="U79" s="84">
        <f t="shared" si="6"/>
        <v>70.625</v>
      </c>
      <c r="V79" s="84">
        <f t="shared" si="7"/>
        <v>24.107700000000001</v>
      </c>
      <c r="W79" s="84">
        <f t="shared" si="8"/>
        <v>58.3996</v>
      </c>
      <c r="X79" s="84">
        <f t="shared" si="9"/>
        <v>35.101599999999998</v>
      </c>
      <c r="Y79" s="84">
        <f t="shared" si="10"/>
        <v>505</v>
      </c>
      <c r="Z79" s="84">
        <f t="shared" si="11"/>
        <v>0.05</v>
      </c>
      <c r="AA79" s="84">
        <f t="shared" si="12"/>
        <v>1</v>
      </c>
      <c r="AB79" s="84">
        <f t="shared" si="13"/>
        <v>1</v>
      </c>
      <c r="AC79" s="84">
        <f t="shared" si="14"/>
        <v>1</v>
      </c>
    </row>
    <row r="80" spans="1:29" x14ac:dyDescent="0.2">
      <c r="A80" s="1">
        <f>'角色战斗属性表|CS|CharaData'!A61</f>
        <v>1051</v>
      </c>
      <c r="B80" s="1" t="str">
        <f>'角色战斗属性表|CS|CharaData'!C61</f>
        <v>音希</v>
      </c>
      <c r="C80" s="81" t="s">
        <v>687</v>
      </c>
      <c r="D80" s="81" t="s">
        <v>1777</v>
      </c>
      <c r="E80" s="81" t="s">
        <v>1786</v>
      </c>
      <c r="F80" s="81" t="s">
        <v>718</v>
      </c>
      <c r="G80" s="8" t="str">
        <f t="shared" si="16"/>
        <v>强攻型(物理）</v>
      </c>
      <c r="H80" s="82" t="s">
        <v>710</v>
      </c>
      <c r="I80" s="1">
        <f t="shared" si="17"/>
        <v>912</v>
      </c>
      <c r="J80">
        <f t="shared" si="18"/>
        <v>312.88888888888891</v>
      </c>
      <c r="K80">
        <f t="shared" si="19"/>
        <v>777.6</v>
      </c>
      <c r="L80">
        <f t="shared" si="20"/>
        <v>460.79999999999995</v>
      </c>
      <c r="M80">
        <f t="shared" si="21"/>
        <v>500</v>
      </c>
      <c r="N80">
        <f t="shared" si="22"/>
        <v>0.05</v>
      </c>
      <c r="O80" s="32">
        <v>2.4E-2</v>
      </c>
      <c r="P80" s="32">
        <v>-0.01</v>
      </c>
      <c r="Q80" s="32">
        <v>-8.0000000000000002E-3</v>
      </c>
      <c r="R80" s="32">
        <v>3.0000000000000001E-3</v>
      </c>
      <c r="S80" s="32">
        <v>-0.03</v>
      </c>
      <c r="T80" s="32">
        <v>0</v>
      </c>
      <c r="U80" s="84">
        <f t="shared" si="6"/>
        <v>71.568600000000004</v>
      </c>
      <c r="V80" s="84">
        <f t="shared" si="7"/>
        <v>23.738499999999998</v>
      </c>
      <c r="W80" s="84">
        <f t="shared" si="8"/>
        <v>59.114699999999999</v>
      </c>
      <c r="X80" s="84">
        <f t="shared" si="9"/>
        <v>35.419400000000003</v>
      </c>
      <c r="Y80" s="84">
        <f t="shared" si="10"/>
        <v>485</v>
      </c>
      <c r="Z80" s="84">
        <f t="shared" si="11"/>
        <v>0.05</v>
      </c>
      <c r="AA80" s="84">
        <f t="shared" si="12"/>
        <v>3</v>
      </c>
      <c r="AB80" s="84">
        <f t="shared" si="13"/>
        <v>1</v>
      </c>
      <c r="AC80" s="84">
        <f t="shared" si="14"/>
        <v>5</v>
      </c>
    </row>
    <row r="81" spans="1:29" x14ac:dyDescent="0.2">
      <c r="A81" s="1">
        <f>'角色战斗属性表|CS|CharaData'!A62</f>
        <v>1021</v>
      </c>
      <c r="B81" s="1" t="str">
        <f>'角色战斗属性表|CS|CharaData'!C62</f>
        <v>龙井</v>
      </c>
      <c r="C81" s="81" t="s">
        <v>687</v>
      </c>
      <c r="D81" s="81" t="s">
        <v>1776</v>
      </c>
      <c r="E81" s="81" t="s">
        <v>1784</v>
      </c>
      <c r="F81" s="81" t="s">
        <v>718</v>
      </c>
      <c r="G81" s="8" t="str">
        <f t="shared" si="16"/>
        <v>强攻型(物理）</v>
      </c>
      <c r="H81" s="82" t="s">
        <v>710</v>
      </c>
      <c r="I81" s="1">
        <f t="shared" si="17"/>
        <v>912</v>
      </c>
      <c r="J81">
        <f t="shared" si="18"/>
        <v>312.88888888888891</v>
      </c>
      <c r="K81">
        <f t="shared" si="19"/>
        <v>777.6</v>
      </c>
      <c r="L81">
        <f t="shared" si="20"/>
        <v>460.79999999999995</v>
      </c>
      <c r="M81">
        <f t="shared" si="21"/>
        <v>500</v>
      </c>
      <c r="N81">
        <f t="shared" si="22"/>
        <v>0.05</v>
      </c>
      <c r="O81" s="32">
        <v>-0.05</v>
      </c>
      <c r="P81" s="32">
        <v>4.4499999999999998E-2</v>
      </c>
      <c r="Q81" s="32">
        <v>-0.02</v>
      </c>
      <c r="R81" s="32">
        <v>-0.03</v>
      </c>
      <c r="S81" s="32">
        <v>-0.04</v>
      </c>
      <c r="T81" s="32">
        <v>0</v>
      </c>
      <c r="U81" s="84">
        <f t="shared" si="6"/>
        <v>66.396600000000007</v>
      </c>
      <c r="V81" s="84">
        <f t="shared" si="7"/>
        <v>25.045300000000001</v>
      </c>
      <c r="W81" s="84">
        <f t="shared" si="8"/>
        <v>58.3996</v>
      </c>
      <c r="X81" s="84">
        <f t="shared" si="9"/>
        <v>34.253999999999998</v>
      </c>
      <c r="Y81" s="84">
        <f t="shared" si="10"/>
        <v>480</v>
      </c>
      <c r="Z81" s="84">
        <f t="shared" si="11"/>
        <v>0.05</v>
      </c>
      <c r="AA81" s="84">
        <f t="shared" si="12"/>
        <v>2</v>
      </c>
      <c r="AB81" s="84">
        <f t="shared" si="13"/>
        <v>1</v>
      </c>
      <c r="AC81" s="84">
        <f t="shared" si="14"/>
        <v>3</v>
      </c>
    </row>
    <row r="82" spans="1:29" x14ac:dyDescent="0.2">
      <c r="A82" s="1">
        <f>'角色战斗属性表|CS|CharaData'!A63</f>
        <v>1020</v>
      </c>
      <c r="B82" s="1" t="str">
        <f>'角色战斗属性表|CS|CharaData'!C63</f>
        <v>【TMP】时曦</v>
      </c>
      <c r="C82" s="81" t="s">
        <v>688</v>
      </c>
      <c r="D82" s="81" t="s">
        <v>1777</v>
      </c>
      <c r="E82" s="81" t="s">
        <v>1784</v>
      </c>
      <c r="F82" s="81" t="s">
        <v>717</v>
      </c>
      <c r="G82" s="8" t="str">
        <f t="shared" si="16"/>
        <v>特攻型(法术）</v>
      </c>
      <c r="H82" s="82" t="s">
        <v>710</v>
      </c>
      <c r="I82" s="1">
        <f t="shared" si="17"/>
        <v>936</v>
      </c>
      <c r="J82">
        <f t="shared" si="18"/>
        <v>308.44444444444446</v>
      </c>
      <c r="K82">
        <f t="shared" si="19"/>
        <v>460.79999999999995</v>
      </c>
      <c r="L82">
        <f t="shared" si="20"/>
        <v>777.6</v>
      </c>
      <c r="M82">
        <f t="shared" si="21"/>
        <v>500</v>
      </c>
      <c r="N82">
        <f t="shared" si="22"/>
        <v>0.05</v>
      </c>
      <c r="O82" s="32">
        <v>-4.4999999999999997E-3</v>
      </c>
      <c r="P82" s="32">
        <v>7.4000000000000003E-3</v>
      </c>
      <c r="Q82" s="32">
        <v>0</v>
      </c>
      <c r="R82" s="32">
        <v>-0.01</v>
      </c>
      <c r="S82" s="32">
        <v>-0.03</v>
      </c>
      <c r="T82" s="32">
        <v>0</v>
      </c>
      <c r="U82" s="84">
        <f t="shared" si="6"/>
        <v>71.407600000000002</v>
      </c>
      <c r="V82" s="84">
        <f t="shared" si="7"/>
        <v>23.8126</v>
      </c>
      <c r="W82" s="84">
        <f t="shared" si="8"/>
        <v>35.313400000000001</v>
      </c>
      <c r="X82" s="84">
        <f t="shared" si="9"/>
        <v>58.9955</v>
      </c>
      <c r="Y82" s="84">
        <f t="shared" si="10"/>
        <v>485</v>
      </c>
      <c r="Z82" s="84">
        <f t="shared" si="11"/>
        <v>0.05</v>
      </c>
      <c r="AA82" s="84">
        <f t="shared" si="12"/>
        <v>3</v>
      </c>
      <c r="AB82" s="84">
        <f t="shared" si="13"/>
        <v>4</v>
      </c>
      <c r="AC82" s="84">
        <f t="shared" si="14"/>
        <v>3</v>
      </c>
    </row>
    <row r="83" spans="1:29" x14ac:dyDescent="0.2">
      <c r="A83" s="1">
        <f>'角色战斗属性表|CS|CharaData'!A64</f>
        <v>1045</v>
      </c>
      <c r="B83" s="1" t="str">
        <f>'角色战斗属性表|CS|CharaData'!C64</f>
        <v>【TMP】梧桐</v>
      </c>
      <c r="C83" s="81" t="s">
        <v>688</v>
      </c>
      <c r="D83" s="81" t="s">
        <v>1792</v>
      </c>
      <c r="E83" s="81" t="s">
        <v>1780</v>
      </c>
      <c r="F83" s="81" t="s">
        <v>717</v>
      </c>
      <c r="G83" s="8" t="str">
        <f t="shared" si="16"/>
        <v>特攻型(法术）</v>
      </c>
      <c r="H83" s="82" t="s">
        <v>710</v>
      </c>
      <c r="I83" s="1">
        <f t="shared" si="17"/>
        <v>936</v>
      </c>
      <c r="J83">
        <f t="shared" si="18"/>
        <v>308.44444444444446</v>
      </c>
      <c r="K83">
        <f t="shared" si="19"/>
        <v>460.79999999999995</v>
      </c>
      <c r="L83">
        <f t="shared" si="20"/>
        <v>777.6</v>
      </c>
      <c r="M83">
        <f t="shared" si="21"/>
        <v>500</v>
      </c>
      <c r="N83">
        <f t="shared" si="22"/>
        <v>0.05</v>
      </c>
      <c r="O83" s="32">
        <v>0.01</v>
      </c>
      <c r="P83" s="32">
        <v>8.5000000000000006E-3</v>
      </c>
      <c r="Q83" s="32">
        <v>-1.6500000000000001E-2</v>
      </c>
      <c r="R83" s="32">
        <v>-0.02</v>
      </c>
      <c r="S83" s="32">
        <v>-0.03</v>
      </c>
      <c r="T83" s="32">
        <v>0</v>
      </c>
      <c r="U83" s="84">
        <f t="shared" si="6"/>
        <v>72.447699999999998</v>
      </c>
      <c r="V83" s="84">
        <f t="shared" si="7"/>
        <v>23.8386</v>
      </c>
      <c r="W83" s="84">
        <f t="shared" si="8"/>
        <v>34.730800000000002</v>
      </c>
      <c r="X83" s="84">
        <f t="shared" si="9"/>
        <v>58.3996</v>
      </c>
      <c r="Y83" s="84">
        <f t="shared" si="10"/>
        <v>485</v>
      </c>
      <c r="Z83" s="84">
        <f t="shared" si="11"/>
        <v>0.05</v>
      </c>
      <c r="AA83" s="84">
        <f t="shared" si="12"/>
        <v>1</v>
      </c>
      <c r="AB83" s="84">
        <f t="shared" si="13"/>
        <v>4</v>
      </c>
      <c r="AC83" s="84">
        <f t="shared" si="14"/>
        <v>4</v>
      </c>
    </row>
    <row r="84" spans="1:29" x14ac:dyDescent="0.2">
      <c r="A84" s="1">
        <f>'角色战斗属性表|CS|CharaData'!A65</f>
        <v>1017</v>
      </c>
      <c r="B84" s="1" t="str">
        <f>'角色战斗属性表|CS|CharaData'!C65</f>
        <v>【TMP】恒沙</v>
      </c>
      <c r="C84" s="81" t="s">
        <v>688</v>
      </c>
      <c r="D84" s="81" t="s">
        <v>1776</v>
      </c>
      <c r="E84" s="81" t="s">
        <v>1788</v>
      </c>
      <c r="F84" s="81" t="s">
        <v>717</v>
      </c>
      <c r="G84" s="8" t="str">
        <f t="shared" si="16"/>
        <v>特攻型(法术）</v>
      </c>
      <c r="H84" s="82" t="s">
        <v>710</v>
      </c>
      <c r="I84" s="1">
        <f t="shared" si="17"/>
        <v>936</v>
      </c>
      <c r="J84">
        <f t="shared" si="18"/>
        <v>308.44444444444446</v>
      </c>
      <c r="K84">
        <f t="shared" si="19"/>
        <v>460.79999999999995</v>
      </c>
      <c r="L84">
        <f t="shared" si="20"/>
        <v>777.6</v>
      </c>
      <c r="M84">
        <f t="shared" si="21"/>
        <v>500</v>
      </c>
      <c r="N84">
        <f t="shared" si="22"/>
        <v>0.05</v>
      </c>
      <c r="O84" s="32">
        <v>-7.0000000000000001E-3</v>
      </c>
      <c r="P84" s="32">
        <v>1.7100000000000001E-2</v>
      </c>
      <c r="Q84" s="32">
        <v>-1.35E-2</v>
      </c>
      <c r="R84" s="32">
        <v>-0.02</v>
      </c>
      <c r="S84" s="32">
        <v>-0.04</v>
      </c>
      <c r="T84" s="32">
        <v>0</v>
      </c>
      <c r="U84" s="84">
        <f t="shared" si="6"/>
        <v>71.228300000000004</v>
      </c>
      <c r="V84" s="84">
        <f t="shared" si="7"/>
        <v>24.041899999999998</v>
      </c>
      <c r="W84" s="84">
        <f t="shared" si="8"/>
        <v>34.8367</v>
      </c>
      <c r="X84" s="84">
        <f t="shared" si="9"/>
        <v>58.3996</v>
      </c>
      <c r="Y84" s="84">
        <f t="shared" si="10"/>
        <v>480</v>
      </c>
      <c r="Z84" s="84">
        <f t="shared" si="11"/>
        <v>0.05</v>
      </c>
      <c r="AA84" s="84">
        <f t="shared" si="12"/>
        <v>2</v>
      </c>
      <c r="AB84" s="84">
        <f t="shared" si="13"/>
        <v>4</v>
      </c>
      <c r="AC84" s="84">
        <f t="shared" si="14"/>
        <v>1</v>
      </c>
    </row>
    <row r="85" spans="1:29" x14ac:dyDescent="0.2">
      <c r="A85" s="1"/>
      <c r="B85" s="1"/>
    </row>
  </sheetData>
  <mergeCells count="3">
    <mergeCell ref="I23:N23"/>
    <mergeCell ref="O23:T23"/>
    <mergeCell ref="U23:AC23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配置说明</vt:lpstr>
      <vt:lpstr>角色战斗属性表|CS|CharaData</vt:lpstr>
      <vt:lpstr>怪物战斗属性表|CS|MstData</vt:lpstr>
      <vt:lpstr>角色标签表|C|RoleSign</vt:lpstr>
      <vt:lpstr>模板计算相关数据</vt:lpstr>
      <vt:lpstr>特工配置转化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唐瓜（邓颖）</dc:creator>
  <cp:lastModifiedBy>fengzhuang</cp:lastModifiedBy>
  <dcterms:created xsi:type="dcterms:W3CDTF">2015-06-05T18:19:00Z</dcterms:created>
  <dcterms:modified xsi:type="dcterms:W3CDTF">2023-05-09T05:50:44Z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A0FB51A23EC4482AAB47C359B798D518</vt:lpwstr>
  </property>
  <property fmtid="{D5CDD505-2E9C-101B-9397-08002B2CF9AE}" pid="3" name="KSOProductBuildVer">
    <vt:lpwstr>2052-11.1.0.11294</vt:lpwstr>
  </property>
</Properties>
</file>